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9495" tabRatio="612" activeTab="0"/>
  </bookViews>
  <sheets>
    <sheet name="INDEX" sheetId="1" r:id="rId1"/>
    <sheet name="Conversions" sheetId="2" r:id="rId2"/>
    <sheet name="Historical Production" sheetId="3" r:id="rId3"/>
    <sheet name="Workplan Benchmark" sheetId="4" r:id="rId4"/>
    <sheet name="Workplan Sensitivity - 1" sheetId="5" r:id="rId5"/>
    <sheet name="Workplan Sensitivity - 2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<sst xmlns="http://schemas.openxmlformats.org/spreadsheetml/2006/main" count="446" uniqueCount="93">
  <si>
    <t>Notes/Sources</t>
  </si>
  <si>
    <t>State:</t>
  </si>
  <si>
    <t>Base Year:</t>
  </si>
  <si>
    <t>Total</t>
  </si>
  <si>
    <t>Units: as noted</t>
  </si>
  <si>
    <t>http://www.dep.state.pa.us/dep/deputate/minres/bmr/annualreport/2007/bituminous.htm</t>
  </si>
  <si>
    <t>Methane capture</t>
  </si>
  <si>
    <t>Key Assumptions</t>
  </si>
  <si>
    <t>Units: ft3 CH4 per ton coal mined</t>
  </si>
  <si>
    <t>Emission factor</t>
  </si>
  <si>
    <t>CO2e</t>
  </si>
  <si>
    <t>Units: tonnes of CO2e per million ft3 of CH4</t>
  </si>
  <si>
    <t>CO2e release, no capture (million tonnes CO2e)</t>
  </si>
  <si>
    <t>Total coal production in PA (million tons)</t>
  </si>
  <si>
    <t>Longwall methods</t>
  </si>
  <si>
    <t>Other methods</t>
  </si>
  <si>
    <t>Longwall share (%)</t>
  </si>
  <si>
    <t>Coal mining emissions</t>
  </si>
  <si>
    <t>Longwall method</t>
  </si>
  <si>
    <t>Methane release, 10% capture (billion cubic ft of CH4)</t>
  </si>
  <si>
    <t>Methane release, with capture (billion cubic ft of CH4</t>
  </si>
  <si>
    <t>CO2e release, with capture (million tonnes CO2e)</t>
  </si>
  <si>
    <t>Coal production (% of 2007 levels)</t>
  </si>
  <si>
    <t>Methane capture start year</t>
  </si>
  <si>
    <t>Change from baseline (%)</t>
  </si>
  <si>
    <t>relative to current year</t>
  </si>
  <si>
    <t>relative to year 2000</t>
  </si>
  <si>
    <t>CO2e emission, 2025 (E6 tonnes)</t>
  </si>
  <si>
    <t>10% capture</t>
  </si>
  <si>
    <t>20% capture</t>
  </si>
  <si>
    <t>10% Capture</t>
  </si>
  <si>
    <t>20% Capture</t>
  </si>
  <si>
    <t>Check (true/false)</t>
  </si>
  <si>
    <t>Check (absolute difference)</t>
  </si>
  <si>
    <t>CO2e emission change, 2025 (% relative to 2000)</t>
  </si>
  <si>
    <t>Methane release, with capture (billion cubic ft of CH4)</t>
  </si>
  <si>
    <t>CH4 capture targets in 2025 (% of longwall CH4 emissions)</t>
  </si>
  <si>
    <t>Option 1</t>
  </si>
  <si>
    <t>Option 2</t>
  </si>
  <si>
    <t>Benckmarking to the PA Subcommitttee Workplan</t>
  </si>
  <si>
    <t>note: this is a calculated value to match the CO2e emissions for this option appears on page 3 (the level in the workplan shows 20.0%)</t>
  </si>
  <si>
    <t>note: this is a corrected value of the percentage appearing on page 3 (the level in the workplan indicates 45.6%).</t>
  </si>
  <si>
    <t>1. Source for input assumptions is 03-24-08_PA_Draft_Work_Plan.doc</t>
  </si>
  <si>
    <t>2. Coal production percentages of 2007 levels are derived to benchmark to workplan numbers</t>
  </si>
  <si>
    <t>3. Methane carbon capture start year is assumed</t>
  </si>
  <si>
    <t>4. CH4 capture targets as per page 3 of the workplan</t>
  </si>
  <si>
    <t>Percent of 2007 level</t>
  </si>
  <si>
    <t>Coal generation in PA (TWh)</t>
  </si>
  <si>
    <t>2. Coal production percentages of 2007 levels are derived to benchmark to projected coal-fired generation in PA as calculated in the PA GHG forecast</t>
  </si>
  <si>
    <t>CO2e reductions (million tonnes CO2e)</t>
  </si>
  <si>
    <t>Annual CO2e reductions relative to annual Baseline emissions (million tonnes CO2e)</t>
  </si>
  <si>
    <t>Annual CO2e reductions relative to year 2000 Baseline emissions (million tonnes CO2e)</t>
  </si>
  <si>
    <t>Cumulative CO2e reductions relative to annual Baseline emissions (million tonnes CO2e)</t>
  </si>
  <si>
    <t>Cumulative CO2e reductions relative to year 2000 Baseline emissions (million tonnes CO2e)</t>
  </si>
  <si>
    <t>Methane release (billion cubic ft of CH4)</t>
  </si>
  <si>
    <t>CO2e release (million tonnes CO2e)</t>
  </si>
  <si>
    <t>"20%" Capture</t>
  </si>
  <si>
    <t>Capture schedule</t>
  </si>
  <si>
    <t>2. Coal production percentages in 2025 is same as 2000 levels to elimination effect of production levels on CO2e emission reductions relative to 2000</t>
  </si>
  <si>
    <t>Coal production (% of 2000 levels)</t>
  </si>
  <si>
    <t>Year 2025 production levels realtive to 2000 levels</t>
  </si>
  <si>
    <t>Other methods (weighted average)</t>
  </si>
  <si>
    <t>Coal Production (million tons)</t>
  </si>
  <si>
    <t>% diff</t>
  </si>
  <si>
    <t>Baseline</t>
  </si>
  <si>
    <t>10% reduction</t>
  </si>
  <si>
    <t>20% reduction</t>
  </si>
  <si>
    <t>Cumulative (E6 tCO2 avoided)</t>
  </si>
  <si>
    <t>Annual (E6 tCO2 avoided)</t>
  </si>
  <si>
    <t>Relative to 2000</t>
  </si>
  <si>
    <t>Relative to current year</t>
  </si>
  <si>
    <t>Workplan</t>
  </si>
  <si>
    <t>Constant 2000 production</t>
  </si>
  <si>
    <t>Tracking coal-fired generation</t>
  </si>
  <si>
    <t>10%</t>
  </si>
  <si>
    <t>20%</t>
  </si>
  <si>
    <t>10% option</t>
  </si>
  <si>
    <t>20% option</t>
  </si>
  <si>
    <t>Relative to annual BAU</t>
  </si>
  <si>
    <t>phased in linearly staring in 2010</t>
  </si>
  <si>
    <t>Coal Mine Methane Option Evaluation</t>
  </si>
  <si>
    <t>Historical production of coal in PA</t>
  </si>
  <si>
    <t>Benckmarking to a senstivity of 2025 coal production tracking coal-fired generation</t>
  </si>
  <si>
    <t>Benckmarking to a sensitivity of 2025 coal production equaling 2000 levels</t>
  </si>
  <si>
    <t>Index of worksheets</t>
  </si>
  <si>
    <t>PA</t>
  </si>
  <si>
    <t>Sheet</t>
  </si>
  <si>
    <t>Description</t>
  </si>
  <si>
    <t>Conversions</t>
  </si>
  <si>
    <t>Historical Production</t>
  </si>
  <si>
    <t>Workplan Benchmark</t>
  </si>
  <si>
    <t>Workplan Sensitivity - 1</t>
  </si>
  <si>
    <t>Workplan Sensitivity - 2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</si>
</sst>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#,##0.000"/>
    <numFmt numFmtId="167" formatCode="0.0%"/>
    <numFmt numFmtId="168" formatCode="#,##0.0"/>
    <numFmt numFmtId="169" formatCode="0.0"/>
    <numFmt numFmtId="170" formatCode="#,##0.0000"/>
    <numFmt numFmtId="171" formatCode="&quot;$&quot;#,##0.0_);[Red]\(&quot;$&quot;#,##0.0\)"/>
    <numFmt numFmtId="172" formatCode="&quot;$&quot;#,##0.0"/>
    <numFmt numFmtId="173" formatCode="#,##0.00000"/>
    <numFmt numFmtId="174" formatCode="0.000%"/>
    <numFmt numFmtId="175" formatCode="#,##0.000000"/>
    <numFmt numFmtId="176" formatCode="0.0000%"/>
    <numFmt numFmtId="177" formatCode="0.00000%"/>
    <numFmt numFmtId="178" formatCode="0.00_)"/>
    <numFmt numFmtId="179" formatCode="_(* #,##0_);_(* \(#,##0\);_(* &quot;-&quot;??_);_(@_)"/>
    <numFmt numFmtId="180" formatCode="0.0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000000000000%"/>
    <numFmt numFmtId="187" formatCode="0.000000"/>
    <numFmt numFmtId="188" formatCode="0.0000000"/>
    <numFmt numFmtId="189" formatCode="0.000000%"/>
    <numFmt numFmtId="190" formatCode="0.0000000%"/>
    <numFmt numFmtId="191" formatCode="0.00000000%"/>
    <numFmt numFmtId="192" formatCode="0.000000000%"/>
    <numFmt numFmtId="193" formatCode="0.000000000000000%"/>
    <numFmt numFmtId="194" formatCode="0.00000000000000%"/>
    <numFmt numFmtId="195" formatCode="0.0000000000000%"/>
    <numFmt numFmtId="196" formatCode="0.000000000000%"/>
    <numFmt numFmtId="197" formatCode="0.00000000000%"/>
    <numFmt numFmtId="198" formatCode="0.0000000000%"/>
    <numFmt numFmtId="199" formatCode="0.00000000"/>
    <numFmt numFmtId="200" formatCode="_(* #,##0.0_);_(* \(#,##0.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sz val="8.75"/>
      <name val="Arial"/>
      <family val="0"/>
    </font>
    <font>
      <sz val="9.75"/>
      <name val="Calibri"/>
      <family val="2"/>
    </font>
    <font>
      <b/>
      <sz val="11.5"/>
      <name val="Calibri"/>
      <family val="2"/>
    </font>
    <font>
      <sz val="9.75"/>
      <name val="Arial"/>
      <family val="0"/>
    </font>
    <font>
      <b/>
      <sz val="9.7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5" fillId="0" borderId="12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167" fontId="0" fillId="0" borderId="0" xfId="59" applyNumberFormat="1" applyFill="1" applyAlignment="1">
      <alignment/>
    </xf>
    <xf numFmtId="3" fontId="0" fillId="0" borderId="0" xfId="0" applyNumberFormat="1" applyFill="1" applyBorder="1" applyAlignment="1">
      <alignment horizontal="left"/>
    </xf>
    <xf numFmtId="168" fontId="0" fillId="0" borderId="0" xfId="0" applyNumberForma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169" fontId="0" fillId="0" borderId="0" xfId="0" applyNumberFormat="1" applyFill="1" applyAlignment="1">
      <alignment/>
    </xf>
    <xf numFmtId="49" fontId="32" fillId="0" borderId="0" xfId="0" applyNumberFormat="1" applyFont="1" applyFill="1" applyAlignment="1">
      <alignment horizontal="left"/>
    </xf>
    <xf numFmtId="9" fontId="32" fillId="0" borderId="0" xfId="59" applyFont="1" applyFill="1" applyAlignment="1">
      <alignment/>
    </xf>
    <xf numFmtId="164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9" fontId="0" fillId="0" borderId="0" xfId="59" applyFont="1" applyFill="1" applyBorder="1" applyAlignment="1">
      <alignment horizontal="center"/>
    </xf>
    <xf numFmtId="167" fontId="0" fillId="0" borderId="0" xfId="59" applyNumberFormat="1" applyFont="1" applyFill="1" applyBorder="1" applyAlignment="1">
      <alignment horizontal="center"/>
    </xf>
    <xf numFmtId="9" fontId="0" fillId="0" borderId="0" xfId="59" applyNumberFormat="1" applyFill="1" applyAlignment="1">
      <alignment/>
    </xf>
    <xf numFmtId="9" fontId="32" fillId="0" borderId="0" xfId="59" applyNumberFormat="1" applyFont="1" applyFill="1" applyAlignment="1">
      <alignment/>
    </xf>
    <xf numFmtId="0" fontId="32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49" fontId="33" fillId="0" borderId="0" xfId="0" applyNumberFormat="1" applyFont="1" applyFill="1" applyAlignment="1">
      <alignment horizontal="left"/>
    </xf>
    <xf numFmtId="49" fontId="31" fillId="0" borderId="0" xfId="0" applyNumberFormat="1" applyFont="1" applyFill="1" applyAlignment="1">
      <alignment horizontal="left"/>
    </xf>
    <xf numFmtId="9" fontId="32" fillId="20" borderId="0" xfId="59" applyFont="1" applyFill="1" applyAlignment="1">
      <alignment/>
    </xf>
    <xf numFmtId="9" fontId="34" fillId="0" borderId="0" xfId="59" applyFont="1" applyFill="1" applyAlignment="1">
      <alignment horizontal="right"/>
    </xf>
    <xf numFmtId="167" fontId="0" fillId="0" borderId="0" xfId="59" applyNumberFormat="1" applyFill="1" applyAlignment="1">
      <alignment/>
    </xf>
    <xf numFmtId="9" fontId="0" fillId="0" borderId="0" xfId="59" applyNumberFormat="1" applyFill="1" applyAlignment="1">
      <alignment/>
    </xf>
    <xf numFmtId="9" fontId="35" fillId="0" borderId="0" xfId="59" applyFont="1" applyFill="1" applyAlignment="1">
      <alignment horizontal="right"/>
    </xf>
    <xf numFmtId="167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2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  <xf numFmtId="167" fontId="8" fillId="22" borderId="13" xfId="59" applyNumberFormat="1" applyFont="1" applyFill="1" applyBorder="1" applyAlignment="1">
      <alignment horizontal="center"/>
    </xf>
    <xf numFmtId="0" fontId="8" fillId="22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1" fillId="0" borderId="0" xfId="0" applyNumberFormat="1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10" fontId="8" fillId="22" borderId="13" xfId="59" applyNumberFormat="1" applyFont="1" applyFill="1" applyBorder="1" applyAlignment="1">
      <alignment horizontal="center"/>
    </xf>
    <xf numFmtId="10" fontId="31" fillId="0" borderId="0" xfId="0" applyNumberFormat="1" applyFont="1" applyFill="1" applyAlignment="1">
      <alignment/>
    </xf>
    <xf numFmtId="0" fontId="0" fillId="20" borderId="0" xfId="0" applyFill="1" applyAlignment="1">
      <alignment/>
    </xf>
    <xf numFmtId="9" fontId="0" fillId="0" borderId="0" xfId="59" applyNumberFormat="1" applyFont="1" applyFill="1" applyBorder="1" applyAlignment="1">
      <alignment horizontal="center"/>
    </xf>
    <xf numFmtId="49" fontId="32" fillId="0" borderId="0" xfId="0" applyNumberFormat="1" applyFont="1" applyFill="1" applyAlignment="1">
      <alignment horizontal="right"/>
    </xf>
    <xf numFmtId="9" fontId="0" fillId="0" borderId="0" xfId="59" applyFill="1" applyAlignment="1">
      <alignment horizontal="right"/>
    </xf>
    <xf numFmtId="9" fontId="0" fillId="0" borderId="0" xfId="59" applyNumberFormat="1" applyFont="1" applyFill="1" applyBorder="1" applyAlignment="1">
      <alignment horizontal="right"/>
    </xf>
    <xf numFmtId="9" fontId="0" fillId="0" borderId="0" xfId="59" applyNumberFormat="1" applyFill="1" applyAlignment="1">
      <alignment horizontal="right"/>
    </xf>
    <xf numFmtId="9" fontId="0" fillId="0" borderId="0" xfId="59" applyFont="1" applyFill="1" applyAlignment="1">
      <alignment horizontal="right"/>
    </xf>
    <xf numFmtId="0" fontId="0" fillId="20" borderId="13" xfId="0" applyFont="1" applyFill="1" applyBorder="1" applyAlignment="1">
      <alignment horizontal="center"/>
    </xf>
    <xf numFmtId="10" fontId="0" fillId="20" borderId="13" xfId="59" applyNumberFormat="1" applyFont="1" applyFill="1" applyBorder="1" applyAlignment="1">
      <alignment horizontal="center"/>
    </xf>
    <xf numFmtId="167" fontId="0" fillId="20" borderId="13" xfId="59" applyNumberFormat="1" applyFont="1" applyFill="1" applyBorder="1" applyAlignment="1">
      <alignment horizontal="center"/>
    </xf>
    <xf numFmtId="168" fontId="0" fillId="0" borderId="14" xfId="0" applyNumberFormat="1" applyFill="1" applyBorder="1" applyAlignment="1">
      <alignment/>
    </xf>
    <xf numFmtId="168" fontId="0" fillId="0" borderId="15" xfId="0" applyNumberFormat="1" applyFill="1" applyBorder="1" applyAlignment="1">
      <alignment/>
    </xf>
    <xf numFmtId="9" fontId="0" fillId="0" borderId="15" xfId="59" applyNumberFormat="1" applyFill="1" applyBorder="1" applyAlignment="1">
      <alignment/>
    </xf>
    <xf numFmtId="9" fontId="0" fillId="0" borderId="16" xfId="59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9" fontId="0" fillId="0" borderId="0" xfId="59" applyNumberFormat="1" applyFill="1" applyBorder="1" applyAlignment="1">
      <alignment/>
    </xf>
    <xf numFmtId="9" fontId="0" fillId="0" borderId="18" xfId="59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0" borderId="20" xfId="0" applyNumberFormat="1" applyFill="1" applyBorder="1" applyAlignment="1">
      <alignment/>
    </xf>
    <xf numFmtId="9" fontId="0" fillId="0" borderId="20" xfId="59" applyNumberFormat="1" applyFill="1" applyBorder="1" applyAlignment="1">
      <alignment/>
    </xf>
    <xf numFmtId="9" fontId="0" fillId="0" borderId="21" xfId="59" applyNumberFormat="1" applyFill="1" applyBorder="1" applyAlignment="1">
      <alignment/>
    </xf>
    <xf numFmtId="169" fontId="0" fillId="0" borderId="14" xfId="0" applyNumberFormat="1" applyFill="1" applyBorder="1" applyAlignment="1">
      <alignment/>
    </xf>
    <xf numFmtId="169" fontId="0" fillId="0" borderId="15" xfId="0" applyNumberFormat="1" applyFill="1" applyBorder="1" applyAlignment="1">
      <alignment/>
    </xf>
    <xf numFmtId="169" fontId="0" fillId="0" borderId="17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19" xfId="0" applyNumberFormat="1" applyFill="1" applyBorder="1" applyAlignment="1">
      <alignment/>
    </xf>
    <xf numFmtId="169" fontId="0" fillId="0" borderId="20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9" fontId="0" fillId="0" borderId="18" xfId="0" applyNumberFormat="1" applyFill="1" applyBorder="1" applyAlignment="1">
      <alignment/>
    </xf>
    <xf numFmtId="169" fontId="0" fillId="0" borderId="21" xfId="0" applyNumberFormat="1" applyFill="1" applyBorder="1" applyAlignment="1">
      <alignment/>
    </xf>
    <xf numFmtId="169" fontId="0" fillId="0" borderId="0" xfId="0" applyNumberFormat="1" applyFill="1" applyBorder="1" applyAlignment="1" quotePrefix="1">
      <alignment horizontal="right"/>
    </xf>
    <xf numFmtId="169" fontId="0" fillId="0" borderId="0" xfId="0" applyNumberForma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9" fontId="0" fillId="0" borderId="0" xfId="0" applyNumberForma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3475"/>
          <c:w val="0.946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'Workplan Sensitivity - 2'!$B$161</c:f>
              <c:strCache>
                <c:ptCount val="1"/>
                <c:pt idx="0">
                  <c:v>10% option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'Workplan Sensitivity - 2'!$A$162:$A$164</c:f>
              <c:strCache>
                <c:ptCount val="3"/>
                <c:pt idx="0">
                  <c:v>Workplan</c:v>
                </c:pt>
                <c:pt idx="1">
                  <c:v>Constant 2000 production</c:v>
                </c:pt>
                <c:pt idx="2">
                  <c:v>Tracking coal-fired generation</c:v>
                </c:pt>
              </c:strCache>
            </c:strRef>
          </c:cat>
          <c:val>
            <c:numRef>
              <c:f>'Workplan Sensitivity - 2'!$B$162:$B$164</c:f>
              <c:numCache>
                <c:ptCount val="3"/>
                <c:pt idx="0">
                  <c:v>35.67090169828701</c:v>
                </c:pt>
                <c:pt idx="1">
                  <c:v>24.046261234056896</c:v>
                </c:pt>
                <c:pt idx="2">
                  <c:v>18.347948194063655</c:v>
                </c:pt>
              </c:numCache>
            </c:numRef>
          </c:val>
        </c:ser>
        <c:ser>
          <c:idx val="1"/>
          <c:order val="1"/>
          <c:tx>
            <c:strRef>
              <c:f>'Workplan Sensitivity - 2'!$C$161</c:f>
              <c:strCache>
                <c:ptCount val="1"/>
                <c:pt idx="0">
                  <c:v>20% option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'Workplan Sensitivity - 2'!$A$162:$A$164</c:f>
              <c:strCache>
                <c:ptCount val="3"/>
                <c:pt idx="0">
                  <c:v>Workplan</c:v>
                </c:pt>
                <c:pt idx="1">
                  <c:v>Constant 2000 production</c:v>
                </c:pt>
                <c:pt idx="2">
                  <c:v>Tracking coal-fired generation</c:v>
                </c:pt>
              </c:strCache>
            </c:strRef>
          </c:cat>
          <c:val>
            <c:numRef>
              <c:f>'Workplan Sensitivity - 2'!$C$162:$C$164</c:f>
              <c:numCache>
                <c:ptCount val="3"/>
                <c:pt idx="0">
                  <c:v>41.88261795805833</c:v>
                </c:pt>
                <c:pt idx="1">
                  <c:v>30.966898813855014</c:v>
                </c:pt>
                <c:pt idx="2">
                  <c:v>25.45096145146203</c:v>
                </c:pt>
              </c:numCache>
            </c:numRef>
          </c:val>
        </c:ser>
        <c:axId val="41464815"/>
        <c:axId val="37639016"/>
      </c:bar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7639016"/>
        <c:crosses val="autoZero"/>
        <c:auto val="1"/>
        <c:lblOffset val="100"/>
        <c:noMultiLvlLbl val="0"/>
      </c:catAx>
      <c:valAx>
        <c:axId val="3763901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Cumulative CO2e reductions (E6 tons)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46481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1177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475"/>
          <c:w val="0.9357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'Workplan Sensitivity - 2'!$A$169</c:f>
              <c:strCache>
                <c:ptCount val="1"/>
                <c:pt idx="0">
                  <c:v>Workplan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'Workplan Sensitivity - 2'!$B$167:$E$168</c:f>
              <c:multiLvlStrCache>
                <c:ptCount val="4"/>
                <c:lvl>
                  <c:pt idx="0">
                    <c:v>Relative to 2000</c:v>
                  </c:pt>
                  <c:pt idx="1">
                    <c:v>Relative to annual BAU</c:v>
                  </c:pt>
                  <c:pt idx="2">
                    <c:v>Relative to 2000</c:v>
                  </c:pt>
                  <c:pt idx="3">
                    <c:v>Relative to annual BAU</c:v>
                  </c:pt>
                </c:lvl>
                <c:lvl>
                  <c:pt idx="0">
                    <c:v>10% option</c:v>
                  </c:pt>
                  <c:pt idx="2">
                    <c:v>20% option</c:v>
                  </c:pt>
                </c:lvl>
              </c:multiLvlStrCache>
            </c:multiLvlStrRef>
          </c:cat>
          <c:val>
            <c:numRef>
              <c:f>'Workplan Sensitivity - 2'!$B$169:$E$169</c:f>
              <c:numCache>
                <c:ptCount val="4"/>
                <c:pt idx="0">
                  <c:v>35.67090169828701</c:v>
                </c:pt>
                <c:pt idx="1">
                  <c:v>5.961729037759963</c:v>
                </c:pt>
                <c:pt idx="2">
                  <c:v>41.88261795805833</c:v>
                </c:pt>
                <c:pt idx="3">
                  <c:v>12.173445297531279</c:v>
                </c:pt>
              </c:numCache>
            </c:numRef>
          </c:val>
        </c:ser>
        <c:ser>
          <c:idx val="1"/>
          <c:order val="1"/>
          <c:tx>
            <c:strRef>
              <c:f>'Workplan Sensitivity - 2'!$A$170</c:f>
              <c:strCache>
                <c:ptCount val="1"/>
                <c:pt idx="0">
                  <c:v>Constant 2000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'Workplan Sensitivity - 2'!$B$167:$E$168</c:f>
              <c:multiLvlStrCache>
                <c:ptCount val="4"/>
                <c:lvl>
                  <c:pt idx="0">
                    <c:v>Relative to 2000</c:v>
                  </c:pt>
                  <c:pt idx="1">
                    <c:v>Relative to annual BAU</c:v>
                  </c:pt>
                  <c:pt idx="2">
                    <c:v>Relative to 2000</c:v>
                  </c:pt>
                  <c:pt idx="3">
                    <c:v>Relative to annual BAU</c:v>
                  </c:pt>
                </c:lvl>
                <c:lvl>
                  <c:pt idx="0">
                    <c:v>10% option</c:v>
                  </c:pt>
                  <c:pt idx="2">
                    <c:v>20% option</c:v>
                  </c:pt>
                </c:lvl>
              </c:multiLvlStrCache>
            </c:multiLvlStrRef>
          </c:cat>
          <c:val>
            <c:numRef>
              <c:f>'Workplan Sensitivity - 2'!$B$170:$E$170</c:f>
              <c:numCache>
                <c:ptCount val="4"/>
                <c:pt idx="0">
                  <c:v>24.046261234056896</c:v>
                </c:pt>
                <c:pt idx="1">
                  <c:v>6.64212019574993</c:v>
                </c:pt>
                <c:pt idx="2">
                  <c:v>30.966898813855014</c:v>
                </c:pt>
                <c:pt idx="3">
                  <c:v>13.562757775548047</c:v>
                </c:pt>
              </c:numCache>
            </c:numRef>
          </c:val>
        </c:ser>
        <c:ser>
          <c:idx val="2"/>
          <c:order val="2"/>
          <c:tx>
            <c:strRef>
              <c:f>'Workplan Sensitivity - 2'!$A$171</c:f>
              <c:strCache>
                <c:ptCount val="1"/>
                <c:pt idx="0">
                  <c:v>Tracking coal-fired generation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'Workplan Sensitivity - 2'!$B$167:$E$168</c:f>
              <c:multiLvlStrCache>
                <c:ptCount val="4"/>
                <c:lvl>
                  <c:pt idx="0">
                    <c:v>Relative to 2000</c:v>
                  </c:pt>
                  <c:pt idx="1">
                    <c:v>Relative to annual BAU</c:v>
                  </c:pt>
                  <c:pt idx="2">
                    <c:v>Relative to 2000</c:v>
                  </c:pt>
                  <c:pt idx="3">
                    <c:v>Relative to annual BAU</c:v>
                  </c:pt>
                </c:lvl>
                <c:lvl>
                  <c:pt idx="0">
                    <c:v>10% option</c:v>
                  </c:pt>
                  <c:pt idx="2">
                    <c:v>20% option</c:v>
                  </c:pt>
                </c:lvl>
              </c:multiLvlStrCache>
            </c:multiLvlStrRef>
          </c:cat>
          <c:val>
            <c:numRef>
              <c:f>'Workplan Sensitivity - 2'!$B$171:$E$171</c:f>
              <c:numCache>
                <c:ptCount val="4"/>
                <c:pt idx="0">
                  <c:v>18.347948194063655</c:v>
                </c:pt>
                <c:pt idx="1">
                  <c:v>6.817156261059618</c:v>
                </c:pt>
                <c:pt idx="2">
                  <c:v>25.45096145146203</c:v>
                </c:pt>
                <c:pt idx="3">
                  <c:v>13.920169518457996</c:v>
                </c:pt>
              </c:numCache>
            </c:numRef>
          </c:val>
        </c:ser>
        <c:axId val="3206825"/>
        <c:axId val="28861426"/>
      </c:bar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8861426"/>
        <c:crosses val="autoZero"/>
        <c:auto val="1"/>
        <c:lblOffset val="100"/>
        <c:noMultiLvlLbl val="0"/>
      </c:catAx>
      <c:valAx>
        <c:axId val="28861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Cumulative CO2e reductions (E6 tons)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206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0</xdr:rowOff>
    </xdr:from>
    <xdr:to>
      <xdr:col>22</xdr:col>
      <xdr:colOff>123825</xdr:colOff>
      <xdr:row>12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3095625" cy="2266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148</xdr:row>
      <xdr:rowOff>0</xdr:rowOff>
    </xdr:from>
    <xdr:to>
      <xdr:col>20</xdr:col>
      <xdr:colOff>333375</xdr:colOff>
      <xdr:row>163</xdr:row>
      <xdr:rowOff>47625</xdr:rowOff>
    </xdr:to>
    <xdr:graphicFrame>
      <xdr:nvGraphicFramePr>
        <xdr:cNvPr id="1" name="Chart 1"/>
        <xdr:cNvGraphicFramePr/>
      </xdr:nvGraphicFramePr>
      <xdr:xfrm>
        <a:off x="4848225" y="24326850"/>
        <a:ext cx="54387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163</xdr:row>
      <xdr:rowOff>85725</xdr:rowOff>
    </xdr:from>
    <xdr:to>
      <xdr:col>20</xdr:col>
      <xdr:colOff>333375</xdr:colOff>
      <xdr:row>179</xdr:row>
      <xdr:rowOff>9525</xdr:rowOff>
    </xdr:to>
    <xdr:graphicFrame>
      <xdr:nvGraphicFramePr>
        <xdr:cNvPr id="2" name="Chart 2"/>
        <xdr:cNvGraphicFramePr/>
      </xdr:nvGraphicFramePr>
      <xdr:xfrm>
        <a:off x="4838700" y="26879550"/>
        <a:ext cx="54483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CCS\Arkansas\OUTPUTS-AR%20(19-March%202008)\GHG%20I&amp;F%20(expand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CCS\Pennsylvania\4rth%20draft%20of%20GHG%20forecast\DRAFT%20-%20PA%20Electricity%20GHG%20Forecast%202-6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Status"/>
      <sheetName val="stuff"/>
    </sheetNames>
    <sheetDataSet>
      <sheetData sheetId="2">
        <row r="6">
          <cell r="B6" t="str">
            <v>2005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UMMARY CHAR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</sheetNames>
    <sheetDataSet>
      <sheetData sheetId="14">
        <row r="18">
          <cell r="D18">
            <v>117276.94577714195</v>
          </cell>
          <cell r="E18">
            <v>118549.39399354879</v>
          </cell>
          <cell r="F18">
            <v>114639.10618067592</v>
          </cell>
          <cell r="G18">
            <v>116212.82520296311</v>
          </cell>
          <cell r="H18">
            <v>118258.28913697424</v>
          </cell>
          <cell r="I18">
            <v>119860.36547302619</v>
          </cell>
          <cell r="J18">
            <v>121472.9965834227</v>
          </cell>
          <cell r="K18">
            <v>123044.73456031349</v>
          </cell>
          <cell r="L18">
            <v>124585.49076540767</v>
          </cell>
          <cell r="M18">
            <v>126554.73294506552</v>
          </cell>
          <cell r="N18">
            <v>128132.88697638774</v>
          </cell>
          <cell r="O18">
            <v>129710.54212456573</v>
          </cell>
          <cell r="P18">
            <v>131287.3916664653</v>
          </cell>
          <cell r="Q18">
            <v>132862.97798784557</v>
          </cell>
          <cell r="R18">
            <v>135633.6595101797</v>
          </cell>
          <cell r="S18">
            <v>138060.69976475442</v>
          </cell>
          <cell r="T18">
            <v>140516.57209579195</v>
          </cell>
          <cell r="U18">
            <v>143001.61603104422</v>
          </cell>
          <cell r="V18">
            <v>145516.17504830618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1.140625" style="0" customWidth="1"/>
  </cols>
  <sheetData>
    <row r="1" s="105" customFormat="1" ht="23.25">
      <c r="A1" s="25" t="str">
        <f>Conversions!A1</f>
        <v>Coal Mine Methane Option Evaluation</v>
      </c>
    </row>
    <row r="2" s="105" customFormat="1" ht="15.75">
      <c r="A2" s="27" t="s">
        <v>84</v>
      </c>
    </row>
    <row r="5" spans="1:3" ht="12.75">
      <c r="A5" s="5" t="s">
        <v>1</v>
      </c>
      <c r="B5" s="20"/>
      <c r="C5" s="7" t="s">
        <v>85</v>
      </c>
    </row>
    <row r="6" spans="1:3" ht="12.75">
      <c r="A6" s="5" t="s">
        <v>2</v>
      </c>
      <c r="B6" s="20"/>
      <c r="C6" s="9">
        <v>2007</v>
      </c>
    </row>
    <row r="9" spans="1:11" ht="12.75">
      <c r="A9" s="106" t="s">
        <v>86</v>
      </c>
      <c r="B9" s="105" t="s">
        <v>87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2.75" customHeight="1">
      <c r="A10" s="107" t="s">
        <v>88</v>
      </c>
      <c r="B10" s="105" t="str">
        <f>Conversions!A2</f>
        <v>Key Assumptions</v>
      </c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2.75">
      <c r="A11" s="106" t="s">
        <v>89</v>
      </c>
      <c r="B11" s="105" t="str">
        <f>'Historical Production'!A2</f>
        <v>Historical production of coal in PA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>
      <c r="A12" s="106" t="s">
        <v>90</v>
      </c>
      <c r="B12" s="105" t="str">
        <f>'Workplan Benchmark'!A2</f>
        <v>Benckmarking to the PA Subcommitttee Workplan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>
      <c r="A13" s="106" t="s">
        <v>91</v>
      </c>
      <c r="B13" s="105" t="str">
        <f>'Workplan Sensitivity - 1'!A2</f>
        <v>Benckmarking to a sensitivity of 2025 coal production equaling 2000 levels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>
      <c r="A14" s="106" t="s">
        <v>92</v>
      </c>
      <c r="B14" s="105" t="str">
        <f>'Workplan Sensitivity - 2'!A2</f>
        <v>Benckmarking to a senstivity of 2025 coal production tracking coal-fired generation</v>
      </c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>
      <c r="A15" s="106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>
      <c r="A16" s="106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12.75">
      <c r="A17" s="106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12.75">
      <c r="A18" s="106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12.75">
      <c r="A19" s="106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ht="12.75">
      <c r="A20" s="106"/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ht="12.75">
      <c r="A21" s="106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2.75">
      <c r="A22" s="106"/>
      <c r="B22" s="105"/>
      <c r="C22" s="105"/>
      <c r="E22" s="108"/>
      <c r="F22" s="105"/>
      <c r="G22" s="105"/>
      <c r="H22" s="105"/>
      <c r="I22" s="105"/>
      <c r="J22" s="105"/>
      <c r="K22" s="105"/>
    </row>
    <row r="23" spans="1:11" ht="12.75">
      <c r="A23" s="106"/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12.75">
      <c r="A24" s="106"/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ht="12.75">
      <c r="A25" s="106"/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ht="12.75">
      <c r="A26" s="106"/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2.75">
      <c r="A27" s="106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12.75">
      <c r="A28" s="106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ht="12.75">
      <c r="A29" s="106"/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12.75">
      <c r="A30" s="106"/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ht="12.75">
      <c r="A31" s="106"/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</row>
    <row r="33" spans="1:11" ht="12.7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A2" sqref="A2"/>
    </sheetView>
  </sheetViews>
  <sheetFormatPr defaultColWidth="8.8515625" defaultRowHeight="12.75"/>
  <cols>
    <col min="1" max="1" width="10.00390625" style="2" customWidth="1"/>
    <col min="2" max="16384" width="8.8515625" style="2" customWidth="1"/>
  </cols>
  <sheetData>
    <row r="1" s="26" customFormat="1" ht="23.25">
      <c r="A1" s="25" t="s">
        <v>80</v>
      </c>
    </row>
    <row r="2" s="26" customFormat="1" ht="15.75">
      <c r="A2" s="27" t="s">
        <v>7</v>
      </c>
    </row>
    <row r="5" spans="1:5" ht="12.75">
      <c r="A5" s="5" t="s">
        <v>17</v>
      </c>
      <c r="B5" s="10"/>
      <c r="C5" s="11"/>
      <c r="D5" s="8"/>
      <c r="E5" s="8"/>
    </row>
    <row r="6" spans="1:5" ht="12.75">
      <c r="A6" s="28" t="s">
        <v>8</v>
      </c>
      <c r="B6" s="10"/>
      <c r="C6" s="11"/>
      <c r="D6" s="8"/>
      <c r="E6" s="8"/>
    </row>
    <row r="7" spans="1:5" ht="12.75">
      <c r="A7" s="12"/>
      <c r="B7" s="13"/>
      <c r="D7" s="8"/>
      <c r="E7" s="8"/>
    </row>
    <row r="8" spans="1:5" ht="12.75">
      <c r="A8" s="17" t="s">
        <v>18</v>
      </c>
      <c r="D8" s="17"/>
      <c r="E8" s="21">
        <v>400.4</v>
      </c>
    </row>
    <row r="9" spans="1:5" ht="12.75">
      <c r="A9" s="17" t="s">
        <v>61</v>
      </c>
      <c r="D9" s="8"/>
      <c r="E9" s="21">
        <v>227.2625</v>
      </c>
    </row>
    <row r="10" spans="1:5" ht="12.75">
      <c r="A10" s="17"/>
      <c r="D10" s="8"/>
      <c r="E10" s="29"/>
    </row>
    <row r="11" spans="1:5" ht="12.75">
      <c r="A11" s="17"/>
      <c r="D11" s="8"/>
      <c r="E11" s="29"/>
    </row>
    <row r="13" spans="1:5" ht="12.75">
      <c r="A13" s="5" t="s">
        <v>9</v>
      </c>
      <c r="B13" s="6"/>
      <c r="C13" s="6"/>
      <c r="D13" s="30"/>
      <c r="E13" s="8"/>
    </row>
    <row r="14" spans="1:5" ht="12.75">
      <c r="A14" s="28" t="s">
        <v>11</v>
      </c>
      <c r="B14" s="10"/>
      <c r="C14" s="10"/>
      <c r="D14" s="11"/>
      <c r="E14" s="8"/>
    </row>
    <row r="15" spans="1:5" ht="12.75">
      <c r="A15" s="12"/>
      <c r="B15" s="13"/>
      <c r="D15" s="8"/>
      <c r="E15" s="8"/>
    </row>
    <row r="16" spans="1:5" ht="12.75">
      <c r="A16" s="31" t="s">
        <v>10</v>
      </c>
      <c r="D16" s="17"/>
      <c r="E16" s="34">
        <v>404.5</v>
      </c>
    </row>
    <row r="17" spans="1:5" ht="12.75">
      <c r="A17" s="31"/>
      <c r="D17" s="8"/>
      <c r="E17" s="32"/>
    </row>
    <row r="18" spans="1:5" ht="12.75">
      <c r="A18" s="33"/>
      <c r="D18" s="8"/>
      <c r="E18" s="32"/>
    </row>
    <row r="19" spans="1:5" ht="12.75">
      <c r="A19" s="33"/>
      <c r="D19" s="8"/>
      <c r="E19" s="32"/>
    </row>
    <row r="20" spans="1:5" ht="12.75">
      <c r="A20" s="33"/>
      <c r="D20" s="8"/>
      <c r="E20" s="32"/>
    </row>
    <row r="21" spans="1:5" ht="12.75">
      <c r="A21" s="33"/>
      <c r="D21" s="8"/>
      <c r="E21" s="32"/>
    </row>
    <row r="22" spans="1:5" ht="12.75">
      <c r="A22" s="33"/>
      <c r="D22" s="8"/>
      <c r="E22" s="32"/>
    </row>
    <row r="23" spans="1:5" ht="12.75">
      <c r="A23" s="33"/>
      <c r="D23" s="8"/>
      <c r="E23" s="32"/>
    </row>
    <row r="24" spans="1:5" ht="12.75">
      <c r="A24" s="33"/>
      <c r="D24" s="8"/>
      <c r="E24" s="32"/>
    </row>
    <row r="25" spans="1:5" ht="12.75">
      <c r="A25" s="33"/>
      <c r="D25" s="8"/>
      <c r="E25" s="32"/>
    </row>
    <row r="26" spans="1:5" ht="12.75">
      <c r="A26" s="33"/>
      <c r="D26" s="8"/>
      <c r="E26" s="32"/>
    </row>
    <row r="27" spans="1:5" ht="12.75">
      <c r="A27" s="33"/>
      <c r="D27" s="8"/>
      <c r="E27" s="32"/>
    </row>
    <row r="28" spans="1:5" ht="12.75">
      <c r="A28" s="33"/>
      <c r="D28" s="8"/>
      <c r="E28" s="32"/>
    </row>
    <row r="29" spans="1:5" ht="12.75">
      <c r="A29" s="33"/>
      <c r="D29" s="8"/>
      <c r="E29" s="32"/>
    </row>
    <row r="30" spans="1:5" ht="12.75">
      <c r="A30" s="33"/>
      <c r="D30" s="8"/>
      <c r="E30" s="32"/>
    </row>
    <row r="31" spans="1:5" ht="12.75">
      <c r="A31" s="33"/>
      <c r="D31" s="8"/>
      <c r="E31" s="32"/>
    </row>
    <row r="32" spans="1:5" ht="12.75">
      <c r="A32" s="33"/>
      <c r="D32" s="8"/>
      <c r="E32" s="32"/>
    </row>
    <row r="33" spans="1:5" ht="12.75">
      <c r="A33" s="33"/>
      <c r="D33" s="8"/>
      <c r="E33" s="32"/>
    </row>
    <row r="34" spans="1:5" ht="12.75">
      <c r="A34" s="33"/>
      <c r="D34" s="8"/>
      <c r="E34" s="32"/>
    </row>
    <row r="35" spans="1:5" ht="12.75">
      <c r="A35" s="33"/>
      <c r="D35" s="8"/>
      <c r="E35" s="32"/>
    </row>
    <row r="36" spans="1:5" ht="12.75">
      <c r="A36" s="33"/>
      <c r="D36" s="8"/>
      <c r="E36" s="32"/>
    </row>
    <row r="37" spans="1:5" ht="12.75">
      <c r="A37" s="33"/>
      <c r="D37" s="8"/>
      <c r="E37" s="32"/>
    </row>
    <row r="38" spans="1:5" ht="12.75">
      <c r="A38" s="33"/>
      <c r="D38" s="8"/>
      <c r="E38" s="32"/>
    </row>
    <row r="39" spans="1:5" ht="12.75">
      <c r="A39" s="33"/>
      <c r="D39" s="8"/>
      <c r="E39" s="32"/>
    </row>
    <row r="40" spans="1:5" ht="12.75">
      <c r="A40" s="33"/>
      <c r="D40" s="8"/>
      <c r="E40" s="32"/>
    </row>
    <row r="41" spans="1:5" ht="12.75">
      <c r="A41" s="33"/>
      <c r="D41" s="8"/>
      <c r="E41" s="32"/>
    </row>
    <row r="42" spans="1:5" ht="12.75">
      <c r="A42" s="33"/>
      <c r="D42" s="8"/>
      <c r="E42" s="32"/>
    </row>
    <row r="43" spans="1:5" ht="12.75">
      <c r="A43" s="33"/>
      <c r="D43" s="8"/>
      <c r="E43" s="32"/>
    </row>
    <row r="44" spans="1:5" ht="12.75">
      <c r="A44" s="33"/>
      <c r="D44" s="8"/>
      <c r="E44" s="32"/>
    </row>
    <row r="45" spans="1:5" ht="12.75">
      <c r="A45" s="33"/>
      <c r="D45" s="8"/>
      <c r="E45" s="32"/>
    </row>
    <row r="46" spans="1:5" ht="12.75">
      <c r="A46" s="33"/>
      <c r="D46" s="8"/>
      <c r="E46" s="32"/>
    </row>
    <row r="47" spans="1:5" ht="12.75">
      <c r="A47" s="33"/>
      <c r="D47" s="8"/>
      <c r="E47" s="32"/>
    </row>
    <row r="48" spans="1:5" ht="12.75">
      <c r="A48" s="33"/>
      <c r="D48" s="8"/>
      <c r="E48" s="32"/>
    </row>
    <row r="49" spans="1:5" ht="12.75">
      <c r="A49" s="33"/>
      <c r="D49" s="8"/>
      <c r="E49" s="32"/>
    </row>
    <row r="50" spans="1:5" ht="12.75">
      <c r="A50" s="33"/>
      <c r="D50" s="8"/>
      <c r="E50" s="32"/>
    </row>
    <row r="51" spans="1:5" ht="12.75">
      <c r="A51" s="33"/>
      <c r="D51" s="8"/>
      <c r="E51" s="32"/>
    </row>
    <row r="52" spans="1:5" ht="12.75">
      <c r="A52" s="33"/>
      <c r="D52" s="8"/>
      <c r="E52" s="32"/>
    </row>
    <row r="53" spans="1:5" ht="12.75">
      <c r="A53" s="33"/>
      <c r="D53" s="8"/>
      <c r="E53" s="32"/>
    </row>
    <row r="54" spans="1:5" ht="12.75">
      <c r="A54" s="33"/>
      <c r="D54" s="8"/>
      <c r="E54" s="32"/>
    </row>
    <row r="55" spans="1:5" ht="12.75">
      <c r="A55" s="33"/>
      <c r="D55" s="8"/>
      <c r="E55" s="32"/>
    </row>
    <row r="56" spans="1:5" ht="12.75">
      <c r="A56" s="33"/>
      <c r="D56" s="8"/>
      <c r="E56" s="32"/>
    </row>
    <row r="57" spans="1:5" ht="12.75">
      <c r="A57" s="33"/>
      <c r="D57" s="8"/>
      <c r="E57" s="32"/>
    </row>
    <row r="58" spans="1:5" ht="12.75">
      <c r="A58" s="33"/>
      <c r="D58" s="8"/>
      <c r="E58" s="32"/>
    </row>
    <row r="59" spans="1:5" ht="12.75">
      <c r="A59" s="33"/>
      <c r="D59" s="8"/>
      <c r="E59" s="32"/>
    </row>
    <row r="60" spans="1:5" ht="12.75">
      <c r="A60" s="33"/>
      <c r="D60" s="8"/>
      <c r="E60" s="32"/>
    </row>
    <row r="61" spans="1:5" ht="12.75">
      <c r="A61" s="33"/>
      <c r="D61" s="8"/>
      <c r="E61" s="32"/>
    </row>
    <row r="62" spans="1:5" ht="12.75">
      <c r="A62" s="33"/>
      <c r="D62" s="8"/>
      <c r="E62" s="32"/>
    </row>
    <row r="63" spans="1:5" ht="12.75">
      <c r="A63" s="33"/>
      <c r="D63" s="8"/>
      <c r="E63" s="32"/>
    </row>
    <row r="64" spans="1:5" ht="12.75">
      <c r="A64" s="33"/>
      <c r="D64" s="8"/>
      <c r="E64" s="32"/>
    </row>
    <row r="65" spans="1:5" ht="12.75">
      <c r="A65" s="33"/>
      <c r="D65" s="8"/>
      <c r="E65" s="32"/>
    </row>
    <row r="66" spans="1:5" ht="12.75">
      <c r="A66" s="33"/>
      <c r="D66" s="8"/>
      <c r="E66" s="32"/>
    </row>
    <row r="67" spans="1:5" ht="12.75">
      <c r="A67" s="33"/>
      <c r="D67" s="8"/>
      <c r="E67" s="32"/>
    </row>
    <row r="68" spans="1:5" ht="12.75">
      <c r="A68" s="33"/>
      <c r="D68" s="8"/>
      <c r="E68" s="32"/>
    </row>
    <row r="69" spans="1:5" ht="12.75">
      <c r="A69" s="33"/>
      <c r="D69" s="8"/>
      <c r="E69" s="32"/>
    </row>
    <row r="70" spans="1:5" ht="12.75">
      <c r="A70" s="33"/>
      <c r="D70" s="8"/>
      <c r="E70" s="32"/>
    </row>
    <row r="71" spans="1:5" ht="12.75">
      <c r="A71" s="33"/>
      <c r="D71" s="8"/>
      <c r="E71" s="32"/>
    </row>
    <row r="72" spans="1:5" ht="12.75">
      <c r="A72" s="33"/>
      <c r="D72" s="8"/>
      <c r="E72" s="32"/>
    </row>
    <row r="73" spans="1:5" ht="12.75">
      <c r="A73" s="33"/>
      <c r="D73" s="8"/>
      <c r="E73" s="32"/>
    </row>
    <row r="74" spans="1:5" ht="12.75">
      <c r="A74" s="33"/>
      <c r="D74" s="8"/>
      <c r="E74" s="32"/>
    </row>
    <row r="75" spans="1:5" ht="12.75">
      <c r="A75" s="33"/>
      <c r="D75" s="8"/>
      <c r="E75" s="32"/>
    </row>
    <row r="76" spans="1:5" ht="12.75">
      <c r="A76" s="33"/>
      <c r="D76" s="8"/>
      <c r="E76" s="32"/>
    </row>
    <row r="77" spans="1:5" ht="12.75">
      <c r="A77" s="33"/>
      <c r="D77" s="8"/>
      <c r="E77" s="32"/>
    </row>
    <row r="78" spans="1:5" ht="12.75">
      <c r="A78" s="33"/>
      <c r="D78" s="8"/>
      <c r="E78" s="32"/>
    </row>
    <row r="79" spans="1:5" ht="12.75">
      <c r="A79" s="33"/>
      <c r="D79" s="8"/>
      <c r="E79" s="32"/>
    </row>
    <row r="80" spans="1:5" ht="12.75">
      <c r="A80" s="33"/>
      <c r="D80" s="8"/>
      <c r="E80" s="32"/>
    </row>
    <row r="81" spans="1:5" ht="12.75">
      <c r="A81" s="33"/>
      <c r="D81" s="8"/>
      <c r="E81" s="32"/>
    </row>
    <row r="82" spans="1:5" ht="12.75">
      <c r="A82" s="33"/>
      <c r="D82" s="8"/>
      <c r="E82" s="32"/>
    </row>
    <row r="83" spans="1:5" ht="12.75">
      <c r="A83" s="33"/>
      <c r="D83" s="8"/>
      <c r="E83" s="32"/>
    </row>
    <row r="84" spans="1:5" ht="12.75">
      <c r="A84" s="33"/>
      <c r="D84" s="8"/>
      <c r="E84" s="32"/>
    </row>
    <row r="85" spans="1:5" ht="12.75">
      <c r="A85" s="33"/>
      <c r="D85" s="8"/>
      <c r="E85" s="32"/>
    </row>
    <row r="86" spans="1:5" ht="12.75">
      <c r="A86" s="33"/>
      <c r="D86" s="8"/>
      <c r="E86" s="32"/>
    </row>
    <row r="87" spans="1:5" ht="12.75">
      <c r="A87" s="33"/>
      <c r="D87" s="8"/>
      <c r="E87" s="32"/>
    </row>
    <row r="88" spans="1:5" ht="12.75">
      <c r="A88" s="33"/>
      <c r="D88" s="8"/>
      <c r="E88" s="32"/>
    </row>
    <row r="89" spans="1:5" ht="12.75">
      <c r="A89" s="33"/>
      <c r="D89" s="8"/>
      <c r="E89" s="32"/>
    </row>
    <row r="90" spans="1:5" ht="12.75">
      <c r="A90" s="33"/>
      <c r="D90" s="8"/>
      <c r="E90" s="32"/>
    </row>
    <row r="91" spans="1:5" ht="12.75">
      <c r="A91" s="33"/>
      <c r="D91" s="8"/>
      <c r="E91" s="32"/>
    </row>
    <row r="92" spans="1:5" ht="12.75">
      <c r="A92" s="33"/>
      <c r="D92" s="8"/>
      <c r="E92" s="32"/>
    </row>
    <row r="93" spans="1:5" ht="12.75">
      <c r="A93" s="33"/>
      <c r="D93" s="8"/>
      <c r="E93" s="32"/>
    </row>
    <row r="94" spans="1:5" ht="12.75">
      <c r="A94" s="33"/>
      <c r="D94" s="8"/>
      <c r="E94" s="32"/>
    </row>
    <row r="95" spans="1:5" ht="12.75">
      <c r="A95" s="33"/>
      <c r="D95" s="8"/>
      <c r="E95" s="32"/>
    </row>
    <row r="96" spans="1:5" ht="12.75">
      <c r="A96" s="33"/>
      <c r="D96" s="8"/>
      <c r="E96" s="32"/>
    </row>
    <row r="97" spans="1:5" ht="12.75">
      <c r="A97" s="33"/>
      <c r="D97" s="8"/>
      <c r="E97" s="32"/>
    </row>
    <row r="98" spans="1:5" ht="12.75">
      <c r="A98" s="33"/>
      <c r="D98" s="8"/>
      <c r="E98" s="32"/>
    </row>
    <row r="99" spans="1:5" ht="12.75">
      <c r="A99" s="33"/>
      <c r="D99" s="8"/>
      <c r="E99" s="32"/>
    </row>
    <row r="100" spans="1:5" ht="12.75">
      <c r="A100" s="33"/>
      <c r="D100" s="8"/>
      <c r="E100" s="32"/>
    </row>
    <row r="101" spans="1:5" ht="12.75">
      <c r="A101" s="33"/>
      <c r="D101" s="8"/>
      <c r="E101" s="32"/>
    </row>
    <row r="102" spans="1:5" ht="12.75">
      <c r="A102" s="33"/>
      <c r="D102" s="8"/>
      <c r="E102" s="32"/>
    </row>
    <row r="103" spans="1:5" ht="12.75">
      <c r="A103" s="33"/>
      <c r="D103" s="8"/>
      <c r="E103" s="32"/>
    </row>
    <row r="104" spans="1:5" ht="12.75">
      <c r="A104" s="33"/>
      <c r="D104" s="8"/>
      <c r="E104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selection activeCell="B12" sqref="B12"/>
    </sheetView>
  </sheetViews>
  <sheetFormatPr defaultColWidth="9.140625" defaultRowHeight="12.75"/>
  <cols>
    <col min="1" max="2" width="8.8515625" style="2" customWidth="1"/>
    <col min="3" max="3" width="6.7109375" style="2" customWidth="1"/>
    <col min="4" max="28" width="5.7109375" style="2" customWidth="1"/>
    <col min="29" max="16384" width="8.8515625" style="2" customWidth="1"/>
  </cols>
  <sheetData>
    <row r="1" ht="23.25">
      <c r="A1" s="1" t="str">
        <f>Conversions!A1</f>
        <v>Coal Mine Methane Option Evaluation</v>
      </c>
    </row>
    <row r="2" ht="15.75">
      <c r="A2" s="3" t="s">
        <v>81</v>
      </c>
    </row>
    <row r="3" ht="12.75"/>
    <row r="4" ht="12.75"/>
    <row r="5" spans="1:3" ht="12.75">
      <c r="A5" s="4" t="s">
        <v>0</v>
      </c>
      <c r="C5" s="2" t="s">
        <v>5</v>
      </c>
    </row>
    <row r="6" ht="12.75"/>
    <row r="7" ht="12.75"/>
    <row r="8" ht="12.75"/>
    <row r="9" ht="12.75"/>
    <row r="10" ht="12.75"/>
    <row r="11" spans="1:7" ht="12.75">
      <c r="A11" s="5" t="s">
        <v>1</v>
      </c>
      <c r="B11" s="7" t="s">
        <v>85</v>
      </c>
      <c r="C11" s="8"/>
      <c r="D11" s="8"/>
      <c r="E11" s="8"/>
      <c r="F11" s="8"/>
      <c r="G11" s="23"/>
    </row>
    <row r="12" spans="1:7" ht="12.75">
      <c r="A12" s="5" t="s">
        <v>2</v>
      </c>
      <c r="B12" s="9" t="str">
        <f>'[1]stuff'!$B$6</f>
        <v>2005</v>
      </c>
      <c r="C12" s="8"/>
      <c r="D12" s="8"/>
      <c r="E12" s="8"/>
      <c r="F12" s="8"/>
      <c r="G12" s="8"/>
    </row>
    <row r="13" spans="1:7" ht="12.75">
      <c r="A13" s="5" t="s">
        <v>4</v>
      </c>
      <c r="B13" s="11"/>
      <c r="C13" s="8"/>
      <c r="D13" s="8"/>
      <c r="E13" s="8"/>
      <c r="F13" s="8"/>
      <c r="G13" s="8"/>
    </row>
    <row r="14" spans="3:7" ht="12.75">
      <c r="C14" s="8"/>
      <c r="D14" s="8"/>
      <c r="E14" s="8"/>
      <c r="F14" s="8"/>
      <c r="G14" s="8"/>
    </row>
    <row r="15" spans="1:28" ht="12.75">
      <c r="A15" s="18"/>
      <c r="C15" s="14">
        <v>2000</v>
      </c>
      <c r="D15" s="14">
        <f aca="true" t="shared" si="0" ref="D15:AB15">1+C15</f>
        <v>2001</v>
      </c>
      <c r="E15" s="14">
        <f t="shared" si="0"/>
        <v>2002</v>
      </c>
      <c r="F15" s="14">
        <f t="shared" si="0"/>
        <v>2003</v>
      </c>
      <c r="G15" s="14">
        <f t="shared" si="0"/>
        <v>2004</v>
      </c>
      <c r="H15" s="14">
        <f t="shared" si="0"/>
        <v>2005</v>
      </c>
      <c r="I15" s="14">
        <f t="shared" si="0"/>
        <v>2006</v>
      </c>
      <c r="J15" s="14">
        <f t="shared" si="0"/>
        <v>2007</v>
      </c>
      <c r="K15" s="14">
        <f t="shared" si="0"/>
        <v>2008</v>
      </c>
      <c r="L15" s="14">
        <f t="shared" si="0"/>
        <v>2009</v>
      </c>
      <c r="M15" s="14">
        <f t="shared" si="0"/>
        <v>2010</v>
      </c>
      <c r="N15" s="14">
        <f t="shared" si="0"/>
        <v>2011</v>
      </c>
      <c r="O15" s="14">
        <f t="shared" si="0"/>
        <v>2012</v>
      </c>
      <c r="P15" s="14">
        <f t="shared" si="0"/>
        <v>2013</v>
      </c>
      <c r="Q15" s="14">
        <f t="shared" si="0"/>
        <v>2014</v>
      </c>
      <c r="R15" s="14">
        <f t="shared" si="0"/>
        <v>2015</v>
      </c>
      <c r="S15" s="14">
        <f t="shared" si="0"/>
        <v>2016</v>
      </c>
      <c r="T15" s="14">
        <f t="shared" si="0"/>
        <v>2017</v>
      </c>
      <c r="U15" s="14">
        <f t="shared" si="0"/>
        <v>2018</v>
      </c>
      <c r="V15" s="14">
        <f t="shared" si="0"/>
        <v>2019</v>
      </c>
      <c r="W15" s="14">
        <f t="shared" si="0"/>
        <v>2020</v>
      </c>
      <c r="X15" s="14">
        <f t="shared" si="0"/>
        <v>2021</v>
      </c>
      <c r="Y15" s="14">
        <f t="shared" si="0"/>
        <v>2022</v>
      </c>
      <c r="Z15" s="14">
        <f t="shared" si="0"/>
        <v>2023</v>
      </c>
      <c r="AA15" s="14">
        <f t="shared" si="0"/>
        <v>2024</v>
      </c>
      <c r="AB15" s="14">
        <f t="shared" si="0"/>
        <v>2025</v>
      </c>
    </row>
    <row r="16" spans="1:7" ht="12.75">
      <c r="A16" s="19" t="s">
        <v>13</v>
      </c>
      <c r="C16" s="8"/>
      <c r="D16" s="8"/>
      <c r="E16" s="8"/>
      <c r="F16" s="8"/>
      <c r="G16" s="8"/>
    </row>
    <row r="17" spans="1:10" ht="12.75">
      <c r="A17" s="15" t="s">
        <v>14</v>
      </c>
      <c r="C17" s="24">
        <v>50.26583</v>
      </c>
      <c r="D17" s="24">
        <v>45</v>
      </c>
      <c r="E17" s="24">
        <v>47.5</v>
      </c>
      <c r="F17" s="24">
        <v>44</v>
      </c>
      <c r="G17" s="24">
        <v>43</v>
      </c>
      <c r="H17" s="24">
        <v>43.5</v>
      </c>
      <c r="I17" s="24">
        <v>43</v>
      </c>
      <c r="J17" s="24">
        <v>43</v>
      </c>
    </row>
    <row r="18" spans="1:10" ht="12.75">
      <c r="A18" s="15" t="s">
        <v>15</v>
      </c>
      <c r="C18" s="24">
        <v>24</v>
      </c>
      <c r="D18" s="24">
        <f>14+15.5</f>
        <v>29.5</v>
      </c>
      <c r="E18" s="24">
        <f>8+13</f>
        <v>21</v>
      </c>
      <c r="F18" s="24">
        <f>10+13.5</f>
        <v>23.5</v>
      </c>
      <c r="G18" s="24">
        <f>14+12.5</f>
        <v>26.5</v>
      </c>
      <c r="H18" s="24">
        <f>12+13</f>
        <v>25</v>
      </c>
      <c r="I18" s="24">
        <f>11+12</f>
        <v>23</v>
      </c>
      <c r="J18" s="24">
        <f>11+12</f>
        <v>23</v>
      </c>
    </row>
    <row r="19" spans="1:10" ht="12.75">
      <c r="A19" s="15" t="s">
        <v>3</v>
      </c>
      <c r="C19" s="24">
        <f>SUM(C17:C18)</f>
        <v>74.26583</v>
      </c>
      <c r="D19" s="24">
        <f aca="true" t="shared" si="1" ref="D19:J19">SUM(D17:D18)</f>
        <v>74.5</v>
      </c>
      <c r="E19" s="24">
        <f t="shared" si="1"/>
        <v>68.5</v>
      </c>
      <c r="F19" s="24">
        <f t="shared" si="1"/>
        <v>67.5</v>
      </c>
      <c r="G19" s="24">
        <f t="shared" si="1"/>
        <v>69.5</v>
      </c>
      <c r="H19" s="24">
        <f t="shared" si="1"/>
        <v>68.5</v>
      </c>
      <c r="I19" s="24">
        <f t="shared" si="1"/>
        <v>66</v>
      </c>
      <c r="J19" s="24">
        <f t="shared" si="1"/>
        <v>66</v>
      </c>
    </row>
    <row r="20" spans="1:10" ht="12.75">
      <c r="A20" s="36" t="s">
        <v>16</v>
      </c>
      <c r="C20" s="37">
        <f>C17/C19</f>
        <v>0.6768365747746979</v>
      </c>
      <c r="D20" s="37">
        <f aca="true" t="shared" si="2" ref="D20:J20">D17/D19</f>
        <v>0.6040268456375839</v>
      </c>
      <c r="E20" s="37">
        <f t="shared" si="2"/>
        <v>0.6934306569343066</v>
      </c>
      <c r="F20" s="37">
        <f t="shared" si="2"/>
        <v>0.6518518518518519</v>
      </c>
      <c r="G20" s="37">
        <f t="shared" si="2"/>
        <v>0.6187050359712231</v>
      </c>
      <c r="H20" s="37">
        <f t="shared" si="2"/>
        <v>0.635036496350365</v>
      </c>
      <c r="I20" s="37">
        <f t="shared" si="2"/>
        <v>0.6515151515151515</v>
      </c>
      <c r="J20" s="37">
        <f t="shared" si="2"/>
        <v>0.6515151515151515</v>
      </c>
    </row>
    <row r="22" ht="12.75">
      <c r="A22" s="19" t="s">
        <v>19</v>
      </c>
    </row>
    <row r="23" spans="1:10" ht="12.75">
      <c r="A23" s="15" t="s">
        <v>14</v>
      </c>
      <c r="C23" s="24">
        <f>C17*Conversions!$E$8/1000</f>
        <v>20.126438332</v>
      </c>
      <c r="D23" s="24">
        <f>D17*Conversions!$E$8/1000</f>
        <v>18.018</v>
      </c>
      <c r="E23" s="24">
        <f>E17*Conversions!$E$8/1000</f>
        <v>19.019</v>
      </c>
      <c r="F23" s="24">
        <f>F17*Conversions!$E$8/1000</f>
        <v>17.6176</v>
      </c>
      <c r="G23" s="24">
        <f>G17*Conversions!$E$8/1000</f>
        <v>17.217200000000002</v>
      </c>
      <c r="H23" s="24">
        <f>H17*Conversions!$E$8/1000</f>
        <v>17.417399999999997</v>
      </c>
      <c r="I23" s="24">
        <f>I17*Conversions!$E$8/1000</f>
        <v>17.217200000000002</v>
      </c>
      <c r="J23" s="24">
        <f>J17*Conversions!$E$8/1000</f>
        <v>17.217200000000002</v>
      </c>
    </row>
    <row r="24" spans="1:10" ht="12.75">
      <c r="A24" s="15" t="s">
        <v>15</v>
      </c>
      <c r="C24" s="24">
        <f>C18*Conversions!$E$9/1000</f>
        <v>5.454299999999999</v>
      </c>
      <c r="D24" s="24">
        <f>D18*Conversions!$E$9/1000</f>
        <v>6.70424375</v>
      </c>
      <c r="E24" s="24">
        <f>E18*Conversions!$E$9/1000</f>
        <v>4.7725124999999995</v>
      </c>
      <c r="F24" s="24">
        <f>F18*Conversions!$E$9/1000</f>
        <v>5.34066875</v>
      </c>
      <c r="G24" s="24">
        <f>G18*Conversions!$E$9/1000</f>
        <v>6.022456249999999</v>
      </c>
      <c r="H24" s="24">
        <f>H18*Conversions!$E$9/1000</f>
        <v>5.6815625</v>
      </c>
      <c r="I24" s="24">
        <f>I18*Conversions!$E$9/1000</f>
        <v>5.2270375</v>
      </c>
      <c r="J24" s="24">
        <f>J18*Conversions!$E$9/1000</f>
        <v>5.2270375</v>
      </c>
    </row>
    <row r="25" spans="1:10" ht="12.75">
      <c r="A25" s="15" t="s">
        <v>3</v>
      </c>
      <c r="C25" s="24">
        <f>SUM(C23:C24)</f>
        <v>25.580738332</v>
      </c>
      <c r="D25" s="24">
        <f aca="true" t="shared" si="3" ref="D25:J25">SUM(D23:D24)</f>
        <v>24.72224375</v>
      </c>
      <c r="E25" s="24">
        <f t="shared" si="3"/>
        <v>23.791512499999996</v>
      </c>
      <c r="F25" s="24">
        <f t="shared" si="3"/>
        <v>22.95826875</v>
      </c>
      <c r="G25" s="24">
        <f t="shared" si="3"/>
        <v>23.239656250000003</v>
      </c>
      <c r="H25" s="24">
        <f t="shared" si="3"/>
        <v>23.0989625</v>
      </c>
      <c r="I25" s="24">
        <f t="shared" si="3"/>
        <v>22.4442375</v>
      </c>
      <c r="J25" s="24">
        <f t="shared" si="3"/>
        <v>22.4442375</v>
      </c>
    </row>
    <row r="26" spans="1:10" ht="12.75">
      <c r="A26" s="36" t="s">
        <v>16</v>
      </c>
      <c r="C26" s="37">
        <f>C23/C25</f>
        <v>0.7867809783591355</v>
      </c>
      <c r="D26" s="37">
        <f aca="true" t="shared" si="4" ref="D26:J26">D23/D25</f>
        <v>0.7288173428837744</v>
      </c>
      <c r="E26" s="37">
        <f t="shared" si="4"/>
        <v>0.7994027281787991</v>
      </c>
      <c r="F26" s="37">
        <f t="shared" si="4"/>
        <v>0.7673749354467332</v>
      </c>
      <c r="G26" s="37">
        <f t="shared" si="4"/>
        <v>0.7408543316986455</v>
      </c>
      <c r="H26" s="37">
        <f t="shared" si="4"/>
        <v>0.7540338662396633</v>
      </c>
      <c r="I26" s="37">
        <f t="shared" si="4"/>
        <v>0.7671100432794833</v>
      </c>
      <c r="J26" s="37">
        <f t="shared" si="4"/>
        <v>0.7671100432794833</v>
      </c>
    </row>
    <row r="28" ht="12.75">
      <c r="A28" s="19" t="s">
        <v>12</v>
      </c>
    </row>
    <row r="29" spans="1:10" ht="12.75">
      <c r="A29" s="15" t="s">
        <v>14</v>
      </c>
      <c r="C29" s="35">
        <f>C23*Conversions!$E$16/1000</f>
        <v>8.141144305293999</v>
      </c>
      <c r="D29" s="35">
        <f>D23*Conversions!$E$16/1000</f>
        <v>7.288281</v>
      </c>
      <c r="E29" s="35">
        <f>E23*Conversions!$E$16/1000</f>
        <v>7.693185499999999</v>
      </c>
      <c r="F29" s="35">
        <f>F23*Conversions!$E$16/1000</f>
        <v>7.1263192</v>
      </c>
      <c r="G29" s="35">
        <f>G23*Conversions!$E$16/1000</f>
        <v>6.964357400000001</v>
      </c>
      <c r="H29" s="35">
        <f>H23*Conversions!$E$16/1000</f>
        <v>7.045338299999998</v>
      </c>
      <c r="I29" s="35">
        <f>I23*Conversions!$E$16/1000</f>
        <v>6.964357400000001</v>
      </c>
      <c r="J29" s="35">
        <f>J23*Conversions!$E$16/1000</f>
        <v>6.964357400000001</v>
      </c>
    </row>
    <row r="30" spans="1:10" ht="12.75">
      <c r="A30" s="15" t="s">
        <v>15</v>
      </c>
      <c r="C30" s="35">
        <f>C24*Conversions!$E$16/1000</f>
        <v>2.2062643499999997</v>
      </c>
      <c r="D30" s="35">
        <f>D24*Conversions!$E$16/1000</f>
        <v>2.711866596875</v>
      </c>
      <c r="E30" s="35">
        <f>E24*Conversions!$E$16/1000</f>
        <v>1.9304813062499997</v>
      </c>
      <c r="F30" s="35">
        <f>F24*Conversions!$E$16/1000</f>
        <v>2.160300509375</v>
      </c>
      <c r="G30" s="35">
        <f>G24*Conversions!$E$16/1000</f>
        <v>2.436083553125</v>
      </c>
      <c r="H30" s="35">
        <f>H24*Conversions!$E$16/1000</f>
        <v>2.29819203125</v>
      </c>
      <c r="I30" s="35">
        <f>I24*Conversions!$E$16/1000</f>
        <v>2.1143366687499996</v>
      </c>
      <c r="J30" s="35">
        <f>J24*Conversions!$E$16/1000</f>
        <v>2.1143366687499996</v>
      </c>
    </row>
    <row r="31" spans="1:10" ht="12.75">
      <c r="A31" s="15" t="s">
        <v>3</v>
      </c>
      <c r="C31" s="35">
        <f>SUM(C29:C30)</f>
        <v>10.347408655293998</v>
      </c>
      <c r="D31" s="35">
        <f aca="true" t="shared" si="5" ref="D31:J31">SUM(D29:D30)</f>
        <v>10.000147596875</v>
      </c>
      <c r="E31" s="35">
        <f t="shared" si="5"/>
        <v>9.623666806249998</v>
      </c>
      <c r="F31" s="35">
        <f t="shared" si="5"/>
        <v>9.286619709375</v>
      </c>
      <c r="G31" s="35">
        <f t="shared" si="5"/>
        <v>9.400440953125</v>
      </c>
      <c r="H31" s="35">
        <f t="shared" si="5"/>
        <v>9.343530331249998</v>
      </c>
      <c r="I31" s="35">
        <f t="shared" si="5"/>
        <v>9.07869406875</v>
      </c>
      <c r="J31" s="35">
        <f t="shared" si="5"/>
        <v>9.07869406875</v>
      </c>
    </row>
    <row r="32" spans="1:10" ht="12.75">
      <c r="A32" s="36" t="s">
        <v>16</v>
      </c>
      <c r="C32" s="37">
        <f>C29/C31</f>
        <v>0.7867809783591355</v>
      </c>
      <c r="D32" s="37">
        <f aca="true" t="shared" si="6" ref="D32:J32">D29/D31</f>
        <v>0.7288173428837744</v>
      </c>
      <c r="E32" s="37">
        <f t="shared" si="6"/>
        <v>0.7994027281787991</v>
      </c>
      <c r="F32" s="37">
        <f t="shared" si="6"/>
        <v>0.7673749354467332</v>
      </c>
      <c r="G32" s="37">
        <f t="shared" si="6"/>
        <v>0.7408543316986456</v>
      </c>
      <c r="H32" s="37">
        <f t="shared" si="6"/>
        <v>0.7540338662396634</v>
      </c>
      <c r="I32" s="37">
        <f t="shared" si="6"/>
        <v>0.7671100432794833</v>
      </c>
      <c r="J32" s="37">
        <f t="shared" si="6"/>
        <v>0.7671100432794833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8"/>
  <sheetViews>
    <sheetView workbookViewId="0" topLeftCell="A58">
      <selection activeCell="A2" sqref="A2"/>
    </sheetView>
  </sheetViews>
  <sheetFormatPr defaultColWidth="9.140625" defaultRowHeight="12.75"/>
  <cols>
    <col min="1" max="1" width="27.28125" style="2" customWidth="1"/>
    <col min="2" max="2" width="8.8515625" style="2" customWidth="1"/>
    <col min="3" max="27" width="6.28125" style="2" customWidth="1"/>
    <col min="28" max="28" width="6.7109375" style="2" customWidth="1"/>
    <col min="29" max="29" width="17.57421875" style="2" customWidth="1"/>
    <col min="30" max="16384" width="8.8515625" style="2" customWidth="1"/>
  </cols>
  <sheetData>
    <row r="1" ht="23.25">
      <c r="A1" s="1" t="str">
        <f>Conversions!A1</f>
        <v>Coal Mine Methane Option Evaluation</v>
      </c>
    </row>
    <row r="2" ht="15.75">
      <c r="A2" s="3" t="s">
        <v>39</v>
      </c>
    </row>
    <row r="5" ht="12.75">
      <c r="A5" s="4" t="s">
        <v>0</v>
      </c>
    </row>
    <row r="6" ht="12.75">
      <c r="A6" s="62" t="s">
        <v>42</v>
      </c>
    </row>
    <row r="7" ht="12.75">
      <c r="A7" s="2" t="s">
        <v>43</v>
      </c>
    </row>
    <row r="8" ht="12.75">
      <c r="A8" s="2" t="s">
        <v>44</v>
      </c>
    </row>
    <row r="9" ht="12.75">
      <c r="A9" s="2" t="s">
        <v>45</v>
      </c>
    </row>
    <row r="13" ht="13.5" thickBot="1">
      <c r="A13" s="45" t="s">
        <v>23</v>
      </c>
    </row>
    <row r="14" spans="1:4" ht="13.5" thickBot="1">
      <c r="A14" s="45"/>
      <c r="B14" s="61">
        <v>2010</v>
      </c>
      <c r="C14" s="45"/>
      <c r="D14" s="45"/>
    </row>
    <row r="15" spans="1:5" ht="12.75">
      <c r="A15" s="45"/>
      <c r="B15" s="45"/>
      <c r="C15" s="45"/>
      <c r="D15" s="45"/>
      <c r="E15" s="45"/>
    </row>
    <row r="16" spans="1:5" ht="13.5" thickBot="1">
      <c r="A16" s="45" t="s">
        <v>60</v>
      </c>
      <c r="B16" s="62"/>
      <c r="C16" s="45"/>
      <c r="D16" s="45"/>
      <c r="E16" s="45"/>
    </row>
    <row r="17" spans="1:5" ht="13.5" thickBot="1">
      <c r="A17" s="69" t="s">
        <v>14</v>
      </c>
      <c r="B17" s="65">
        <v>0.8488166</v>
      </c>
      <c r="C17" s="45"/>
      <c r="D17" s="45"/>
      <c r="E17" s="45"/>
    </row>
    <row r="18" spans="1:5" ht="13.5" thickBot="1">
      <c r="A18" s="69" t="s">
        <v>15</v>
      </c>
      <c r="B18" s="65">
        <f>B17</f>
        <v>0.8488166</v>
      </c>
      <c r="C18" s="45"/>
      <c r="D18" s="45"/>
      <c r="E18" s="45"/>
    </row>
    <row r="19" spans="1:5" ht="12.75">
      <c r="A19" s="45"/>
      <c r="B19" s="45"/>
      <c r="C19" s="45"/>
      <c r="D19" s="45"/>
      <c r="E19" s="45"/>
    </row>
    <row r="20" spans="1:4" ht="13.5" thickBot="1">
      <c r="A20" s="45" t="s">
        <v>36</v>
      </c>
      <c r="B20" s="62"/>
      <c r="C20" s="45"/>
      <c r="D20" s="45"/>
    </row>
    <row r="21" spans="1:4" ht="13.5" thickBot="1">
      <c r="A21" s="44" t="s">
        <v>37</v>
      </c>
      <c r="B21" s="65">
        <v>0.1</v>
      </c>
      <c r="C21" s="45" t="s">
        <v>79</v>
      </c>
      <c r="D21" s="45"/>
    </row>
    <row r="22" spans="1:4" ht="13.5" thickBot="1">
      <c r="A22" s="44" t="s">
        <v>38</v>
      </c>
      <c r="B22" s="65">
        <v>0.2041932</v>
      </c>
      <c r="C22" s="45" t="s">
        <v>79</v>
      </c>
      <c r="D22" s="45"/>
    </row>
    <row r="23" spans="1:4" ht="12.75">
      <c r="A23" s="44"/>
      <c r="B23" s="44"/>
      <c r="C23" s="44"/>
      <c r="D23" s="44"/>
    </row>
    <row r="24" spans="1:2" ht="13.5" thickBot="1">
      <c r="A24" s="45" t="s">
        <v>27</v>
      </c>
      <c r="B24" s="62"/>
    </row>
    <row r="25" spans="1:10" ht="13.5" thickBot="1">
      <c r="A25" s="44" t="s">
        <v>28</v>
      </c>
      <c r="B25" s="61">
        <v>8.092018</v>
      </c>
      <c r="I25" s="53"/>
      <c r="J25" s="57"/>
    </row>
    <row r="26" spans="1:2" ht="13.5" thickBot="1">
      <c r="A26" s="44" t="s">
        <v>29</v>
      </c>
      <c r="B26" s="61">
        <v>7.372008</v>
      </c>
    </row>
    <row r="27" spans="1:2" ht="12.75">
      <c r="A27" s="19"/>
      <c r="B27" s="44"/>
    </row>
    <row r="28" ht="13.5" thickBot="1">
      <c r="A28" s="45" t="s">
        <v>34</v>
      </c>
    </row>
    <row r="29" spans="1:7" ht="13.5" thickBot="1">
      <c r="A29" s="44" t="s">
        <v>28</v>
      </c>
      <c r="B29" s="60">
        <v>-0.218</v>
      </c>
      <c r="F29" s="38"/>
      <c r="G29" s="38"/>
    </row>
    <row r="30" spans="1:2" ht="13.5" thickBot="1">
      <c r="A30" s="44" t="s">
        <v>29</v>
      </c>
      <c r="B30" s="60">
        <v>-0.2876</v>
      </c>
    </row>
    <row r="33" spans="3:28" ht="12.75">
      <c r="C33" s="14">
        <v>2000</v>
      </c>
      <c r="D33" s="14">
        <f aca="true" t="shared" si="0" ref="D33:AB33">1+C33</f>
        <v>2001</v>
      </c>
      <c r="E33" s="14">
        <f t="shared" si="0"/>
        <v>2002</v>
      </c>
      <c r="F33" s="14">
        <f t="shared" si="0"/>
        <v>2003</v>
      </c>
      <c r="G33" s="14">
        <f t="shared" si="0"/>
        <v>2004</v>
      </c>
      <c r="H33" s="14">
        <f t="shared" si="0"/>
        <v>2005</v>
      </c>
      <c r="I33" s="14">
        <f t="shared" si="0"/>
        <v>2006</v>
      </c>
      <c r="J33" s="14">
        <f t="shared" si="0"/>
        <v>2007</v>
      </c>
      <c r="K33" s="14">
        <f t="shared" si="0"/>
        <v>2008</v>
      </c>
      <c r="L33" s="14">
        <f t="shared" si="0"/>
        <v>2009</v>
      </c>
      <c r="M33" s="14">
        <f t="shared" si="0"/>
        <v>2010</v>
      </c>
      <c r="N33" s="14">
        <f t="shared" si="0"/>
        <v>2011</v>
      </c>
      <c r="O33" s="14">
        <f t="shared" si="0"/>
        <v>2012</v>
      </c>
      <c r="P33" s="14">
        <f t="shared" si="0"/>
        <v>2013</v>
      </c>
      <c r="Q33" s="14">
        <f t="shared" si="0"/>
        <v>2014</v>
      </c>
      <c r="R33" s="14">
        <f t="shared" si="0"/>
        <v>2015</v>
      </c>
      <c r="S33" s="14">
        <f t="shared" si="0"/>
        <v>2016</v>
      </c>
      <c r="T33" s="14">
        <f t="shared" si="0"/>
        <v>2017</v>
      </c>
      <c r="U33" s="14">
        <f t="shared" si="0"/>
        <v>2018</v>
      </c>
      <c r="V33" s="14">
        <f t="shared" si="0"/>
        <v>2019</v>
      </c>
      <c r="W33" s="14">
        <f t="shared" si="0"/>
        <v>2020</v>
      </c>
      <c r="X33" s="14">
        <f t="shared" si="0"/>
        <v>2021</v>
      </c>
      <c r="Y33" s="14">
        <f t="shared" si="0"/>
        <v>2022</v>
      </c>
      <c r="Z33" s="14">
        <f t="shared" si="0"/>
        <v>2023</v>
      </c>
      <c r="AA33" s="14">
        <f t="shared" si="0"/>
        <v>2024</v>
      </c>
      <c r="AB33" s="14">
        <f t="shared" si="0"/>
        <v>2025</v>
      </c>
    </row>
    <row r="34" spans="1:7" ht="12.75">
      <c r="A34" s="19" t="s">
        <v>59</v>
      </c>
      <c r="D34" s="8"/>
      <c r="E34" s="8"/>
      <c r="F34" s="8"/>
      <c r="G34" s="23"/>
    </row>
    <row r="35" spans="1:28" ht="12.75">
      <c r="A35" s="15" t="s">
        <v>14</v>
      </c>
      <c r="C35" s="42">
        <f>'Historical Production'!C17/'Historical Production'!$C17</f>
        <v>1</v>
      </c>
      <c r="D35" s="42">
        <f>'Historical Production'!D17/'Historical Production'!$C17</f>
        <v>0.895240365075042</v>
      </c>
      <c r="E35" s="42">
        <f>'Historical Production'!E17/'Historical Production'!$C17</f>
        <v>0.9449759409125443</v>
      </c>
      <c r="F35" s="42">
        <f>'Historical Production'!F17/'Historical Production'!$C17</f>
        <v>0.8753461347400411</v>
      </c>
      <c r="G35" s="42">
        <f>'Historical Production'!G17/'Historical Production'!$C17</f>
        <v>0.8554519044050402</v>
      </c>
      <c r="H35" s="42">
        <f>'Historical Production'!H17/'Historical Production'!$C17</f>
        <v>0.8653990195725406</v>
      </c>
      <c r="I35" s="42">
        <f>'Historical Production'!I17/'Historical Production'!$C17</f>
        <v>0.8554519044050402</v>
      </c>
      <c r="J35" s="42">
        <f>'Historical Production'!J17/'Historical Production'!$C17</f>
        <v>0.8554519044050402</v>
      </c>
      <c r="K35" s="68">
        <f>($AB35-$J35)/18+J37</f>
        <v>0.8883307913470787</v>
      </c>
      <c r="L35" s="68">
        <f aca="true" t="shared" si="1" ref="L35:AA35">($AB35-$J37)/18+K35</f>
        <v>0.8861150791598797</v>
      </c>
      <c r="M35" s="68">
        <f t="shared" si="1"/>
        <v>0.8838993669726808</v>
      </c>
      <c r="N35" s="68">
        <f t="shared" si="1"/>
        <v>0.8816836547854818</v>
      </c>
      <c r="O35" s="68">
        <f t="shared" si="1"/>
        <v>0.8794679425982829</v>
      </c>
      <c r="P35" s="68">
        <f t="shared" si="1"/>
        <v>0.8772522304110839</v>
      </c>
      <c r="Q35" s="68">
        <f t="shared" si="1"/>
        <v>0.875036518223885</v>
      </c>
      <c r="R35" s="68">
        <f t="shared" si="1"/>
        <v>0.872820806036686</v>
      </c>
      <c r="S35" s="68">
        <f t="shared" si="1"/>
        <v>0.870605093849487</v>
      </c>
      <c r="T35" s="68">
        <f t="shared" si="1"/>
        <v>0.8683893816622881</v>
      </c>
      <c r="U35" s="68">
        <f t="shared" si="1"/>
        <v>0.8661736694750891</v>
      </c>
      <c r="V35" s="68">
        <f t="shared" si="1"/>
        <v>0.8639579572878902</v>
      </c>
      <c r="W35" s="68">
        <f t="shared" si="1"/>
        <v>0.8617422451006912</v>
      </c>
      <c r="X35" s="68">
        <f t="shared" si="1"/>
        <v>0.8595265329134922</v>
      </c>
      <c r="Y35" s="68">
        <f t="shared" si="1"/>
        <v>0.8573108207262933</v>
      </c>
      <c r="Z35" s="68">
        <f t="shared" si="1"/>
        <v>0.8550951085390943</v>
      </c>
      <c r="AA35" s="68">
        <f t="shared" si="1"/>
        <v>0.8528793963518954</v>
      </c>
      <c r="AB35" s="42">
        <f>B17</f>
        <v>0.8488166</v>
      </c>
    </row>
    <row r="36" spans="1:28" ht="12.75">
      <c r="A36" s="15" t="s">
        <v>15</v>
      </c>
      <c r="C36" s="42">
        <f>'Historical Production'!C18/'Historical Production'!$C18</f>
        <v>1</v>
      </c>
      <c r="D36" s="42">
        <f>'Historical Production'!D18/'Historical Production'!$C18</f>
        <v>1.2291666666666667</v>
      </c>
      <c r="E36" s="42">
        <f>'Historical Production'!E18/'Historical Production'!$C18</f>
        <v>0.875</v>
      </c>
      <c r="F36" s="42">
        <f>'Historical Production'!F18/'Historical Production'!$C18</f>
        <v>0.9791666666666666</v>
      </c>
      <c r="G36" s="42">
        <f>'Historical Production'!G18/'Historical Production'!$C18</f>
        <v>1.1041666666666667</v>
      </c>
      <c r="H36" s="42">
        <f>'Historical Production'!H18/'Historical Production'!$C18</f>
        <v>1.0416666666666667</v>
      </c>
      <c r="I36" s="42">
        <f>'Historical Production'!I18/'Historical Production'!$C18</f>
        <v>0.9583333333333334</v>
      </c>
      <c r="J36" s="42">
        <f>'Historical Production'!J18/'Historical Production'!$C18</f>
        <v>0.9583333333333334</v>
      </c>
      <c r="K36" s="68">
        <f>($AB36-$J36)/18+J36</f>
        <v>0.9522490703703704</v>
      </c>
      <c r="L36" s="68">
        <f aca="true" t="shared" si="2" ref="L36:AA36">($AB36-$J36)/18+K36</f>
        <v>0.9461648074074075</v>
      </c>
      <c r="M36" s="68">
        <f t="shared" si="2"/>
        <v>0.9400805444444446</v>
      </c>
      <c r="N36" s="68">
        <f t="shared" si="2"/>
        <v>0.9339962814814816</v>
      </c>
      <c r="O36" s="68">
        <f t="shared" si="2"/>
        <v>0.9279120185185187</v>
      </c>
      <c r="P36" s="68">
        <f t="shared" si="2"/>
        <v>0.9218277555555557</v>
      </c>
      <c r="Q36" s="68">
        <f t="shared" si="2"/>
        <v>0.9157434925925928</v>
      </c>
      <c r="R36" s="68">
        <f t="shared" si="2"/>
        <v>0.9096592296296299</v>
      </c>
      <c r="S36" s="68">
        <f t="shared" si="2"/>
        <v>0.9035749666666669</v>
      </c>
      <c r="T36" s="68">
        <f t="shared" si="2"/>
        <v>0.897490703703704</v>
      </c>
      <c r="U36" s="68">
        <f t="shared" si="2"/>
        <v>0.891406440740741</v>
      </c>
      <c r="V36" s="68">
        <f t="shared" si="2"/>
        <v>0.8853221777777781</v>
      </c>
      <c r="W36" s="68">
        <f t="shared" si="2"/>
        <v>0.8792379148148152</v>
      </c>
      <c r="X36" s="68">
        <f t="shared" si="2"/>
        <v>0.8731536518518522</v>
      </c>
      <c r="Y36" s="68">
        <f t="shared" si="2"/>
        <v>0.8670693888888893</v>
      </c>
      <c r="Z36" s="68">
        <f t="shared" si="2"/>
        <v>0.8609851259259264</v>
      </c>
      <c r="AA36" s="68">
        <f t="shared" si="2"/>
        <v>0.8549008629629634</v>
      </c>
      <c r="AB36" s="42">
        <f>B18</f>
        <v>0.8488166</v>
      </c>
    </row>
    <row r="37" spans="1:28" ht="12.75">
      <c r="A37" s="15" t="s">
        <v>3</v>
      </c>
      <c r="C37" s="42">
        <f>'Historical Production'!C19/'Historical Production'!$C19</f>
        <v>1</v>
      </c>
      <c r="D37" s="42">
        <f>'Historical Production'!D19/'Historical Production'!$C19</f>
        <v>1.0031531324702088</v>
      </c>
      <c r="E37" s="42">
        <f>'Historical Production'!E19/'Historical Production'!$C19</f>
        <v>0.9223622761638832</v>
      </c>
      <c r="F37" s="42">
        <f>'Historical Production'!F19/'Historical Production'!$C19</f>
        <v>0.9088971334461623</v>
      </c>
      <c r="G37" s="42">
        <f>'Historical Production'!G19/'Historical Production'!$C19</f>
        <v>0.9358274188816041</v>
      </c>
      <c r="H37" s="42">
        <f>'Historical Production'!H19/'Historical Production'!$C19</f>
        <v>0.9223622761638832</v>
      </c>
      <c r="I37" s="42">
        <f>'Historical Production'!I19/'Historical Production'!$C19</f>
        <v>0.888699419369581</v>
      </c>
      <c r="J37" s="42">
        <f>'Historical Production'!J19/'Historical Production'!$C19</f>
        <v>0.888699419369581</v>
      </c>
      <c r="K37" s="42">
        <f>K42/$C42</f>
        <v>0.9089868413307524</v>
      </c>
      <c r="L37" s="42">
        <f aca="true" t="shared" si="3" ref="L37:AB37">L42/$C42</f>
        <v>0.9055209550241994</v>
      </c>
      <c r="M37" s="42">
        <f t="shared" si="3"/>
        <v>0.9020550687176467</v>
      </c>
      <c r="N37" s="42">
        <f t="shared" si="3"/>
        <v>0.8985891824110936</v>
      </c>
      <c r="O37" s="42">
        <f t="shared" si="3"/>
        <v>0.8951232961045409</v>
      </c>
      <c r="P37" s="42">
        <f t="shared" si="3"/>
        <v>0.891657409797988</v>
      </c>
      <c r="Q37" s="42">
        <f t="shared" si="3"/>
        <v>0.8881915234914352</v>
      </c>
      <c r="R37" s="42">
        <f t="shared" si="3"/>
        <v>0.8847256371848824</v>
      </c>
      <c r="S37" s="42">
        <f t="shared" si="3"/>
        <v>0.8812597508783295</v>
      </c>
      <c r="T37" s="42">
        <f t="shared" si="3"/>
        <v>0.8777938645717767</v>
      </c>
      <c r="U37" s="42">
        <f t="shared" si="3"/>
        <v>0.8743279782652239</v>
      </c>
      <c r="V37" s="42">
        <f t="shared" si="3"/>
        <v>0.8708620919586708</v>
      </c>
      <c r="W37" s="42">
        <f t="shared" si="3"/>
        <v>0.8673962056521182</v>
      </c>
      <c r="X37" s="42">
        <f t="shared" si="3"/>
        <v>0.8639303193455654</v>
      </c>
      <c r="Y37" s="42">
        <f t="shared" si="3"/>
        <v>0.8604644330390124</v>
      </c>
      <c r="Z37" s="42">
        <f t="shared" si="3"/>
        <v>0.8569985467324597</v>
      </c>
      <c r="AA37" s="42">
        <f t="shared" si="3"/>
        <v>0.8535326604259068</v>
      </c>
      <c r="AB37" s="42">
        <f t="shared" si="3"/>
        <v>0.8488166000000001</v>
      </c>
    </row>
    <row r="38" spans="3:28" ht="12.75">
      <c r="C38" s="40"/>
      <c r="D38" s="40"/>
      <c r="E38" s="40"/>
      <c r="F38" s="40"/>
      <c r="G38" s="40"/>
      <c r="H38" s="40"/>
      <c r="I38" s="40"/>
      <c r="J38" s="40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22"/>
    </row>
    <row r="39" spans="1:7" ht="12.75">
      <c r="A39" s="19" t="s">
        <v>13</v>
      </c>
      <c r="C39" s="8"/>
      <c r="D39" s="8"/>
      <c r="E39" s="8"/>
      <c r="F39" s="8"/>
      <c r="G39" s="8"/>
    </row>
    <row r="40" spans="1:28" ht="12.75">
      <c r="A40" s="15" t="s">
        <v>14</v>
      </c>
      <c r="C40" s="24">
        <f>'Historical Production'!$C17*C35</f>
        <v>50.26583</v>
      </c>
      <c r="D40" s="24">
        <f>'Historical Production'!$C17*D35</f>
        <v>45</v>
      </c>
      <c r="E40" s="24">
        <f>'Historical Production'!$C17*E35</f>
        <v>47.5</v>
      </c>
      <c r="F40" s="24">
        <f>'Historical Production'!$C17*F35</f>
        <v>44</v>
      </c>
      <c r="G40" s="24">
        <f>'Historical Production'!$C17*G35</f>
        <v>43</v>
      </c>
      <c r="H40" s="24">
        <f>'Historical Production'!$C17*H35</f>
        <v>43.5</v>
      </c>
      <c r="I40" s="24">
        <f>'Historical Production'!$C17*I35</f>
        <v>43</v>
      </c>
      <c r="J40" s="24">
        <f>'Historical Production'!$C17*J35</f>
        <v>43</v>
      </c>
      <c r="K40" s="24">
        <f>'Historical Production'!$C17*K35</f>
        <v>44.65268454161773</v>
      </c>
      <c r="L40" s="24">
        <f>'Historical Production'!$C17*L35</f>
        <v>44.541309929487056</v>
      </c>
      <c r="M40" s="24">
        <f>'Historical Production'!$C17*M35</f>
        <v>44.42993531735639</v>
      </c>
      <c r="N40" s="24">
        <f>'Historical Production'!$C17*N35</f>
        <v>44.318560705225714</v>
      </c>
      <c r="O40" s="24">
        <f>'Historical Production'!$C17*O35</f>
        <v>44.207186093095046</v>
      </c>
      <c r="P40" s="24">
        <f>'Historical Production'!$C17*P35</f>
        <v>44.09581148096437</v>
      </c>
      <c r="Q40" s="24">
        <f>'Historical Production'!$C17*Q35</f>
        <v>43.984436868833704</v>
      </c>
      <c r="R40" s="24">
        <f>'Historical Production'!$C17*R35</f>
        <v>43.87306225670303</v>
      </c>
      <c r="S40" s="24">
        <f>'Historical Production'!$C17*S35</f>
        <v>43.76168764457236</v>
      </c>
      <c r="T40" s="24">
        <f>'Historical Production'!$C17*T35</f>
        <v>43.65031303244169</v>
      </c>
      <c r="U40" s="24">
        <f>'Historical Production'!$C17*U35</f>
        <v>43.53893842031102</v>
      </c>
      <c r="V40" s="24">
        <f>'Historical Production'!$C17*V35</f>
        <v>43.427563808180345</v>
      </c>
      <c r="W40" s="24">
        <f>'Historical Production'!$C17*W35</f>
        <v>43.31618919604968</v>
      </c>
      <c r="X40" s="24">
        <f>'Historical Production'!$C17*X35</f>
        <v>43.20481458391901</v>
      </c>
      <c r="Y40" s="24">
        <f>'Historical Production'!$C17*Y35</f>
        <v>43.093439971788335</v>
      </c>
      <c r="Z40" s="24">
        <f>'Historical Production'!$C17*Z35</f>
        <v>42.98206535965767</v>
      </c>
      <c r="AA40" s="24">
        <f>'Historical Production'!$C17*AA35</f>
        <v>42.87069074752699</v>
      </c>
      <c r="AB40" s="24">
        <f>'Historical Production'!$C17*AB35</f>
        <v>42.666470916778</v>
      </c>
    </row>
    <row r="41" spans="1:28" ht="12.75">
      <c r="A41" s="15" t="s">
        <v>15</v>
      </c>
      <c r="C41" s="24">
        <f>'Historical Production'!$C18*C36</f>
        <v>24</v>
      </c>
      <c r="D41" s="24">
        <f>'Historical Production'!$C18*D36</f>
        <v>29.5</v>
      </c>
      <c r="E41" s="24">
        <f>'Historical Production'!$C18*E36</f>
        <v>21</v>
      </c>
      <c r="F41" s="24">
        <f>'Historical Production'!$C18*F36</f>
        <v>23.5</v>
      </c>
      <c r="G41" s="24">
        <f>'Historical Production'!$C18*G36</f>
        <v>26.5</v>
      </c>
      <c r="H41" s="24">
        <f>'Historical Production'!$C18*H36</f>
        <v>25</v>
      </c>
      <c r="I41" s="24">
        <f>'Historical Production'!$C18*I36</f>
        <v>23</v>
      </c>
      <c r="J41" s="24">
        <f>'Historical Production'!$C18*J36</f>
        <v>23</v>
      </c>
      <c r="K41" s="24">
        <f>'Historical Production'!$C18*K36</f>
        <v>22.85397768888889</v>
      </c>
      <c r="L41" s="24">
        <f>'Historical Production'!$C18*L36</f>
        <v>22.70795537777778</v>
      </c>
      <c r="M41" s="24">
        <f>'Historical Production'!$C18*M36</f>
        <v>22.56193306666667</v>
      </c>
      <c r="N41" s="24">
        <f>'Historical Production'!$C18*N36</f>
        <v>22.415910755555558</v>
      </c>
      <c r="O41" s="24">
        <f>'Historical Production'!$C18*O36</f>
        <v>22.269888444444447</v>
      </c>
      <c r="P41" s="24">
        <f>'Historical Production'!$C18*P36</f>
        <v>22.123866133333337</v>
      </c>
      <c r="Q41" s="24">
        <f>'Historical Production'!$C18*Q36</f>
        <v>21.977843822222226</v>
      </c>
      <c r="R41" s="24">
        <f>'Historical Production'!$C18*R36</f>
        <v>21.831821511111116</v>
      </c>
      <c r="S41" s="24">
        <f>'Historical Production'!$C18*S36</f>
        <v>21.685799200000005</v>
      </c>
      <c r="T41" s="24">
        <f>'Historical Production'!$C18*T36</f>
        <v>21.539776888888895</v>
      </c>
      <c r="U41" s="24">
        <f>'Historical Production'!$C18*U36</f>
        <v>21.393754577777784</v>
      </c>
      <c r="V41" s="24">
        <f>'Historical Production'!$C18*V36</f>
        <v>21.247732266666674</v>
      </c>
      <c r="W41" s="24">
        <f>'Historical Production'!$C18*W36</f>
        <v>21.101709955555563</v>
      </c>
      <c r="X41" s="24">
        <f>'Historical Production'!$C18*X36</f>
        <v>20.955687644444453</v>
      </c>
      <c r="Y41" s="24">
        <f>'Historical Production'!$C18*Y36</f>
        <v>20.809665333333342</v>
      </c>
      <c r="Z41" s="24">
        <f>'Historical Production'!$C18*Z36</f>
        <v>20.66364302222223</v>
      </c>
      <c r="AA41" s="24">
        <f>'Historical Production'!$C18*AA36</f>
        <v>20.51762071111112</v>
      </c>
      <c r="AB41" s="24">
        <f>'Historical Production'!$C18*AB36</f>
        <v>20.3715984</v>
      </c>
    </row>
    <row r="42" spans="1:28" ht="12.75">
      <c r="A42" s="15" t="s">
        <v>3</v>
      </c>
      <c r="C42" s="24">
        <f aca="true" t="shared" si="4" ref="C42:J42">SUM(C40:C41)</f>
        <v>74.26583</v>
      </c>
      <c r="D42" s="24">
        <f t="shared" si="4"/>
        <v>74.5</v>
      </c>
      <c r="E42" s="24">
        <f t="shared" si="4"/>
        <v>68.5</v>
      </c>
      <c r="F42" s="24">
        <f t="shared" si="4"/>
        <v>67.5</v>
      </c>
      <c r="G42" s="24">
        <f t="shared" si="4"/>
        <v>69.5</v>
      </c>
      <c r="H42" s="24">
        <f t="shared" si="4"/>
        <v>68.5</v>
      </c>
      <c r="I42" s="24">
        <f t="shared" si="4"/>
        <v>66</v>
      </c>
      <c r="J42" s="24">
        <f t="shared" si="4"/>
        <v>66</v>
      </c>
      <c r="K42" s="24">
        <f aca="true" t="shared" si="5" ref="K42:AB42">SUM(K40:K41)</f>
        <v>67.50666223050662</v>
      </c>
      <c r="L42" s="24">
        <f t="shared" si="5"/>
        <v>67.24926530726484</v>
      </c>
      <c r="M42" s="24">
        <f t="shared" si="5"/>
        <v>66.99186838402306</v>
      </c>
      <c r="N42" s="24">
        <f t="shared" si="5"/>
        <v>66.73447146078126</v>
      </c>
      <c r="O42" s="24">
        <f t="shared" si="5"/>
        <v>66.4770745375395</v>
      </c>
      <c r="P42" s="24">
        <f t="shared" si="5"/>
        <v>66.21967761429771</v>
      </c>
      <c r="Q42" s="24">
        <f t="shared" si="5"/>
        <v>65.96228069105592</v>
      </c>
      <c r="R42" s="24">
        <f t="shared" si="5"/>
        <v>65.70488376781415</v>
      </c>
      <c r="S42" s="24">
        <f t="shared" si="5"/>
        <v>65.44748684457237</v>
      </c>
      <c r="T42" s="24">
        <f t="shared" si="5"/>
        <v>65.19008992133058</v>
      </c>
      <c r="U42" s="24">
        <f t="shared" si="5"/>
        <v>64.93269299808881</v>
      </c>
      <c r="V42" s="24">
        <f t="shared" si="5"/>
        <v>64.67529607484701</v>
      </c>
      <c r="W42" s="24">
        <f t="shared" si="5"/>
        <v>64.41789915160524</v>
      </c>
      <c r="X42" s="24">
        <f t="shared" si="5"/>
        <v>64.16050222836347</v>
      </c>
      <c r="Y42" s="24">
        <f t="shared" si="5"/>
        <v>63.90310530512168</v>
      </c>
      <c r="Z42" s="24">
        <f t="shared" si="5"/>
        <v>63.6457083818799</v>
      </c>
      <c r="AA42" s="24">
        <f t="shared" si="5"/>
        <v>63.388311458638114</v>
      </c>
      <c r="AB42" s="24">
        <f t="shared" si="5"/>
        <v>63.03806931677801</v>
      </c>
    </row>
    <row r="43" spans="1:28" ht="12.75">
      <c r="A43" s="36" t="s">
        <v>16</v>
      </c>
      <c r="C43" s="37">
        <f aca="true" t="shared" si="6" ref="C43:J43">C40/C42</f>
        <v>0.6768365747746979</v>
      </c>
      <c r="D43" s="37">
        <f t="shared" si="6"/>
        <v>0.6040268456375839</v>
      </c>
      <c r="E43" s="37">
        <f t="shared" si="6"/>
        <v>0.6934306569343066</v>
      </c>
      <c r="F43" s="37">
        <f t="shared" si="6"/>
        <v>0.6518518518518519</v>
      </c>
      <c r="G43" s="37">
        <f t="shared" si="6"/>
        <v>0.6187050359712231</v>
      </c>
      <c r="H43" s="37">
        <f t="shared" si="6"/>
        <v>0.635036496350365</v>
      </c>
      <c r="I43" s="37">
        <f t="shared" si="6"/>
        <v>0.6515151515151515</v>
      </c>
      <c r="J43" s="37">
        <f t="shared" si="6"/>
        <v>0.6515151515151515</v>
      </c>
      <c r="K43" s="37">
        <f aca="true" t="shared" si="7" ref="K43:AB43">K40/K42</f>
        <v>0.6614559669554947</v>
      </c>
      <c r="L43" s="37">
        <f t="shared" si="7"/>
        <v>0.6623315470581851</v>
      </c>
      <c r="M43" s="37">
        <f t="shared" si="7"/>
        <v>0.6632138554886539</v>
      </c>
      <c r="N43" s="37">
        <f t="shared" si="7"/>
        <v>0.6641029701010068</v>
      </c>
      <c r="O43" s="37">
        <f t="shared" si="7"/>
        <v>0.6649989699551433</v>
      </c>
      <c r="P43" s="37">
        <f t="shared" si="7"/>
        <v>0.665901935340191</v>
      </c>
      <c r="Q43" s="37">
        <f t="shared" si="7"/>
        <v>0.6668119477984896</v>
      </c>
      <c r="R43" s="37">
        <f t="shared" si="7"/>
        <v>0.6677290901501367</v>
      </c>
      <c r="S43" s="37">
        <f t="shared" si="7"/>
        <v>0.6686534465181159</v>
      </c>
      <c r="T43" s="37">
        <f t="shared" si="7"/>
        <v>0.6695851023540167</v>
      </c>
      <c r="U43" s="37">
        <f t="shared" si="7"/>
        <v>0.6705241444643689</v>
      </c>
      <c r="V43" s="37">
        <f t="shared" si="7"/>
        <v>0.671470661037605</v>
      </c>
      <c r="W43" s="37">
        <f t="shared" si="7"/>
        <v>0.6724247416716674</v>
      </c>
      <c r="X43" s="37">
        <f t="shared" si="7"/>
        <v>0.6733864774022831</v>
      </c>
      <c r="Y43" s="37">
        <f t="shared" si="7"/>
        <v>0.6743559607319193</v>
      </c>
      <c r="Z43" s="37">
        <f t="shared" si="7"/>
        <v>0.6753332856594424</v>
      </c>
      <c r="AA43" s="37">
        <f t="shared" si="7"/>
        <v>0.6763185477105003</v>
      </c>
      <c r="AB43" s="37">
        <f t="shared" si="7"/>
        <v>0.6768365747746978</v>
      </c>
    </row>
    <row r="45" ht="12.75">
      <c r="A45" s="19" t="s">
        <v>54</v>
      </c>
    </row>
    <row r="46" spans="1:28" ht="12.75">
      <c r="A46" s="15" t="s">
        <v>14</v>
      </c>
      <c r="C46" s="24">
        <f>C40*Conversions!$E$8/1000</f>
        <v>20.126438332</v>
      </c>
      <c r="D46" s="24">
        <f>D40*Conversions!$E$8/1000</f>
        <v>18.018</v>
      </c>
      <c r="E46" s="24">
        <f>E40*Conversions!$E$8/1000</f>
        <v>19.019</v>
      </c>
      <c r="F46" s="24">
        <f>F40*Conversions!$E$8/1000</f>
        <v>17.6176</v>
      </c>
      <c r="G46" s="24">
        <f>G40*Conversions!$E$8/1000</f>
        <v>17.217200000000002</v>
      </c>
      <c r="H46" s="24">
        <f>H40*Conversions!$E$8/1000</f>
        <v>17.417399999999997</v>
      </c>
      <c r="I46" s="24">
        <f>I40*Conversions!$E$8/1000</f>
        <v>17.217200000000002</v>
      </c>
      <c r="J46" s="24">
        <f>J40*Conversions!$E$8/1000</f>
        <v>17.217200000000002</v>
      </c>
      <c r="K46" s="24">
        <f>K40*Conversions!$E$8/1000</f>
        <v>17.878934890463736</v>
      </c>
      <c r="L46" s="24">
        <f>L40*Conversions!$E$8/1000</f>
        <v>17.834340495766618</v>
      </c>
      <c r="M46" s="24">
        <f>M40*Conversions!$E$8/1000</f>
        <v>17.789746101069497</v>
      </c>
      <c r="N46" s="24">
        <f>N40*Conversions!$E$8/1000</f>
        <v>17.745151706372372</v>
      </c>
      <c r="O46" s="24">
        <f>O40*Conversions!$E$8/1000</f>
        <v>17.700557311675258</v>
      </c>
      <c r="P46" s="24">
        <f>P40*Conversions!$E$8/1000</f>
        <v>17.655962916978133</v>
      </c>
      <c r="Q46" s="24">
        <f>Q40*Conversions!$E$8/1000</f>
        <v>17.611368522281012</v>
      </c>
      <c r="R46" s="24">
        <f>R40*Conversions!$E$8/1000</f>
        <v>17.566774127583894</v>
      </c>
      <c r="S46" s="24">
        <f>S40*Conversions!$E$8/1000</f>
        <v>17.522179732886773</v>
      </c>
      <c r="T46" s="24">
        <f>T40*Conversions!$E$8/1000</f>
        <v>17.47758533818965</v>
      </c>
      <c r="U46" s="24">
        <f>U40*Conversions!$E$8/1000</f>
        <v>17.43299094349253</v>
      </c>
      <c r="V46" s="24">
        <f>V40*Conversions!$E$8/1000</f>
        <v>17.38839654879541</v>
      </c>
      <c r="W46" s="24">
        <f>W40*Conversions!$E$8/1000</f>
        <v>17.343802154098288</v>
      </c>
      <c r="X46" s="24">
        <f>X40*Conversions!$E$8/1000</f>
        <v>17.29920775940117</v>
      </c>
      <c r="Y46" s="24">
        <f>Y40*Conversions!$E$8/1000</f>
        <v>17.25461336470405</v>
      </c>
      <c r="Z46" s="24">
        <f>Z40*Conversions!$E$8/1000</f>
        <v>17.210018970006928</v>
      </c>
      <c r="AA46" s="24">
        <f>AA40*Conversions!$E$8/1000</f>
        <v>17.165424575309807</v>
      </c>
      <c r="AB46" s="24">
        <f>AB40*Conversions!$E$8/1000</f>
        <v>17.08365495507791</v>
      </c>
    </row>
    <row r="47" spans="1:28" ht="12.75">
      <c r="A47" s="15" t="s">
        <v>15</v>
      </c>
      <c r="C47" s="24">
        <f>C41*Conversions!$E$9/1000</f>
        <v>5.454299999999999</v>
      </c>
      <c r="D47" s="24">
        <f>D41*Conversions!$E$9/1000</f>
        <v>6.70424375</v>
      </c>
      <c r="E47" s="24">
        <f>E41*Conversions!$E$9/1000</f>
        <v>4.7725124999999995</v>
      </c>
      <c r="F47" s="24">
        <f>F41*Conversions!$E$9/1000</f>
        <v>5.34066875</v>
      </c>
      <c r="G47" s="24">
        <f>G41*Conversions!$E$9/1000</f>
        <v>6.022456249999999</v>
      </c>
      <c r="H47" s="24">
        <f>H41*Conversions!$E$9/1000</f>
        <v>5.6815625</v>
      </c>
      <c r="I47" s="24">
        <f>I41*Conversions!$E$9/1000</f>
        <v>5.2270375</v>
      </c>
      <c r="J47" s="24">
        <f>J41*Conversions!$E$9/1000</f>
        <v>5.2270375</v>
      </c>
      <c r="K47" s="24">
        <f>K41*Conversions!$E$9/1000</f>
        <v>5.193852104521111</v>
      </c>
      <c r="L47" s="24">
        <f>L41*Conversions!$E$9/1000</f>
        <v>5.160666709042222</v>
      </c>
      <c r="M47" s="24">
        <f>M41*Conversions!$E$9/1000</f>
        <v>5.127481313563333</v>
      </c>
      <c r="N47" s="24">
        <f>N41*Conversions!$E$9/1000</f>
        <v>5.094295918084445</v>
      </c>
      <c r="O47" s="24">
        <f>O41*Conversions!$E$9/1000</f>
        <v>5.061110522605556</v>
      </c>
      <c r="P47" s="24">
        <f>P41*Conversions!$E$9/1000</f>
        <v>5.027925127126667</v>
      </c>
      <c r="Q47" s="24">
        <f>Q41*Conversions!$E$9/1000</f>
        <v>4.994739731647778</v>
      </c>
      <c r="R47" s="24">
        <f>R41*Conversions!$E$9/1000</f>
        <v>4.96155433616889</v>
      </c>
      <c r="S47" s="24">
        <f>S41*Conversions!$E$9/1000</f>
        <v>4.928368940690001</v>
      </c>
      <c r="T47" s="24">
        <f>T41*Conversions!$E$9/1000</f>
        <v>4.895183545211112</v>
      </c>
      <c r="U47" s="24">
        <f>U41*Conversions!$E$9/1000</f>
        <v>4.861998149732223</v>
      </c>
      <c r="V47" s="24">
        <f>V41*Conversions!$E$9/1000</f>
        <v>4.828812754253335</v>
      </c>
      <c r="W47" s="24">
        <f>W41*Conversions!$E$9/1000</f>
        <v>4.795627358774446</v>
      </c>
      <c r="X47" s="24">
        <f>X41*Conversions!$E$9/1000</f>
        <v>4.762441963295557</v>
      </c>
      <c r="Y47" s="24">
        <f>Y41*Conversions!$E$9/1000</f>
        <v>4.729256567816669</v>
      </c>
      <c r="Z47" s="24">
        <f>Z41*Conversions!$E$9/1000</f>
        <v>4.6960711723377795</v>
      </c>
      <c r="AA47" s="24">
        <f>AA41*Conversions!$E$9/1000</f>
        <v>4.66288577685889</v>
      </c>
      <c r="AB47" s="24">
        <f>AB41*Conversions!$E$9/1000</f>
        <v>4.62970038138</v>
      </c>
    </row>
    <row r="48" spans="1:28" ht="12.75">
      <c r="A48" s="15" t="s">
        <v>3</v>
      </c>
      <c r="C48" s="24">
        <f>SUM(C46:C47)</f>
        <v>25.580738332</v>
      </c>
      <c r="D48" s="24">
        <f aca="true" t="shared" si="8" ref="D48:AB48">SUM(D46:D47)</f>
        <v>24.72224375</v>
      </c>
      <c r="E48" s="24">
        <f t="shared" si="8"/>
        <v>23.791512499999996</v>
      </c>
      <c r="F48" s="24">
        <f t="shared" si="8"/>
        <v>22.95826875</v>
      </c>
      <c r="G48" s="24">
        <f t="shared" si="8"/>
        <v>23.239656250000003</v>
      </c>
      <c r="H48" s="24">
        <f t="shared" si="8"/>
        <v>23.0989625</v>
      </c>
      <c r="I48" s="24">
        <f t="shared" si="8"/>
        <v>22.4442375</v>
      </c>
      <c r="J48" s="24">
        <f t="shared" si="8"/>
        <v>22.4442375</v>
      </c>
      <c r="K48" s="24">
        <f t="shared" si="8"/>
        <v>23.072786994984845</v>
      </c>
      <c r="L48" s="24">
        <f t="shared" si="8"/>
        <v>22.99500720480884</v>
      </c>
      <c r="M48" s="24">
        <f t="shared" si="8"/>
        <v>22.91722741463283</v>
      </c>
      <c r="N48" s="24">
        <f t="shared" si="8"/>
        <v>22.839447624456817</v>
      </c>
      <c r="O48" s="24">
        <f t="shared" si="8"/>
        <v>22.761667834280814</v>
      </c>
      <c r="P48" s="24">
        <f t="shared" si="8"/>
        <v>22.6838880441048</v>
      </c>
      <c r="Q48" s="24">
        <f t="shared" si="8"/>
        <v>22.606108253928788</v>
      </c>
      <c r="R48" s="24">
        <f t="shared" si="8"/>
        <v>22.528328463752786</v>
      </c>
      <c r="S48" s="24">
        <f t="shared" si="8"/>
        <v>22.450548673576776</v>
      </c>
      <c r="T48" s="24">
        <f t="shared" si="8"/>
        <v>22.372768883400763</v>
      </c>
      <c r="U48" s="24">
        <f t="shared" si="8"/>
        <v>22.294989093224753</v>
      </c>
      <c r="V48" s="24">
        <f t="shared" si="8"/>
        <v>22.217209303048744</v>
      </c>
      <c r="W48" s="24">
        <f t="shared" si="8"/>
        <v>22.139429512872734</v>
      </c>
      <c r="X48" s="24">
        <f t="shared" si="8"/>
        <v>22.06164972269673</v>
      </c>
      <c r="Y48" s="24">
        <f t="shared" si="8"/>
        <v>21.98386993252072</v>
      </c>
      <c r="Z48" s="24">
        <f t="shared" si="8"/>
        <v>21.90609014234471</v>
      </c>
      <c r="AA48" s="24">
        <f t="shared" si="8"/>
        <v>21.828310352168696</v>
      </c>
      <c r="AB48" s="24">
        <f t="shared" si="8"/>
        <v>21.713355336457912</v>
      </c>
    </row>
    <row r="49" spans="1:28" ht="12.75">
      <c r="A49" s="36" t="s">
        <v>16</v>
      </c>
      <c r="C49" s="37">
        <f>C46/C48</f>
        <v>0.7867809783591355</v>
      </c>
      <c r="D49" s="37">
        <f aca="true" t="shared" si="9" ref="D49:AB49">D46/D48</f>
        <v>0.7288173428837744</v>
      </c>
      <c r="E49" s="37">
        <f t="shared" si="9"/>
        <v>0.7994027281787991</v>
      </c>
      <c r="F49" s="37">
        <f t="shared" si="9"/>
        <v>0.7673749354467332</v>
      </c>
      <c r="G49" s="37">
        <f t="shared" si="9"/>
        <v>0.7408543316986455</v>
      </c>
      <c r="H49" s="37">
        <f t="shared" si="9"/>
        <v>0.7540338662396633</v>
      </c>
      <c r="I49" s="37">
        <f t="shared" si="9"/>
        <v>0.7671100432794833</v>
      </c>
      <c r="J49" s="37">
        <f t="shared" si="9"/>
        <v>0.7671100432794833</v>
      </c>
      <c r="K49" s="37">
        <f t="shared" si="9"/>
        <v>0.7748927294457294</v>
      </c>
      <c r="L49" s="37">
        <f t="shared" si="9"/>
        <v>0.7755744687062766</v>
      </c>
      <c r="M49" s="37">
        <f t="shared" si="9"/>
        <v>0.7762608355367894</v>
      </c>
      <c r="N49" s="37">
        <f t="shared" si="9"/>
        <v>0.7769518772148676</v>
      </c>
      <c r="O49" s="37">
        <f t="shared" si="9"/>
        <v>0.7776476416643275</v>
      </c>
      <c r="P49" s="37">
        <f t="shared" si="9"/>
        <v>0.7783481774662809</v>
      </c>
      <c r="Q49" s="37">
        <f t="shared" si="9"/>
        <v>0.779053533870443</v>
      </c>
      <c r="R49" s="37">
        <f t="shared" si="9"/>
        <v>0.7797637608066732</v>
      </c>
      <c r="S49" s="37">
        <f t="shared" si="9"/>
        <v>0.7804789088967586</v>
      </c>
      <c r="T49" s="37">
        <f t="shared" si="9"/>
        <v>0.7811990294664404</v>
      </c>
      <c r="U49" s="37">
        <f t="shared" si="9"/>
        <v>0.7819241745576928</v>
      </c>
      <c r="V49" s="37">
        <f t="shared" si="9"/>
        <v>0.7826543969412619</v>
      </c>
      <c r="W49" s="37">
        <f t="shared" si="9"/>
        <v>0.7833897501294657</v>
      </c>
      <c r="X49" s="37">
        <f t="shared" si="9"/>
        <v>0.7841302883892667</v>
      </c>
      <c r="Y49" s="37">
        <f t="shared" si="9"/>
        <v>0.7848760667556223</v>
      </c>
      <c r="Z49" s="37">
        <f t="shared" si="9"/>
        <v>0.7856271410451185</v>
      </c>
      <c r="AA49" s="37">
        <f t="shared" si="9"/>
        <v>0.786383567869896</v>
      </c>
      <c r="AB49" s="37">
        <f t="shared" si="9"/>
        <v>0.7867809783591354</v>
      </c>
    </row>
    <row r="51" ht="12.75">
      <c r="A51" s="19" t="s">
        <v>55</v>
      </c>
    </row>
    <row r="52" spans="1:28" ht="12.75">
      <c r="A52" s="15" t="s">
        <v>14</v>
      </c>
      <c r="C52" s="35">
        <f>C46*Conversions!$E$16/1000</f>
        <v>8.141144305293999</v>
      </c>
      <c r="D52" s="35">
        <f>D46*Conversions!$E$16/1000</f>
        <v>7.288281</v>
      </c>
      <c r="E52" s="35">
        <f>E46*Conversions!$E$16/1000</f>
        <v>7.693185499999999</v>
      </c>
      <c r="F52" s="35">
        <f>F46*Conversions!$E$16/1000</f>
        <v>7.1263192</v>
      </c>
      <c r="G52" s="35">
        <f>G46*Conversions!$E$16/1000</f>
        <v>6.964357400000001</v>
      </c>
      <c r="H52" s="35">
        <f>H46*Conversions!$E$16/1000</f>
        <v>7.045338299999998</v>
      </c>
      <c r="I52" s="35">
        <f>I46*Conversions!$E$16/1000</f>
        <v>6.964357400000001</v>
      </c>
      <c r="J52" s="35">
        <f>J46*Conversions!$E$16/1000</f>
        <v>6.964357400000001</v>
      </c>
      <c r="K52" s="35">
        <f>K46*Conversions!$E$16/1000</f>
        <v>7.232029163192581</v>
      </c>
      <c r="L52" s="35">
        <f>L46*Conversions!$E$16/1000</f>
        <v>7.213990730537597</v>
      </c>
      <c r="M52" s="35">
        <f>M46*Conversions!$E$16/1000</f>
        <v>7.195952297882612</v>
      </c>
      <c r="N52" s="35">
        <f>N46*Conversions!$E$16/1000</f>
        <v>7.177913865227624</v>
      </c>
      <c r="O52" s="35">
        <f>O46*Conversions!$E$16/1000</f>
        <v>7.159875432572642</v>
      </c>
      <c r="P52" s="35">
        <f>P46*Conversions!$E$16/1000</f>
        <v>7.141836999917655</v>
      </c>
      <c r="Q52" s="35">
        <f>Q46*Conversions!$E$16/1000</f>
        <v>7.12379856726267</v>
      </c>
      <c r="R52" s="35">
        <f>R46*Conversions!$E$16/1000</f>
        <v>7.105760134607685</v>
      </c>
      <c r="S52" s="35">
        <f>S46*Conversions!$E$16/1000</f>
        <v>7.0877217019527</v>
      </c>
      <c r="T52" s="35">
        <f>T46*Conversions!$E$16/1000</f>
        <v>7.069683269297714</v>
      </c>
      <c r="U52" s="35">
        <f>U46*Conversions!$E$16/1000</f>
        <v>7.051644836642729</v>
      </c>
      <c r="V52" s="35">
        <f>V46*Conversions!$E$16/1000</f>
        <v>7.033606403987743</v>
      </c>
      <c r="W52" s="35">
        <f>W46*Conversions!$E$16/1000</f>
        <v>7.015567971332757</v>
      </c>
      <c r="X52" s="35">
        <f>X46*Conversions!$E$16/1000</f>
        <v>6.997529538677774</v>
      </c>
      <c r="Y52" s="35">
        <f>Y46*Conversions!$E$16/1000</f>
        <v>6.979491106022788</v>
      </c>
      <c r="Z52" s="35">
        <f>Z46*Conversions!$E$16/1000</f>
        <v>6.961452673367802</v>
      </c>
      <c r="AA52" s="35">
        <f>AA46*Conversions!$E$16/1000</f>
        <v>6.9434142407128165</v>
      </c>
      <c r="AB52" s="35">
        <f>AB46*Conversions!$E$16/1000</f>
        <v>6.910338429329014</v>
      </c>
    </row>
    <row r="53" spans="1:28" ht="12.75">
      <c r="A53" s="15" t="s">
        <v>15</v>
      </c>
      <c r="C53" s="35">
        <f>C47*Conversions!$E$16/1000</f>
        <v>2.2062643499999997</v>
      </c>
      <c r="D53" s="35">
        <f>D47*Conversions!$E$16/1000</f>
        <v>2.711866596875</v>
      </c>
      <c r="E53" s="35">
        <f>E47*Conversions!$E$16/1000</f>
        <v>1.9304813062499997</v>
      </c>
      <c r="F53" s="35">
        <f>F47*Conversions!$E$16/1000</f>
        <v>2.160300509375</v>
      </c>
      <c r="G53" s="35">
        <f>G47*Conversions!$E$16/1000</f>
        <v>2.436083553125</v>
      </c>
      <c r="H53" s="35">
        <f>H47*Conversions!$E$16/1000</f>
        <v>2.29819203125</v>
      </c>
      <c r="I53" s="35">
        <f>I47*Conversions!$E$16/1000</f>
        <v>2.1143366687499996</v>
      </c>
      <c r="J53" s="35">
        <f>J47*Conversions!$E$16/1000</f>
        <v>2.1143366687499996</v>
      </c>
      <c r="K53" s="35">
        <f>K47*Conversions!$E$16/1000</f>
        <v>2.100913176278789</v>
      </c>
      <c r="L53" s="35">
        <f>L47*Conversions!$E$16/1000</f>
        <v>2.0874896838075787</v>
      </c>
      <c r="M53" s="35">
        <f>M47*Conversions!$E$16/1000</f>
        <v>2.0740661913363683</v>
      </c>
      <c r="N53" s="35">
        <f>N47*Conversions!$E$16/1000</f>
        <v>2.060642698865158</v>
      </c>
      <c r="O53" s="35">
        <f>O47*Conversions!$E$16/1000</f>
        <v>2.047219206393948</v>
      </c>
      <c r="P53" s="35">
        <f>P47*Conversions!$E$16/1000</f>
        <v>2.033795713922737</v>
      </c>
      <c r="Q53" s="35">
        <f>Q47*Conversions!$E$16/1000</f>
        <v>2.020372221451526</v>
      </c>
      <c r="R53" s="35">
        <f>R47*Conversions!$E$16/1000</f>
        <v>2.0069487289803156</v>
      </c>
      <c r="S53" s="35">
        <f>S47*Conversions!$E$16/1000</f>
        <v>1.9935252365091056</v>
      </c>
      <c r="T53" s="35">
        <f>T47*Conversions!$E$16/1000</f>
        <v>1.9801017440378947</v>
      </c>
      <c r="U53" s="35">
        <f>U47*Conversions!$E$16/1000</f>
        <v>1.966678251566684</v>
      </c>
      <c r="V53" s="35">
        <f>V47*Conversions!$E$16/1000</f>
        <v>1.9532547590954739</v>
      </c>
      <c r="W53" s="35">
        <f>W47*Conversions!$E$16/1000</f>
        <v>1.9398312666242634</v>
      </c>
      <c r="X53" s="35">
        <f>X47*Conversions!$E$16/1000</f>
        <v>1.9264077741530528</v>
      </c>
      <c r="Y53" s="35">
        <f>Y47*Conversions!$E$16/1000</f>
        <v>1.9129842816818425</v>
      </c>
      <c r="Z53" s="35">
        <f>Z47*Conversions!$E$16/1000</f>
        <v>1.8995607892106319</v>
      </c>
      <c r="AA53" s="35">
        <f>AA47*Conversions!$E$16/1000</f>
        <v>1.8861372967394212</v>
      </c>
      <c r="AB53" s="35">
        <f>AB47*Conversions!$E$16/1000</f>
        <v>1.8727138042682099</v>
      </c>
    </row>
    <row r="54" spans="1:28" ht="12.75">
      <c r="A54" s="15" t="s">
        <v>3</v>
      </c>
      <c r="C54" s="35">
        <f>SUM(C52:C53)</f>
        <v>10.347408655293998</v>
      </c>
      <c r="D54" s="35">
        <f aca="true" t="shared" si="10" ref="D54:AB54">SUM(D52:D53)</f>
        <v>10.000147596875</v>
      </c>
      <c r="E54" s="35">
        <f t="shared" si="10"/>
        <v>9.623666806249998</v>
      </c>
      <c r="F54" s="35">
        <f t="shared" si="10"/>
        <v>9.286619709375</v>
      </c>
      <c r="G54" s="35">
        <f t="shared" si="10"/>
        <v>9.400440953125</v>
      </c>
      <c r="H54" s="35">
        <f t="shared" si="10"/>
        <v>9.343530331249998</v>
      </c>
      <c r="I54" s="35">
        <f t="shared" si="10"/>
        <v>9.07869406875</v>
      </c>
      <c r="J54" s="35">
        <f t="shared" si="10"/>
        <v>9.07869406875</v>
      </c>
      <c r="K54" s="35">
        <f t="shared" si="10"/>
        <v>9.33294233947137</v>
      </c>
      <c r="L54" s="35">
        <f t="shared" si="10"/>
        <v>9.301480414345177</v>
      </c>
      <c r="M54" s="35">
        <f t="shared" si="10"/>
        <v>9.27001848921898</v>
      </c>
      <c r="N54" s="35">
        <f t="shared" si="10"/>
        <v>9.238556564092782</v>
      </c>
      <c r="O54" s="35">
        <f t="shared" si="10"/>
        <v>9.20709463896659</v>
      </c>
      <c r="P54" s="35">
        <f t="shared" si="10"/>
        <v>9.175632713840391</v>
      </c>
      <c r="Q54" s="35">
        <f t="shared" si="10"/>
        <v>9.144170788714195</v>
      </c>
      <c r="R54" s="35">
        <f t="shared" si="10"/>
        <v>9.112708863588</v>
      </c>
      <c r="S54" s="35">
        <f t="shared" si="10"/>
        <v>9.081246938461806</v>
      </c>
      <c r="T54" s="35">
        <f t="shared" si="10"/>
        <v>9.049785013335608</v>
      </c>
      <c r="U54" s="35">
        <f t="shared" si="10"/>
        <v>9.018323088209414</v>
      </c>
      <c r="V54" s="35">
        <f t="shared" si="10"/>
        <v>8.986861163083216</v>
      </c>
      <c r="W54" s="35">
        <f t="shared" si="10"/>
        <v>8.955399237957021</v>
      </c>
      <c r="X54" s="35">
        <f t="shared" si="10"/>
        <v>8.923937312830827</v>
      </c>
      <c r="Y54" s="35">
        <f t="shared" si="10"/>
        <v>8.89247538770463</v>
      </c>
      <c r="Z54" s="35">
        <f t="shared" si="10"/>
        <v>8.861013462578434</v>
      </c>
      <c r="AA54" s="35">
        <f t="shared" si="10"/>
        <v>8.829551537452238</v>
      </c>
      <c r="AB54" s="35">
        <f t="shared" si="10"/>
        <v>8.783052233597225</v>
      </c>
    </row>
    <row r="55" spans="1:28" ht="12.75">
      <c r="A55" s="36" t="s">
        <v>16</v>
      </c>
      <c r="C55" s="37">
        <f>C52/C54</f>
        <v>0.7867809783591355</v>
      </c>
      <c r="D55" s="37">
        <f aca="true" t="shared" si="11" ref="D55:AB55">D52/D54</f>
        <v>0.7288173428837744</v>
      </c>
      <c r="E55" s="37">
        <f t="shared" si="11"/>
        <v>0.7994027281787991</v>
      </c>
      <c r="F55" s="37">
        <f t="shared" si="11"/>
        <v>0.7673749354467332</v>
      </c>
      <c r="G55" s="37">
        <f t="shared" si="11"/>
        <v>0.7408543316986456</v>
      </c>
      <c r="H55" s="37">
        <f t="shared" si="11"/>
        <v>0.7540338662396634</v>
      </c>
      <c r="I55" s="37">
        <f t="shared" si="11"/>
        <v>0.7671100432794833</v>
      </c>
      <c r="J55" s="37">
        <f t="shared" si="11"/>
        <v>0.7671100432794833</v>
      </c>
      <c r="K55" s="37">
        <f t="shared" si="11"/>
        <v>0.7748927294457294</v>
      </c>
      <c r="L55" s="37">
        <f t="shared" si="11"/>
        <v>0.7755744687062766</v>
      </c>
      <c r="M55" s="37">
        <f t="shared" si="11"/>
        <v>0.7762608355367894</v>
      </c>
      <c r="N55" s="37">
        <f t="shared" si="11"/>
        <v>0.7769518772148676</v>
      </c>
      <c r="O55" s="37">
        <f t="shared" si="11"/>
        <v>0.7776476416643276</v>
      </c>
      <c r="P55" s="37">
        <f t="shared" si="11"/>
        <v>0.778348177466281</v>
      </c>
      <c r="Q55" s="37">
        <f t="shared" si="11"/>
        <v>0.779053533870443</v>
      </c>
      <c r="R55" s="37">
        <f t="shared" si="11"/>
        <v>0.7797637608066733</v>
      </c>
      <c r="S55" s="37">
        <f t="shared" si="11"/>
        <v>0.7804789088967585</v>
      </c>
      <c r="T55" s="37">
        <f t="shared" si="11"/>
        <v>0.7811990294664404</v>
      </c>
      <c r="U55" s="37">
        <f t="shared" si="11"/>
        <v>0.7819241745576928</v>
      </c>
      <c r="V55" s="37">
        <f t="shared" si="11"/>
        <v>0.782654396941262</v>
      </c>
      <c r="W55" s="37">
        <f t="shared" si="11"/>
        <v>0.7833897501294655</v>
      </c>
      <c r="X55" s="37">
        <f t="shared" si="11"/>
        <v>0.7841302883892667</v>
      </c>
      <c r="Y55" s="37">
        <f t="shared" si="11"/>
        <v>0.7848760667556224</v>
      </c>
      <c r="Z55" s="37">
        <f t="shared" si="11"/>
        <v>0.7856271410451185</v>
      </c>
      <c r="AA55" s="37">
        <f t="shared" si="11"/>
        <v>0.786383567869896</v>
      </c>
      <c r="AB55" s="37">
        <f t="shared" si="11"/>
        <v>0.7867809783591354</v>
      </c>
    </row>
    <row r="57" spans="3:28" ht="12.75">
      <c r="C57" s="14">
        <v>2000</v>
      </c>
      <c r="D57" s="14">
        <f aca="true" t="shared" si="12" ref="D57:AB57">1+C57</f>
        <v>2001</v>
      </c>
      <c r="E57" s="14">
        <f t="shared" si="12"/>
        <v>2002</v>
      </c>
      <c r="F57" s="14">
        <f t="shared" si="12"/>
        <v>2003</v>
      </c>
      <c r="G57" s="14">
        <f t="shared" si="12"/>
        <v>2004</v>
      </c>
      <c r="H57" s="14">
        <f t="shared" si="12"/>
        <v>2005</v>
      </c>
      <c r="I57" s="14">
        <f t="shared" si="12"/>
        <v>2006</v>
      </c>
      <c r="J57" s="14">
        <f t="shared" si="12"/>
        <v>2007</v>
      </c>
      <c r="K57" s="14">
        <f t="shared" si="12"/>
        <v>2008</v>
      </c>
      <c r="L57" s="14">
        <f t="shared" si="12"/>
        <v>2009</v>
      </c>
      <c r="M57" s="14">
        <f t="shared" si="12"/>
        <v>2010</v>
      </c>
      <c r="N57" s="14">
        <f t="shared" si="12"/>
        <v>2011</v>
      </c>
      <c r="O57" s="14">
        <f t="shared" si="12"/>
        <v>2012</v>
      </c>
      <c r="P57" s="14">
        <f t="shared" si="12"/>
        <v>2013</v>
      </c>
      <c r="Q57" s="14">
        <f t="shared" si="12"/>
        <v>2014</v>
      </c>
      <c r="R57" s="14">
        <f t="shared" si="12"/>
        <v>2015</v>
      </c>
      <c r="S57" s="14">
        <f t="shared" si="12"/>
        <v>2016</v>
      </c>
      <c r="T57" s="14">
        <f t="shared" si="12"/>
        <v>2017</v>
      </c>
      <c r="U57" s="14">
        <f t="shared" si="12"/>
        <v>2018</v>
      </c>
      <c r="V57" s="14">
        <f t="shared" si="12"/>
        <v>2019</v>
      </c>
      <c r="W57" s="14">
        <f t="shared" si="12"/>
        <v>2020</v>
      </c>
      <c r="X57" s="14">
        <f t="shared" si="12"/>
        <v>2021</v>
      </c>
      <c r="Y57" s="14">
        <f t="shared" si="12"/>
        <v>2022</v>
      </c>
      <c r="Z57" s="14">
        <f t="shared" si="12"/>
        <v>2023</v>
      </c>
      <c r="AA57" s="14">
        <f t="shared" si="12"/>
        <v>2024</v>
      </c>
      <c r="AB57" s="14">
        <f t="shared" si="12"/>
        <v>2025</v>
      </c>
    </row>
    <row r="58" ht="12.75">
      <c r="A58" s="46" t="s">
        <v>30</v>
      </c>
    </row>
    <row r="59" spans="1:28" ht="12.75">
      <c r="A59" s="19" t="s">
        <v>6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1">
        <f aca="true" t="shared" si="13" ref="M59:AA59">$AB59/16+L59</f>
        <v>0.00625</v>
      </c>
      <c r="N59" s="41">
        <f t="shared" si="13"/>
        <v>0.0125</v>
      </c>
      <c r="O59" s="41">
        <f t="shared" si="13"/>
        <v>0.018750000000000003</v>
      </c>
      <c r="P59" s="41">
        <f t="shared" si="13"/>
        <v>0.025</v>
      </c>
      <c r="Q59" s="41">
        <f t="shared" si="13"/>
        <v>0.03125</v>
      </c>
      <c r="R59" s="41">
        <f t="shared" si="13"/>
        <v>0.0375</v>
      </c>
      <c r="S59" s="41">
        <f t="shared" si="13"/>
        <v>0.04375</v>
      </c>
      <c r="T59" s="41">
        <f t="shared" si="13"/>
        <v>0.049999999999999996</v>
      </c>
      <c r="U59" s="41">
        <f t="shared" si="13"/>
        <v>0.056249999999999994</v>
      </c>
      <c r="V59" s="41">
        <f t="shared" si="13"/>
        <v>0.06249999999999999</v>
      </c>
      <c r="W59" s="41">
        <f t="shared" si="13"/>
        <v>0.06874999999999999</v>
      </c>
      <c r="X59" s="41">
        <f t="shared" si="13"/>
        <v>0.075</v>
      </c>
      <c r="Y59" s="41">
        <f t="shared" si="13"/>
        <v>0.08125</v>
      </c>
      <c r="Z59" s="41">
        <f t="shared" si="13"/>
        <v>0.08750000000000001</v>
      </c>
      <c r="AA59" s="41">
        <f t="shared" si="13"/>
        <v>0.09375000000000001</v>
      </c>
      <c r="AB59" s="41">
        <f>B21</f>
        <v>0.1</v>
      </c>
    </row>
    <row r="60" spans="4:7" ht="12.75">
      <c r="D60" s="8"/>
      <c r="E60" s="8"/>
      <c r="F60" s="8"/>
      <c r="G60" s="8"/>
    </row>
    <row r="61" ht="12.75">
      <c r="A61" s="19" t="s">
        <v>20</v>
      </c>
    </row>
    <row r="62" spans="1:28" ht="12.75">
      <c r="A62" s="15" t="s">
        <v>14</v>
      </c>
      <c r="C62" s="24">
        <f>C40*Conversions!$E$8*(1-C59)/1000</f>
        <v>20.126438332</v>
      </c>
      <c r="D62" s="24">
        <f>D40*Conversions!$E$8*(1-D59)/1000</f>
        <v>18.018</v>
      </c>
      <c r="E62" s="24">
        <f>E40*Conversions!$E$8*(1-E59)/1000</f>
        <v>19.019</v>
      </c>
      <c r="F62" s="24">
        <f>F40*Conversions!$E$8*(1-F59)/1000</f>
        <v>17.6176</v>
      </c>
      <c r="G62" s="24">
        <f>G40*Conversions!$E$8*(1-G59)/1000</f>
        <v>17.217200000000002</v>
      </c>
      <c r="H62" s="24">
        <f>H40*Conversions!$E$8*(1-H59)/1000</f>
        <v>17.417399999999997</v>
      </c>
      <c r="I62" s="24">
        <f>I40*Conversions!$E$8*(1-I59)/1000</f>
        <v>17.217200000000002</v>
      </c>
      <c r="J62" s="24">
        <f>J40*Conversions!$E$8*(1-J59)/1000</f>
        <v>17.217200000000002</v>
      </c>
      <c r="K62" s="24">
        <f>K40*Conversions!$E$8*(1-K59)/1000</f>
        <v>17.878934890463736</v>
      </c>
      <c r="L62" s="24">
        <f>L40*Conversions!$E$8*(1-L59)/1000</f>
        <v>17.834340495766618</v>
      </c>
      <c r="M62" s="24">
        <f>M40*Conversions!$E$8*(1-M59)/1000</f>
        <v>17.678560187937812</v>
      </c>
      <c r="N62" s="24">
        <f>N40*Conversions!$E$8*(1-N59)/1000</f>
        <v>17.52333731004272</v>
      </c>
      <c r="O62" s="24">
        <f>O40*Conversions!$E$8*(1-O59)/1000</f>
        <v>17.368671862081346</v>
      </c>
      <c r="P62" s="24">
        <f>P40*Conversions!$E$8*(1-P59)/1000</f>
        <v>17.21456384405368</v>
      </c>
      <c r="Q62" s="24">
        <f>Q40*Conversions!$E$8*(1-Q59)/1000</f>
        <v>17.06101325595973</v>
      </c>
      <c r="R62" s="24">
        <f>R40*Conversions!$E$8*(1-R59)/1000</f>
        <v>16.908020097799497</v>
      </c>
      <c r="S62" s="24">
        <f>S40*Conversions!$E$8*(1-S59)/1000</f>
        <v>16.75558436957298</v>
      </c>
      <c r="T62" s="24">
        <f>T40*Conversions!$E$8*(1-T59)/1000</f>
        <v>16.60370607128017</v>
      </c>
      <c r="U62" s="24">
        <f>U40*Conversions!$E$8*(1-U59)/1000</f>
        <v>16.452385202921075</v>
      </c>
      <c r="V62" s="24">
        <f>V40*Conversions!$E$8*(1-V59)/1000</f>
        <v>16.301621764495696</v>
      </c>
      <c r="W62" s="24">
        <f>W40*Conversions!$E$8*(1-W59)/1000</f>
        <v>16.15141575600403</v>
      </c>
      <c r="X62" s="24">
        <f>X40*Conversions!$E$8*(1-X59)/1000</f>
        <v>16.001767177446084</v>
      </c>
      <c r="Y62" s="24">
        <f>Y40*Conversions!$E$8*(1-Y59)/1000</f>
        <v>15.852676028821843</v>
      </c>
      <c r="Z62" s="24">
        <f>Z40*Conversions!$E$8*(1-Z59)/1000</f>
        <v>15.70414231013132</v>
      </c>
      <c r="AA62" s="24">
        <f>AA40*Conversions!$E$8*(1-AA59)/1000</f>
        <v>15.556166021374512</v>
      </c>
      <c r="AB62" s="24">
        <f>AB40*Conversions!$E$8*(1-AB59)/1000</f>
        <v>15.375289459570121</v>
      </c>
    </row>
    <row r="63" spans="1:28" ht="12.75">
      <c r="A63" s="15" t="s">
        <v>15</v>
      </c>
      <c r="C63" s="24">
        <f>C41*Conversions!$E$9/1000</f>
        <v>5.454299999999999</v>
      </c>
      <c r="D63" s="24">
        <f>D41*Conversions!$E$9/1000</f>
        <v>6.70424375</v>
      </c>
      <c r="E63" s="24">
        <f>E41*Conversions!$E$9/1000</f>
        <v>4.7725124999999995</v>
      </c>
      <c r="F63" s="24">
        <f>F41*Conversions!$E$9/1000</f>
        <v>5.34066875</v>
      </c>
      <c r="G63" s="24">
        <f>G41*Conversions!$E$9/1000</f>
        <v>6.022456249999999</v>
      </c>
      <c r="H63" s="24">
        <f>H41*Conversions!$E$9/1000</f>
        <v>5.6815625</v>
      </c>
      <c r="I63" s="24">
        <f>I41*Conversions!$E$9/1000</f>
        <v>5.2270375</v>
      </c>
      <c r="J63" s="24">
        <f>J41*Conversions!$E$9/1000</f>
        <v>5.2270375</v>
      </c>
      <c r="K63" s="24">
        <f>K41*Conversions!$E$9/1000</f>
        <v>5.193852104521111</v>
      </c>
      <c r="L63" s="24">
        <f>L41*Conversions!$E$9/1000</f>
        <v>5.160666709042222</v>
      </c>
      <c r="M63" s="24">
        <f>M41*Conversions!$E$9/1000</f>
        <v>5.127481313563333</v>
      </c>
      <c r="N63" s="24">
        <f>N41*Conversions!$E$9/1000</f>
        <v>5.094295918084445</v>
      </c>
      <c r="O63" s="24">
        <f>O41*Conversions!$E$9/1000</f>
        <v>5.061110522605556</v>
      </c>
      <c r="P63" s="24">
        <f>P41*Conversions!$E$9/1000</f>
        <v>5.027925127126667</v>
      </c>
      <c r="Q63" s="24">
        <f>Q41*Conversions!$E$9/1000</f>
        <v>4.994739731647778</v>
      </c>
      <c r="R63" s="24">
        <f>R41*Conversions!$E$9/1000</f>
        <v>4.96155433616889</v>
      </c>
      <c r="S63" s="24">
        <f>S41*Conversions!$E$9/1000</f>
        <v>4.928368940690001</v>
      </c>
      <c r="T63" s="24">
        <f>T41*Conversions!$E$9/1000</f>
        <v>4.895183545211112</v>
      </c>
      <c r="U63" s="24">
        <f>U41*Conversions!$E$9/1000</f>
        <v>4.861998149732223</v>
      </c>
      <c r="V63" s="24">
        <f>V41*Conversions!$E$9/1000</f>
        <v>4.828812754253335</v>
      </c>
      <c r="W63" s="24">
        <f>W41*Conversions!$E$9/1000</f>
        <v>4.795627358774446</v>
      </c>
      <c r="X63" s="24">
        <f>X41*Conversions!$E$9/1000</f>
        <v>4.762441963295557</v>
      </c>
      <c r="Y63" s="24">
        <f>Y41*Conversions!$E$9/1000</f>
        <v>4.729256567816669</v>
      </c>
      <c r="Z63" s="24">
        <f>Z41*Conversions!$E$9/1000</f>
        <v>4.6960711723377795</v>
      </c>
      <c r="AA63" s="24">
        <f>AA41*Conversions!$E$9/1000</f>
        <v>4.66288577685889</v>
      </c>
      <c r="AB63" s="24">
        <f>AB41*Conversions!$E$9/1000</f>
        <v>4.62970038138</v>
      </c>
    </row>
    <row r="64" spans="1:28" ht="12.75">
      <c r="A64" s="15" t="s">
        <v>3</v>
      </c>
      <c r="C64" s="24">
        <f aca="true" t="shared" si="14" ref="C64:J64">SUM(C62:C63)</f>
        <v>25.580738332</v>
      </c>
      <c r="D64" s="24">
        <f t="shared" si="14"/>
        <v>24.72224375</v>
      </c>
      <c r="E64" s="24">
        <f t="shared" si="14"/>
        <v>23.791512499999996</v>
      </c>
      <c r="F64" s="24">
        <f t="shared" si="14"/>
        <v>22.95826875</v>
      </c>
      <c r="G64" s="24">
        <f t="shared" si="14"/>
        <v>23.239656250000003</v>
      </c>
      <c r="H64" s="24">
        <f t="shared" si="14"/>
        <v>23.0989625</v>
      </c>
      <c r="I64" s="24">
        <f t="shared" si="14"/>
        <v>22.4442375</v>
      </c>
      <c r="J64" s="24">
        <f t="shared" si="14"/>
        <v>22.4442375</v>
      </c>
      <c r="K64" s="24">
        <f aca="true" t="shared" si="15" ref="K64:AB64">SUM(K62:K63)</f>
        <v>23.072786994984845</v>
      </c>
      <c r="L64" s="24">
        <f t="shared" si="15"/>
        <v>22.99500720480884</v>
      </c>
      <c r="M64" s="24">
        <f t="shared" si="15"/>
        <v>22.806041501501145</v>
      </c>
      <c r="N64" s="24">
        <f t="shared" si="15"/>
        <v>22.617633228127165</v>
      </c>
      <c r="O64" s="24">
        <f t="shared" si="15"/>
        <v>22.429782384686902</v>
      </c>
      <c r="P64" s="24">
        <f t="shared" si="15"/>
        <v>22.242488971180347</v>
      </c>
      <c r="Q64" s="24">
        <f t="shared" si="15"/>
        <v>22.055752987607505</v>
      </c>
      <c r="R64" s="24">
        <f t="shared" si="15"/>
        <v>21.86957443396839</v>
      </c>
      <c r="S64" s="24">
        <f t="shared" si="15"/>
        <v>21.68395331026298</v>
      </c>
      <c r="T64" s="24">
        <f t="shared" si="15"/>
        <v>21.49888961649128</v>
      </c>
      <c r="U64" s="24">
        <f t="shared" si="15"/>
        <v>21.314383352653298</v>
      </c>
      <c r="V64" s="24">
        <f t="shared" si="15"/>
        <v>21.13043451874903</v>
      </c>
      <c r="W64" s="24">
        <f t="shared" si="15"/>
        <v>20.947043114778477</v>
      </c>
      <c r="X64" s="24">
        <f t="shared" si="15"/>
        <v>20.76420914074164</v>
      </c>
      <c r="Y64" s="24">
        <f t="shared" si="15"/>
        <v>20.581932596638513</v>
      </c>
      <c r="Z64" s="24">
        <f t="shared" si="15"/>
        <v>20.4002134824691</v>
      </c>
      <c r="AA64" s="24">
        <f t="shared" si="15"/>
        <v>20.2190517982334</v>
      </c>
      <c r="AB64" s="24">
        <f t="shared" si="15"/>
        <v>20.00498984095012</v>
      </c>
    </row>
    <row r="65" spans="1:28" ht="12.75">
      <c r="A65" s="36" t="s">
        <v>16</v>
      </c>
      <c r="C65" s="37">
        <f aca="true" t="shared" si="16" ref="C65:J65">C62/C64</f>
        <v>0.7867809783591355</v>
      </c>
      <c r="D65" s="37">
        <f t="shared" si="16"/>
        <v>0.7288173428837744</v>
      </c>
      <c r="E65" s="37">
        <f t="shared" si="16"/>
        <v>0.7994027281787991</v>
      </c>
      <c r="F65" s="37">
        <f t="shared" si="16"/>
        <v>0.7673749354467332</v>
      </c>
      <c r="G65" s="37">
        <f t="shared" si="16"/>
        <v>0.7408543316986455</v>
      </c>
      <c r="H65" s="37">
        <f t="shared" si="16"/>
        <v>0.7540338662396633</v>
      </c>
      <c r="I65" s="37">
        <f t="shared" si="16"/>
        <v>0.7671100432794833</v>
      </c>
      <c r="J65" s="37">
        <f t="shared" si="16"/>
        <v>0.7671100432794833</v>
      </c>
      <c r="K65" s="37">
        <f aca="true" t="shared" si="17" ref="K65:AB65">K62/K64</f>
        <v>0.7748927294457294</v>
      </c>
      <c r="L65" s="37">
        <f t="shared" si="17"/>
        <v>0.7755744687062766</v>
      </c>
      <c r="M65" s="37">
        <f t="shared" si="17"/>
        <v>0.7751700437260964</v>
      </c>
      <c r="N65" s="37">
        <f t="shared" si="17"/>
        <v>0.7747644120539895</v>
      </c>
      <c r="O65" s="37">
        <f t="shared" si="17"/>
        <v>0.7743575735241711</v>
      </c>
      <c r="P65" s="37">
        <f t="shared" si="17"/>
        <v>0.7739495281467211</v>
      </c>
      <c r="Q65" s="37">
        <f t="shared" si="17"/>
        <v>0.7735402761150718</v>
      </c>
      <c r="R65" s="37">
        <f t="shared" si="17"/>
        <v>0.7731298178138082</v>
      </c>
      <c r="S65" s="37">
        <f t="shared" si="17"/>
        <v>0.772718153826802</v>
      </c>
      <c r="T65" s="37">
        <f t="shared" si="17"/>
        <v>0.772305284945687</v>
      </c>
      <c r="U65" s="37">
        <f t="shared" si="17"/>
        <v>0.7718912121787008</v>
      </c>
      <c r="V65" s="37">
        <f t="shared" si="17"/>
        <v>0.7714759367599029</v>
      </c>
      <c r="W65" s="37">
        <f t="shared" si="17"/>
        <v>0.7710594601587919</v>
      </c>
      <c r="X65" s="37">
        <f t="shared" si="17"/>
        <v>0.77064178409034</v>
      </c>
      <c r="Y65" s="37">
        <f t="shared" si="17"/>
        <v>0.7702229105254643</v>
      </c>
      <c r="Z65" s="37">
        <f t="shared" si="17"/>
        <v>0.7698028417019586</v>
      </c>
      <c r="AA65" s="37">
        <f t="shared" si="17"/>
        <v>0.7693815801359043</v>
      </c>
      <c r="AB65" s="37">
        <f t="shared" si="17"/>
        <v>0.7685727201968868</v>
      </c>
    </row>
    <row r="67" ht="12.75">
      <c r="A67" s="19" t="s">
        <v>21</v>
      </c>
    </row>
    <row r="68" spans="1:28" ht="12.75">
      <c r="A68" s="15" t="s">
        <v>14</v>
      </c>
      <c r="C68" s="35">
        <f>C62*Conversions!$E$16/1000</f>
        <v>8.141144305293999</v>
      </c>
      <c r="D68" s="35">
        <f>D62*Conversions!$E$16/1000</f>
        <v>7.288281</v>
      </c>
      <c r="E68" s="35">
        <f>E62*Conversions!$E$16/1000</f>
        <v>7.693185499999999</v>
      </c>
      <c r="F68" s="35">
        <f>F62*Conversions!$E$16/1000</f>
        <v>7.1263192</v>
      </c>
      <c r="G68" s="35">
        <f>G62*Conversions!$E$16/1000</f>
        <v>6.964357400000001</v>
      </c>
      <c r="H68" s="35">
        <f>H62*Conversions!$E$16/1000</f>
        <v>7.045338299999998</v>
      </c>
      <c r="I68" s="35">
        <f>I62*Conversions!$E$16/1000</f>
        <v>6.964357400000001</v>
      </c>
      <c r="J68" s="35">
        <f>J62*Conversions!$E$16/1000</f>
        <v>6.964357400000001</v>
      </c>
      <c r="K68" s="35">
        <f>K62*Conversions!$E$16/1000</f>
        <v>7.232029163192581</v>
      </c>
      <c r="L68" s="35">
        <f>L62*Conversions!$E$16/1000</f>
        <v>7.213990730537597</v>
      </c>
      <c r="M68" s="35">
        <f>M62*Conversions!$E$16/1000</f>
        <v>7.150977596020845</v>
      </c>
      <c r="N68" s="35">
        <f>N62*Conversions!$E$16/1000</f>
        <v>7.0881899419122805</v>
      </c>
      <c r="O68" s="35">
        <f>O62*Conversions!$E$16/1000</f>
        <v>7.025627768211904</v>
      </c>
      <c r="P68" s="35">
        <f>P62*Conversions!$E$16/1000</f>
        <v>6.963291074919713</v>
      </c>
      <c r="Q68" s="35">
        <f>Q62*Conversions!$E$16/1000</f>
        <v>6.90117986203571</v>
      </c>
      <c r="R68" s="35">
        <f>R62*Conversions!$E$16/1000</f>
        <v>6.839294129559897</v>
      </c>
      <c r="S68" s="35">
        <f>S62*Conversions!$E$16/1000</f>
        <v>6.77763387749227</v>
      </c>
      <c r="T68" s="35">
        <f>T62*Conversions!$E$16/1000</f>
        <v>6.716199105832827</v>
      </c>
      <c r="U68" s="35">
        <f>U62*Conversions!$E$16/1000</f>
        <v>6.654989814581575</v>
      </c>
      <c r="V68" s="35">
        <f>V62*Conversions!$E$16/1000</f>
        <v>6.594006003738509</v>
      </c>
      <c r="W68" s="35">
        <f>W62*Conversions!$E$16/1000</f>
        <v>6.53324767330363</v>
      </c>
      <c r="X68" s="35">
        <f>X62*Conversions!$E$16/1000</f>
        <v>6.472714823276941</v>
      </c>
      <c r="Y68" s="35">
        <f>Y62*Conversions!$E$16/1000</f>
        <v>6.412407453658436</v>
      </c>
      <c r="Z68" s="35">
        <f>Z62*Conversions!$E$16/1000</f>
        <v>6.35232556444812</v>
      </c>
      <c r="AA68" s="35">
        <f>AA62*Conversions!$E$16/1000</f>
        <v>6.29246915564599</v>
      </c>
      <c r="AB68" s="35">
        <f>AB62*Conversions!$E$16/1000</f>
        <v>6.219304586396114</v>
      </c>
    </row>
    <row r="69" spans="1:28" ht="12.75">
      <c r="A69" s="15" t="s">
        <v>15</v>
      </c>
      <c r="C69" s="35">
        <f>C63*Conversions!$E$16/1000</f>
        <v>2.2062643499999997</v>
      </c>
      <c r="D69" s="35">
        <f>D63*Conversions!$E$16/1000</f>
        <v>2.711866596875</v>
      </c>
      <c r="E69" s="35">
        <f>E63*Conversions!$E$16/1000</f>
        <v>1.9304813062499997</v>
      </c>
      <c r="F69" s="35">
        <f>F63*Conversions!$E$16/1000</f>
        <v>2.160300509375</v>
      </c>
      <c r="G69" s="35">
        <f>G63*Conversions!$E$16/1000</f>
        <v>2.436083553125</v>
      </c>
      <c r="H69" s="35">
        <f>H63*Conversions!$E$16/1000</f>
        <v>2.29819203125</v>
      </c>
      <c r="I69" s="35">
        <f>I63*Conversions!$E$16/1000</f>
        <v>2.1143366687499996</v>
      </c>
      <c r="J69" s="35">
        <f>J63*Conversions!$E$16/1000</f>
        <v>2.1143366687499996</v>
      </c>
      <c r="K69" s="35">
        <f>K63*Conversions!$E$16/1000</f>
        <v>2.100913176278789</v>
      </c>
      <c r="L69" s="35">
        <f>L63*Conversions!$E$16/1000</f>
        <v>2.0874896838075787</v>
      </c>
      <c r="M69" s="35">
        <f>M63*Conversions!$E$16/1000</f>
        <v>2.0740661913363683</v>
      </c>
      <c r="N69" s="35">
        <f>N63*Conversions!$E$16/1000</f>
        <v>2.060642698865158</v>
      </c>
      <c r="O69" s="35">
        <f>O63*Conversions!$E$16/1000</f>
        <v>2.047219206393948</v>
      </c>
      <c r="P69" s="35">
        <f>P63*Conversions!$E$16/1000</f>
        <v>2.033795713922737</v>
      </c>
      <c r="Q69" s="35">
        <f>Q63*Conversions!$E$16/1000</f>
        <v>2.020372221451526</v>
      </c>
      <c r="R69" s="35">
        <f>R63*Conversions!$E$16/1000</f>
        <v>2.0069487289803156</v>
      </c>
      <c r="S69" s="35">
        <f>S63*Conversions!$E$16/1000</f>
        <v>1.9935252365091056</v>
      </c>
      <c r="T69" s="35">
        <f>T63*Conversions!$E$16/1000</f>
        <v>1.9801017440378947</v>
      </c>
      <c r="U69" s="35">
        <f>U63*Conversions!$E$16/1000</f>
        <v>1.966678251566684</v>
      </c>
      <c r="V69" s="35">
        <f>V63*Conversions!$E$16/1000</f>
        <v>1.9532547590954739</v>
      </c>
      <c r="W69" s="35">
        <f>W63*Conversions!$E$16/1000</f>
        <v>1.9398312666242634</v>
      </c>
      <c r="X69" s="35">
        <f>X63*Conversions!$E$16/1000</f>
        <v>1.9264077741530528</v>
      </c>
      <c r="Y69" s="35">
        <f>Y63*Conversions!$E$16/1000</f>
        <v>1.9129842816818425</v>
      </c>
      <c r="Z69" s="35">
        <f>Z63*Conversions!$E$16/1000</f>
        <v>1.8995607892106319</v>
      </c>
      <c r="AA69" s="35">
        <f>AA63*Conversions!$E$16/1000</f>
        <v>1.8861372967394212</v>
      </c>
      <c r="AB69" s="35">
        <f>AB63*Conversions!$E$16/1000</f>
        <v>1.8727138042682099</v>
      </c>
    </row>
    <row r="70" spans="1:28" ht="12.75">
      <c r="A70" s="15" t="s">
        <v>3</v>
      </c>
      <c r="C70" s="35">
        <f aca="true" t="shared" si="18" ref="C70:J70">SUM(C68:C69)</f>
        <v>10.347408655293998</v>
      </c>
      <c r="D70" s="35">
        <f t="shared" si="18"/>
        <v>10.000147596875</v>
      </c>
      <c r="E70" s="35">
        <f t="shared" si="18"/>
        <v>9.623666806249998</v>
      </c>
      <c r="F70" s="35">
        <f t="shared" si="18"/>
        <v>9.286619709375</v>
      </c>
      <c r="G70" s="35">
        <f t="shared" si="18"/>
        <v>9.400440953125</v>
      </c>
      <c r="H70" s="35">
        <f t="shared" si="18"/>
        <v>9.343530331249998</v>
      </c>
      <c r="I70" s="35">
        <f t="shared" si="18"/>
        <v>9.07869406875</v>
      </c>
      <c r="J70" s="35">
        <f t="shared" si="18"/>
        <v>9.07869406875</v>
      </c>
      <c r="K70" s="35">
        <f aca="true" t="shared" si="19" ref="K70:AB70">SUM(K68:K69)</f>
        <v>9.33294233947137</v>
      </c>
      <c r="L70" s="35">
        <f t="shared" si="19"/>
        <v>9.301480414345177</v>
      </c>
      <c r="M70" s="35">
        <f t="shared" si="19"/>
        <v>9.225043787357214</v>
      </c>
      <c r="N70" s="35">
        <f t="shared" si="19"/>
        <v>9.148832640777439</v>
      </c>
      <c r="O70" s="35">
        <f t="shared" si="19"/>
        <v>9.072846974605852</v>
      </c>
      <c r="P70" s="35">
        <f t="shared" si="19"/>
        <v>8.99708678884245</v>
      </c>
      <c r="Q70" s="35">
        <f t="shared" si="19"/>
        <v>8.921552083487237</v>
      </c>
      <c r="R70" s="35">
        <f t="shared" si="19"/>
        <v>8.846242858540212</v>
      </c>
      <c r="S70" s="35">
        <f t="shared" si="19"/>
        <v>8.771159114001374</v>
      </c>
      <c r="T70" s="35">
        <f t="shared" si="19"/>
        <v>8.696300849870722</v>
      </c>
      <c r="U70" s="35">
        <f t="shared" si="19"/>
        <v>8.62166806614826</v>
      </c>
      <c r="V70" s="35">
        <f t="shared" si="19"/>
        <v>8.547260762833982</v>
      </c>
      <c r="W70" s="35">
        <f t="shared" si="19"/>
        <v>8.473078939927893</v>
      </c>
      <c r="X70" s="35">
        <f t="shared" si="19"/>
        <v>8.399122597429994</v>
      </c>
      <c r="Y70" s="35">
        <f t="shared" si="19"/>
        <v>8.325391735340279</v>
      </c>
      <c r="Z70" s="35">
        <f t="shared" si="19"/>
        <v>8.251886353658751</v>
      </c>
      <c r="AA70" s="35">
        <f t="shared" si="19"/>
        <v>8.178606452385411</v>
      </c>
      <c r="AB70" s="35">
        <f t="shared" si="19"/>
        <v>8.092018390664323</v>
      </c>
    </row>
    <row r="71" spans="1:28" ht="12.75">
      <c r="A71" s="47" t="s">
        <v>32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52" t="b">
        <f>ROUND(AB70,6)=ROUND(B25,6)</f>
        <v>1</v>
      </c>
    </row>
    <row r="72" spans="1:29" ht="12.75">
      <c r="A72" s="47" t="s">
        <v>33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63">
        <f>ROUND(AB70,6)-ROUND(B25,6)</f>
        <v>0</v>
      </c>
      <c r="AC72" s="55"/>
    </row>
    <row r="73" ht="12.75">
      <c r="A73" s="36" t="s">
        <v>24</v>
      </c>
    </row>
    <row r="74" spans="2:28" ht="12.75">
      <c r="B74" s="44" t="s">
        <v>25</v>
      </c>
      <c r="C74" s="43">
        <f>(C70-C54)/C54</f>
        <v>0</v>
      </c>
      <c r="D74" s="43">
        <f aca="true" t="shared" si="20" ref="D74:AB74">(D70-D54)/D54</f>
        <v>0</v>
      </c>
      <c r="E74" s="43">
        <f t="shared" si="20"/>
        <v>0</v>
      </c>
      <c r="F74" s="43">
        <f t="shared" si="20"/>
        <v>0</v>
      </c>
      <c r="G74" s="43">
        <f t="shared" si="20"/>
        <v>0</v>
      </c>
      <c r="H74" s="43">
        <f t="shared" si="20"/>
        <v>0</v>
      </c>
      <c r="I74" s="43">
        <f t="shared" si="20"/>
        <v>0</v>
      </c>
      <c r="J74" s="43">
        <f t="shared" si="20"/>
        <v>0</v>
      </c>
      <c r="K74" s="43">
        <f t="shared" si="20"/>
        <v>0</v>
      </c>
      <c r="L74" s="43">
        <f t="shared" si="20"/>
        <v>0</v>
      </c>
      <c r="M74" s="43">
        <f t="shared" si="20"/>
        <v>-0.004851630222104982</v>
      </c>
      <c r="N74" s="43">
        <f t="shared" si="20"/>
        <v>-0.00971189846518565</v>
      </c>
      <c r="O74" s="43">
        <f t="shared" si="20"/>
        <v>-0.014580893281206172</v>
      </c>
      <c r="P74" s="43">
        <f t="shared" si="20"/>
        <v>-0.019458704436656996</v>
      </c>
      <c r="Q74" s="43">
        <f t="shared" si="20"/>
        <v>-0.024345422933451336</v>
      </c>
      <c r="R74" s="43">
        <f t="shared" si="20"/>
        <v>-0.029241141030250356</v>
      </c>
      <c r="S74" s="43">
        <f t="shared" si="20"/>
        <v>-0.03414595226423331</v>
      </c>
      <c r="T74" s="43">
        <f t="shared" si="20"/>
        <v>-0.03905995147332205</v>
      </c>
      <c r="U74" s="43">
        <f t="shared" si="20"/>
        <v>-0.04398323481887025</v>
      </c>
      <c r="V74" s="43">
        <f t="shared" si="20"/>
        <v>-0.04891589980882881</v>
      </c>
      <c r="W74" s="43">
        <f t="shared" si="20"/>
        <v>-0.05385804532140088</v>
      </c>
      <c r="X74" s="43">
        <f t="shared" si="20"/>
        <v>-0.05880977162919499</v>
      </c>
      <c r="Y74" s="43">
        <f t="shared" si="20"/>
        <v>-0.06377118042389428</v>
      </c>
      <c r="Z74" s="43">
        <f t="shared" si="20"/>
        <v>-0.06874237484144792</v>
      </c>
      <c r="AA74" s="43">
        <f t="shared" si="20"/>
        <v>-0.07372345948780276</v>
      </c>
      <c r="AB74" s="43">
        <f t="shared" si="20"/>
        <v>-0.07867809783591352</v>
      </c>
    </row>
    <row r="75" spans="2:28" ht="12.75">
      <c r="B75" s="44" t="s">
        <v>26</v>
      </c>
      <c r="C75" s="43">
        <f aca="true" t="shared" si="21" ref="C75:AA75">(C70-$C70)/$C70</f>
        <v>0</v>
      </c>
      <c r="D75" s="43">
        <f t="shared" si="21"/>
        <v>-0.03356019559943942</v>
      </c>
      <c r="E75" s="43">
        <f t="shared" si="21"/>
        <v>-0.06994426074722729</v>
      </c>
      <c r="F75" s="43">
        <f t="shared" si="21"/>
        <v>-0.10251735301632955</v>
      </c>
      <c r="G75" s="43">
        <f t="shared" si="21"/>
        <v>-0.0915173773178954</v>
      </c>
      <c r="H75" s="43">
        <f t="shared" si="21"/>
        <v>-0.09701736516711273</v>
      </c>
      <c r="I75" s="43">
        <f t="shared" si="21"/>
        <v>-0.1226118179738549</v>
      </c>
      <c r="J75" s="43">
        <f t="shared" si="21"/>
        <v>-0.1226118179738549</v>
      </c>
      <c r="K75" s="43">
        <f t="shared" si="21"/>
        <v>-0.09804061573460734</v>
      </c>
      <c r="L75" s="43">
        <f t="shared" si="21"/>
        <v>-0.10108117653338242</v>
      </c>
      <c r="M75" s="43">
        <f t="shared" si="21"/>
        <v>-0.10846820738664403</v>
      </c>
      <c r="N75" s="43">
        <f t="shared" si="21"/>
        <v>-0.11583344723737547</v>
      </c>
      <c r="O75" s="43">
        <f t="shared" si="21"/>
        <v>-0.12317689608557673</v>
      </c>
      <c r="P75" s="43">
        <f t="shared" si="21"/>
        <v>-0.13049855393124818</v>
      </c>
      <c r="Q75" s="43">
        <f t="shared" si="21"/>
        <v>-0.13779842077438942</v>
      </c>
      <c r="R75" s="43">
        <f t="shared" si="21"/>
        <v>-0.14507649661500052</v>
      </c>
      <c r="S75" s="43">
        <f t="shared" si="21"/>
        <v>-0.15233278145308143</v>
      </c>
      <c r="T75" s="43">
        <f t="shared" si="21"/>
        <v>-0.15956727528863252</v>
      </c>
      <c r="U75" s="43">
        <f t="shared" si="21"/>
        <v>-0.16677997812165324</v>
      </c>
      <c r="V75" s="43">
        <f t="shared" si="21"/>
        <v>-0.17397088995214416</v>
      </c>
      <c r="W75" s="43">
        <f t="shared" si="21"/>
        <v>-0.1811400107801049</v>
      </c>
      <c r="X75" s="43">
        <f t="shared" si="21"/>
        <v>-0.18828734060553526</v>
      </c>
      <c r="Y75" s="43">
        <f t="shared" si="21"/>
        <v>-0.19541287942843583</v>
      </c>
      <c r="Z75" s="43">
        <f t="shared" si="21"/>
        <v>-0.20251662724880637</v>
      </c>
      <c r="AA75" s="43">
        <f t="shared" si="21"/>
        <v>-0.20959858406664675</v>
      </c>
      <c r="AB75" s="43">
        <f>(AB70-$C70)/$C70</f>
        <v>-0.21796667549954737</v>
      </c>
    </row>
    <row r="76" spans="1:30" ht="12.75">
      <c r="A76" s="47" t="s">
        <v>32</v>
      </c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52" t="b">
        <f>ROUND(AB75,3)=ROUND(B29,3)</f>
        <v>1</v>
      </c>
      <c r="AC76" s="59"/>
      <c r="AD76" s="58"/>
    </row>
    <row r="77" spans="1:29" ht="12.75">
      <c r="A77" s="47" t="s">
        <v>33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64">
        <f>ROUND(AB75,0)-ROUND(B29,0)</f>
        <v>0</v>
      </c>
      <c r="AC77" s="56"/>
    </row>
    <row r="79" ht="12.75">
      <c r="A79" s="19" t="s">
        <v>50</v>
      </c>
    </row>
    <row r="80" spans="1:28" ht="12.75">
      <c r="A80" s="15" t="s">
        <v>14</v>
      </c>
      <c r="C80" s="35">
        <f>C52-C68</f>
        <v>0</v>
      </c>
      <c r="D80" s="35">
        <f aca="true" t="shared" si="22" ref="D80:AB80">D52-D68</f>
        <v>0</v>
      </c>
      <c r="E80" s="35">
        <f t="shared" si="22"/>
        <v>0</v>
      </c>
      <c r="F80" s="35">
        <f t="shared" si="22"/>
        <v>0</v>
      </c>
      <c r="G80" s="35">
        <f t="shared" si="22"/>
        <v>0</v>
      </c>
      <c r="H80" s="35">
        <f t="shared" si="22"/>
        <v>0</v>
      </c>
      <c r="I80" s="35">
        <f t="shared" si="22"/>
        <v>0</v>
      </c>
      <c r="J80" s="35">
        <f t="shared" si="22"/>
        <v>0</v>
      </c>
      <c r="K80" s="35">
        <f t="shared" si="22"/>
        <v>0</v>
      </c>
      <c r="L80" s="35">
        <f t="shared" si="22"/>
        <v>0</v>
      </c>
      <c r="M80" s="35">
        <f t="shared" si="22"/>
        <v>0.044974701861766775</v>
      </c>
      <c r="N80" s="35">
        <f t="shared" si="22"/>
        <v>0.08972392331534351</v>
      </c>
      <c r="O80" s="35">
        <f t="shared" si="22"/>
        <v>0.1342476643607382</v>
      </c>
      <c r="P80" s="35">
        <f t="shared" si="22"/>
        <v>0.17854592499794197</v>
      </c>
      <c r="Q80" s="35">
        <f t="shared" si="22"/>
        <v>0.22261870522695926</v>
      </c>
      <c r="R80" s="35">
        <f t="shared" si="22"/>
        <v>0.2664660050477883</v>
      </c>
      <c r="S80" s="35">
        <f t="shared" si="22"/>
        <v>0.31008782446042993</v>
      </c>
      <c r="T80" s="35">
        <f t="shared" si="22"/>
        <v>0.35348416346488687</v>
      </c>
      <c r="U80" s="35">
        <f t="shared" si="22"/>
        <v>0.3966550220611538</v>
      </c>
      <c r="V80" s="35">
        <f t="shared" si="22"/>
        <v>0.4396004002492333</v>
      </c>
      <c r="W80" s="35">
        <f t="shared" si="22"/>
        <v>0.48232029802912724</v>
      </c>
      <c r="X80" s="35">
        <f t="shared" si="22"/>
        <v>0.5248147154008329</v>
      </c>
      <c r="Y80" s="35">
        <f t="shared" si="22"/>
        <v>0.5670836523643521</v>
      </c>
      <c r="Z80" s="35">
        <f t="shared" si="22"/>
        <v>0.6091271089196821</v>
      </c>
      <c r="AA80" s="35">
        <f t="shared" si="22"/>
        <v>0.6509450850668266</v>
      </c>
      <c r="AB80" s="35">
        <f t="shared" si="22"/>
        <v>0.6910338429329004</v>
      </c>
    </row>
    <row r="81" spans="1:28" ht="12.75">
      <c r="A81" s="15" t="s">
        <v>15</v>
      </c>
      <c r="C81" s="35">
        <f>C53-C69</f>
        <v>0</v>
      </c>
      <c r="D81" s="35">
        <f aca="true" t="shared" si="23" ref="D81:AB81">D53-D69</f>
        <v>0</v>
      </c>
      <c r="E81" s="35">
        <f t="shared" si="23"/>
        <v>0</v>
      </c>
      <c r="F81" s="35">
        <f t="shared" si="23"/>
        <v>0</v>
      </c>
      <c r="G81" s="35">
        <f t="shared" si="23"/>
        <v>0</v>
      </c>
      <c r="H81" s="35">
        <f t="shared" si="23"/>
        <v>0</v>
      </c>
      <c r="I81" s="35">
        <f t="shared" si="23"/>
        <v>0</v>
      </c>
      <c r="J81" s="35">
        <f t="shared" si="23"/>
        <v>0</v>
      </c>
      <c r="K81" s="35">
        <f t="shared" si="23"/>
        <v>0</v>
      </c>
      <c r="L81" s="35">
        <f t="shared" si="23"/>
        <v>0</v>
      </c>
      <c r="M81" s="35">
        <f t="shared" si="23"/>
        <v>0</v>
      </c>
      <c r="N81" s="35">
        <f t="shared" si="23"/>
        <v>0</v>
      </c>
      <c r="O81" s="35">
        <f t="shared" si="23"/>
        <v>0</v>
      </c>
      <c r="P81" s="35">
        <f t="shared" si="23"/>
        <v>0</v>
      </c>
      <c r="Q81" s="35">
        <f t="shared" si="23"/>
        <v>0</v>
      </c>
      <c r="R81" s="35">
        <f t="shared" si="23"/>
        <v>0</v>
      </c>
      <c r="S81" s="35">
        <f t="shared" si="23"/>
        <v>0</v>
      </c>
      <c r="T81" s="35">
        <f t="shared" si="23"/>
        <v>0</v>
      </c>
      <c r="U81" s="35">
        <f t="shared" si="23"/>
        <v>0</v>
      </c>
      <c r="V81" s="35">
        <f t="shared" si="23"/>
        <v>0</v>
      </c>
      <c r="W81" s="35">
        <f t="shared" si="23"/>
        <v>0</v>
      </c>
      <c r="X81" s="35">
        <f t="shared" si="23"/>
        <v>0</v>
      </c>
      <c r="Y81" s="35">
        <f t="shared" si="23"/>
        <v>0</v>
      </c>
      <c r="Z81" s="35">
        <f t="shared" si="23"/>
        <v>0</v>
      </c>
      <c r="AA81" s="35">
        <f t="shared" si="23"/>
        <v>0</v>
      </c>
      <c r="AB81" s="35">
        <f t="shared" si="23"/>
        <v>0</v>
      </c>
    </row>
    <row r="82" spans="1:28" ht="12.75">
      <c r="A82" s="15" t="s">
        <v>3</v>
      </c>
      <c r="C82" s="35">
        <f aca="true" t="shared" si="24" ref="C82:AB82">SUM(C80:C81)</f>
        <v>0</v>
      </c>
      <c r="D82" s="35">
        <f t="shared" si="24"/>
        <v>0</v>
      </c>
      <c r="E82" s="35">
        <f t="shared" si="24"/>
        <v>0</v>
      </c>
      <c r="F82" s="35">
        <f t="shared" si="24"/>
        <v>0</v>
      </c>
      <c r="G82" s="35">
        <f t="shared" si="24"/>
        <v>0</v>
      </c>
      <c r="H82" s="35">
        <f t="shared" si="24"/>
        <v>0</v>
      </c>
      <c r="I82" s="35">
        <f t="shared" si="24"/>
        <v>0</v>
      </c>
      <c r="J82" s="35">
        <f t="shared" si="24"/>
        <v>0</v>
      </c>
      <c r="K82" s="35">
        <f t="shared" si="24"/>
        <v>0</v>
      </c>
      <c r="L82" s="35">
        <f t="shared" si="24"/>
        <v>0</v>
      </c>
      <c r="M82" s="35">
        <f t="shared" si="24"/>
        <v>0.044974701861766775</v>
      </c>
      <c r="N82" s="35">
        <f t="shared" si="24"/>
        <v>0.08972392331534351</v>
      </c>
      <c r="O82" s="35">
        <f t="shared" si="24"/>
        <v>0.1342476643607382</v>
      </c>
      <c r="P82" s="35">
        <f t="shared" si="24"/>
        <v>0.17854592499794197</v>
      </c>
      <c r="Q82" s="35">
        <f t="shared" si="24"/>
        <v>0.22261870522695926</v>
      </c>
      <c r="R82" s="35">
        <f t="shared" si="24"/>
        <v>0.2664660050477883</v>
      </c>
      <c r="S82" s="35">
        <f t="shared" si="24"/>
        <v>0.31008782446042993</v>
      </c>
      <c r="T82" s="35">
        <f t="shared" si="24"/>
        <v>0.35348416346488687</v>
      </c>
      <c r="U82" s="35">
        <f t="shared" si="24"/>
        <v>0.3966550220611538</v>
      </c>
      <c r="V82" s="35">
        <f t="shared" si="24"/>
        <v>0.4396004002492333</v>
      </c>
      <c r="W82" s="35">
        <f t="shared" si="24"/>
        <v>0.48232029802912724</v>
      </c>
      <c r="X82" s="35">
        <f t="shared" si="24"/>
        <v>0.5248147154008329</v>
      </c>
      <c r="Y82" s="35">
        <f t="shared" si="24"/>
        <v>0.5670836523643521</v>
      </c>
      <c r="Z82" s="35">
        <f t="shared" si="24"/>
        <v>0.6091271089196821</v>
      </c>
      <c r="AA82" s="35">
        <f t="shared" si="24"/>
        <v>0.6509450850668266</v>
      </c>
      <c r="AB82" s="35">
        <f t="shared" si="24"/>
        <v>0.6910338429329004</v>
      </c>
    </row>
    <row r="83" spans="1:28" ht="12.75">
      <c r="A83" s="1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</row>
    <row r="84" ht="12.75">
      <c r="A84" s="19" t="s">
        <v>51</v>
      </c>
    </row>
    <row r="85" spans="1:28" ht="12.75">
      <c r="A85" s="15" t="s">
        <v>14</v>
      </c>
      <c r="C85" s="35">
        <f>$C52-C68</f>
        <v>0</v>
      </c>
      <c r="D85" s="35">
        <f aca="true" t="shared" si="25" ref="D85:AB85">$C52-D68</f>
        <v>0.8528633052939991</v>
      </c>
      <c r="E85" s="35">
        <f t="shared" si="25"/>
        <v>0.44795880529399934</v>
      </c>
      <c r="F85" s="35">
        <f t="shared" si="25"/>
        <v>1.0148251052939985</v>
      </c>
      <c r="G85" s="35">
        <f t="shared" si="25"/>
        <v>1.1767869052939979</v>
      </c>
      <c r="H85" s="35">
        <f t="shared" si="25"/>
        <v>1.0958060052940004</v>
      </c>
      <c r="I85" s="35">
        <f t="shared" si="25"/>
        <v>1.1767869052939979</v>
      </c>
      <c r="J85" s="35">
        <f t="shared" si="25"/>
        <v>1.1767869052939979</v>
      </c>
      <c r="K85" s="35">
        <f t="shared" si="25"/>
        <v>0.9091151421014176</v>
      </c>
      <c r="L85" s="35">
        <f t="shared" si="25"/>
        <v>0.9271535747564013</v>
      </c>
      <c r="M85" s="35">
        <f t="shared" si="25"/>
        <v>0.9901667092731534</v>
      </c>
      <c r="N85" s="35">
        <f t="shared" si="25"/>
        <v>1.0529543633817182</v>
      </c>
      <c r="O85" s="35">
        <f t="shared" si="25"/>
        <v>1.1155165370820948</v>
      </c>
      <c r="P85" s="35">
        <f t="shared" si="25"/>
        <v>1.1778532303742857</v>
      </c>
      <c r="Q85" s="35">
        <f t="shared" si="25"/>
        <v>1.2399644432582884</v>
      </c>
      <c r="R85" s="35">
        <f t="shared" si="25"/>
        <v>1.3018501757341019</v>
      </c>
      <c r="S85" s="35">
        <f t="shared" si="25"/>
        <v>1.363510427801729</v>
      </c>
      <c r="T85" s="35">
        <f t="shared" si="25"/>
        <v>1.4249451994611713</v>
      </c>
      <c r="U85" s="35">
        <f t="shared" si="25"/>
        <v>1.4861544907124236</v>
      </c>
      <c r="V85" s="35">
        <f t="shared" si="25"/>
        <v>1.5471383015554894</v>
      </c>
      <c r="W85" s="35">
        <f t="shared" si="25"/>
        <v>1.6078966319903687</v>
      </c>
      <c r="X85" s="35">
        <f t="shared" si="25"/>
        <v>1.668429482017058</v>
      </c>
      <c r="Y85" s="35">
        <f t="shared" si="25"/>
        <v>1.7287368516355626</v>
      </c>
      <c r="Z85" s="35">
        <f t="shared" si="25"/>
        <v>1.7888187408458789</v>
      </c>
      <c r="AA85" s="35">
        <f t="shared" si="25"/>
        <v>1.8486751496480087</v>
      </c>
      <c r="AB85" s="35">
        <f t="shared" si="25"/>
        <v>1.9218397188978846</v>
      </c>
    </row>
    <row r="86" spans="1:28" ht="12.75">
      <c r="A86" s="15" t="s">
        <v>15</v>
      </c>
      <c r="C86" s="35">
        <f>$C53-C69</f>
        <v>0</v>
      </c>
      <c r="D86" s="35">
        <f aca="true" t="shared" si="26" ref="D86:AB86">$C53-D69</f>
        <v>-0.5056022468750005</v>
      </c>
      <c r="E86" s="35">
        <f t="shared" si="26"/>
        <v>0.27578304374999996</v>
      </c>
      <c r="F86" s="35">
        <f t="shared" si="26"/>
        <v>0.04596384062499981</v>
      </c>
      <c r="G86" s="35">
        <f t="shared" si="26"/>
        <v>-0.22981920312500037</v>
      </c>
      <c r="H86" s="35">
        <f t="shared" si="26"/>
        <v>-0.0919276812500005</v>
      </c>
      <c r="I86" s="35">
        <f t="shared" si="26"/>
        <v>0.09192768125000006</v>
      </c>
      <c r="J86" s="35">
        <f t="shared" si="26"/>
        <v>0.09192768125000006</v>
      </c>
      <c r="K86" s="35">
        <f t="shared" si="26"/>
        <v>0.1053511737212105</v>
      </c>
      <c r="L86" s="35">
        <f t="shared" si="26"/>
        <v>0.11877466619242094</v>
      </c>
      <c r="M86" s="35">
        <f t="shared" si="26"/>
        <v>0.13219815866363138</v>
      </c>
      <c r="N86" s="35">
        <f t="shared" si="26"/>
        <v>0.14562165113484182</v>
      </c>
      <c r="O86" s="35">
        <f t="shared" si="26"/>
        <v>0.15904514360605182</v>
      </c>
      <c r="P86" s="35">
        <f t="shared" si="26"/>
        <v>0.1724686360772627</v>
      </c>
      <c r="Q86" s="35">
        <f t="shared" si="26"/>
        <v>0.1858921285484736</v>
      </c>
      <c r="R86" s="35">
        <f t="shared" si="26"/>
        <v>0.19931562101968403</v>
      </c>
      <c r="S86" s="35">
        <f t="shared" si="26"/>
        <v>0.21273911349089403</v>
      </c>
      <c r="T86" s="35">
        <f t="shared" si="26"/>
        <v>0.2261626059621049</v>
      </c>
      <c r="U86" s="35">
        <f t="shared" si="26"/>
        <v>0.23958609843331558</v>
      </c>
      <c r="V86" s="35">
        <f t="shared" si="26"/>
        <v>0.2530095909045258</v>
      </c>
      <c r="W86" s="35">
        <f t="shared" si="26"/>
        <v>0.26643308337573623</v>
      </c>
      <c r="X86" s="35">
        <f t="shared" si="26"/>
        <v>0.2798565758469469</v>
      </c>
      <c r="Y86" s="35">
        <f t="shared" si="26"/>
        <v>0.2932800683181571</v>
      </c>
      <c r="Z86" s="35">
        <f t="shared" si="26"/>
        <v>0.3067035607893678</v>
      </c>
      <c r="AA86" s="35">
        <f t="shared" si="26"/>
        <v>0.32012705326057844</v>
      </c>
      <c r="AB86" s="35">
        <f t="shared" si="26"/>
        <v>0.33355054573178977</v>
      </c>
    </row>
    <row r="87" spans="1:28" ht="12.75">
      <c r="A87" s="15" t="s">
        <v>3</v>
      </c>
      <c r="C87" s="35">
        <f aca="true" t="shared" si="27" ref="C87:AB87">SUM(C85:C86)</f>
        <v>0</v>
      </c>
      <c r="D87" s="35">
        <f t="shared" si="27"/>
        <v>0.34726105841899857</v>
      </c>
      <c r="E87" s="35">
        <f t="shared" si="27"/>
        <v>0.7237418490439993</v>
      </c>
      <c r="F87" s="35">
        <f t="shared" si="27"/>
        <v>1.0607889459189983</v>
      </c>
      <c r="G87" s="35">
        <f t="shared" si="27"/>
        <v>0.9469677021689975</v>
      </c>
      <c r="H87" s="35">
        <f t="shared" si="27"/>
        <v>1.003878324044</v>
      </c>
      <c r="I87" s="35">
        <f t="shared" si="27"/>
        <v>1.268714586543998</v>
      </c>
      <c r="J87" s="35">
        <f t="shared" si="27"/>
        <v>1.268714586543998</v>
      </c>
      <c r="K87" s="35">
        <f t="shared" si="27"/>
        <v>1.0144663158226281</v>
      </c>
      <c r="L87" s="35">
        <f t="shared" si="27"/>
        <v>1.0459282409488222</v>
      </c>
      <c r="M87" s="35">
        <f t="shared" si="27"/>
        <v>1.1223648679367848</v>
      </c>
      <c r="N87" s="35">
        <f t="shared" si="27"/>
        <v>1.19857601451656</v>
      </c>
      <c r="O87" s="35">
        <f t="shared" si="27"/>
        <v>1.2745616806881466</v>
      </c>
      <c r="P87" s="35">
        <f t="shared" si="27"/>
        <v>1.3503218664515484</v>
      </c>
      <c r="Q87" s="35">
        <f t="shared" si="27"/>
        <v>1.425856571806762</v>
      </c>
      <c r="R87" s="35">
        <f t="shared" si="27"/>
        <v>1.501165796753786</v>
      </c>
      <c r="S87" s="35">
        <f t="shared" si="27"/>
        <v>1.576249541292623</v>
      </c>
      <c r="T87" s="35">
        <f t="shared" si="27"/>
        <v>1.6511078054232762</v>
      </c>
      <c r="U87" s="35">
        <f t="shared" si="27"/>
        <v>1.7257405891457391</v>
      </c>
      <c r="V87" s="35">
        <f t="shared" si="27"/>
        <v>1.8001478924600152</v>
      </c>
      <c r="W87" s="35">
        <f t="shared" si="27"/>
        <v>1.874329715366105</v>
      </c>
      <c r="X87" s="35">
        <f t="shared" si="27"/>
        <v>1.9482860578640049</v>
      </c>
      <c r="Y87" s="35">
        <f t="shared" si="27"/>
        <v>2.0220169199537197</v>
      </c>
      <c r="Z87" s="35">
        <f t="shared" si="27"/>
        <v>2.0955223016352464</v>
      </c>
      <c r="AA87" s="35">
        <f t="shared" si="27"/>
        <v>2.168802202908587</v>
      </c>
      <c r="AB87" s="35">
        <f t="shared" si="27"/>
        <v>2.2553902646296744</v>
      </c>
    </row>
    <row r="88" spans="1:28" ht="12.75">
      <c r="A88" s="1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</row>
    <row r="89" ht="12.75">
      <c r="A89" s="19" t="s">
        <v>52</v>
      </c>
    </row>
    <row r="90" spans="1:28" ht="12.75">
      <c r="A90" s="15" t="s">
        <v>14</v>
      </c>
      <c r="C90" s="35">
        <f>C80</f>
        <v>0</v>
      </c>
      <c r="D90" s="35">
        <f aca="true" t="shared" si="28" ref="D90:AB91">C90+D80</f>
        <v>0</v>
      </c>
      <c r="E90" s="35">
        <f t="shared" si="28"/>
        <v>0</v>
      </c>
      <c r="F90" s="35">
        <f t="shared" si="28"/>
        <v>0</v>
      </c>
      <c r="G90" s="35">
        <f t="shared" si="28"/>
        <v>0</v>
      </c>
      <c r="H90" s="35">
        <f t="shared" si="28"/>
        <v>0</v>
      </c>
      <c r="I90" s="35">
        <f t="shared" si="28"/>
        <v>0</v>
      </c>
      <c r="J90" s="35">
        <f t="shared" si="28"/>
        <v>0</v>
      </c>
      <c r="K90" s="35">
        <f t="shared" si="28"/>
        <v>0</v>
      </c>
      <c r="L90" s="35">
        <f t="shared" si="28"/>
        <v>0</v>
      </c>
      <c r="M90" s="35">
        <f t="shared" si="28"/>
        <v>0.044974701861766775</v>
      </c>
      <c r="N90" s="35">
        <f t="shared" si="28"/>
        <v>0.1346986251771103</v>
      </c>
      <c r="O90" s="35">
        <f t="shared" si="28"/>
        <v>0.2689462895378485</v>
      </c>
      <c r="P90" s="35">
        <f t="shared" si="28"/>
        <v>0.44749221453579047</v>
      </c>
      <c r="Q90" s="35">
        <f t="shared" si="28"/>
        <v>0.6701109197627497</v>
      </c>
      <c r="R90" s="35">
        <f t="shared" si="28"/>
        <v>0.936576924810538</v>
      </c>
      <c r="S90" s="35">
        <f t="shared" si="28"/>
        <v>1.246664749270968</v>
      </c>
      <c r="T90" s="35">
        <f t="shared" si="28"/>
        <v>1.6001489127358548</v>
      </c>
      <c r="U90" s="35">
        <f t="shared" si="28"/>
        <v>1.9968039347970086</v>
      </c>
      <c r="V90" s="35">
        <f t="shared" si="28"/>
        <v>2.436404335046242</v>
      </c>
      <c r="W90" s="35">
        <f t="shared" si="28"/>
        <v>2.918724633075369</v>
      </c>
      <c r="X90" s="35">
        <f t="shared" si="28"/>
        <v>3.443539348476202</v>
      </c>
      <c r="Y90" s="35">
        <f t="shared" si="28"/>
        <v>4.010623000840554</v>
      </c>
      <c r="Z90" s="35">
        <f t="shared" si="28"/>
        <v>4.619750109760236</v>
      </c>
      <c r="AA90" s="35">
        <f t="shared" si="28"/>
        <v>5.270695194827063</v>
      </c>
      <c r="AB90" s="35">
        <f t="shared" si="28"/>
        <v>5.961729037759963</v>
      </c>
    </row>
    <row r="91" spans="1:28" ht="12.75">
      <c r="A91" s="15" t="s">
        <v>15</v>
      </c>
      <c r="C91" s="35">
        <f>C81</f>
        <v>0</v>
      </c>
      <c r="D91" s="35">
        <f t="shared" si="28"/>
        <v>0</v>
      </c>
      <c r="E91" s="35">
        <f t="shared" si="28"/>
        <v>0</v>
      </c>
      <c r="F91" s="35">
        <f t="shared" si="28"/>
        <v>0</v>
      </c>
      <c r="G91" s="35">
        <f t="shared" si="28"/>
        <v>0</v>
      </c>
      <c r="H91" s="35">
        <f t="shared" si="28"/>
        <v>0</v>
      </c>
      <c r="I91" s="35">
        <f t="shared" si="28"/>
        <v>0</v>
      </c>
      <c r="J91" s="35">
        <f t="shared" si="28"/>
        <v>0</v>
      </c>
      <c r="K91" s="35">
        <f t="shared" si="28"/>
        <v>0</v>
      </c>
      <c r="L91" s="35">
        <f t="shared" si="28"/>
        <v>0</v>
      </c>
      <c r="M91" s="35">
        <f t="shared" si="28"/>
        <v>0</v>
      </c>
      <c r="N91" s="35">
        <f t="shared" si="28"/>
        <v>0</v>
      </c>
      <c r="O91" s="35">
        <f t="shared" si="28"/>
        <v>0</v>
      </c>
      <c r="P91" s="35">
        <f t="shared" si="28"/>
        <v>0</v>
      </c>
      <c r="Q91" s="35">
        <f t="shared" si="28"/>
        <v>0</v>
      </c>
      <c r="R91" s="35">
        <f t="shared" si="28"/>
        <v>0</v>
      </c>
      <c r="S91" s="35">
        <f t="shared" si="28"/>
        <v>0</v>
      </c>
      <c r="T91" s="35">
        <f t="shared" si="28"/>
        <v>0</v>
      </c>
      <c r="U91" s="35">
        <f t="shared" si="28"/>
        <v>0</v>
      </c>
      <c r="V91" s="35">
        <f t="shared" si="28"/>
        <v>0</v>
      </c>
      <c r="W91" s="35">
        <f t="shared" si="28"/>
        <v>0</v>
      </c>
      <c r="X91" s="35">
        <f t="shared" si="28"/>
        <v>0</v>
      </c>
      <c r="Y91" s="35">
        <f t="shared" si="28"/>
        <v>0</v>
      </c>
      <c r="Z91" s="35">
        <f t="shared" si="28"/>
        <v>0</v>
      </c>
      <c r="AA91" s="35">
        <f t="shared" si="28"/>
        <v>0</v>
      </c>
      <c r="AB91" s="35">
        <f t="shared" si="28"/>
        <v>0</v>
      </c>
    </row>
    <row r="92" spans="1:28" ht="12.75">
      <c r="A92" s="15" t="s">
        <v>3</v>
      </c>
      <c r="C92" s="35">
        <f aca="true" t="shared" si="29" ref="C92:AB92">SUM(C90:C91)</f>
        <v>0</v>
      </c>
      <c r="D92" s="35">
        <f t="shared" si="29"/>
        <v>0</v>
      </c>
      <c r="E92" s="35">
        <f t="shared" si="29"/>
        <v>0</v>
      </c>
      <c r="F92" s="35">
        <f t="shared" si="29"/>
        <v>0</v>
      </c>
      <c r="G92" s="35">
        <f t="shared" si="29"/>
        <v>0</v>
      </c>
      <c r="H92" s="35">
        <f t="shared" si="29"/>
        <v>0</v>
      </c>
      <c r="I92" s="35">
        <f t="shared" si="29"/>
        <v>0</v>
      </c>
      <c r="J92" s="35">
        <f t="shared" si="29"/>
        <v>0</v>
      </c>
      <c r="K92" s="35">
        <f t="shared" si="29"/>
        <v>0</v>
      </c>
      <c r="L92" s="35">
        <f t="shared" si="29"/>
        <v>0</v>
      </c>
      <c r="M92" s="35">
        <f t="shared" si="29"/>
        <v>0.044974701861766775</v>
      </c>
      <c r="N92" s="35">
        <f t="shared" si="29"/>
        <v>0.1346986251771103</v>
      </c>
      <c r="O92" s="35">
        <f t="shared" si="29"/>
        <v>0.2689462895378485</v>
      </c>
      <c r="P92" s="35">
        <f t="shared" si="29"/>
        <v>0.44749221453579047</v>
      </c>
      <c r="Q92" s="35">
        <f t="shared" si="29"/>
        <v>0.6701109197627497</v>
      </c>
      <c r="R92" s="35">
        <f t="shared" si="29"/>
        <v>0.936576924810538</v>
      </c>
      <c r="S92" s="35">
        <f t="shared" si="29"/>
        <v>1.246664749270968</v>
      </c>
      <c r="T92" s="35">
        <f t="shared" si="29"/>
        <v>1.6001489127358548</v>
      </c>
      <c r="U92" s="35">
        <f t="shared" si="29"/>
        <v>1.9968039347970086</v>
      </c>
      <c r="V92" s="35">
        <f t="shared" si="29"/>
        <v>2.436404335046242</v>
      </c>
      <c r="W92" s="35">
        <f t="shared" si="29"/>
        <v>2.918724633075369</v>
      </c>
      <c r="X92" s="35">
        <f t="shared" si="29"/>
        <v>3.443539348476202</v>
      </c>
      <c r="Y92" s="35">
        <f t="shared" si="29"/>
        <v>4.010623000840554</v>
      </c>
      <c r="Z92" s="35">
        <f t="shared" si="29"/>
        <v>4.619750109760236</v>
      </c>
      <c r="AA92" s="35">
        <f t="shared" si="29"/>
        <v>5.270695194827063</v>
      </c>
      <c r="AB92" s="35">
        <f t="shared" si="29"/>
        <v>5.961729037759963</v>
      </c>
    </row>
    <row r="93" spans="1:28" ht="12.75">
      <c r="A93" s="1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</row>
    <row r="94" ht="12.75">
      <c r="A94" s="19" t="s">
        <v>53</v>
      </c>
    </row>
    <row r="95" spans="1:28" ht="12.75">
      <c r="A95" s="15" t="s">
        <v>14</v>
      </c>
      <c r="C95" s="35">
        <f>C85</f>
        <v>0</v>
      </c>
      <c r="D95" s="35">
        <f aca="true" t="shared" si="30" ref="D95:AB96">C95+D85</f>
        <v>0.8528633052939991</v>
      </c>
      <c r="E95" s="35">
        <f t="shared" si="30"/>
        <v>1.3008221105879985</v>
      </c>
      <c r="F95" s="35">
        <f t="shared" si="30"/>
        <v>2.315647215881997</v>
      </c>
      <c r="G95" s="35">
        <f t="shared" si="30"/>
        <v>3.492434121175995</v>
      </c>
      <c r="H95" s="35">
        <f t="shared" si="30"/>
        <v>4.588240126469995</v>
      </c>
      <c r="I95" s="35">
        <f t="shared" si="30"/>
        <v>5.765027031763993</v>
      </c>
      <c r="J95" s="35">
        <f t="shared" si="30"/>
        <v>6.941813937057991</v>
      </c>
      <c r="K95" s="35">
        <f t="shared" si="30"/>
        <v>7.850929079159409</v>
      </c>
      <c r="L95" s="35">
        <f t="shared" si="30"/>
        <v>8.77808265391581</v>
      </c>
      <c r="M95" s="35">
        <f t="shared" si="30"/>
        <v>9.768249363188964</v>
      </c>
      <c r="N95" s="35">
        <f t="shared" si="30"/>
        <v>10.821203726570683</v>
      </c>
      <c r="O95" s="35">
        <f t="shared" si="30"/>
        <v>11.936720263652777</v>
      </c>
      <c r="P95" s="35">
        <f t="shared" si="30"/>
        <v>13.114573494027063</v>
      </c>
      <c r="Q95" s="35">
        <f t="shared" si="30"/>
        <v>14.35453793728535</v>
      </c>
      <c r="R95" s="35">
        <f t="shared" si="30"/>
        <v>15.656388113019453</v>
      </c>
      <c r="S95" s="35">
        <f t="shared" si="30"/>
        <v>17.01989854082118</v>
      </c>
      <c r="T95" s="35">
        <f t="shared" si="30"/>
        <v>18.44484374028235</v>
      </c>
      <c r="U95" s="35">
        <f t="shared" si="30"/>
        <v>19.930998230994774</v>
      </c>
      <c r="V95" s="35">
        <f t="shared" si="30"/>
        <v>21.478136532550263</v>
      </c>
      <c r="W95" s="35">
        <f t="shared" si="30"/>
        <v>23.08603316454063</v>
      </c>
      <c r="X95" s="35">
        <f t="shared" si="30"/>
        <v>24.754462646557688</v>
      </c>
      <c r="Y95" s="35">
        <f t="shared" si="30"/>
        <v>26.48319949819325</v>
      </c>
      <c r="Z95" s="35">
        <f t="shared" si="30"/>
        <v>28.27201823903913</v>
      </c>
      <c r="AA95" s="35">
        <f t="shared" si="30"/>
        <v>30.12069338868714</v>
      </c>
      <c r="AB95" s="35">
        <f t="shared" si="30"/>
        <v>32.04253310758502</v>
      </c>
    </row>
    <row r="96" spans="1:28" ht="12.75">
      <c r="A96" s="15" t="s">
        <v>15</v>
      </c>
      <c r="C96" s="35">
        <f>C86</f>
        <v>0</v>
      </c>
      <c r="D96" s="35">
        <f t="shared" si="30"/>
        <v>-0.5056022468750005</v>
      </c>
      <c r="E96" s="35">
        <f t="shared" si="30"/>
        <v>-0.2298192031250006</v>
      </c>
      <c r="F96" s="35">
        <f t="shared" si="30"/>
        <v>-0.18385536250000079</v>
      </c>
      <c r="G96" s="35">
        <f t="shared" si="30"/>
        <v>-0.41367456562500116</v>
      </c>
      <c r="H96" s="35">
        <f t="shared" si="30"/>
        <v>-0.5056022468750017</v>
      </c>
      <c r="I96" s="35">
        <f t="shared" si="30"/>
        <v>-0.4136745656250016</v>
      </c>
      <c r="J96" s="35">
        <f t="shared" si="30"/>
        <v>-0.32174688437500154</v>
      </c>
      <c r="K96" s="35">
        <f t="shared" si="30"/>
        <v>-0.21639571065379104</v>
      </c>
      <c r="L96" s="35">
        <f t="shared" si="30"/>
        <v>-0.0976210444613701</v>
      </c>
      <c r="M96" s="35">
        <f t="shared" si="30"/>
        <v>0.03457711420226128</v>
      </c>
      <c r="N96" s="35">
        <f t="shared" si="30"/>
        <v>0.1801987653371031</v>
      </c>
      <c r="O96" s="35">
        <f t="shared" si="30"/>
        <v>0.3392439089431549</v>
      </c>
      <c r="P96" s="35">
        <f t="shared" si="30"/>
        <v>0.5117125450204176</v>
      </c>
      <c r="Q96" s="35">
        <f t="shared" si="30"/>
        <v>0.6976046735688912</v>
      </c>
      <c r="R96" s="35">
        <f t="shared" si="30"/>
        <v>0.8969202945885753</v>
      </c>
      <c r="S96" s="35">
        <f t="shared" si="30"/>
        <v>1.1096594080794693</v>
      </c>
      <c r="T96" s="35">
        <f t="shared" si="30"/>
        <v>1.3358220140415742</v>
      </c>
      <c r="U96" s="35">
        <f t="shared" si="30"/>
        <v>1.5754081124748898</v>
      </c>
      <c r="V96" s="35">
        <f t="shared" si="30"/>
        <v>1.8284177033794156</v>
      </c>
      <c r="W96" s="35">
        <f t="shared" si="30"/>
        <v>2.094850786755152</v>
      </c>
      <c r="X96" s="35">
        <f t="shared" si="30"/>
        <v>2.3747073626020985</v>
      </c>
      <c r="Y96" s="35">
        <f t="shared" si="30"/>
        <v>2.6679874309202556</v>
      </c>
      <c r="Z96" s="35">
        <f t="shared" si="30"/>
        <v>2.9746909917096236</v>
      </c>
      <c r="AA96" s="35">
        <f t="shared" si="30"/>
        <v>3.294818044970202</v>
      </c>
      <c r="AB96" s="35">
        <f t="shared" si="30"/>
        <v>3.628368590701992</v>
      </c>
    </row>
    <row r="97" spans="1:28" ht="12.75">
      <c r="A97" s="15" t="s">
        <v>3</v>
      </c>
      <c r="C97" s="35">
        <f aca="true" t="shared" si="31" ref="C97:AB97">SUM(C95:C96)</f>
        <v>0</v>
      </c>
      <c r="D97" s="35">
        <f t="shared" si="31"/>
        <v>0.34726105841899857</v>
      </c>
      <c r="E97" s="35">
        <f t="shared" si="31"/>
        <v>1.0710029074629979</v>
      </c>
      <c r="F97" s="35">
        <f t="shared" si="31"/>
        <v>2.131791853381996</v>
      </c>
      <c r="G97" s="35">
        <f t="shared" si="31"/>
        <v>3.0787595555509935</v>
      </c>
      <c r="H97" s="35">
        <f t="shared" si="31"/>
        <v>4.082637879594993</v>
      </c>
      <c r="I97" s="35">
        <f t="shared" si="31"/>
        <v>5.351352466138992</v>
      </c>
      <c r="J97" s="35">
        <f t="shared" si="31"/>
        <v>6.620067052682989</v>
      </c>
      <c r="K97" s="35">
        <f t="shared" si="31"/>
        <v>7.634533368505617</v>
      </c>
      <c r="L97" s="35">
        <f t="shared" si="31"/>
        <v>8.68046160945444</v>
      </c>
      <c r="M97" s="35">
        <f t="shared" si="31"/>
        <v>9.802826477391225</v>
      </c>
      <c r="N97" s="35">
        <f t="shared" si="31"/>
        <v>11.001402491907786</v>
      </c>
      <c r="O97" s="35">
        <f t="shared" si="31"/>
        <v>12.275964172595932</v>
      </c>
      <c r="P97" s="35">
        <f t="shared" si="31"/>
        <v>13.62628603904748</v>
      </c>
      <c r="Q97" s="35">
        <f t="shared" si="31"/>
        <v>15.052142610854242</v>
      </c>
      <c r="R97" s="35">
        <f t="shared" si="31"/>
        <v>16.55330840760803</v>
      </c>
      <c r="S97" s="35">
        <f t="shared" si="31"/>
        <v>18.12955794890065</v>
      </c>
      <c r="T97" s="35">
        <f t="shared" si="31"/>
        <v>19.780665754323927</v>
      </c>
      <c r="U97" s="35">
        <f t="shared" si="31"/>
        <v>21.506406343469664</v>
      </c>
      <c r="V97" s="35">
        <f t="shared" si="31"/>
        <v>23.306554235929678</v>
      </c>
      <c r="W97" s="35">
        <f t="shared" si="31"/>
        <v>25.180883951295783</v>
      </c>
      <c r="X97" s="35">
        <f t="shared" si="31"/>
        <v>27.129170009159786</v>
      </c>
      <c r="Y97" s="35">
        <f t="shared" si="31"/>
        <v>29.151186929113507</v>
      </c>
      <c r="Z97" s="35">
        <f t="shared" si="31"/>
        <v>31.246709230748756</v>
      </c>
      <c r="AA97" s="35">
        <f t="shared" si="31"/>
        <v>33.41551143365734</v>
      </c>
      <c r="AB97" s="35">
        <f t="shared" si="31"/>
        <v>35.67090169828701</v>
      </c>
    </row>
    <row r="98" spans="3:28" ht="12.75"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</row>
    <row r="99" spans="3:28" ht="12.75">
      <c r="C99" s="14">
        <v>2000</v>
      </c>
      <c r="D99" s="14">
        <f aca="true" t="shared" si="32" ref="D99:AB99">1+C99</f>
        <v>2001</v>
      </c>
      <c r="E99" s="14">
        <f t="shared" si="32"/>
        <v>2002</v>
      </c>
      <c r="F99" s="14">
        <f t="shared" si="32"/>
        <v>2003</v>
      </c>
      <c r="G99" s="14">
        <f t="shared" si="32"/>
        <v>2004</v>
      </c>
      <c r="H99" s="14">
        <f t="shared" si="32"/>
        <v>2005</v>
      </c>
      <c r="I99" s="14">
        <f t="shared" si="32"/>
        <v>2006</v>
      </c>
      <c r="J99" s="14">
        <f t="shared" si="32"/>
        <v>2007</v>
      </c>
      <c r="K99" s="14">
        <f t="shared" si="32"/>
        <v>2008</v>
      </c>
      <c r="L99" s="14">
        <f t="shared" si="32"/>
        <v>2009</v>
      </c>
      <c r="M99" s="14">
        <f t="shared" si="32"/>
        <v>2010</v>
      </c>
      <c r="N99" s="14">
        <f t="shared" si="32"/>
        <v>2011</v>
      </c>
      <c r="O99" s="14">
        <f t="shared" si="32"/>
        <v>2012</v>
      </c>
      <c r="P99" s="14">
        <f t="shared" si="32"/>
        <v>2013</v>
      </c>
      <c r="Q99" s="14">
        <f t="shared" si="32"/>
        <v>2014</v>
      </c>
      <c r="R99" s="14">
        <f t="shared" si="32"/>
        <v>2015</v>
      </c>
      <c r="S99" s="14">
        <f t="shared" si="32"/>
        <v>2016</v>
      </c>
      <c r="T99" s="14">
        <f t="shared" si="32"/>
        <v>2017</v>
      </c>
      <c r="U99" s="14">
        <f t="shared" si="32"/>
        <v>2018</v>
      </c>
      <c r="V99" s="14">
        <f t="shared" si="32"/>
        <v>2019</v>
      </c>
      <c r="W99" s="14">
        <f t="shared" si="32"/>
        <v>2020</v>
      </c>
      <c r="X99" s="14">
        <f t="shared" si="32"/>
        <v>2021</v>
      </c>
      <c r="Y99" s="14">
        <f t="shared" si="32"/>
        <v>2022</v>
      </c>
      <c r="Z99" s="14">
        <f t="shared" si="32"/>
        <v>2023</v>
      </c>
      <c r="AA99" s="14">
        <f t="shared" si="32"/>
        <v>2024</v>
      </c>
      <c r="AB99" s="14">
        <f t="shared" si="32"/>
        <v>2025</v>
      </c>
    </row>
    <row r="100" ht="12.75">
      <c r="A100" s="46" t="s">
        <v>31</v>
      </c>
    </row>
    <row r="101" spans="1:28" ht="12.75">
      <c r="A101" s="19" t="s">
        <v>6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1">
        <f aca="true" t="shared" si="33" ref="M101:AA101">$AB101/16+L101</f>
        <v>0.012762075</v>
      </c>
      <c r="N101" s="41">
        <f t="shared" si="33"/>
        <v>0.02552415</v>
      </c>
      <c r="O101" s="41">
        <f t="shared" si="33"/>
        <v>0.038286225</v>
      </c>
      <c r="P101" s="41">
        <f t="shared" si="33"/>
        <v>0.0510483</v>
      </c>
      <c r="Q101" s="41">
        <f t="shared" si="33"/>
        <v>0.063810375</v>
      </c>
      <c r="R101" s="41">
        <f t="shared" si="33"/>
        <v>0.07657245</v>
      </c>
      <c r="S101" s="41">
        <f t="shared" si="33"/>
        <v>0.089334525</v>
      </c>
      <c r="T101" s="41">
        <f t="shared" si="33"/>
        <v>0.1020966</v>
      </c>
      <c r="U101" s="41">
        <f t="shared" si="33"/>
        <v>0.114858675</v>
      </c>
      <c r="V101" s="41">
        <f t="shared" si="33"/>
        <v>0.12762075</v>
      </c>
      <c r="W101" s="41">
        <f t="shared" si="33"/>
        <v>0.14038282500000002</v>
      </c>
      <c r="X101" s="41">
        <f t="shared" si="33"/>
        <v>0.15314490000000003</v>
      </c>
      <c r="Y101" s="41">
        <f t="shared" si="33"/>
        <v>0.16590697500000004</v>
      </c>
      <c r="Z101" s="41">
        <f t="shared" si="33"/>
        <v>0.17866905000000005</v>
      </c>
      <c r="AA101" s="41">
        <f t="shared" si="33"/>
        <v>0.19143112500000006</v>
      </c>
      <c r="AB101" s="41">
        <f>B22</f>
        <v>0.2041932</v>
      </c>
    </row>
    <row r="103" ht="12.75">
      <c r="A103" s="19" t="s">
        <v>35</v>
      </c>
    </row>
    <row r="104" spans="1:28" ht="12.75">
      <c r="A104" s="15" t="s">
        <v>14</v>
      </c>
      <c r="C104" s="24">
        <f>C40*Conversions!$E$8*(1-C101)/1000</f>
        <v>20.126438332</v>
      </c>
      <c r="D104" s="24">
        <f>D40*Conversions!$E$8*(1-D101)/1000</f>
        <v>18.018</v>
      </c>
      <c r="E104" s="24">
        <f>E40*Conversions!$E$8*(1-E101)/1000</f>
        <v>19.019</v>
      </c>
      <c r="F104" s="24">
        <f>F40*Conversions!$E$8*(1-F101)/1000</f>
        <v>17.6176</v>
      </c>
      <c r="G104" s="24">
        <f>G40*Conversions!$E$8*(1-G101)/1000</f>
        <v>17.217200000000002</v>
      </c>
      <c r="H104" s="24">
        <f>H40*Conversions!$E$8*(1-H101)/1000</f>
        <v>17.417399999999997</v>
      </c>
      <c r="I104" s="24">
        <f>I40*Conversions!$E$8*(1-I101)/1000</f>
        <v>17.217200000000002</v>
      </c>
      <c r="J104" s="24">
        <f>J40*Conversions!$E$8*(1-J101)/1000</f>
        <v>17.217200000000002</v>
      </c>
      <c r="K104" s="24">
        <f>K40*Conversions!$E$8*(1-K101)/1000</f>
        <v>17.878934890463736</v>
      </c>
      <c r="L104" s="24">
        <f>L40*Conversions!$E$8*(1-L101)/1000</f>
        <v>17.834340495766618</v>
      </c>
      <c r="M104" s="24">
        <f>M40*Conversions!$E$8*(1-M101)/1000</f>
        <v>17.562712027096687</v>
      </c>
      <c r="N104" s="24">
        <f>N40*Conversions!$E$8*(1-N101)/1000</f>
        <v>17.29222179244617</v>
      </c>
      <c r="O104" s="24">
        <f>O40*Conversions!$E$8*(1-O101)/1000</f>
        <v>17.02286979181506</v>
      </c>
      <c r="P104" s="24">
        <f>P40*Conversions!$E$8*(1-P101)/1000</f>
        <v>16.754656025203357</v>
      </c>
      <c r="Q104" s="24">
        <f>Q40*Conversions!$E$8*(1-Q101)/1000</f>
        <v>16.487580492611066</v>
      </c>
      <c r="R104" s="24">
        <f>R40*Conversions!$E$8*(1-R101)/1000</f>
        <v>16.22164319403818</v>
      </c>
      <c r="S104" s="24">
        <f>S40*Conversions!$E$8*(1-S101)/1000</f>
        <v>15.956844129484708</v>
      </c>
      <c r="T104" s="24">
        <f>T40*Conversions!$E$8*(1-T101)/1000</f>
        <v>15.693183298950638</v>
      </c>
      <c r="U104" s="24">
        <f>U40*Conversions!$E$8*(1-U101)/1000</f>
        <v>15.43066070243598</v>
      </c>
      <c r="V104" s="24">
        <f>V40*Conversions!$E$8*(1-V101)/1000</f>
        <v>15.169276339940726</v>
      </c>
      <c r="W104" s="24">
        <f>W40*Conversions!$E$8*(1-W101)/1000</f>
        <v>14.909030211464886</v>
      </c>
      <c r="X104" s="24">
        <f>X40*Conversions!$E$8*(1-X101)/1000</f>
        <v>14.649922317008455</v>
      </c>
      <c r="Y104" s="24">
        <f>Y40*Conversions!$E$8*(1-Y101)/1000</f>
        <v>14.391952656571426</v>
      </c>
      <c r="Z104" s="24">
        <f>Z40*Conversions!$E$8*(1-Z101)/1000</f>
        <v>14.135121230153809</v>
      </c>
      <c r="AA104" s="24">
        <f>AA40*Conversions!$E$8*(1-AA101)/1000</f>
        <v>13.879428037755602</v>
      </c>
      <c r="AB104" s="24">
        <f>AB40*Conversions!$E$8*(1-AB101)/1000</f>
        <v>13.5952887821047</v>
      </c>
    </row>
    <row r="105" spans="1:28" ht="12.75">
      <c r="A105" s="15" t="s">
        <v>15</v>
      </c>
      <c r="C105" s="24">
        <f>C41*Conversions!$E$9/1000</f>
        <v>5.454299999999999</v>
      </c>
      <c r="D105" s="24">
        <f>D41*Conversions!$E$9/1000</f>
        <v>6.70424375</v>
      </c>
      <c r="E105" s="24">
        <f>E41*Conversions!$E$9/1000</f>
        <v>4.7725124999999995</v>
      </c>
      <c r="F105" s="24">
        <f>F41*Conversions!$E$9/1000</f>
        <v>5.34066875</v>
      </c>
      <c r="G105" s="24">
        <f>G41*Conversions!$E$9/1000</f>
        <v>6.022456249999999</v>
      </c>
      <c r="H105" s="24">
        <f>H41*Conversions!$E$9/1000</f>
        <v>5.6815625</v>
      </c>
      <c r="I105" s="24">
        <f>I41*Conversions!$E$9/1000</f>
        <v>5.2270375</v>
      </c>
      <c r="J105" s="24">
        <f>J41*Conversions!$E$9/1000</f>
        <v>5.2270375</v>
      </c>
      <c r="K105" s="24">
        <f>K41*Conversions!$E$9/1000</f>
        <v>5.193852104521111</v>
      </c>
      <c r="L105" s="24">
        <f>L41*Conversions!$E$9/1000</f>
        <v>5.160666709042222</v>
      </c>
      <c r="M105" s="24">
        <f>M41*Conversions!$E$9/1000</f>
        <v>5.127481313563333</v>
      </c>
      <c r="N105" s="24">
        <f>N41*Conversions!$E$9/1000</f>
        <v>5.094295918084445</v>
      </c>
      <c r="O105" s="24">
        <f>O41*Conversions!$E$9/1000</f>
        <v>5.061110522605556</v>
      </c>
      <c r="P105" s="24">
        <f>P41*Conversions!$E$9/1000</f>
        <v>5.027925127126667</v>
      </c>
      <c r="Q105" s="24">
        <f>Q41*Conversions!$E$9/1000</f>
        <v>4.994739731647778</v>
      </c>
      <c r="R105" s="24">
        <f>R41*Conversions!$E$9/1000</f>
        <v>4.96155433616889</v>
      </c>
      <c r="S105" s="24">
        <f>S41*Conversions!$E$9/1000</f>
        <v>4.928368940690001</v>
      </c>
      <c r="T105" s="24">
        <f>T41*Conversions!$E$9/1000</f>
        <v>4.895183545211112</v>
      </c>
      <c r="U105" s="24">
        <f>U41*Conversions!$E$9/1000</f>
        <v>4.861998149732223</v>
      </c>
      <c r="V105" s="24">
        <f>V41*Conversions!$E$9/1000</f>
        <v>4.828812754253335</v>
      </c>
      <c r="W105" s="24">
        <f>W41*Conversions!$E$9/1000</f>
        <v>4.795627358774446</v>
      </c>
      <c r="X105" s="24">
        <f>X41*Conversions!$E$9/1000</f>
        <v>4.762441963295557</v>
      </c>
      <c r="Y105" s="24">
        <f>Y41*Conversions!$E$9/1000</f>
        <v>4.729256567816669</v>
      </c>
      <c r="Z105" s="24">
        <f>Z41*Conversions!$E$9/1000</f>
        <v>4.6960711723377795</v>
      </c>
      <c r="AA105" s="24">
        <f>AA41*Conversions!$E$9/1000</f>
        <v>4.66288577685889</v>
      </c>
      <c r="AB105" s="24">
        <f>AB41*Conversions!$E$9/1000</f>
        <v>4.62970038138</v>
      </c>
    </row>
    <row r="106" spans="1:28" ht="12.75">
      <c r="A106" s="15" t="s">
        <v>3</v>
      </c>
      <c r="C106" s="24">
        <f aca="true" t="shared" si="34" ref="C106:AB106">SUM(C104:C105)</f>
        <v>25.580738332</v>
      </c>
      <c r="D106" s="24">
        <f t="shared" si="34"/>
        <v>24.72224375</v>
      </c>
      <c r="E106" s="24">
        <f t="shared" si="34"/>
        <v>23.791512499999996</v>
      </c>
      <c r="F106" s="24">
        <f t="shared" si="34"/>
        <v>22.95826875</v>
      </c>
      <c r="G106" s="24">
        <f t="shared" si="34"/>
        <v>23.239656250000003</v>
      </c>
      <c r="H106" s="24">
        <f t="shared" si="34"/>
        <v>23.0989625</v>
      </c>
      <c r="I106" s="24">
        <f t="shared" si="34"/>
        <v>22.4442375</v>
      </c>
      <c r="J106" s="24">
        <f t="shared" si="34"/>
        <v>22.4442375</v>
      </c>
      <c r="K106" s="24">
        <f t="shared" si="34"/>
        <v>23.072786994984845</v>
      </c>
      <c r="L106" s="24">
        <f t="shared" si="34"/>
        <v>22.99500720480884</v>
      </c>
      <c r="M106" s="24">
        <f t="shared" si="34"/>
        <v>22.69019334066002</v>
      </c>
      <c r="N106" s="24">
        <f t="shared" si="34"/>
        <v>22.386517710530615</v>
      </c>
      <c r="O106" s="24">
        <f t="shared" si="34"/>
        <v>22.083980314420618</v>
      </c>
      <c r="P106" s="24">
        <f t="shared" si="34"/>
        <v>21.782581152330025</v>
      </c>
      <c r="Q106" s="24">
        <f t="shared" si="34"/>
        <v>21.482320224258842</v>
      </c>
      <c r="R106" s="24">
        <f t="shared" si="34"/>
        <v>21.183197530207067</v>
      </c>
      <c r="S106" s="24">
        <f t="shared" si="34"/>
        <v>20.885213070174707</v>
      </c>
      <c r="T106" s="24">
        <f t="shared" si="34"/>
        <v>20.58836684416175</v>
      </c>
      <c r="U106" s="24">
        <f t="shared" si="34"/>
        <v>20.292658852168202</v>
      </c>
      <c r="V106" s="24">
        <f t="shared" si="34"/>
        <v>19.99808909419406</v>
      </c>
      <c r="W106" s="24">
        <f t="shared" si="34"/>
        <v>19.704657570239334</v>
      </c>
      <c r="X106" s="24">
        <f t="shared" si="34"/>
        <v>19.41236428030401</v>
      </c>
      <c r="Y106" s="24">
        <f t="shared" si="34"/>
        <v>19.121209224388096</v>
      </c>
      <c r="Z106" s="24">
        <f t="shared" si="34"/>
        <v>18.831192402491588</v>
      </c>
      <c r="AA106" s="24">
        <f t="shared" si="34"/>
        <v>18.54231381461449</v>
      </c>
      <c r="AB106" s="24">
        <f t="shared" si="34"/>
        <v>18.2249891634847</v>
      </c>
    </row>
    <row r="107" spans="1:28" ht="12.75">
      <c r="A107" s="36" t="s">
        <v>16</v>
      </c>
      <c r="C107" s="37">
        <f aca="true" t="shared" si="35" ref="C107:AB107">C104/C106</f>
        <v>0.7867809783591355</v>
      </c>
      <c r="D107" s="37">
        <f t="shared" si="35"/>
        <v>0.7288173428837744</v>
      </c>
      <c r="E107" s="37">
        <f t="shared" si="35"/>
        <v>0.7994027281787991</v>
      </c>
      <c r="F107" s="37">
        <f t="shared" si="35"/>
        <v>0.7673749354467332</v>
      </c>
      <c r="G107" s="37">
        <f t="shared" si="35"/>
        <v>0.7408543316986455</v>
      </c>
      <c r="H107" s="37">
        <f t="shared" si="35"/>
        <v>0.7540338662396633</v>
      </c>
      <c r="I107" s="37">
        <f t="shared" si="35"/>
        <v>0.7671100432794833</v>
      </c>
      <c r="J107" s="37">
        <f t="shared" si="35"/>
        <v>0.7671100432794833</v>
      </c>
      <c r="K107" s="37">
        <f t="shared" si="35"/>
        <v>0.7748927294457294</v>
      </c>
      <c r="L107" s="37">
        <f t="shared" si="35"/>
        <v>0.7755744687062766</v>
      </c>
      <c r="M107" s="37">
        <f t="shared" si="35"/>
        <v>0.7740221409054692</v>
      </c>
      <c r="N107" s="37">
        <f t="shared" si="35"/>
        <v>0.7724391089334949</v>
      </c>
      <c r="O107" s="37">
        <f t="shared" si="35"/>
        <v>0.7708243509300403</v>
      </c>
      <c r="P107" s="37">
        <f t="shared" si="35"/>
        <v>0.7691767981046248</v>
      </c>
      <c r="Q107" s="37">
        <f t="shared" si="35"/>
        <v>0.7674953319982875</v>
      </c>
      <c r="R107" s="37">
        <f t="shared" si="35"/>
        <v>0.7657787815510972</v>
      </c>
      <c r="S107" s="37">
        <f t="shared" si="35"/>
        <v>0.7640259199592272</v>
      </c>
      <c r="T107" s="37">
        <f t="shared" si="35"/>
        <v>0.7622354613037584</v>
      </c>
      <c r="U107" s="37">
        <f t="shared" si="35"/>
        <v>0.760406056931631</v>
      </c>
      <c r="V107" s="37">
        <f t="shared" si="35"/>
        <v>0.7585362915672149</v>
      </c>
      <c r="W107" s="37">
        <f t="shared" si="35"/>
        <v>0.7566246791308132</v>
      </c>
      <c r="X107" s="37">
        <f t="shared" si="35"/>
        <v>0.7546696582379933</v>
      </c>
      <c r="Y107" s="37">
        <f t="shared" si="35"/>
        <v>0.7526695873509531</v>
      </c>
      <c r="Z107" s="37">
        <f t="shared" si="35"/>
        <v>0.7506227395501288</v>
      </c>
      <c r="AA107" s="37">
        <f t="shared" si="35"/>
        <v>0.7485272968908689</v>
      </c>
      <c r="AB107" s="37">
        <f t="shared" si="35"/>
        <v>0.7459696497018503</v>
      </c>
    </row>
    <row r="109" ht="12.75">
      <c r="A109" s="19" t="s">
        <v>21</v>
      </c>
    </row>
    <row r="110" spans="1:28" ht="12.75">
      <c r="A110" s="15" t="s">
        <v>14</v>
      </c>
      <c r="C110" s="35">
        <f>C104*Conversions!$E$16/1000</f>
        <v>8.141144305293999</v>
      </c>
      <c r="D110" s="35">
        <f>D104*Conversions!$E$16/1000</f>
        <v>7.288281</v>
      </c>
      <c r="E110" s="35">
        <f>E104*Conversions!$E$16/1000</f>
        <v>7.693185499999999</v>
      </c>
      <c r="F110" s="35">
        <f>F104*Conversions!$E$16/1000</f>
        <v>7.1263192</v>
      </c>
      <c r="G110" s="35">
        <f>G104*Conversions!$E$16/1000</f>
        <v>6.964357400000001</v>
      </c>
      <c r="H110" s="35">
        <f>H104*Conversions!$E$16/1000</f>
        <v>7.045338299999998</v>
      </c>
      <c r="I110" s="35">
        <f>I104*Conversions!$E$16/1000</f>
        <v>6.964357400000001</v>
      </c>
      <c r="J110" s="35">
        <f>J104*Conversions!$E$16/1000</f>
        <v>6.964357400000001</v>
      </c>
      <c r="K110" s="35">
        <f>K104*Conversions!$E$16/1000</f>
        <v>7.232029163192581</v>
      </c>
      <c r="L110" s="35">
        <f>L104*Conversions!$E$16/1000</f>
        <v>7.213990730537597</v>
      </c>
      <c r="M110" s="35">
        <f>M104*Conversions!$E$16/1000</f>
        <v>7.104117014960609</v>
      </c>
      <c r="N110" s="35">
        <f>N104*Conversions!$E$16/1000</f>
        <v>6.9947037150444755</v>
      </c>
      <c r="O110" s="35">
        <f>O104*Conversions!$E$16/1000</f>
        <v>6.885750830789192</v>
      </c>
      <c r="P110" s="35">
        <f>P104*Conversions!$E$16/1000</f>
        <v>6.7772583621947575</v>
      </c>
      <c r="Q110" s="35">
        <f>Q104*Conversions!$E$16/1000</f>
        <v>6.669226309261177</v>
      </c>
      <c r="R110" s="35">
        <f>R104*Conversions!$E$16/1000</f>
        <v>6.561654671988443</v>
      </c>
      <c r="S110" s="35">
        <f>S104*Conversions!$E$16/1000</f>
        <v>6.454543450376565</v>
      </c>
      <c r="T110" s="35">
        <f>T104*Conversions!$E$16/1000</f>
        <v>6.347892644425533</v>
      </c>
      <c r="U110" s="35">
        <f>U104*Conversions!$E$16/1000</f>
        <v>6.241702254135354</v>
      </c>
      <c r="V110" s="35">
        <f>V104*Conversions!$E$16/1000</f>
        <v>6.135972279506023</v>
      </c>
      <c r="W110" s="35">
        <f>W104*Conversions!$E$16/1000</f>
        <v>6.030702720537546</v>
      </c>
      <c r="X110" s="35">
        <f>X104*Conversions!$E$16/1000</f>
        <v>5.92589357722992</v>
      </c>
      <c r="Y110" s="35">
        <f>Y104*Conversions!$E$16/1000</f>
        <v>5.821544849583143</v>
      </c>
      <c r="Z110" s="35">
        <f>Z104*Conversions!$E$16/1000</f>
        <v>5.7176565375972155</v>
      </c>
      <c r="AA110" s="35">
        <f>AA104*Conversions!$E$16/1000</f>
        <v>5.614228641272142</v>
      </c>
      <c r="AB110" s="35">
        <f>AB104*Conversions!$E$16/1000</f>
        <v>5.49929431236135</v>
      </c>
    </row>
    <row r="111" spans="1:28" ht="12.75">
      <c r="A111" s="15" t="s">
        <v>15</v>
      </c>
      <c r="C111" s="35">
        <f>C105*Conversions!$E$16/1000</f>
        <v>2.2062643499999997</v>
      </c>
      <c r="D111" s="35">
        <f>D105*Conversions!$E$16/1000</f>
        <v>2.711866596875</v>
      </c>
      <c r="E111" s="35">
        <f>E105*Conversions!$E$16/1000</f>
        <v>1.9304813062499997</v>
      </c>
      <c r="F111" s="35">
        <f>F105*Conversions!$E$16/1000</f>
        <v>2.160300509375</v>
      </c>
      <c r="G111" s="35">
        <f>G105*Conversions!$E$16/1000</f>
        <v>2.436083553125</v>
      </c>
      <c r="H111" s="35">
        <f>H105*Conversions!$E$16/1000</f>
        <v>2.29819203125</v>
      </c>
      <c r="I111" s="35">
        <f>I105*Conversions!$E$16/1000</f>
        <v>2.1143366687499996</v>
      </c>
      <c r="J111" s="35">
        <f>J105*Conversions!$E$16/1000</f>
        <v>2.1143366687499996</v>
      </c>
      <c r="K111" s="35">
        <f>K105*Conversions!$E$16/1000</f>
        <v>2.100913176278789</v>
      </c>
      <c r="L111" s="35">
        <f>L105*Conversions!$E$16/1000</f>
        <v>2.0874896838075787</v>
      </c>
      <c r="M111" s="35">
        <f>M105*Conversions!$E$16/1000</f>
        <v>2.0740661913363683</v>
      </c>
      <c r="N111" s="35">
        <f>N105*Conversions!$E$16/1000</f>
        <v>2.060642698865158</v>
      </c>
      <c r="O111" s="35">
        <f>O105*Conversions!$E$16/1000</f>
        <v>2.047219206393948</v>
      </c>
      <c r="P111" s="35">
        <f>P105*Conversions!$E$16/1000</f>
        <v>2.033795713922737</v>
      </c>
      <c r="Q111" s="35">
        <f>Q105*Conversions!$E$16/1000</f>
        <v>2.020372221451526</v>
      </c>
      <c r="R111" s="35">
        <f>R105*Conversions!$E$16/1000</f>
        <v>2.0069487289803156</v>
      </c>
      <c r="S111" s="35">
        <f>S105*Conversions!$E$16/1000</f>
        <v>1.9935252365091056</v>
      </c>
      <c r="T111" s="35">
        <f>T105*Conversions!$E$16/1000</f>
        <v>1.9801017440378947</v>
      </c>
      <c r="U111" s="35">
        <f>U105*Conversions!$E$16/1000</f>
        <v>1.966678251566684</v>
      </c>
      <c r="V111" s="35">
        <f>V105*Conversions!$E$16/1000</f>
        <v>1.9532547590954739</v>
      </c>
      <c r="W111" s="35">
        <f>W105*Conversions!$E$16/1000</f>
        <v>1.9398312666242634</v>
      </c>
      <c r="X111" s="35">
        <f>X105*Conversions!$E$16/1000</f>
        <v>1.9264077741530528</v>
      </c>
      <c r="Y111" s="35">
        <f>Y105*Conversions!$E$16/1000</f>
        <v>1.9129842816818425</v>
      </c>
      <c r="Z111" s="35">
        <f>Z105*Conversions!$E$16/1000</f>
        <v>1.8995607892106319</v>
      </c>
      <c r="AA111" s="35">
        <f>AA105*Conversions!$E$16/1000</f>
        <v>1.8861372967394212</v>
      </c>
      <c r="AB111" s="35">
        <f>AB105*Conversions!$E$16/1000</f>
        <v>1.8727138042682099</v>
      </c>
    </row>
    <row r="112" spans="1:29" ht="12.75">
      <c r="A112" s="15" t="s">
        <v>3</v>
      </c>
      <c r="C112" s="35">
        <f aca="true" t="shared" si="36" ref="C112:AB112">SUM(C110:C111)</f>
        <v>10.347408655293998</v>
      </c>
      <c r="D112" s="35">
        <f t="shared" si="36"/>
        <v>10.000147596875</v>
      </c>
      <c r="E112" s="35">
        <f t="shared" si="36"/>
        <v>9.623666806249998</v>
      </c>
      <c r="F112" s="35">
        <f t="shared" si="36"/>
        <v>9.286619709375</v>
      </c>
      <c r="G112" s="35">
        <f t="shared" si="36"/>
        <v>9.400440953125</v>
      </c>
      <c r="H112" s="35">
        <f t="shared" si="36"/>
        <v>9.343530331249998</v>
      </c>
      <c r="I112" s="35">
        <f t="shared" si="36"/>
        <v>9.07869406875</v>
      </c>
      <c r="J112" s="35">
        <f t="shared" si="36"/>
        <v>9.07869406875</v>
      </c>
      <c r="K112" s="35">
        <f t="shared" si="36"/>
        <v>9.33294233947137</v>
      </c>
      <c r="L112" s="35">
        <f t="shared" si="36"/>
        <v>9.301480414345177</v>
      </c>
      <c r="M112" s="35">
        <f t="shared" si="36"/>
        <v>9.178183206296978</v>
      </c>
      <c r="N112" s="35">
        <f t="shared" si="36"/>
        <v>9.055346413909634</v>
      </c>
      <c r="O112" s="35">
        <f t="shared" si="36"/>
        <v>8.93297003718314</v>
      </c>
      <c r="P112" s="35">
        <f t="shared" si="36"/>
        <v>8.811054076117495</v>
      </c>
      <c r="Q112" s="35">
        <f t="shared" si="36"/>
        <v>8.689598530712702</v>
      </c>
      <c r="R112" s="35">
        <f t="shared" si="36"/>
        <v>8.568603400968758</v>
      </c>
      <c r="S112" s="35">
        <f t="shared" si="36"/>
        <v>8.44806868688567</v>
      </c>
      <c r="T112" s="35">
        <f t="shared" si="36"/>
        <v>8.327994388463427</v>
      </c>
      <c r="U112" s="35">
        <f t="shared" si="36"/>
        <v>8.208380505702038</v>
      </c>
      <c r="V112" s="35">
        <f t="shared" si="36"/>
        <v>8.089227038601496</v>
      </c>
      <c r="W112" s="35">
        <f t="shared" si="36"/>
        <v>7.97053398716181</v>
      </c>
      <c r="X112" s="35">
        <f t="shared" si="36"/>
        <v>7.852301351382973</v>
      </c>
      <c r="Y112" s="35">
        <f t="shared" si="36"/>
        <v>7.734529131264985</v>
      </c>
      <c r="Z112" s="35">
        <f t="shared" si="36"/>
        <v>7.617217326807848</v>
      </c>
      <c r="AA112" s="35">
        <f t="shared" si="36"/>
        <v>7.500365938011563</v>
      </c>
      <c r="AB112" s="35">
        <f t="shared" si="36"/>
        <v>7.37200811662956</v>
      </c>
      <c r="AC112" s="39"/>
    </row>
    <row r="113" spans="1:28" ht="12.75">
      <c r="A113" s="47" t="s">
        <v>32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52" t="b">
        <f>ROUND(AB112,6)=ROUND(B26,6)</f>
        <v>1</v>
      </c>
    </row>
    <row r="114" spans="1:29" ht="12.75">
      <c r="A114" s="47" t="s">
        <v>33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63">
        <f>ROUND(AB112,6)-ROUND(B26,6)</f>
        <v>0</v>
      </c>
      <c r="AC114" s="55"/>
    </row>
    <row r="115" ht="12.75">
      <c r="A115" s="36" t="s">
        <v>24</v>
      </c>
    </row>
    <row r="116" spans="2:28" ht="12.75">
      <c r="B116" s="44" t="s">
        <v>25</v>
      </c>
      <c r="C116" s="43">
        <f>(C112-C54)/C54</f>
        <v>0</v>
      </c>
      <c r="D116" s="43">
        <f aca="true" t="shared" si="37" ref="D116:AB116">(D112-D54)/D54</f>
        <v>0</v>
      </c>
      <c r="E116" s="43">
        <f t="shared" si="37"/>
        <v>0</v>
      </c>
      <c r="F116" s="43">
        <f t="shared" si="37"/>
        <v>0</v>
      </c>
      <c r="G116" s="43">
        <f t="shared" si="37"/>
        <v>0</v>
      </c>
      <c r="H116" s="43">
        <f t="shared" si="37"/>
        <v>0</v>
      </c>
      <c r="I116" s="43">
        <f t="shared" si="37"/>
        <v>0</v>
      </c>
      <c r="J116" s="43">
        <f t="shared" si="37"/>
        <v>0</v>
      </c>
      <c r="K116" s="43">
        <f t="shared" si="37"/>
        <v>0</v>
      </c>
      <c r="L116" s="43">
        <f t="shared" si="37"/>
        <v>0</v>
      </c>
      <c r="M116" s="43">
        <f t="shared" si="37"/>
        <v>-0.009906699002683355</v>
      </c>
      <c r="N116" s="43">
        <f t="shared" si="37"/>
        <v>-0.01983103625681373</v>
      </c>
      <c r="O116" s="43">
        <f t="shared" si="37"/>
        <v>-0.029773192579480006</v>
      </c>
      <c r="P116" s="43">
        <f t="shared" si="37"/>
        <v>-0.039733351267751967</v>
      </c>
      <c r="Q116" s="43">
        <f t="shared" si="37"/>
        <v>-0.04971169814134808</v>
      </c>
      <c r="R116" s="43">
        <f t="shared" si="37"/>
        <v>-0.0597084215861812</v>
      </c>
      <c r="S116" s="43">
        <f t="shared" si="37"/>
        <v>-0.06972371259881029</v>
      </c>
      <c r="T116" s="43">
        <f t="shared" si="37"/>
        <v>-0.07975776483182338</v>
      </c>
      <c r="U116" s="43">
        <f t="shared" si="37"/>
        <v>-0.08981077464016529</v>
      </c>
      <c r="V116" s="43">
        <f t="shared" si="37"/>
        <v>-0.09988294112844162</v>
      </c>
      <c r="W116" s="43">
        <f t="shared" si="37"/>
        <v>-0.10997446619921848</v>
      </c>
      <c r="X116" s="43">
        <f t="shared" si="37"/>
        <v>-0.12008555460234537</v>
      </c>
      <c r="Y116" s="43">
        <f t="shared" si="37"/>
        <v>-0.1302164139853234</v>
      </c>
      <c r="Z116" s="43">
        <f t="shared" si="37"/>
        <v>-0.14036725494474744</v>
      </c>
      <c r="AA116" s="43">
        <f t="shared" si="37"/>
        <v>-0.15053829107884797</v>
      </c>
      <c r="AB116" s="43">
        <f t="shared" si="37"/>
        <v>-0.1606553256702825</v>
      </c>
    </row>
    <row r="117" spans="2:28" ht="12.75">
      <c r="B117" s="44" t="s">
        <v>26</v>
      </c>
      <c r="C117" s="51">
        <f aca="true" t="shared" si="38" ref="C117:AB117">(C112-$C112)/$C112</f>
        <v>0</v>
      </c>
      <c r="D117" s="51">
        <f t="shared" si="38"/>
        <v>-0.03356019559943942</v>
      </c>
      <c r="E117" s="51">
        <f t="shared" si="38"/>
        <v>-0.06994426074722729</v>
      </c>
      <c r="F117" s="51">
        <f t="shared" si="38"/>
        <v>-0.10251735301632955</v>
      </c>
      <c r="G117" s="51">
        <f t="shared" si="38"/>
        <v>-0.0915173773178954</v>
      </c>
      <c r="H117" s="51">
        <f t="shared" si="38"/>
        <v>-0.09701736516711273</v>
      </c>
      <c r="I117" s="51">
        <f t="shared" si="38"/>
        <v>-0.1226118179738549</v>
      </c>
      <c r="J117" s="51">
        <f t="shared" si="38"/>
        <v>-0.1226118179738549</v>
      </c>
      <c r="K117" s="51">
        <f t="shared" si="38"/>
        <v>-0.09804061573460734</v>
      </c>
      <c r="L117" s="51">
        <f t="shared" si="38"/>
        <v>-0.10108117653338242</v>
      </c>
      <c r="M117" s="51">
        <f t="shared" si="38"/>
        <v>-0.11299693362345503</v>
      </c>
      <c r="N117" s="51">
        <f t="shared" si="38"/>
        <v>-0.1248681949681491</v>
      </c>
      <c r="O117" s="51">
        <f t="shared" si="38"/>
        <v>-0.136694960567465</v>
      </c>
      <c r="P117" s="51">
        <f t="shared" si="38"/>
        <v>-0.14847723042140268</v>
      </c>
      <c r="Q117" s="51">
        <f t="shared" si="38"/>
        <v>-0.160215004529962</v>
      </c>
      <c r="R117" s="51">
        <f t="shared" si="38"/>
        <v>-0.1719082828931433</v>
      </c>
      <c r="S117" s="51">
        <f t="shared" si="38"/>
        <v>-0.1835570655109459</v>
      </c>
      <c r="T117" s="51">
        <f t="shared" si="38"/>
        <v>-0.19516135238337062</v>
      </c>
      <c r="U117" s="51">
        <f t="shared" si="38"/>
        <v>-0.20672114351041682</v>
      </c>
      <c r="V117" s="51">
        <f t="shared" si="38"/>
        <v>-0.2182364388920852</v>
      </c>
      <c r="W117" s="51">
        <f t="shared" si="38"/>
        <v>-0.22970723852837482</v>
      </c>
      <c r="X117" s="51">
        <f t="shared" si="38"/>
        <v>-0.24113354241928628</v>
      </c>
      <c r="Y117" s="51">
        <f t="shared" si="38"/>
        <v>-0.25251535056481966</v>
      </c>
      <c r="Z117" s="51">
        <f t="shared" si="38"/>
        <v>-0.26385266296497484</v>
      </c>
      <c r="AA117" s="51">
        <f t="shared" si="38"/>
        <v>-0.2751454796197515</v>
      </c>
      <c r="AB117" s="50">
        <f t="shared" si="38"/>
        <v>-0.2875503073073418</v>
      </c>
    </row>
    <row r="118" spans="1:29" ht="12.75">
      <c r="A118" s="47" t="s">
        <v>32</v>
      </c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9" t="b">
        <f>ROUND(AB117,3)=ROUND(B30,3)</f>
        <v>1</v>
      </c>
      <c r="AC118" s="54"/>
    </row>
    <row r="119" spans="1:28" ht="12.75">
      <c r="A119" s="47" t="s">
        <v>33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66">
        <f>AB117-B30</f>
        <v>4.9692692658198645E-05</v>
      </c>
    </row>
    <row r="121" ht="12.75">
      <c r="A121" s="19" t="s">
        <v>50</v>
      </c>
    </row>
    <row r="122" spans="1:28" ht="12.75">
      <c r="A122" s="15" t="s">
        <v>14</v>
      </c>
      <c r="C122" s="35">
        <f>C52-C110</f>
        <v>0</v>
      </c>
      <c r="D122" s="35">
        <f aca="true" t="shared" si="39" ref="D122:AB122">D52-D110</f>
        <v>0</v>
      </c>
      <c r="E122" s="35">
        <f t="shared" si="39"/>
        <v>0</v>
      </c>
      <c r="F122" s="35">
        <f t="shared" si="39"/>
        <v>0</v>
      </c>
      <c r="G122" s="35">
        <f t="shared" si="39"/>
        <v>0</v>
      </c>
      <c r="H122" s="35">
        <f t="shared" si="39"/>
        <v>0</v>
      </c>
      <c r="I122" s="35">
        <f t="shared" si="39"/>
        <v>0</v>
      </c>
      <c r="J122" s="35">
        <f t="shared" si="39"/>
        <v>0</v>
      </c>
      <c r="K122" s="35">
        <f t="shared" si="39"/>
        <v>0</v>
      </c>
      <c r="L122" s="35">
        <f t="shared" si="39"/>
        <v>0</v>
      </c>
      <c r="M122" s="35">
        <f t="shared" si="39"/>
        <v>0.09183528292200283</v>
      </c>
      <c r="N122" s="35">
        <f t="shared" si="39"/>
        <v>0.18321015018314846</v>
      </c>
      <c r="O122" s="35">
        <f t="shared" si="39"/>
        <v>0.2741246017834502</v>
      </c>
      <c r="P122" s="35">
        <f t="shared" si="39"/>
        <v>0.36457863772289745</v>
      </c>
      <c r="Q122" s="35">
        <f t="shared" si="39"/>
        <v>0.4545722580014928</v>
      </c>
      <c r="R122" s="35">
        <f t="shared" si="39"/>
        <v>0.5441054626192416</v>
      </c>
      <c r="S122" s="35">
        <f t="shared" si="39"/>
        <v>0.633178251576135</v>
      </c>
      <c r="T122" s="35">
        <f t="shared" si="39"/>
        <v>0.721790624872181</v>
      </c>
      <c r="U122" s="35">
        <f t="shared" si="39"/>
        <v>0.8099425825073752</v>
      </c>
      <c r="V122" s="35">
        <f t="shared" si="39"/>
        <v>0.8976341244817192</v>
      </c>
      <c r="W122" s="35">
        <f t="shared" si="39"/>
        <v>0.9848652507952114</v>
      </c>
      <c r="X122" s="35">
        <f t="shared" si="39"/>
        <v>1.0716359614478534</v>
      </c>
      <c r="Y122" s="35">
        <f t="shared" si="39"/>
        <v>1.1579462564396454</v>
      </c>
      <c r="Z122" s="35">
        <f t="shared" si="39"/>
        <v>1.2437961357705865</v>
      </c>
      <c r="AA122" s="35">
        <f t="shared" si="39"/>
        <v>1.3291855994406747</v>
      </c>
      <c r="AB122" s="35">
        <f t="shared" si="39"/>
        <v>1.4110441169676644</v>
      </c>
    </row>
    <row r="123" spans="1:28" ht="12.75">
      <c r="A123" s="15" t="s">
        <v>15</v>
      </c>
      <c r="C123" s="35">
        <f>C53-C111</f>
        <v>0</v>
      </c>
      <c r="D123" s="35">
        <f aca="true" t="shared" si="40" ref="D123:AB123">D53-D111</f>
        <v>0</v>
      </c>
      <c r="E123" s="35">
        <f t="shared" si="40"/>
        <v>0</v>
      </c>
      <c r="F123" s="35">
        <f t="shared" si="40"/>
        <v>0</v>
      </c>
      <c r="G123" s="35">
        <f t="shared" si="40"/>
        <v>0</v>
      </c>
      <c r="H123" s="35">
        <f t="shared" si="40"/>
        <v>0</v>
      </c>
      <c r="I123" s="35">
        <f t="shared" si="40"/>
        <v>0</v>
      </c>
      <c r="J123" s="35">
        <f t="shared" si="40"/>
        <v>0</v>
      </c>
      <c r="K123" s="35">
        <f t="shared" si="40"/>
        <v>0</v>
      </c>
      <c r="L123" s="35">
        <f t="shared" si="40"/>
        <v>0</v>
      </c>
      <c r="M123" s="35">
        <f t="shared" si="40"/>
        <v>0</v>
      </c>
      <c r="N123" s="35">
        <f t="shared" si="40"/>
        <v>0</v>
      </c>
      <c r="O123" s="35">
        <f t="shared" si="40"/>
        <v>0</v>
      </c>
      <c r="P123" s="35">
        <f t="shared" si="40"/>
        <v>0</v>
      </c>
      <c r="Q123" s="35">
        <f t="shared" si="40"/>
        <v>0</v>
      </c>
      <c r="R123" s="35">
        <f t="shared" si="40"/>
        <v>0</v>
      </c>
      <c r="S123" s="35">
        <f t="shared" si="40"/>
        <v>0</v>
      </c>
      <c r="T123" s="35">
        <f t="shared" si="40"/>
        <v>0</v>
      </c>
      <c r="U123" s="35">
        <f t="shared" si="40"/>
        <v>0</v>
      </c>
      <c r="V123" s="35">
        <f t="shared" si="40"/>
        <v>0</v>
      </c>
      <c r="W123" s="35">
        <f t="shared" si="40"/>
        <v>0</v>
      </c>
      <c r="X123" s="35">
        <f t="shared" si="40"/>
        <v>0</v>
      </c>
      <c r="Y123" s="35">
        <f t="shared" si="40"/>
        <v>0</v>
      </c>
      <c r="Z123" s="35">
        <f t="shared" si="40"/>
        <v>0</v>
      </c>
      <c r="AA123" s="35">
        <f t="shared" si="40"/>
        <v>0</v>
      </c>
      <c r="AB123" s="35">
        <f t="shared" si="40"/>
        <v>0</v>
      </c>
    </row>
    <row r="124" spans="1:28" ht="12.75">
      <c r="A124" s="15" t="s">
        <v>3</v>
      </c>
      <c r="C124" s="35">
        <f aca="true" t="shared" si="41" ref="C124:AB124">SUM(C122:C123)</f>
        <v>0</v>
      </c>
      <c r="D124" s="35">
        <f t="shared" si="41"/>
        <v>0</v>
      </c>
      <c r="E124" s="35">
        <f t="shared" si="41"/>
        <v>0</v>
      </c>
      <c r="F124" s="35">
        <f t="shared" si="41"/>
        <v>0</v>
      </c>
      <c r="G124" s="35">
        <f t="shared" si="41"/>
        <v>0</v>
      </c>
      <c r="H124" s="35">
        <f t="shared" si="41"/>
        <v>0</v>
      </c>
      <c r="I124" s="35">
        <f t="shared" si="41"/>
        <v>0</v>
      </c>
      <c r="J124" s="35">
        <f t="shared" si="41"/>
        <v>0</v>
      </c>
      <c r="K124" s="35">
        <f t="shared" si="41"/>
        <v>0</v>
      </c>
      <c r="L124" s="35">
        <f t="shared" si="41"/>
        <v>0</v>
      </c>
      <c r="M124" s="35">
        <f t="shared" si="41"/>
        <v>0.09183528292200283</v>
      </c>
      <c r="N124" s="35">
        <f t="shared" si="41"/>
        <v>0.18321015018314846</v>
      </c>
      <c r="O124" s="35">
        <f t="shared" si="41"/>
        <v>0.2741246017834502</v>
      </c>
      <c r="P124" s="35">
        <f t="shared" si="41"/>
        <v>0.36457863772289745</v>
      </c>
      <c r="Q124" s="35">
        <f t="shared" si="41"/>
        <v>0.4545722580014928</v>
      </c>
      <c r="R124" s="35">
        <f t="shared" si="41"/>
        <v>0.5441054626192416</v>
      </c>
      <c r="S124" s="35">
        <f t="shared" si="41"/>
        <v>0.633178251576135</v>
      </c>
      <c r="T124" s="35">
        <f t="shared" si="41"/>
        <v>0.721790624872181</v>
      </c>
      <c r="U124" s="35">
        <f t="shared" si="41"/>
        <v>0.8099425825073752</v>
      </c>
      <c r="V124" s="35">
        <f t="shared" si="41"/>
        <v>0.8976341244817192</v>
      </c>
      <c r="W124" s="35">
        <f t="shared" si="41"/>
        <v>0.9848652507952114</v>
      </c>
      <c r="X124" s="35">
        <f t="shared" si="41"/>
        <v>1.0716359614478534</v>
      </c>
      <c r="Y124" s="35">
        <f t="shared" si="41"/>
        <v>1.1579462564396454</v>
      </c>
      <c r="Z124" s="35">
        <f t="shared" si="41"/>
        <v>1.2437961357705865</v>
      </c>
      <c r="AA124" s="35">
        <f t="shared" si="41"/>
        <v>1.3291855994406747</v>
      </c>
      <c r="AB124" s="35">
        <f t="shared" si="41"/>
        <v>1.4110441169676644</v>
      </c>
    </row>
    <row r="125" spans="1:28" ht="12.75">
      <c r="A125" s="1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</row>
    <row r="126" ht="12.75">
      <c r="A126" s="19" t="s">
        <v>51</v>
      </c>
    </row>
    <row r="127" spans="1:28" ht="12.75">
      <c r="A127" s="15" t="s">
        <v>14</v>
      </c>
      <c r="C127" s="35">
        <f>$C52-C110</f>
        <v>0</v>
      </c>
      <c r="D127" s="35">
        <f aca="true" t="shared" si="42" ref="D127:AB127">$C52-D110</f>
        <v>0.8528633052939991</v>
      </c>
      <c r="E127" s="35">
        <f t="shared" si="42"/>
        <v>0.44795880529399934</v>
      </c>
      <c r="F127" s="35">
        <f t="shared" si="42"/>
        <v>1.0148251052939985</v>
      </c>
      <c r="G127" s="35">
        <f t="shared" si="42"/>
        <v>1.1767869052939979</v>
      </c>
      <c r="H127" s="35">
        <f t="shared" si="42"/>
        <v>1.0958060052940004</v>
      </c>
      <c r="I127" s="35">
        <f t="shared" si="42"/>
        <v>1.1767869052939979</v>
      </c>
      <c r="J127" s="35">
        <f t="shared" si="42"/>
        <v>1.1767869052939979</v>
      </c>
      <c r="K127" s="35">
        <f t="shared" si="42"/>
        <v>0.9091151421014176</v>
      </c>
      <c r="L127" s="35">
        <f t="shared" si="42"/>
        <v>0.9271535747564013</v>
      </c>
      <c r="M127" s="35">
        <f t="shared" si="42"/>
        <v>1.0370272903333895</v>
      </c>
      <c r="N127" s="35">
        <f t="shared" si="42"/>
        <v>1.1464405902495232</v>
      </c>
      <c r="O127" s="35">
        <f t="shared" si="42"/>
        <v>1.2553934745048068</v>
      </c>
      <c r="P127" s="35">
        <f t="shared" si="42"/>
        <v>1.3638859430992412</v>
      </c>
      <c r="Q127" s="35">
        <f t="shared" si="42"/>
        <v>1.471917996032822</v>
      </c>
      <c r="R127" s="35">
        <f t="shared" si="42"/>
        <v>1.5794896333055553</v>
      </c>
      <c r="S127" s="35">
        <f t="shared" si="42"/>
        <v>1.686600854917434</v>
      </c>
      <c r="T127" s="35">
        <f t="shared" si="42"/>
        <v>1.7932516608684654</v>
      </c>
      <c r="U127" s="35">
        <f t="shared" si="42"/>
        <v>1.899442051158645</v>
      </c>
      <c r="V127" s="35">
        <f t="shared" si="42"/>
        <v>2.0051720257879753</v>
      </c>
      <c r="W127" s="35">
        <f t="shared" si="42"/>
        <v>2.110441584756453</v>
      </c>
      <c r="X127" s="35">
        <f t="shared" si="42"/>
        <v>2.2152507280640785</v>
      </c>
      <c r="Y127" s="35">
        <f t="shared" si="42"/>
        <v>2.319599455710856</v>
      </c>
      <c r="Z127" s="35">
        <f t="shared" si="42"/>
        <v>2.423487767696783</v>
      </c>
      <c r="AA127" s="35">
        <f t="shared" si="42"/>
        <v>2.526915664021857</v>
      </c>
      <c r="AB127" s="35">
        <f t="shared" si="42"/>
        <v>2.6418499929326487</v>
      </c>
    </row>
    <row r="128" spans="1:28" ht="12.75">
      <c r="A128" s="15" t="s">
        <v>15</v>
      </c>
      <c r="C128" s="35">
        <f>$C53-C111</f>
        <v>0</v>
      </c>
      <c r="D128" s="35">
        <f aca="true" t="shared" si="43" ref="D128:AB128">$C53-D111</f>
        <v>-0.5056022468750005</v>
      </c>
      <c r="E128" s="35">
        <f t="shared" si="43"/>
        <v>0.27578304374999996</v>
      </c>
      <c r="F128" s="35">
        <f t="shared" si="43"/>
        <v>0.04596384062499981</v>
      </c>
      <c r="G128" s="35">
        <f t="shared" si="43"/>
        <v>-0.22981920312500037</v>
      </c>
      <c r="H128" s="35">
        <f t="shared" si="43"/>
        <v>-0.0919276812500005</v>
      </c>
      <c r="I128" s="35">
        <f t="shared" si="43"/>
        <v>0.09192768125000006</v>
      </c>
      <c r="J128" s="35">
        <f t="shared" si="43"/>
        <v>0.09192768125000006</v>
      </c>
      <c r="K128" s="35">
        <f t="shared" si="43"/>
        <v>0.1053511737212105</v>
      </c>
      <c r="L128" s="35">
        <f t="shared" si="43"/>
        <v>0.11877466619242094</v>
      </c>
      <c r="M128" s="35">
        <f t="shared" si="43"/>
        <v>0.13219815866363138</v>
      </c>
      <c r="N128" s="35">
        <f t="shared" si="43"/>
        <v>0.14562165113484182</v>
      </c>
      <c r="O128" s="35">
        <f t="shared" si="43"/>
        <v>0.15904514360605182</v>
      </c>
      <c r="P128" s="35">
        <f t="shared" si="43"/>
        <v>0.1724686360772627</v>
      </c>
      <c r="Q128" s="35">
        <f t="shared" si="43"/>
        <v>0.1858921285484736</v>
      </c>
      <c r="R128" s="35">
        <f t="shared" si="43"/>
        <v>0.19931562101968403</v>
      </c>
      <c r="S128" s="35">
        <f t="shared" si="43"/>
        <v>0.21273911349089403</v>
      </c>
      <c r="T128" s="35">
        <f t="shared" si="43"/>
        <v>0.2261626059621049</v>
      </c>
      <c r="U128" s="35">
        <f t="shared" si="43"/>
        <v>0.23958609843331558</v>
      </c>
      <c r="V128" s="35">
        <f t="shared" si="43"/>
        <v>0.2530095909045258</v>
      </c>
      <c r="W128" s="35">
        <f t="shared" si="43"/>
        <v>0.26643308337573623</v>
      </c>
      <c r="X128" s="35">
        <f t="shared" si="43"/>
        <v>0.2798565758469469</v>
      </c>
      <c r="Y128" s="35">
        <f t="shared" si="43"/>
        <v>0.2932800683181571</v>
      </c>
      <c r="Z128" s="35">
        <f t="shared" si="43"/>
        <v>0.3067035607893678</v>
      </c>
      <c r="AA128" s="35">
        <f t="shared" si="43"/>
        <v>0.32012705326057844</v>
      </c>
      <c r="AB128" s="35">
        <f t="shared" si="43"/>
        <v>0.33355054573178977</v>
      </c>
    </row>
    <row r="129" spans="1:28" ht="12.75">
      <c r="A129" s="15" t="s">
        <v>3</v>
      </c>
      <c r="C129" s="35">
        <f aca="true" t="shared" si="44" ref="C129:AB129">SUM(C127:C128)</f>
        <v>0</v>
      </c>
      <c r="D129" s="35">
        <f t="shared" si="44"/>
        <v>0.34726105841899857</v>
      </c>
      <c r="E129" s="35">
        <f t="shared" si="44"/>
        <v>0.7237418490439993</v>
      </c>
      <c r="F129" s="35">
        <f t="shared" si="44"/>
        <v>1.0607889459189983</v>
      </c>
      <c r="G129" s="35">
        <f t="shared" si="44"/>
        <v>0.9469677021689975</v>
      </c>
      <c r="H129" s="35">
        <f t="shared" si="44"/>
        <v>1.003878324044</v>
      </c>
      <c r="I129" s="35">
        <f t="shared" si="44"/>
        <v>1.268714586543998</v>
      </c>
      <c r="J129" s="35">
        <f t="shared" si="44"/>
        <v>1.268714586543998</v>
      </c>
      <c r="K129" s="35">
        <f t="shared" si="44"/>
        <v>1.0144663158226281</v>
      </c>
      <c r="L129" s="35">
        <f t="shared" si="44"/>
        <v>1.0459282409488222</v>
      </c>
      <c r="M129" s="35">
        <f t="shared" si="44"/>
        <v>1.1692254489970209</v>
      </c>
      <c r="N129" s="35">
        <f t="shared" si="44"/>
        <v>1.292062241384365</v>
      </c>
      <c r="O129" s="35">
        <f t="shared" si="44"/>
        <v>1.4144386181108586</v>
      </c>
      <c r="P129" s="35">
        <f t="shared" si="44"/>
        <v>1.5363545791765039</v>
      </c>
      <c r="Q129" s="35">
        <f t="shared" si="44"/>
        <v>1.6578101245812955</v>
      </c>
      <c r="R129" s="35">
        <f t="shared" si="44"/>
        <v>1.7788052543252393</v>
      </c>
      <c r="S129" s="35">
        <f t="shared" si="44"/>
        <v>1.899339968408328</v>
      </c>
      <c r="T129" s="35">
        <f t="shared" si="44"/>
        <v>2.0194142668305703</v>
      </c>
      <c r="U129" s="35">
        <f t="shared" si="44"/>
        <v>2.1390281495919607</v>
      </c>
      <c r="V129" s="35">
        <f t="shared" si="44"/>
        <v>2.258181616692501</v>
      </c>
      <c r="W129" s="35">
        <f t="shared" si="44"/>
        <v>2.376874668132189</v>
      </c>
      <c r="X129" s="35">
        <f t="shared" si="44"/>
        <v>2.495107303911025</v>
      </c>
      <c r="Y129" s="35">
        <f t="shared" si="44"/>
        <v>2.612879524029013</v>
      </c>
      <c r="Z129" s="35">
        <f t="shared" si="44"/>
        <v>2.7301913284861508</v>
      </c>
      <c r="AA129" s="35">
        <f t="shared" si="44"/>
        <v>2.8470427172824353</v>
      </c>
      <c r="AB129" s="35">
        <f t="shared" si="44"/>
        <v>2.9754005386644384</v>
      </c>
    </row>
    <row r="130" spans="1:28" ht="12.75">
      <c r="A130" s="1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</row>
    <row r="131" ht="12.75">
      <c r="A131" s="19" t="s">
        <v>52</v>
      </c>
    </row>
    <row r="132" spans="1:28" ht="12.75">
      <c r="A132" s="15" t="s">
        <v>14</v>
      </c>
      <c r="C132" s="35">
        <f>C122</f>
        <v>0</v>
      </c>
      <c r="D132" s="35">
        <f aca="true" t="shared" si="45" ref="D132:AB132">C132+D122</f>
        <v>0</v>
      </c>
      <c r="E132" s="35">
        <f t="shared" si="45"/>
        <v>0</v>
      </c>
      <c r="F132" s="35">
        <f t="shared" si="45"/>
        <v>0</v>
      </c>
      <c r="G132" s="35">
        <f t="shared" si="45"/>
        <v>0</v>
      </c>
      <c r="H132" s="35">
        <f t="shared" si="45"/>
        <v>0</v>
      </c>
      <c r="I132" s="35">
        <f t="shared" si="45"/>
        <v>0</v>
      </c>
      <c r="J132" s="35">
        <f t="shared" si="45"/>
        <v>0</v>
      </c>
      <c r="K132" s="35">
        <f t="shared" si="45"/>
        <v>0</v>
      </c>
      <c r="L132" s="35">
        <f t="shared" si="45"/>
        <v>0</v>
      </c>
      <c r="M132" s="35">
        <f t="shared" si="45"/>
        <v>0.09183528292200283</v>
      </c>
      <c r="N132" s="35">
        <f t="shared" si="45"/>
        <v>0.2750454331051513</v>
      </c>
      <c r="O132" s="35">
        <f t="shared" si="45"/>
        <v>0.5491700348886015</v>
      </c>
      <c r="P132" s="35">
        <f t="shared" si="45"/>
        <v>0.913748672611499</v>
      </c>
      <c r="Q132" s="35">
        <f t="shared" si="45"/>
        <v>1.3683209306129918</v>
      </c>
      <c r="R132" s="35">
        <f t="shared" si="45"/>
        <v>1.9124263932322334</v>
      </c>
      <c r="S132" s="35">
        <f t="shared" si="45"/>
        <v>2.5456046448083685</v>
      </c>
      <c r="T132" s="35">
        <f t="shared" si="45"/>
        <v>3.2673952696805495</v>
      </c>
      <c r="U132" s="35">
        <f t="shared" si="45"/>
        <v>4.077337852187925</v>
      </c>
      <c r="V132" s="35">
        <f t="shared" si="45"/>
        <v>4.974971976669644</v>
      </c>
      <c r="W132" s="35">
        <f t="shared" si="45"/>
        <v>5.959837227464855</v>
      </c>
      <c r="X132" s="35">
        <f t="shared" si="45"/>
        <v>7.031473188912709</v>
      </c>
      <c r="Y132" s="35">
        <f t="shared" si="45"/>
        <v>8.189419445352353</v>
      </c>
      <c r="Z132" s="35">
        <f t="shared" si="45"/>
        <v>9.43321558112294</v>
      </c>
      <c r="AA132" s="35">
        <f t="shared" si="45"/>
        <v>10.762401180563614</v>
      </c>
      <c r="AB132" s="35">
        <f t="shared" si="45"/>
        <v>12.173445297531279</v>
      </c>
    </row>
    <row r="133" spans="1:28" ht="12.75">
      <c r="A133" s="15" t="s">
        <v>15</v>
      </c>
      <c r="C133" s="35">
        <f>C123</f>
        <v>0</v>
      </c>
      <c r="D133" s="35">
        <f aca="true" t="shared" si="46" ref="D133:AB133">C133+D123</f>
        <v>0</v>
      </c>
      <c r="E133" s="35">
        <f t="shared" si="46"/>
        <v>0</v>
      </c>
      <c r="F133" s="35">
        <f t="shared" si="46"/>
        <v>0</v>
      </c>
      <c r="G133" s="35">
        <f t="shared" si="46"/>
        <v>0</v>
      </c>
      <c r="H133" s="35">
        <f t="shared" si="46"/>
        <v>0</v>
      </c>
      <c r="I133" s="35">
        <f t="shared" si="46"/>
        <v>0</v>
      </c>
      <c r="J133" s="35">
        <f t="shared" si="46"/>
        <v>0</v>
      </c>
      <c r="K133" s="35">
        <f t="shared" si="46"/>
        <v>0</v>
      </c>
      <c r="L133" s="35">
        <f t="shared" si="46"/>
        <v>0</v>
      </c>
      <c r="M133" s="35">
        <f t="shared" si="46"/>
        <v>0</v>
      </c>
      <c r="N133" s="35">
        <f t="shared" si="46"/>
        <v>0</v>
      </c>
      <c r="O133" s="35">
        <f t="shared" si="46"/>
        <v>0</v>
      </c>
      <c r="P133" s="35">
        <f t="shared" si="46"/>
        <v>0</v>
      </c>
      <c r="Q133" s="35">
        <f t="shared" si="46"/>
        <v>0</v>
      </c>
      <c r="R133" s="35">
        <f t="shared" si="46"/>
        <v>0</v>
      </c>
      <c r="S133" s="35">
        <f t="shared" si="46"/>
        <v>0</v>
      </c>
      <c r="T133" s="35">
        <f t="shared" si="46"/>
        <v>0</v>
      </c>
      <c r="U133" s="35">
        <f t="shared" si="46"/>
        <v>0</v>
      </c>
      <c r="V133" s="35">
        <f t="shared" si="46"/>
        <v>0</v>
      </c>
      <c r="W133" s="35">
        <f t="shared" si="46"/>
        <v>0</v>
      </c>
      <c r="X133" s="35">
        <f t="shared" si="46"/>
        <v>0</v>
      </c>
      <c r="Y133" s="35">
        <f t="shared" si="46"/>
        <v>0</v>
      </c>
      <c r="Z133" s="35">
        <f t="shared" si="46"/>
        <v>0</v>
      </c>
      <c r="AA133" s="35">
        <f t="shared" si="46"/>
        <v>0</v>
      </c>
      <c r="AB133" s="35">
        <f t="shared" si="46"/>
        <v>0</v>
      </c>
    </row>
    <row r="134" spans="1:28" ht="12.75">
      <c r="A134" s="15" t="s">
        <v>3</v>
      </c>
      <c r="C134" s="35">
        <f aca="true" t="shared" si="47" ref="C134:AB134">SUM(C132:C133)</f>
        <v>0</v>
      </c>
      <c r="D134" s="35">
        <f t="shared" si="47"/>
        <v>0</v>
      </c>
      <c r="E134" s="35">
        <f t="shared" si="47"/>
        <v>0</v>
      </c>
      <c r="F134" s="35">
        <f t="shared" si="47"/>
        <v>0</v>
      </c>
      <c r="G134" s="35">
        <f t="shared" si="47"/>
        <v>0</v>
      </c>
      <c r="H134" s="35">
        <f t="shared" si="47"/>
        <v>0</v>
      </c>
      <c r="I134" s="35">
        <f t="shared" si="47"/>
        <v>0</v>
      </c>
      <c r="J134" s="35">
        <f t="shared" si="47"/>
        <v>0</v>
      </c>
      <c r="K134" s="35">
        <f t="shared" si="47"/>
        <v>0</v>
      </c>
      <c r="L134" s="35">
        <f t="shared" si="47"/>
        <v>0</v>
      </c>
      <c r="M134" s="35">
        <f t="shared" si="47"/>
        <v>0.09183528292200283</v>
      </c>
      <c r="N134" s="35">
        <f t="shared" si="47"/>
        <v>0.2750454331051513</v>
      </c>
      <c r="O134" s="35">
        <f t="shared" si="47"/>
        <v>0.5491700348886015</v>
      </c>
      <c r="P134" s="35">
        <f t="shared" si="47"/>
        <v>0.913748672611499</v>
      </c>
      <c r="Q134" s="35">
        <f t="shared" si="47"/>
        <v>1.3683209306129918</v>
      </c>
      <c r="R134" s="35">
        <f t="shared" si="47"/>
        <v>1.9124263932322334</v>
      </c>
      <c r="S134" s="35">
        <f t="shared" si="47"/>
        <v>2.5456046448083685</v>
      </c>
      <c r="T134" s="35">
        <f t="shared" si="47"/>
        <v>3.2673952696805495</v>
      </c>
      <c r="U134" s="35">
        <f t="shared" si="47"/>
        <v>4.077337852187925</v>
      </c>
      <c r="V134" s="35">
        <f t="shared" si="47"/>
        <v>4.974971976669644</v>
      </c>
      <c r="W134" s="35">
        <f t="shared" si="47"/>
        <v>5.959837227464855</v>
      </c>
      <c r="X134" s="35">
        <f t="shared" si="47"/>
        <v>7.031473188912709</v>
      </c>
      <c r="Y134" s="35">
        <f t="shared" si="47"/>
        <v>8.189419445352353</v>
      </c>
      <c r="Z134" s="35">
        <f t="shared" si="47"/>
        <v>9.43321558112294</v>
      </c>
      <c r="AA134" s="35">
        <f t="shared" si="47"/>
        <v>10.762401180563614</v>
      </c>
      <c r="AB134" s="35">
        <f t="shared" si="47"/>
        <v>12.173445297531279</v>
      </c>
    </row>
    <row r="135" spans="1:28" ht="12.75">
      <c r="A135" s="1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</row>
    <row r="136" ht="12.75">
      <c r="A136" s="19" t="s">
        <v>53</v>
      </c>
    </row>
    <row r="137" spans="1:28" ht="12.75">
      <c r="A137" s="15" t="s">
        <v>14</v>
      </c>
      <c r="C137" s="35">
        <f>C127</f>
        <v>0</v>
      </c>
      <c r="D137" s="35">
        <f aca="true" t="shared" si="48" ref="D137:AB137">C137+D127</f>
        <v>0.8528633052939991</v>
      </c>
      <c r="E137" s="35">
        <f t="shared" si="48"/>
        <v>1.3008221105879985</v>
      </c>
      <c r="F137" s="35">
        <f t="shared" si="48"/>
        <v>2.315647215881997</v>
      </c>
      <c r="G137" s="35">
        <f t="shared" si="48"/>
        <v>3.492434121175995</v>
      </c>
      <c r="H137" s="35">
        <f t="shared" si="48"/>
        <v>4.588240126469995</v>
      </c>
      <c r="I137" s="35">
        <f t="shared" si="48"/>
        <v>5.765027031763993</v>
      </c>
      <c r="J137" s="35">
        <f t="shared" si="48"/>
        <v>6.941813937057991</v>
      </c>
      <c r="K137" s="35">
        <f t="shared" si="48"/>
        <v>7.850929079159409</v>
      </c>
      <c r="L137" s="35">
        <f t="shared" si="48"/>
        <v>8.77808265391581</v>
      </c>
      <c r="M137" s="35">
        <f t="shared" si="48"/>
        <v>9.8151099442492</v>
      </c>
      <c r="N137" s="35">
        <f t="shared" si="48"/>
        <v>10.961550534498723</v>
      </c>
      <c r="O137" s="35">
        <f t="shared" si="48"/>
        <v>12.21694400900353</v>
      </c>
      <c r="P137" s="35">
        <f t="shared" si="48"/>
        <v>13.580829952102771</v>
      </c>
      <c r="Q137" s="35">
        <f t="shared" si="48"/>
        <v>15.052747948135593</v>
      </c>
      <c r="R137" s="35">
        <f t="shared" si="48"/>
        <v>16.63223758144115</v>
      </c>
      <c r="S137" s="35">
        <f t="shared" si="48"/>
        <v>18.318838436358583</v>
      </c>
      <c r="T137" s="35">
        <f t="shared" si="48"/>
        <v>20.112090097227046</v>
      </c>
      <c r="U137" s="35">
        <f t="shared" si="48"/>
        <v>22.01153214838569</v>
      </c>
      <c r="V137" s="35">
        <f t="shared" si="48"/>
        <v>24.016704174173665</v>
      </c>
      <c r="W137" s="35">
        <f t="shared" si="48"/>
        <v>26.12714575893012</v>
      </c>
      <c r="X137" s="35">
        <f t="shared" si="48"/>
        <v>28.342396486994197</v>
      </c>
      <c r="Y137" s="35">
        <f t="shared" si="48"/>
        <v>30.661995942705055</v>
      </c>
      <c r="Z137" s="35">
        <f t="shared" si="48"/>
        <v>33.08548371040184</v>
      </c>
      <c r="AA137" s="35">
        <f t="shared" si="48"/>
        <v>35.612399374423696</v>
      </c>
      <c r="AB137" s="35">
        <f t="shared" si="48"/>
        <v>38.254249367356344</v>
      </c>
    </row>
    <row r="138" spans="1:28" ht="12.75">
      <c r="A138" s="15" t="s">
        <v>15</v>
      </c>
      <c r="C138" s="35">
        <f>C128</f>
        <v>0</v>
      </c>
      <c r="D138" s="35">
        <f aca="true" t="shared" si="49" ref="D138:AB138">C138+D128</f>
        <v>-0.5056022468750005</v>
      </c>
      <c r="E138" s="35">
        <f t="shared" si="49"/>
        <v>-0.2298192031250006</v>
      </c>
      <c r="F138" s="35">
        <f t="shared" si="49"/>
        <v>-0.18385536250000079</v>
      </c>
      <c r="G138" s="35">
        <f t="shared" si="49"/>
        <v>-0.41367456562500116</v>
      </c>
      <c r="H138" s="35">
        <f t="shared" si="49"/>
        <v>-0.5056022468750017</v>
      </c>
      <c r="I138" s="35">
        <f t="shared" si="49"/>
        <v>-0.4136745656250016</v>
      </c>
      <c r="J138" s="35">
        <f t="shared" si="49"/>
        <v>-0.32174688437500154</v>
      </c>
      <c r="K138" s="35">
        <f t="shared" si="49"/>
        <v>-0.21639571065379104</v>
      </c>
      <c r="L138" s="35">
        <f t="shared" si="49"/>
        <v>-0.0976210444613701</v>
      </c>
      <c r="M138" s="35">
        <f t="shared" si="49"/>
        <v>0.03457711420226128</v>
      </c>
      <c r="N138" s="35">
        <f t="shared" si="49"/>
        <v>0.1801987653371031</v>
      </c>
      <c r="O138" s="35">
        <f t="shared" si="49"/>
        <v>0.3392439089431549</v>
      </c>
      <c r="P138" s="35">
        <f t="shared" si="49"/>
        <v>0.5117125450204176</v>
      </c>
      <c r="Q138" s="35">
        <f t="shared" si="49"/>
        <v>0.6976046735688912</v>
      </c>
      <c r="R138" s="35">
        <f t="shared" si="49"/>
        <v>0.8969202945885753</v>
      </c>
      <c r="S138" s="35">
        <f t="shared" si="49"/>
        <v>1.1096594080794693</v>
      </c>
      <c r="T138" s="35">
        <f t="shared" si="49"/>
        <v>1.3358220140415742</v>
      </c>
      <c r="U138" s="35">
        <f t="shared" si="49"/>
        <v>1.5754081124748898</v>
      </c>
      <c r="V138" s="35">
        <f t="shared" si="49"/>
        <v>1.8284177033794156</v>
      </c>
      <c r="W138" s="35">
        <f t="shared" si="49"/>
        <v>2.094850786755152</v>
      </c>
      <c r="X138" s="35">
        <f t="shared" si="49"/>
        <v>2.3747073626020985</v>
      </c>
      <c r="Y138" s="35">
        <f t="shared" si="49"/>
        <v>2.6679874309202556</v>
      </c>
      <c r="Z138" s="35">
        <f t="shared" si="49"/>
        <v>2.9746909917096236</v>
      </c>
      <c r="AA138" s="35">
        <f t="shared" si="49"/>
        <v>3.294818044970202</v>
      </c>
      <c r="AB138" s="35">
        <f t="shared" si="49"/>
        <v>3.628368590701992</v>
      </c>
    </row>
    <row r="139" spans="1:28" ht="12.75">
      <c r="A139" s="15" t="s">
        <v>3</v>
      </c>
      <c r="C139" s="35">
        <f aca="true" t="shared" si="50" ref="C139:AB139">SUM(C137:C138)</f>
        <v>0</v>
      </c>
      <c r="D139" s="35">
        <f t="shared" si="50"/>
        <v>0.34726105841899857</v>
      </c>
      <c r="E139" s="35">
        <f t="shared" si="50"/>
        <v>1.0710029074629979</v>
      </c>
      <c r="F139" s="35">
        <f t="shared" si="50"/>
        <v>2.131791853381996</v>
      </c>
      <c r="G139" s="35">
        <f t="shared" si="50"/>
        <v>3.0787595555509935</v>
      </c>
      <c r="H139" s="35">
        <f t="shared" si="50"/>
        <v>4.082637879594993</v>
      </c>
      <c r="I139" s="35">
        <f t="shared" si="50"/>
        <v>5.351352466138992</v>
      </c>
      <c r="J139" s="35">
        <f t="shared" si="50"/>
        <v>6.620067052682989</v>
      </c>
      <c r="K139" s="35">
        <f t="shared" si="50"/>
        <v>7.634533368505617</v>
      </c>
      <c r="L139" s="35">
        <f t="shared" si="50"/>
        <v>8.68046160945444</v>
      </c>
      <c r="M139" s="35">
        <f t="shared" si="50"/>
        <v>9.84968705845146</v>
      </c>
      <c r="N139" s="35">
        <f t="shared" si="50"/>
        <v>11.141749299835826</v>
      </c>
      <c r="O139" s="35">
        <f t="shared" si="50"/>
        <v>12.556187917946685</v>
      </c>
      <c r="P139" s="35">
        <f t="shared" si="50"/>
        <v>14.092542497123189</v>
      </c>
      <c r="Q139" s="35">
        <f t="shared" si="50"/>
        <v>15.750352621704485</v>
      </c>
      <c r="R139" s="35">
        <f t="shared" si="50"/>
        <v>17.529157876029725</v>
      </c>
      <c r="S139" s="35">
        <f t="shared" si="50"/>
        <v>19.428497844438052</v>
      </c>
      <c r="T139" s="35">
        <f t="shared" si="50"/>
        <v>21.44791211126862</v>
      </c>
      <c r="U139" s="35">
        <f t="shared" si="50"/>
        <v>23.58694026086058</v>
      </c>
      <c r="V139" s="35">
        <f t="shared" si="50"/>
        <v>25.84512187755308</v>
      </c>
      <c r="W139" s="35">
        <f t="shared" si="50"/>
        <v>28.221996545685272</v>
      </c>
      <c r="X139" s="35">
        <f t="shared" si="50"/>
        <v>30.717103849596295</v>
      </c>
      <c r="Y139" s="35">
        <f t="shared" si="50"/>
        <v>33.32998337362531</v>
      </c>
      <c r="Z139" s="35">
        <f t="shared" si="50"/>
        <v>36.06017470211146</v>
      </c>
      <c r="AA139" s="35">
        <f t="shared" si="50"/>
        <v>38.907217419393895</v>
      </c>
      <c r="AB139" s="35">
        <f t="shared" si="50"/>
        <v>41.88261795805833</v>
      </c>
    </row>
    <row r="140" spans="3:28" ht="12.7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</row>
    <row r="141" ht="13.5" thickBot="1"/>
    <row r="142" spans="2:10" ht="13.5" thickBot="1">
      <c r="B142" s="109" t="s">
        <v>64</v>
      </c>
      <c r="C142" s="110"/>
      <c r="D142" s="110"/>
      <c r="E142" s="109" t="s">
        <v>65</v>
      </c>
      <c r="F142" s="110"/>
      <c r="G142" s="111"/>
      <c r="H142" s="110" t="s">
        <v>66</v>
      </c>
      <c r="I142" s="110"/>
      <c r="J142" s="111"/>
    </row>
    <row r="143" spans="2:10" ht="13.5" thickBot="1">
      <c r="B143" s="94">
        <v>2000</v>
      </c>
      <c r="C143" s="95">
        <v>2025</v>
      </c>
      <c r="D143" s="96" t="s">
        <v>63</v>
      </c>
      <c r="E143" s="94">
        <v>2000</v>
      </c>
      <c r="F143" s="95">
        <v>2025</v>
      </c>
      <c r="G143" s="97" t="s">
        <v>63</v>
      </c>
      <c r="H143" s="95">
        <v>2000</v>
      </c>
      <c r="I143" s="95">
        <v>2025</v>
      </c>
      <c r="J143" s="97" t="s">
        <v>63</v>
      </c>
    </row>
    <row r="144" ht="13.5" thickBot="1">
      <c r="A144" s="4" t="s">
        <v>62</v>
      </c>
    </row>
    <row r="145" spans="1:10" ht="12.75">
      <c r="A145" s="69" t="s">
        <v>14</v>
      </c>
      <c r="B145" s="77">
        <f>C40</f>
        <v>50.26583</v>
      </c>
      <c r="C145" s="78">
        <f>AB40</f>
        <v>42.666470916778</v>
      </c>
      <c r="D145" s="79">
        <f>(C145-B145)/B145</f>
        <v>-0.15118339999999997</v>
      </c>
      <c r="E145" s="77">
        <f aca="true" t="shared" si="51" ref="E145:F147">B145</f>
        <v>50.26583</v>
      </c>
      <c r="F145" s="78">
        <f t="shared" si="51"/>
        <v>42.666470916778</v>
      </c>
      <c r="G145" s="80">
        <f>(F145-E145)/E145</f>
        <v>-0.15118339999999997</v>
      </c>
      <c r="H145" s="78">
        <f aca="true" t="shared" si="52" ref="H145:I147">E145</f>
        <v>50.26583</v>
      </c>
      <c r="I145" s="78">
        <f t="shared" si="52"/>
        <v>42.666470916778</v>
      </c>
      <c r="J145" s="80">
        <f>(I145-H145)/H145</f>
        <v>-0.15118339999999997</v>
      </c>
    </row>
    <row r="146" spans="1:10" ht="12.75">
      <c r="A146" s="69" t="s">
        <v>15</v>
      </c>
      <c r="B146" s="81">
        <f>C41</f>
        <v>24</v>
      </c>
      <c r="C146" s="21">
        <f>AB41</f>
        <v>20.3715984</v>
      </c>
      <c r="D146" s="82">
        <f>(C146-B146)/B146</f>
        <v>-0.1511834</v>
      </c>
      <c r="E146" s="81">
        <f t="shared" si="51"/>
        <v>24</v>
      </c>
      <c r="F146" s="21">
        <f t="shared" si="51"/>
        <v>20.3715984</v>
      </c>
      <c r="G146" s="83">
        <f>(F146-E146)/E146</f>
        <v>-0.1511834</v>
      </c>
      <c r="H146" s="21">
        <f t="shared" si="52"/>
        <v>24</v>
      </c>
      <c r="I146" s="21">
        <f t="shared" si="52"/>
        <v>20.3715984</v>
      </c>
      <c r="J146" s="83">
        <f>(I146-H146)/H146</f>
        <v>-0.1511834</v>
      </c>
    </row>
    <row r="147" spans="1:10" ht="13.5" thickBot="1">
      <c r="A147" s="69" t="s">
        <v>3</v>
      </c>
      <c r="B147" s="84">
        <f>C42</f>
        <v>74.26583</v>
      </c>
      <c r="C147" s="85">
        <f>AB42</f>
        <v>63.03806931677801</v>
      </c>
      <c r="D147" s="86">
        <f>(C147-B147)/B147</f>
        <v>-0.15118339999999983</v>
      </c>
      <c r="E147" s="84">
        <f t="shared" si="51"/>
        <v>74.26583</v>
      </c>
      <c r="F147" s="85">
        <f t="shared" si="51"/>
        <v>63.03806931677801</v>
      </c>
      <c r="G147" s="87">
        <f>(F147-E147)/E147</f>
        <v>-0.15118339999999983</v>
      </c>
      <c r="H147" s="85">
        <f t="shared" si="52"/>
        <v>74.26583</v>
      </c>
      <c r="I147" s="85">
        <f t="shared" si="52"/>
        <v>63.03806931677801</v>
      </c>
      <c r="J147" s="87">
        <f>(I147-H147)/H147</f>
        <v>-0.15118339999999983</v>
      </c>
    </row>
    <row r="149" ht="13.5" thickBot="1">
      <c r="A149" s="19" t="s">
        <v>54</v>
      </c>
    </row>
    <row r="150" spans="1:10" ht="12.75">
      <c r="A150" s="69" t="s">
        <v>14</v>
      </c>
      <c r="B150" s="77">
        <f>C46</f>
        <v>20.126438332</v>
      </c>
      <c r="C150" s="78">
        <f>AB46</f>
        <v>17.08365495507791</v>
      </c>
      <c r="D150" s="79">
        <f>(C150-B150)/B150</f>
        <v>-0.15118339999999997</v>
      </c>
      <c r="E150" s="77">
        <f>B150</f>
        <v>20.126438332</v>
      </c>
      <c r="F150" s="78">
        <f>AB62</f>
        <v>15.375289459570121</v>
      </c>
      <c r="G150" s="80">
        <f>(F150-E150)/E150</f>
        <v>-0.23606505999999994</v>
      </c>
      <c r="H150" s="78">
        <f>E150</f>
        <v>20.126438332</v>
      </c>
      <c r="I150" s="78">
        <f>AB104</f>
        <v>13.5952887821047</v>
      </c>
      <c r="J150" s="80">
        <f>(I150-H150)/H150</f>
        <v>-0.3245059777671198</v>
      </c>
    </row>
    <row r="151" spans="1:10" ht="12.75">
      <c r="A151" s="69" t="s">
        <v>15</v>
      </c>
      <c r="B151" s="81">
        <f>C47</f>
        <v>5.454299999999999</v>
      </c>
      <c r="C151" s="21">
        <f>AB47</f>
        <v>4.62970038138</v>
      </c>
      <c r="D151" s="82">
        <f>(C151-B151)/B151</f>
        <v>-0.15118339999999983</v>
      </c>
      <c r="E151" s="81">
        <f>B151</f>
        <v>5.454299999999999</v>
      </c>
      <c r="F151" s="21">
        <f>AB63</f>
        <v>4.62970038138</v>
      </c>
      <c r="G151" s="83">
        <f>(F151-E151)/E151</f>
        <v>-0.15118339999999983</v>
      </c>
      <c r="H151" s="21">
        <f>E151</f>
        <v>5.454299999999999</v>
      </c>
      <c r="I151" s="21">
        <f>AB105</f>
        <v>4.62970038138</v>
      </c>
      <c r="J151" s="83">
        <f>(I151-H151)/H151</f>
        <v>-0.15118339999999983</v>
      </c>
    </row>
    <row r="152" spans="1:10" ht="13.5" thickBot="1">
      <c r="A152" s="69" t="s">
        <v>3</v>
      </c>
      <c r="B152" s="84">
        <f>C48</f>
        <v>25.580738332</v>
      </c>
      <c r="C152" s="85">
        <f>AB48</f>
        <v>21.713355336457912</v>
      </c>
      <c r="D152" s="86">
        <f>(C152-B152)/B152</f>
        <v>-0.15118339999999994</v>
      </c>
      <c r="E152" s="84">
        <f>B152</f>
        <v>25.580738332</v>
      </c>
      <c r="F152" s="85">
        <f>AB64</f>
        <v>20.00498984095012</v>
      </c>
      <c r="G152" s="87">
        <f>(F152-E152)/E152</f>
        <v>-0.21796667549954746</v>
      </c>
      <c r="H152" s="85">
        <f>E152</f>
        <v>25.580738332</v>
      </c>
      <c r="I152" s="85">
        <f>AB106</f>
        <v>18.2249891634847</v>
      </c>
      <c r="J152" s="87">
        <f>(I152-H152)/H152</f>
        <v>-0.2875503073073418</v>
      </c>
    </row>
    <row r="154" ht="13.5" thickBot="1">
      <c r="A154" s="19" t="s">
        <v>55</v>
      </c>
    </row>
    <row r="155" spans="1:10" ht="12.75">
      <c r="A155" s="69" t="s">
        <v>14</v>
      </c>
      <c r="B155" s="88">
        <f>C52</f>
        <v>8.141144305293999</v>
      </c>
      <c r="C155" s="89">
        <f>AB52</f>
        <v>6.910338429329014</v>
      </c>
      <c r="D155" s="79">
        <f>(C155-B155)/B155</f>
        <v>-0.15118339999999994</v>
      </c>
      <c r="E155" s="77">
        <f>B155</f>
        <v>8.141144305293999</v>
      </c>
      <c r="F155" s="89">
        <f>AB68</f>
        <v>6.219304586396114</v>
      </c>
      <c r="G155" s="80">
        <f>(F155-E155)/E155</f>
        <v>-0.23606505999999983</v>
      </c>
      <c r="H155" s="78">
        <f>E155</f>
        <v>8.141144305293999</v>
      </c>
      <c r="I155" s="89">
        <f>AB110</f>
        <v>5.49929431236135</v>
      </c>
      <c r="J155" s="80">
        <f>(I155-H155)/H155</f>
        <v>-0.32450597776711987</v>
      </c>
    </row>
    <row r="156" spans="1:10" ht="12.75">
      <c r="A156" s="69" t="s">
        <v>15</v>
      </c>
      <c r="B156" s="90">
        <f>C53</f>
        <v>2.2062643499999997</v>
      </c>
      <c r="C156" s="91">
        <f>AB53</f>
        <v>1.8727138042682099</v>
      </c>
      <c r="D156" s="82">
        <f>(C156-B156)/B156</f>
        <v>-0.1511833999999999</v>
      </c>
      <c r="E156" s="81">
        <f>B156</f>
        <v>2.2062643499999997</v>
      </c>
      <c r="F156" s="91">
        <f>AB69</f>
        <v>1.8727138042682099</v>
      </c>
      <c r="G156" s="83">
        <f>(F156-E156)/E156</f>
        <v>-0.1511833999999999</v>
      </c>
      <c r="H156" s="21">
        <f>E156</f>
        <v>2.2062643499999997</v>
      </c>
      <c r="I156" s="91">
        <f>AB111</f>
        <v>1.8727138042682099</v>
      </c>
      <c r="J156" s="83">
        <f>(I156-H156)/H156</f>
        <v>-0.1511833999999999</v>
      </c>
    </row>
    <row r="157" spans="1:10" ht="13.5" thickBot="1">
      <c r="A157" s="69" t="s">
        <v>3</v>
      </c>
      <c r="B157" s="92">
        <f>C54</f>
        <v>10.347408655293998</v>
      </c>
      <c r="C157" s="93">
        <f>AB54</f>
        <v>8.783052233597225</v>
      </c>
      <c r="D157" s="86">
        <f>(C157-B157)/B157</f>
        <v>-0.15118339999999988</v>
      </c>
      <c r="E157" s="84">
        <f>B157</f>
        <v>10.347408655293998</v>
      </c>
      <c r="F157" s="93">
        <f>AB70</f>
        <v>8.092018390664323</v>
      </c>
      <c r="G157" s="87">
        <f>(F157-E157)/E157</f>
        <v>-0.21796667549954737</v>
      </c>
      <c r="H157" s="85">
        <f>E157</f>
        <v>10.347408655293998</v>
      </c>
      <c r="I157" s="93">
        <f>AB112</f>
        <v>7.37200811662956</v>
      </c>
      <c r="J157" s="87">
        <f>(I157-H157)/H157</f>
        <v>-0.2875503073073418</v>
      </c>
    </row>
    <row r="158" ht="12.75">
      <c r="A158" s="36"/>
    </row>
    <row r="160" ht="13.5" thickBot="1">
      <c r="A160" s="19" t="s">
        <v>49</v>
      </c>
    </row>
    <row r="161" spans="2:7" ht="13.5" thickBot="1">
      <c r="B161" s="109" t="s">
        <v>65</v>
      </c>
      <c r="C161" s="110"/>
      <c r="D161" s="111"/>
      <c r="E161" s="110" t="s">
        <v>66</v>
      </c>
      <c r="F161" s="110"/>
      <c r="G161" s="111"/>
    </row>
    <row r="162" spans="1:7" ht="12.75">
      <c r="A162" s="2" t="s">
        <v>70</v>
      </c>
      <c r="B162" s="98">
        <v>2015</v>
      </c>
      <c r="C162" s="99">
        <v>2020</v>
      </c>
      <c r="D162" s="100">
        <v>2025</v>
      </c>
      <c r="E162" s="98">
        <v>2015</v>
      </c>
      <c r="F162" s="99">
        <v>2020</v>
      </c>
      <c r="G162" s="100">
        <v>2025</v>
      </c>
    </row>
    <row r="163" spans="1:7" ht="12.75">
      <c r="A163" s="2" t="s">
        <v>68</v>
      </c>
      <c r="B163" s="90">
        <f>R82</f>
        <v>0.2664660050477883</v>
      </c>
      <c r="C163" s="91">
        <f>W82</f>
        <v>0.48232029802912724</v>
      </c>
      <c r="D163" s="101">
        <f>AB82</f>
        <v>0.6910338429329004</v>
      </c>
      <c r="E163" s="90">
        <f>R124</f>
        <v>0.5441054626192416</v>
      </c>
      <c r="F163" s="91">
        <f>W124</f>
        <v>0.9848652507952114</v>
      </c>
      <c r="G163" s="101">
        <f>AB124</f>
        <v>1.4110441169676644</v>
      </c>
    </row>
    <row r="164" spans="1:7" ht="13.5" thickBot="1">
      <c r="A164" s="2" t="s">
        <v>67</v>
      </c>
      <c r="B164" s="92">
        <f>R92</f>
        <v>0.936576924810538</v>
      </c>
      <c r="C164" s="93">
        <f>W92</f>
        <v>2.918724633075369</v>
      </c>
      <c r="D164" s="102">
        <f>AB92</f>
        <v>5.961729037759963</v>
      </c>
      <c r="E164" s="92">
        <f>R134</f>
        <v>1.9124263932322334</v>
      </c>
      <c r="F164" s="93">
        <f>W134</f>
        <v>5.959837227464855</v>
      </c>
      <c r="G164" s="102">
        <f>AB134</f>
        <v>12.173445297531279</v>
      </c>
    </row>
    <row r="165" spans="2:7" ht="13.5" thickBot="1">
      <c r="B165" s="35"/>
      <c r="C165" s="35"/>
      <c r="D165" s="35"/>
      <c r="E165" s="35"/>
      <c r="F165" s="35"/>
      <c r="G165" s="35"/>
    </row>
    <row r="166" spans="1:7" ht="12.75">
      <c r="A166" s="2" t="s">
        <v>69</v>
      </c>
      <c r="B166" s="98">
        <v>2015</v>
      </c>
      <c r="C166" s="99">
        <v>2020</v>
      </c>
      <c r="D166" s="100">
        <v>2025</v>
      </c>
      <c r="E166" s="98">
        <v>2015</v>
      </c>
      <c r="F166" s="99">
        <v>2020</v>
      </c>
      <c r="G166" s="100">
        <v>2025</v>
      </c>
    </row>
    <row r="167" spans="1:7" ht="12.75">
      <c r="A167" s="2" t="s">
        <v>68</v>
      </c>
      <c r="B167" s="90">
        <f>R87</f>
        <v>1.501165796753786</v>
      </c>
      <c r="C167" s="91">
        <f>W87</f>
        <v>1.874329715366105</v>
      </c>
      <c r="D167" s="101">
        <f>AB87</f>
        <v>2.2553902646296744</v>
      </c>
      <c r="E167" s="90">
        <f>R129</f>
        <v>1.7788052543252393</v>
      </c>
      <c r="F167" s="91">
        <f>W129</f>
        <v>2.376874668132189</v>
      </c>
      <c r="G167" s="101">
        <f>AB129</f>
        <v>2.9754005386644384</v>
      </c>
    </row>
    <row r="168" spans="1:7" ht="13.5" thickBot="1">
      <c r="A168" s="2" t="s">
        <v>67</v>
      </c>
      <c r="B168" s="92">
        <f>R97</f>
        <v>16.55330840760803</v>
      </c>
      <c r="C168" s="93">
        <f>W97</f>
        <v>25.180883951295783</v>
      </c>
      <c r="D168" s="102">
        <f>AB97</f>
        <v>35.67090169828701</v>
      </c>
      <c r="E168" s="92">
        <f>R139</f>
        <v>17.529157876029725</v>
      </c>
      <c r="F168" s="93">
        <f>W139</f>
        <v>28.221996545685272</v>
      </c>
      <c r="G168" s="102">
        <f>AB139</f>
        <v>41.88261795805833</v>
      </c>
    </row>
  </sheetData>
  <mergeCells count="5">
    <mergeCell ref="B161:D161"/>
    <mergeCell ref="E161:G161"/>
    <mergeCell ref="H142:J142"/>
    <mergeCell ref="E142:G142"/>
    <mergeCell ref="B142:D14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62"/>
  <sheetViews>
    <sheetView workbookViewId="0" topLeftCell="A1">
      <pane ySplit="10560" topLeftCell="BM152" activePane="topLeft" state="split"/>
      <selection pane="topLeft" activeCell="A1" sqref="A1"/>
      <selection pane="bottomLeft" activeCell="A2" sqref="A2"/>
    </sheetView>
  </sheetViews>
  <sheetFormatPr defaultColWidth="9.140625" defaultRowHeight="12.75"/>
  <cols>
    <col min="1" max="1" width="27.28125" style="2" customWidth="1"/>
    <col min="2" max="2" width="8.8515625" style="2" customWidth="1"/>
    <col min="3" max="27" width="6.28125" style="2" customWidth="1"/>
    <col min="28" max="28" width="6.7109375" style="2" customWidth="1"/>
    <col min="29" max="29" width="17.57421875" style="2" customWidth="1"/>
    <col min="30" max="16384" width="8.8515625" style="2" customWidth="1"/>
  </cols>
  <sheetData>
    <row r="1" ht="23.25">
      <c r="A1" s="1" t="str">
        <f>Conversions!A1</f>
        <v>Coal Mine Methane Option Evaluation</v>
      </c>
    </row>
    <row r="2" ht="15.75">
      <c r="A2" s="3" t="s">
        <v>83</v>
      </c>
    </row>
    <row r="5" ht="12.75">
      <c r="A5" s="4" t="s">
        <v>0</v>
      </c>
    </row>
    <row r="6" ht="12.75">
      <c r="A6" s="62" t="s">
        <v>42</v>
      </c>
    </row>
    <row r="7" ht="12.75">
      <c r="A7" s="2" t="s">
        <v>58</v>
      </c>
    </row>
    <row r="8" ht="12.75">
      <c r="A8" s="2" t="s">
        <v>44</v>
      </c>
    </row>
    <row r="9" ht="12.75">
      <c r="A9" s="2" t="s">
        <v>45</v>
      </c>
    </row>
    <row r="13" ht="13.5" thickBot="1">
      <c r="A13" s="45" t="s">
        <v>23</v>
      </c>
    </row>
    <row r="14" spans="1:4" ht="13.5" thickBot="1">
      <c r="A14" s="45"/>
      <c r="B14" s="61">
        <v>2010</v>
      </c>
      <c r="C14" s="45"/>
      <c r="D14" s="45"/>
    </row>
    <row r="15" spans="1:5" ht="12.75">
      <c r="A15" s="45"/>
      <c r="B15" s="45"/>
      <c r="C15" s="45"/>
      <c r="D15" s="45"/>
      <c r="E15" s="45"/>
    </row>
    <row r="16" spans="1:5" ht="13.5" thickBot="1">
      <c r="A16" s="45" t="s">
        <v>60</v>
      </c>
      <c r="B16" s="62"/>
      <c r="C16" s="45"/>
      <c r="D16" s="45"/>
      <c r="E16" s="45"/>
    </row>
    <row r="17" spans="1:5" ht="13.5" thickBot="1">
      <c r="A17" s="69" t="s">
        <v>14</v>
      </c>
      <c r="B17" s="65">
        <v>1</v>
      </c>
      <c r="C17" s="45"/>
      <c r="D17" s="45"/>
      <c r="E17" s="45"/>
    </row>
    <row r="18" spans="1:5" ht="13.5" thickBot="1">
      <c r="A18" s="69" t="s">
        <v>15</v>
      </c>
      <c r="B18" s="65">
        <v>1</v>
      </c>
      <c r="C18" s="45"/>
      <c r="D18" s="45"/>
      <c r="E18" s="45"/>
    </row>
    <row r="19" spans="1:5" ht="12.75">
      <c r="A19" s="45"/>
      <c r="B19" s="45"/>
      <c r="C19" s="45"/>
      <c r="D19" s="45"/>
      <c r="E19" s="45"/>
    </row>
    <row r="20" spans="1:4" ht="13.5" thickBot="1">
      <c r="A20" s="45" t="s">
        <v>36</v>
      </c>
      <c r="B20" s="62"/>
      <c r="C20" s="45"/>
      <c r="D20" s="45"/>
    </row>
    <row r="21" spans="1:4" ht="13.5" thickBot="1">
      <c r="A21" s="44" t="s">
        <v>37</v>
      </c>
      <c r="B21" s="75">
        <f>'Workplan Benchmark'!$B$21</f>
        <v>0.1</v>
      </c>
      <c r="C21" s="45"/>
      <c r="D21" s="45"/>
    </row>
    <row r="22" spans="1:4" ht="13.5" thickBot="1">
      <c r="A22" s="44" t="s">
        <v>38</v>
      </c>
      <c r="B22" s="75">
        <f>'Workplan Benchmark'!$B$22</f>
        <v>0.2041932</v>
      </c>
      <c r="C22" s="2" t="s">
        <v>40</v>
      </c>
      <c r="D22" s="45"/>
    </row>
    <row r="23" spans="1:4" ht="12.75">
      <c r="A23" s="44"/>
      <c r="B23" s="44"/>
      <c r="C23" s="44"/>
      <c r="D23" s="44"/>
    </row>
    <row r="24" spans="1:2" ht="13.5" thickBot="1">
      <c r="A24" s="45" t="s">
        <v>27</v>
      </c>
      <c r="B24" s="62"/>
    </row>
    <row r="25" spans="1:10" ht="13.5" thickBot="1">
      <c r="A25" s="44" t="s">
        <v>28</v>
      </c>
      <c r="B25" s="74">
        <f>'Workplan Benchmark'!$B25</f>
        <v>8.092018</v>
      </c>
      <c r="I25" s="53"/>
      <c r="J25" s="57"/>
    </row>
    <row r="26" spans="1:2" ht="13.5" thickBot="1">
      <c r="A26" s="44" t="s">
        <v>29</v>
      </c>
      <c r="B26" s="74">
        <f>'Workplan Benchmark'!$B$26</f>
        <v>7.372008</v>
      </c>
    </row>
    <row r="27" spans="1:2" ht="12.75">
      <c r="A27" s="19"/>
      <c r="B27" s="44"/>
    </row>
    <row r="28" ht="13.5" thickBot="1">
      <c r="A28" s="45" t="s">
        <v>34</v>
      </c>
    </row>
    <row r="29" spans="1:7" ht="13.5" thickBot="1">
      <c r="A29" s="44" t="s">
        <v>28</v>
      </c>
      <c r="B29" s="76">
        <f>'Workplan Benchmark'!$B29</f>
        <v>-0.218</v>
      </c>
      <c r="F29" s="38"/>
      <c r="G29" s="38"/>
    </row>
    <row r="30" spans="1:3" ht="13.5" thickBot="1">
      <c r="A30" s="44" t="s">
        <v>29</v>
      </c>
      <c r="B30" s="76">
        <f>'Workplan Benchmark'!$B30</f>
        <v>-0.2876</v>
      </c>
      <c r="C30" s="2" t="s">
        <v>41</v>
      </c>
    </row>
    <row r="33" spans="3:28" ht="12.75">
      <c r="C33" s="14">
        <v>2000</v>
      </c>
      <c r="D33" s="14">
        <f aca="true" t="shared" si="0" ref="D33:AB33">1+C33</f>
        <v>2001</v>
      </c>
      <c r="E33" s="14">
        <f t="shared" si="0"/>
        <v>2002</v>
      </c>
      <c r="F33" s="14">
        <f t="shared" si="0"/>
        <v>2003</v>
      </c>
      <c r="G33" s="14">
        <f t="shared" si="0"/>
        <v>2004</v>
      </c>
      <c r="H33" s="14">
        <f t="shared" si="0"/>
        <v>2005</v>
      </c>
      <c r="I33" s="14">
        <f t="shared" si="0"/>
        <v>2006</v>
      </c>
      <c r="J33" s="14">
        <f t="shared" si="0"/>
        <v>2007</v>
      </c>
      <c r="K33" s="14">
        <f t="shared" si="0"/>
        <v>2008</v>
      </c>
      <c r="L33" s="14">
        <f t="shared" si="0"/>
        <v>2009</v>
      </c>
      <c r="M33" s="14">
        <f t="shared" si="0"/>
        <v>2010</v>
      </c>
      <c r="N33" s="14">
        <f t="shared" si="0"/>
        <v>2011</v>
      </c>
      <c r="O33" s="14">
        <f t="shared" si="0"/>
        <v>2012</v>
      </c>
      <c r="P33" s="14">
        <f t="shared" si="0"/>
        <v>2013</v>
      </c>
      <c r="Q33" s="14">
        <f t="shared" si="0"/>
        <v>2014</v>
      </c>
      <c r="R33" s="14">
        <f t="shared" si="0"/>
        <v>2015</v>
      </c>
      <c r="S33" s="14">
        <f t="shared" si="0"/>
        <v>2016</v>
      </c>
      <c r="T33" s="14">
        <f t="shared" si="0"/>
        <v>2017</v>
      </c>
      <c r="U33" s="14">
        <f t="shared" si="0"/>
        <v>2018</v>
      </c>
      <c r="V33" s="14">
        <f t="shared" si="0"/>
        <v>2019</v>
      </c>
      <c r="W33" s="14">
        <f t="shared" si="0"/>
        <v>2020</v>
      </c>
      <c r="X33" s="14">
        <f t="shared" si="0"/>
        <v>2021</v>
      </c>
      <c r="Y33" s="14">
        <f t="shared" si="0"/>
        <v>2022</v>
      </c>
      <c r="Z33" s="14">
        <f t="shared" si="0"/>
        <v>2023</v>
      </c>
      <c r="AA33" s="14">
        <f t="shared" si="0"/>
        <v>2024</v>
      </c>
      <c r="AB33" s="14">
        <f t="shared" si="0"/>
        <v>2025</v>
      </c>
    </row>
    <row r="34" spans="1:28" ht="12.75">
      <c r="A34" s="19" t="s">
        <v>47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6" spans="1:7" ht="12.75">
      <c r="A36" s="19" t="s">
        <v>59</v>
      </c>
      <c r="D36" s="8"/>
      <c r="E36" s="8"/>
      <c r="F36" s="8"/>
      <c r="G36" s="23"/>
    </row>
    <row r="37" spans="1:28" ht="12.75">
      <c r="A37" s="15" t="s">
        <v>14</v>
      </c>
      <c r="C37" s="70">
        <f>'Historical Production'!C17/'Historical Production'!C17</f>
        <v>1</v>
      </c>
      <c r="D37" s="70">
        <f>'Historical Production'!D17/'Historical Production'!$C17</f>
        <v>0.895240365075042</v>
      </c>
      <c r="E37" s="70">
        <f>'Historical Production'!E17/'Historical Production'!$C17</f>
        <v>0.9449759409125443</v>
      </c>
      <c r="F37" s="70">
        <f>'Historical Production'!F17/'Historical Production'!$C17</f>
        <v>0.8753461347400411</v>
      </c>
      <c r="G37" s="70">
        <f>'Historical Production'!G17/'Historical Production'!$C17</f>
        <v>0.8554519044050402</v>
      </c>
      <c r="H37" s="70">
        <f>'Historical Production'!H17/'Historical Production'!$C17</f>
        <v>0.8653990195725406</v>
      </c>
      <c r="I37" s="70">
        <f>'Historical Production'!I17/'Historical Production'!$C17</f>
        <v>0.8554519044050402</v>
      </c>
      <c r="J37" s="70">
        <f>'Historical Production'!J17/'Historical Production'!$C17</f>
        <v>0.8554519044050402</v>
      </c>
      <c r="K37" s="71">
        <f>($AB37-$J37)/18+J37</f>
        <v>0.8634823541603157</v>
      </c>
      <c r="L37" s="71">
        <f aca="true" t="shared" si="1" ref="L37:AA37">($AB37-$J37)/18+K37</f>
        <v>0.8715128039155913</v>
      </c>
      <c r="M37" s="71">
        <f t="shared" si="1"/>
        <v>0.8795432536708668</v>
      </c>
      <c r="N37" s="71">
        <f t="shared" si="1"/>
        <v>0.8875737034261424</v>
      </c>
      <c r="O37" s="71">
        <f t="shared" si="1"/>
        <v>0.895604153181418</v>
      </c>
      <c r="P37" s="71">
        <f t="shared" si="1"/>
        <v>0.9036346029366935</v>
      </c>
      <c r="Q37" s="71">
        <f t="shared" si="1"/>
        <v>0.9116650526919691</v>
      </c>
      <c r="R37" s="71">
        <f t="shared" si="1"/>
        <v>0.9196955024472446</v>
      </c>
      <c r="S37" s="71">
        <f t="shared" si="1"/>
        <v>0.9277259522025202</v>
      </c>
      <c r="T37" s="71">
        <f t="shared" si="1"/>
        <v>0.9357564019577957</v>
      </c>
      <c r="U37" s="71">
        <f t="shared" si="1"/>
        <v>0.9437868517130713</v>
      </c>
      <c r="V37" s="71">
        <f t="shared" si="1"/>
        <v>0.9518173014683469</v>
      </c>
      <c r="W37" s="71">
        <f t="shared" si="1"/>
        <v>0.9598477512236224</v>
      </c>
      <c r="X37" s="71">
        <f t="shared" si="1"/>
        <v>0.967878200978898</v>
      </c>
      <c r="Y37" s="71">
        <f t="shared" si="1"/>
        <v>0.9759086507341735</v>
      </c>
      <c r="Z37" s="71">
        <f t="shared" si="1"/>
        <v>0.9839391004894491</v>
      </c>
      <c r="AA37" s="71">
        <f t="shared" si="1"/>
        <v>0.9919695502447247</v>
      </c>
      <c r="AB37" s="72">
        <f>B17</f>
        <v>1</v>
      </c>
    </row>
    <row r="38" spans="1:28" ht="12.75">
      <c r="A38" s="15" t="s">
        <v>15</v>
      </c>
      <c r="C38" s="73">
        <f>'Historical Production'!C18/'Historical Production'!C18</f>
        <v>1</v>
      </c>
      <c r="D38" s="73">
        <f>'Historical Production'!D18/'Historical Production'!$C18</f>
        <v>1.2291666666666667</v>
      </c>
      <c r="E38" s="73">
        <f>'Historical Production'!E18/'Historical Production'!$C18</f>
        <v>0.875</v>
      </c>
      <c r="F38" s="73">
        <f>'Historical Production'!F18/'Historical Production'!$C18</f>
        <v>0.9791666666666666</v>
      </c>
      <c r="G38" s="73">
        <f>'Historical Production'!G18/'Historical Production'!$C18</f>
        <v>1.1041666666666667</v>
      </c>
      <c r="H38" s="73">
        <f>'Historical Production'!H18/'Historical Production'!$C18</f>
        <v>1.0416666666666667</v>
      </c>
      <c r="I38" s="73">
        <f>'Historical Production'!I18/'Historical Production'!$C18</f>
        <v>0.9583333333333334</v>
      </c>
      <c r="J38" s="73">
        <f>'Historical Production'!J18/'Historical Production'!$C18</f>
        <v>0.9583333333333334</v>
      </c>
      <c r="K38" s="71">
        <f>($AB38-$J38)/18+J38</f>
        <v>0.9606481481481481</v>
      </c>
      <c r="L38" s="71">
        <f aca="true" t="shared" si="2" ref="L38:AA38">($AB38-$J38)/18+K38</f>
        <v>0.9629629629629629</v>
      </c>
      <c r="M38" s="71">
        <f t="shared" si="2"/>
        <v>0.9652777777777777</v>
      </c>
      <c r="N38" s="71">
        <f t="shared" si="2"/>
        <v>0.9675925925925924</v>
      </c>
      <c r="O38" s="71">
        <f t="shared" si="2"/>
        <v>0.9699074074074072</v>
      </c>
      <c r="P38" s="71">
        <f t="shared" si="2"/>
        <v>0.972222222222222</v>
      </c>
      <c r="Q38" s="71">
        <f t="shared" si="2"/>
        <v>0.9745370370370368</v>
      </c>
      <c r="R38" s="71">
        <f t="shared" si="2"/>
        <v>0.9768518518518515</v>
      </c>
      <c r="S38" s="71">
        <f t="shared" si="2"/>
        <v>0.9791666666666663</v>
      </c>
      <c r="T38" s="71">
        <f t="shared" si="2"/>
        <v>0.9814814814814811</v>
      </c>
      <c r="U38" s="71">
        <f t="shared" si="2"/>
        <v>0.9837962962962958</v>
      </c>
      <c r="V38" s="71">
        <f t="shared" si="2"/>
        <v>0.9861111111111106</v>
      </c>
      <c r="W38" s="71">
        <f t="shared" si="2"/>
        <v>0.9884259259259254</v>
      </c>
      <c r="X38" s="71">
        <f t="shared" si="2"/>
        <v>0.9907407407407401</v>
      </c>
      <c r="Y38" s="71">
        <f t="shared" si="2"/>
        <v>0.9930555555555549</v>
      </c>
      <c r="Z38" s="71">
        <f t="shared" si="2"/>
        <v>0.9953703703703697</v>
      </c>
      <c r="AA38" s="71">
        <f t="shared" si="2"/>
        <v>0.9976851851851845</v>
      </c>
      <c r="AB38" s="72">
        <f>B18</f>
        <v>1</v>
      </c>
    </row>
    <row r="39" spans="1:28" ht="12.75">
      <c r="A39" s="15" t="s">
        <v>3</v>
      </c>
      <c r="C39" s="70">
        <f>'Historical Production'!C17/'Historical Production'!$C17</f>
        <v>1</v>
      </c>
      <c r="D39" s="70">
        <f>'Historical Production'!D17/'Historical Production'!$C17</f>
        <v>0.895240365075042</v>
      </c>
      <c r="E39" s="70">
        <f>'Historical Production'!E17/'Historical Production'!$C17</f>
        <v>0.9449759409125443</v>
      </c>
      <c r="F39" s="70">
        <f>'Historical Production'!F17/'Historical Production'!$C17</f>
        <v>0.8753461347400411</v>
      </c>
      <c r="G39" s="70">
        <f>'Historical Production'!G17/'Historical Production'!$C17</f>
        <v>0.8554519044050402</v>
      </c>
      <c r="H39" s="70">
        <f>'Historical Production'!H17/'Historical Production'!$C17</f>
        <v>0.8653990195725406</v>
      </c>
      <c r="I39" s="70">
        <f>'Historical Production'!I17/'Historical Production'!$C17</f>
        <v>0.8554519044050402</v>
      </c>
      <c r="J39" s="70">
        <f>'Historical Production'!J17/'Historical Production'!$C17</f>
        <v>0.8554519044050402</v>
      </c>
      <c r="K39" s="70">
        <f>K44/$C44</f>
        <v>0.8948827849601598</v>
      </c>
      <c r="L39" s="70">
        <f aca="true" t="shared" si="3" ref="L39:AB39">L44/$C44</f>
        <v>0.9010661505507387</v>
      </c>
      <c r="M39" s="70">
        <f t="shared" si="3"/>
        <v>0.9072495161413173</v>
      </c>
      <c r="N39" s="70">
        <f t="shared" si="3"/>
        <v>0.9134328817318964</v>
      </c>
      <c r="O39" s="70">
        <f t="shared" si="3"/>
        <v>0.919616247322475</v>
      </c>
      <c r="P39" s="70">
        <f t="shared" si="3"/>
        <v>0.9257996129130541</v>
      </c>
      <c r="Q39" s="70">
        <f t="shared" si="3"/>
        <v>0.9319829785036328</v>
      </c>
      <c r="R39" s="70">
        <f t="shared" si="3"/>
        <v>0.9381663440942116</v>
      </c>
      <c r="S39" s="70">
        <f t="shared" si="3"/>
        <v>0.9443497096847905</v>
      </c>
      <c r="T39" s="70">
        <f t="shared" si="3"/>
        <v>0.9505330752753693</v>
      </c>
      <c r="U39" s="70">
        <f t="shared" si="3"/>
        <v>0.9567164408659482</v>
      </c>
      <c r="V39" s="70">
        <f t="shared" si="3"/>
        <v>0.9628998064565271</v>
      </c>
      <c r="W39" s="70">
        <f t="shared" si="3"/>
        <v>0.9690831720471059</v>
      </c>
      <c r="X39" s="70">
        <f t="shared" si="3"/>
        <v>0.9752665376376846</v>
      </c>
      <c r="Y39" s="70">
        <f t="shared" si="3"/>
        <v>0.9814499032282634</v>
      </c>
      <c r="Z39" s="70">
        <f t="shared" si="3"/>
        <v>0.9876332688188423</v>
      </c>
      <c r="AA39" s="70">
        <f t="shared" si="3"/>
        <v>0.9938166344094211</v>
      </c>
      <c r="AB39" s="70">
        <f t="shared" si="3"/>
        <v>1</v>
      </c>
    </row>
    <row r="40" spans="3:28" ht="12.75">
      <c r="C40" s="40"/>
      <c r="D40" s="40"/>
      <c r="E40" s="40"/>
      <c r="F40" s="40"/>
      <c r="G40" s="40"/>
      <c r="H40" s="40"/>
      <c r="I40" s="40"/>
      <c r="J40" s="40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22"/>
    </row>
    <row r="41" spans="1:7" ht="12.75">
      <c r="A41" s="19" t="s">
        <v>13</v>
      </c>
      <c r="C41" s="8"/>
      <c r="D41" s="8"/>
      <c r="E41" s="8"/>
      <c r="F41" s="8"/>
      <c r="G41" s="8"/>
    </row>
    <row r="42" spans="1:28" ht="12.75">
      <c r="A42" s="15" t="s">
        <v>14</v>
      </c>
      <c r="C42" s="24">
        <f>'Workplan Benchmark'!$C40*C37</f>
        <v>50.26583</v>
      </c>
      <c r="D42" s="24">
        <f>'Workplan Benchmark'!$C40*D37</f>
        <v>45</v>
      </c>
      <c r="E42" s="24">
        <f>'Workplan Benchmark'!$C40*E37</f>
        <v>47.5</v>
      </c>
      <c r="F42" s="24">
        <f>'Workplan Benchmark'!$C40*F37</f>
        <v>44</v>
      </c>
      <c r="G42" s="24">
        <f>'Workplan Benchmark'!$C40*G37</f>
        <v>43</v>
      </c>
      <c r="H42" s="24">
        <f>'Workplan Benchmark'!$C40*H37</f>
        <v>43.5</v>
      </c>
      <c r="I42" s="24">
        <f>'Workplan Benchmark'!$C40*I37</f>
        <v>43</v>
      </c>
      <c r="J42" s="24">
        <f>'Workplan Benchmark'!$C40*J37</f>
        <v>43</v>
      </c>
      <c r="K42" s="24">
        <f>'Workplan Benchmark'!$C40*K37</f>
        <v>43.40365722222222</v>
      </c>
      <c r="L42" s="24">
        <f>'Workplan Benchmark'!$C40*L37</f>
        <v>43.807314444444444</v>
      </c>
      <c r="M42" s="24">
        <f>'Workplan Benchmark'!$C40*M37</f>
        <v>44.210971666666666</v>
      </c>
      <c r="N42" s="24">
        <f>'Workplan Benchmark'!$C40*N37</f>
        <v>44.614628888888895</v>
      </c>
      <c r="O42" s="24">
        <f>'Workplan Benchmark'!$C40*O37</f>
        <v>45.01828611111112</v>
      </c>
      <c r="P42" s="24">
        <f>'Workplan Benchmark'!$C40*P37</f>
        <v>45.42194333333334</v>
      </c>
      <c r="Q42" s="24">
        <f>'Workplan Benchmark'!$C40*Q37</f>
        <v>45.82560055555556</v>
      </c>
      <c r="R42" s="24">
        <f>'Workplan Benchmark'!$C40*R37</f>
        <v>46.22925777777778</v>
      </c>
      <c r="S42" s="24">
        <f>'Workplan Benchmark'!$C40*S37</f>
        <v>46.632915000000004</v>
      </c>
      <c r="T42" s="24">
        <f>'Workplan Benchmark'!$C40*T37</f>
        <v>47.036572222222226</v>
      </c>
      <c r="U42" s="24">
        <f>'Workplan Benchmark'!$C40*U37</f>
        <v>47.440229444444455</v>
      </c>
      <c r="V42" s="24">
        <f>'Workplan Benchmark'!$C40*V37</f>
        <v>47.84388666666668</v>
      </c>
      <c r="W42" s="24">
        <f>'Workplan Benchmark'!$C40*W37</f>
        <v>48.2475438888889</v>
      </c>
      <c r="X42" s="24">
        <f>'Workplan Benchmark'!$C40*X37</f>
        <v>48.65120111111112</v>
      </c>
      <c r="Y42" s="24">
        <f>'Workplan Benchmark'!$C40*Y37</f>
        <v>49.05485833333334</v>
      </c>
      <c r="Z42" s="24">
        <f>'Workplan Benchmark'!$C40*Z37</f>
        <v>49.458515555555564</v>
      </c>
      <c r="AA42" s="24">
        <f>'Workplan Benchmark'!$C40*AA37</f>
        <v>49.862172777777786</v>
      </c>
      <c r="AB42" s="24">
        <f>'Workplan Benchmark'!$C40*AB37</f>
        <v>50.26583</v>
      </c>
    </row>
    <row r="43" spans="1:28" ht="12.75">
      <c r="A43" s="15" t="s">
        <v>15</v>
      </c>
      <c r="C43" s="24">
        <f>'Workplan Benchmark'!$C41*C38</f>
        <v>24</v>
      </c>
      <c r="D43" s="24">
        <f>'Workplan Benchmark'!$C41*D38</f>
        <v>29.5</v>
      </c>
      <c r="E43" s="24">
        <f>'Workplan Benchmark'!$C41*E38</f>
        <v>21</v>
      </c>
      <c r="F43" s="24">
        <f>'Workplan Benchmark'!$C41*F38</f>
        <v>23.5</v>
      </c>
      <c r="G43" s="24">
        <f>'Workplan Benchmark'!$C41*G38</f>
        <v>26.5</v>
      </c>
      <c r="H43" s="24">
        <f>'Workplan Benchmark'!$C41*H38</f>
        <v>25</v>
      </c>
      <c r="I43" s="24">
        <f>'Workplan Benchmark'!$C41*I38</f>
        <v>23</v>
      </c>
      <c r="J43" s="24">
        <f>'Workplan Benchmark'!$C41*J38</f>
        <v>23</v>
      </c>
      <c r="K43" s="24">
        <f>'Workplan Benchmark'!$C41*K38</f>
        <v>23.055555555555557</v>
      </c>
      <c r="L43" s="24">
        <f>'Workplan Benchmark'!$C41*L38</f>
        <v>23.11111111111111</v>
      </c>
      <c r="M43" s="24">
        <f>'Workplan Benchmark'!$C41*M38</f>
        <v>23.166666666666664</v>
      </c>
      <c r="N43" s="24">
        <f>'Workplan Benchmark'!$C41*N38</f>
        <v>23.222222222222218</v>
      </c>
      <c r="O43" s="24">
        <f>'Workplan Benchmark'!$C41*O38</f>
        <v>23.27777777777777</v>
      </c>
      <c r="P43" s="24">
        <f>'Workplan Benchmark'!$C41*P38</f>
        <v>23.33333333333333</v>
      </c>
      <c r="Q43" s="24">
        <f>'Workplan Benchmark'!$C41*Q38</f>
        <v>23.388888888888882</v>
      </c>
      <c r="R43" s="24">
        <f>'Workplan Benchmark'!$C41*R38</f>
        <v>23.444444444444436</v>
      </c>
      <c r="S43" s="24">
        <f>'Workplan Benchmark'!$C41*S38</f>
        <v>23.499999999999993</v>
      </c>
      <c r="T43" s="24">
        <f>'Workplan Benchmark'!$C41*T38</f>
        <v>23.555555555555546</v>
      </c>
      <c r="U43" s="24">
        <f>'Workplan Benchmark'!$C41*U38</f>
        <v>23.6111111111111</v>
      </c>
      <c r="V43" s="24">
        <f>'Workplan Benchmark'!$C41*V38</f>
        <v>23.666666666666654</v>
      </c>
      <c r="W43" s="24">
        <f>'Workplan Benchmark'!$C41*W38</f>
        <v>23.722222222222207</v>
      </c>
      <c r="X43" s="24">
        <f>'Workplan Benchmark'!$C41*X38</f>
        <v>23.777777777777764</v>
      </c>
      <c r="Y43" s="24">
        <f>'Workplan Benchmark'!$C41*Y38</f>
        <v>23.833333333333318</v>
      </c>
      <c r="Z43" s="24">
        <f>'Workplan Benchmark'!$C41*Z38</f>
        <v>23.88888888888887</v>
      </c>
      <c r="AA43" s="24">
        <f>'Workplan Benchmark'!$C41*AA38</f>
        <v>23.94444444444443</v>
      </c>
      <c r="AB43" s="24">
        <f>'Workplan Benchmark'!$C41*AB38</f>
        <v>24</v>
      </c>
    </row>
    <row r="44" spans="1:28" ht="12.75">
      <c r="A44" s="15" t="s">
        <v>3</v>
      </c>
      <c r="C44" s="24">
        <f aca="true" t="shared" si="4" ref="C44:AB44">SUM(C42:C43)</f>
        <v>74.26583</v>
      </c>
      <c r="D44" s="24">
        <f t="shared" si="4"/>
        <v>74.5</v>
      </c>
      <c r="E44" s="24">
        <f t="shared" si="4"/>
        <v>68.5</v>
      </c>
      <c r="F44" s="24">
        <f t="shared" si="4"/>
        <v>67.5</v>
      </c>
      <c r="G44" s="24">
        <f t="shared" si="4"/>
        <v>69.5</v>
      </c>
      <c r="H44" s="24">
        <f t="shared" si="4"/>
        <v>68.5</v>
      </c>
      <c r="I44" s="24">
        <f t="shared" si="4"/>
        <v>66</v>
      </c>
      <c r="J44" s="24">
        <f t="shared" si="4"/>
        <v>66</v>
      </c>
      <c r="K44" s="24">
        <f t="shared" si="4"/>
        <v>66.45921277777778</v>
      </c>
      <c r="L44" s="24">
        <f t="shared" si="4"/>
        <v>66.91842555555556</v>
      </c>
      <c r="M44" s="24">
        <f t="shared" si="4"/>
        <v>67.37763833333332</v>
      </c>
      <c r="N44" s="24">
        <f t="shared" si="4"/>
        <v>67.83685111111112</v>
      </c>
      <c r="O44" s="24">
        <f t="shared" si="4"/>
        <v>68.29606388888888</v>
      </c>
      <c r="P44" s="24">
        <f t="shared" si="4"/>
        <v>68.75527666666667</v>
      </c>
      <c r="Q44" s="24">
        <f t="shared" si="4"/>
        <v>69.21448944444444</v>
      </c>
      <c r="R44" s="24">
        <f t="shared" si="4"/>
        <v>69.67370222222222</v>
      </c>
      <c r="S44" s="24">
        <f t="shared" si="4"/>
        <v>70.132915</v>
      </c>
      <c r="T44" s="24">
        <f t="shared" si="4"/>
        <v>70.59212777777778</v>
      </c>
      <c r="U44" s="24">
        <f t="shared" si="4"/>
        <v>71.05134055555556</v>
      </c>
      <c r="V44" s="24">
        <f t="shared" si="4"/>
        <v>71.51055333333333</v>
      </c>
      <c r="W44" s="24">
        <f t="shared" si="4"/>
        <v>71.96976611111111</v>
      </c>
      <c r="X44" s="24">
        <f t="shared" si="4"/>
        <v>72.42897888888888</v>
      </c>
      <c r="Y44" s="24">
        <f t="shared" si="4"/>
        <v>72.88819166666666</v>
      </c>
      <c r="Z44" s="24">
        <f t="shared" si="4"/>
        <v>73.34740444444444</v>
      </c>
      <c r="AA44" s="24">
        <f t="shared" si="4"/>
        <v>73.80661722222221</v>
      </c>
      <c r="AB44" s="24">
        <f t="shared" si="4"/>
        <v>74.26583</v>
      </c>
    </row>
    <row r="45" spans="1:28" ht="12.75">
      <c r="A45" s="36" t="s">
        <v>16</v>
      </c>
      <c r="C45" s="37">
        <f aca="true" t="shared" si="5" ref="C45:AB45">C42/C44</f>
        <v>0.6768365747746979</v>
      </c>
      <c r="D45" s="37">
        <f t="shared" si="5"/>
        <v>0.6040268456375839</v>
      </c>
      <c r="E45" s="37">
        <f t="shared" si="5"/>
        <v>0.6934306569343066</v>
      </c>
      <c r="F45" s="37">
        <f t="shared" si="5"/>
        <v>0.6518518518518519</v>
      </c>
      <c r="G45" s="37">
        <f t="shared" si="5"/>
        <v>0.6187050359712231</v>
      </c>
      <c r="H45" s="37">
        <f t="shared" si="5"/>
        <v>0.635036496350365</v>
      </c>
      <c r="I45" s="37">
        <f t="shared" si="5"/>
        <v>0.6515151515151515</v>
      </c>
      <c r="J45" s="37">
        <f t="shared" si="5"/>
        <v>0.6515151515151515</v>
      </c>
      <c r="K45" s="37">
        <f t="shared" si="5"/>
        <v>0.6530871403390331</v>
      </c>
      <c r="L45" s="37">
        <f t="shared" si="5"/>
        <v>0.6546375543171692</v>
      </c>
      <c r="M45" s="37">
        <f t="shared" si="5"/>
        <v>0.6561668345801079</v>
      </c>
      <c r="N45" s="37">
        <f t="shared" si="5"/>
        <v>0.6576754103136928</v>
      </c>
      <c r="O45" s="37">
        <f t="shared" si="5"/>
        <v>0.6591636991606359</v>
      </c>
      <c r="P45" s="37">
        <f t="shared" si="5"/>
        <v>0.6606321076059957</v>
      </c>
      <c r="Q45" s="37">
        <f t="shared" si="5"/>
        <v>0.6620810313473141</v>
      </c>
      <c r="R45" s="37">
        <f t="shared" si="5"/>
        <v>0.6635108556501121</v>
      </c>
      <c r="S45" s="37">
        <f t="shared" si="5"/>
        <v>0.6649219556894221</v>
      </c>
      <c r="T45" s="37">
        <f t="shared" si="5"/>
        <v>0.6663146968779884</v>
      </c>
      <c r="U45" s="37">
        <f t="shared" si="5"/>
        <v>0.6676894351817415</v>
      </c>
      <c r="V45" s="37">
        <f t="shared" si="5"/>
        <v>0.6690465174231162</v>
      </c>
      <c r="W45" s="37">
        <f t="shared" si="5"/>
        <v>0.6703862815727584</v>
      </c>
      <c r="X45" s="37">
        <f t="shared" si="5"/>
        <v>0.6717090570301353</v>
      </c>
      <c r="Y45" s="37">
        <f t="shared" si="5"/>
        <v>0.6730151648935363</v>
      </c>
      <c r="Z45" s="37">
        <f t="shared" si="5"/>
        <v>0.6743049182199344</v>
      </c>
      <c r="AA45" s="37">
        <f t="shared" si="5"/>
        <v>0.6755786222751439</v>
      </c>
      <c r="AB45" s="37">
        <f t="shared" si="5"/>
        <v>0.6768365747746979</v>
      </c>
    </row>
    <row r="47" ht="12.75">
      <c r="A47" s="19" t="s">
        <v>54</v>
      </c>
    </row>
    <row r="48" spans="1:28" ht="12.75">
      <c r="A48" s="15" t="s">
        <v>14</v>
      </c>
      <c r="C48" s="24">
        <f>C42*Conversions!$E$8/1000</f>
        <v>20.126438332</v>
      </c>
      <c r="D48" s="24">
        <f>D42*Conversions!$E$8/1000</f>
        <v>18.018</v>
      </c>
      <c r="E48" s="24">
        <f>E42*Conversions!$E$8/1000</f>
        <v>19.019</v>
      </c>
      <c r="F48" s="24">
        <f>F42*Conversions!$E$8/1000</f>
        <v>17.6176</v>
      </c>
      <c r="G48" s="24">
        <f>G42*Conversions!$E$8/1000</f>
        <v>17.217200000000002</v>
      </c>
      <c r="H48" s="24">
        <f>H42*Conversions!$E$8/1000</f>
        <v>17.417399999999997</v>
      </c>
      <c r="I48" s="24">
        <f>I42*Conversions!$E$8/1000</f>
        <v>17.217200000000002</v>
      </c>
      <c r="J48" s="24">
        <f>J42*Conversions!$E$8/1000</f>
        <v>17.217200000000002</v>
      </c>
      <c r="K48" s="24">
        <f>K42*Conversions!$E$8/1000</f>
        <v>17.378824351777777</v>
      </c>
      <c r="L48" s="24">
        <f>L42*Conversions!$E$8/1000</f>
        <v>17.540448703555555</v>
      </c>
      <c r="M48" s="24">
        <f>M42*Conversions!$E$8/1000</f>
        <v>17.70207305533333</v>
      </c>
      <c r="N48" s="24">
        <f>N42*Conversions!$E$8/1000</f>
        <v>17.86369740711111</v>
      </c>
      <c r="O48" s="24">
        <f>O42*Conversions!$E$8/1000</f>
        <v>18.02532175888889</v>
      </c>
      <c r="P48" s="24">
        <f>P42*Conversions!$E$8/1000</f>
        <v>18.186946110666668</v>
      </c>
      <c r="Q48" s="24">
        <f>Q42*Conversions!$E$8/1000</f>
        <v>18.348570462444446</v>
      </c>
      <c r="R48" s="24">
        <f>R42*Conversions!$E$8/1000</f>
        <v>18.510194814222224</v>
      </c>
      <c r="S48" s="24">
        <f>S42*Conversions!$E$8/1000</f>
        <v>18.671819166000002</v>
      </c>
      <c r="T48" s="24">
        <f>T42*Conversions!$E$8/1000</f>
        <v>18.833443517777777</v>
      </c>
      <c r="U48" s="24">
        <f>U42*Conversions!$E$8/1000</f>
        <v>18.99506786955556</v>
      </c>
      <c r="V48" s="24">
        <f>V42*Conversions!$E$8/1000</f>
        <v>19.156692221333333</v>
      </c>
      <c r="W48" s="24">
        <f>W42*Conversions!$E$8/1000</f>
        <v>19.318316573111115</v>
      </c>
      <c r="X48" s="24">
        <f>X42*Conversions!$E$8/1000</f>
        <v>19.47994092488889</v>
      </c>
      <c r="Y48" s="24">
        <f>Y42*Conversions!$E$8/1000</f>
        <v>19.641565276666668</v>
      </c>
      <c r="Z48" s="24">
        <f>Z42*Conversions!$E$8/1000</f>
        <v>19.80318962844445</v>
      </c>
      <c r="AA48" s="24">
        <f>AA42*Conversions!$E$8/1000</f>
        <v>19.964813980222225</v>
      </c>
      <c r="AB48" s="24">
        <f>AB42*Conversions!$E$8/1000</f>
        <v>20.126438332</v>
      </c>
    </row>
    <row r="49" spans="1:28" ht="12.75">
      <c r="A49" s="15" t="s">
        <v>15</v>
      </c>
      <c r="C49" s="24">
        <f>C43*Conversions!$E$9/1000</f>
        <v>5.454299999999999</v>
      </c>
      <c r="D49" s="24">
        <f>D43*Conversions!$E$9/1000</f>
        <v>6.70424375</v>
      </c>
      <c r="E49" s="24">
        <f>E43*Conversions!$E$9/1000</f>
        <v>4.7725124999999995</v>
      </c>
      <c r="F49" s="24">
        <f>F43*Conversions!$E$9/1000</f>
        <v>5.34066875</v>
      </c>
      <c r="G49" s="24">
        <f>G43*Conversions!$E$9/1000</f>
        <v>6.022456249999999</v>
      </c>
      <c r="H49" s="24">
        <f>H43*Conversions!$E$9/1000</f>
        <v>5.6815625</v>
      </c>
      <c r="I49" s="24">
        <f>I43*Conversions!$E$9/1000</f>
        <v>5.2270375</v>
      </c>
      <c r="J49" s="24">
        <f>J43*Conversions!$E$9/1000</f>
        <v>5.2270375</v>
      </c>
      <c r="K49" s="24">
        <f>K43*Conversions!$E$9/1000</f>
        <v>5.239663194444445</v>
      </c>
      <c r="L49" s="24">
        <f>L43*Conversions!$E$9/1000</f>
        <v>5.252288888888888</v>
      </c>
      <c r="M49" s="24">
        <f>M43*Conversions!$E$9/1000</f>
        <v>5.264914583333332</v>
      </c>
      <c r="N49" s="24">
        <f>N43*Conversions!$E$9/1000</f>
        <v>5.277540277777776</v>
      </c>
      <c r="O49" s="24">
        <f>O43*Conversions!$E$9/1000</f>
        <v>5.29016597222222</v>
      </c>
      <c r="P49" s="24">
        <f>P43*Conversions!$E$9/1000</f>
        <v>5.302791666666665</v>
      </c>
      <c r="Q49" s="24">
        <f>Q43*Conversions!$E$9/1000</f>
        <v>5.315417361111109</v>
      </c>
      <c r="R49" s="24">
        <f>R43*Conversions!$E$9/1000</f>
        <v>5.328043055555553</v>
      </c>
      <c r="S49" s="24">
        <f>S43*Conversions!$E$9/1000</f>
        <v>5.340668749999998</v>
      </c>
      <c r="T49" s="24">
        <f>T43*Conversions!$E$9/1000</f>
        <v>5.353294444444442</v>
      </c>
      <c r="U49" s="24">
        <f>U43*Conversions!$E$9/1000</f>
        <v>5.365920138888886</v>
      </c>
      <c r="V49" s="24">
        <f>V43*Conversions!$E$9/1000</f>
        <v>5.37854583333333</v>
      </c>
      <c r="W49" s="24">
        <f>W43*Conversions!$E$9/1000</f>
        <v>5.391171527777774</v>
      </c>
      <c r="X49" s="24">
        <f>X43*Conversions!$E$9/1000</f>
        <v>5.403797222222218</v>
      </c>
      <c r="Y49" s="24">
        <f>Y43*Conversions!$E$9/1000</f>
        <v>5.416422916666662</v>
      </c>
      <c r="Z49" s="24">
        <f>Z43*Conversions!$E$9/1000</f>
        <v>5.4290486111111065</v>
      </c>
      <c r="AA49" s="24">
        <f>AA43*Conversions!$E$9/1000</f>
        <v>5.441674305555551</v>
      </c>
      <c r="AB49" s="24">
        <f>AB43*Conversions!$E$9/1000</f>
        <v>5.454299999999999</v>
      </c>
    </row>
    <row r="50" spans="1:28" ht="12.75">
      <c r="A50" s="15" t="s">
        <v>3</v>
      </c>
      <c r="C50" s="24">
        <f aca="true" t="shared" si="6" ref="C50:AB50">SUM(C48:C49)</f>
        <v>25.580738332</v>
      </c>
      <c r="D50" s="24">
        <f t="shared" si="6"/>
        <v>24.72224375</v>
      </c>
      <c r="E50" s="24">
        <f t="shared" si="6"/>
        <v>23.791512499999996</v>
      </c>
      <c r="F50" s="24">
        <f t="shared" si="6"/>
        <v>22.95826875</v>
      </c>
      <c r="G50" s="24">
        <f t="shared" si="6"/>
        <v>23.239656250000003</v>
      </c>
      <c r="H50" s="24">
        <f t="shared" si="6"/>
        <v>23.0989625</v>
      </c>
      <c r="I50" s="24">
        <f t="shared" si="6"/>
        <v>22.4442375</v>
      </c>
      <c r="J50" s="24">
        <f t="shared" si="6"/>
        <v>22.4442375</v>
      </c>
      <c r="K50" s="24">
        <f t="shared" si="6"/>
        <v>22.61848754622222</v>
      </c>
      <c r="L50" s="24">
        <f t="shared" si="6"/>
        <v>22.792737592444443</v>
      </c>
      <c r="M50" s="24">
        <f t="shared" si="6"/>
        <v>22.966987638666662</v>
      </c>
      <c r="N50" s="24">
        <f t="shared" si="6"/>
        <v>23.141237684888885</v>
      </c>
      <c r="O50" s="24">
        <f t="shared" si="6"/>
        <v>23.31548773111111</v>
      </c>
      <c r="P50" s="24">
        <f t="shared" si="6"/>
        <v>23.489737777333332</v>
      </c>
      <c r="Q50" s="24">
        <f t="shared" si="6"/>
        <v>23.663987823555555</v>
      </c>
      <c r="R50" s="24">
        <f t="shared" si="6"/>
        <v>23.838237869777778</v>
      </c>
      <c r="S50" s="24">
        <f t="shared" si="6"/>
        <v>24.012487916</v>
      </c>
      <c r="T50" s="24">
        <f t="shared" si="6"/>
        <v>24.186737962222217</v>
      </c>
      <c r="U50" s="24">
        <f t="shared" si="6"/>
        <v>24.360988008444444</v>
      </c>
      <c r="V50" s="24">
        <f t="shared" si="6"/>
        <v>24.535238054666664</v>
      </c>
      <c r="W50" s="24">
        <f t="shared" si="6"/>
        <v>24.70948810088889</v>
      </c>
      <c r="X50" s="24">
        <f t="shared" si="6"/>
        <v>24.88373814711111</v>
      </c>
      <c r="Y50" s="24">
        <f t="shared" si="6"/>
        <v>25.05798819333333</v>
      </c>
      <c r="Z50" s="24">
        <f t="shared" si="6"/>
        <v>25.232238239555556</v>
      </c>
      <c r="AA50" s="24">
        <f t="shared" si="6"/>
        <v>25.406488285777776</v>
      </c>
      <c r="AB50" s="24">
        <f t="shared" si="6"/>
        <v>25.580738332</v>
      </c>
    </row>
    <row r="51" spans="1:28" ht="12.75">
      <c r="A51" s="36" t="s">
        <v>16</v>
      </c>
      <c r="C51" s="37">
        <f aca="true" t="shared" si="7" ref="C51:AB51">C48/C50</f>
        <v>0.7867809783591355</v>
      </c>
      <c r="D51" s="37">
        <f t="shared" si="7"/>
        <v>0.7288173428837744</v>
      </c>
      <c r="E51" s="37">
        <f t="shared" si="7"/>
        <v>0.7994027281787991</v>
      </c>
      <c r="F51" s="37">
        <f t="shared" si="7"/>
        <v>0.7673749354467332</v>
      </c>
      <c r="G51" s="37">
        <f t="shared" si="7"/>
        <v>0.7408543316986455</v>
      </c>
      <c r="H51" s="37">
        <f t="shared" si="7"/>
        <v>0.7540338662396633</v>
      </c>
      <c r="I51" s="37">
        <f t="shared" si="7"/>
        <v>0.7671100432794833</v>
      </c>
      <c r="J51" s="37">
        <f t="shared" si="7"/>
        <v>0.7671100432794833</v>
      </c>
      <c r="K51" s="37">
        <f t="shared" si="7"/>
        <v>0.7683459964448603</v>
      </c>
      <c r="L51" s="37">
        <f t="shared" si="7"/>
        <v>0.7695630519332628</v>
      </c>
      <c r="M51" s="37">
        <f t="shared" si="7"/>
        <v>0.7707616398735091</v>
      </c>
      <c r="N51" s="37">
        <f t="shared" si="7"/>
        <v>0.7719421774391962</v>
      </c>
      <c r="O51" s="37">
        <f t="shared" si="7"/>
        <v>0.7731050693328081</v>
      </c>
      <c r="P51" s="37">
        <f t="shared" si="7"/>
        <v>0.7742507082482781</v>
      </c>
      <c r="Q51" s="37">
        <f t="shared" si="7"/>
        <v>0.7753794753131149</v>
      </c>
      <c r="R51" s="37">
        <f t="shared" si="7"/>
        <v>0.7764917405111361</v>
      </c>
      <c r="S51" s="37">
        <f t="shared" si="7"/>
        <v>0.7775878630867981</v>
      </c>
      <c r="T51" s="37">
        <f t="shared" si="7"/>
        <v>0.7786681919320471</v>
      </c>
      <c r="U51" s="37">
        <f t="shared" si="7"/>
        <v>0.7797330659565673</v>
      </c>
      <c r="V51" s="37">
        <f t="shared" si="7"/>
        <v>0.7807828144422541</v>
      </c>
      <c r="W51" s="37">
        <f t="shared" si="7"/>
        <v>0.7818177573826859</v>
      </c>
      <c r="X51" s="37">
        <f t="shared" si="7"/>
        <v>0.7828382058083353</v>
      </c>
      <c r="Y51" s="37">
        <f t="shared" si="7"/>
        <v>0.7838444620982103</v>
      </c>
      <c r="Z51" s="37">
        <f t="shared" si="7"/>
        <v>0.7848368202785828</v>
      </c>
      <c r="AA51" s="37">
        <f t="shared" si="7"/>
        <v>0.7858155663094246</v>
      </c>
      <c r="AB51" s="37">
        <f t="shared" si="7"/>
        <v>0.7867809783591355</v>
      </c>
    </row>
    <row r="53" ht="12.75">
      <c r="A53" s="19" t="s">
        <v>55</v>
      </c>
    </row>
    <row r="54" spans="1:28" ht="12.75">
      <c r="A54" s="15" t="s">
        <v>14</v>
      </c>
      <c r="C54" s="35">
        <f>C48*Conversions!$E$16/1000</f>
        <v>8.141144305293999</v>
      </c>
      <c r="D54" s="35">
        <f>D48*Conversions!$E$16/1000</f>
        <v>7.288281</v>
      </c>
      <c r="E54" s="35">
        <f>E48*Conversions!$E$16/1000</f>
        <v>7.693185499999999</v>
      </c>
      <c r="F54" s="35">
        <f>F48*Conversions!$E$16/1000</f>
        <v>7.1263192</v>
      </c>
      <c r="G54" s="35">
        <f>G48*Conversions!$E$16/1000</f>
        <v>6.964357400000001</v>
      </c>
      <c r="H54" s="35">
        <f>H48*Conversions!$E$16/1000</f>
        <v>7.045338299999998</v>
      </c>
      <c r="I54" s="35">
        <f>I48*Conversions!$E$16/1000</f>
        <v>6.964357400000001</v>
      </c>
      <c r="J54" s="35">
        <f>J48*Conversions!$E$16/1000</f>
        <v>6.964357400000001</v>
      </c>
      <c r="K54" s="35">
        <f>K48*Conversions!$E$16/1000</f>
        <v>7.029734450294111</v>
      </c>
      <c r="L54" s="35">
        <f>L48*Conversions!$E$16/1000</f>
        <v>7.095111500588222</v>
      </c>
      <c r="M54" s="35">
        <f>M48*Conversions!$E$16/1000</f>
        <v>7.160488550882332</v>
      </c>
      <c r="N54" s="35">
        <f>N48*Conversions!$E$16/1000</f>
        <v>7.225865601176444</v>
      </c>
      <c r="O54" s="35">
        <f>O48*Conversions!$E$16/1000</f>
        <v>7.291242651470556</v>
      </c>
      <c r="P54" s="35">
        <f>P48*Conversions!$E$16/1000</f>
        <v>7.356619701764667</v>
      </c>
      <c r="Q54" s="35">
        <f>Q48*Conversions!$E$16/1000</f>
        <v>7.421996752058778</v>
      </c>
      <c r="R54" s="35">
        <f>R48*Conversions!$E$16/1000</f>
        <v>7.48737380235289</v>
      </c>
      <c r="S54" s="35">
        <f>S48*Conversions!$E$16/1000</f>
        <v>7.552750852647001</v>
      </c>
      <c r="T54" s="35">
        <f>T48*Conversions!$E$16/1000</f>
        <v>7.618127902941111</v>
      </c>
      <c r="U54" s="35">
        <f>U48*Conversions!$E$16/1000</f>
        <v>7.683504953235223</v>
      </c>
      <c r="V54" s="35">
        <f>V48*Conversions!$E$16/1000</f>
        <v>7.748882003529334</v>
      </c>
      <c r="W54" s="35">
        <f>W48*Conversions!$E$16/1000</f>
        <v>7.814259053823446</v>
      </c>
      <c r="X54" s="35">
        <f>X48*Conversions!$E$16/1000</f>
        <v>7.879636104117556</v>
      </c>
      <c r="Y54" s="35">
        <f>Y48*Conversions!$E$16/1000</f>
        <v>7.945013154411668</v>
      </c>
      <c r="Z54" s="35">
        <f>Z48*Conversions!$E$16/1000</f>
        <v>8.01039020470578</v>
      </c>
      <c r="AA54" s="35">
        <f>AA48*Conversions!$E$16/1000</f>
        <v>8.07576725499989</v>
      </c>
      <c r="AB54" s="35">
        <f>AB48*Conversions!$E$16/1000</f>
        <v>8.141144305293999</v>
      </c>
    </row>
    <row r="55" spans="1:28" ht="12.75">
      <c r="A55" s="15" t="s">
        <v>15</v>
      </c>
      <c r="C55" s="35">
        <f>C49*Conversions!$E$16/1000</f>
        <v>2.2062643499999997</v>
      </c>
      <c r="D55" s="35">
        <f>D49*Conversions!$E$16/1000</f>
        <v>2.711866596875</v>
      </c>
      <c r="E55" s="35">
        <f>E49*Conversions!$E$16/1000</f>
        <v>1.9304813062499997</v>
      </c>
      <c r="F55" s="35">
        <f>F49*Conversions!$E$16/1000</f>
        <v>2.160300509375</v>
      </c>
      <c r="G55" s="35">
        <f>G49*Conversions!$E$16/1000</f>
        <v>2.436083553125</v>
      </c>
      <c r="H55" s="35">
        <f>H49*Conversions!$E$16/1000</f>
        <v>2.29819203125</v>
      </c>
      <c r="I55" s="35">
        <f>I49*Conversions!$E$16/1000</f>
        <v>2.1143366687499996</v>
      </c>
      <c r="J55" s="35">
        <f>J49*Conversions!$E$16/1000</f>
        <v>2.1143366687499996</v>
      </c>
      <c r="K55" s="35">
        <f>K49*Conversions!$E$16/1000</f>
        <v>2.1194437621527777</v>
      </c>
      <c r="L55" s="35">
        <f>L49*Conversions!$E$16/1000</f>
        <v>2.1245508555555555</v>
      </c>
      <c r="M55" s="35">
        <f>M49*Conversions!$E$16/1000</f>
        <v>2.1296579489583327</v>
      </c>
      <c r="N55" s="35">
        <f>N49*Conversions!$E$16/1000</f>
        <v>2.1347650423611104</v>
      </c>
      <c r="O55" s="35">
        <f>O49*Conversions!$E$16/1000</f>
        <v>2.1398721357638877</v>
      </c>
      <c r="P55" s="35">
        <f>P49*Conversions!$E$16/1000</f>
        <v>2.144979229166666</v>
      </c>
      <c r="Q55" s="35">
        <f>Q49*Conversions!$E$16/1000</f>
        <v>2.150086322569444</v>
      </c>
      <c r="R55" s="35">
        <f>R49*Conversions!$E$16/1000</f>
        <v>2.1551934159722212</v>
      </c>
      <c r="S55" s="35">
        <f>S49*Conversions!$E$16/1000</f>
        <v>2.1603005093749994</v>
      </c>
      <c r="T55" s="35">
        <f>T49*Conversions!$E$16/1000</f>
        <v>2.165407602777777</v>
      </c>
      <c r="U55" s="35">
        <f>U49*Conversions!$E$16/1000</f>
        <v>2.1705146961805544</v>
      </c>
      <c r="V55" s="35">
        <f>V49*Conversions!$E$16/1000</f>
        <v>2.175621789583332</v>
      </c>
      <c r="W55" s="35">
        <f>W49*Conversions!$E$16/1000</f>
        <v>2.1807288829861093</v>
      </c>
      <c r="X55" s="35">
        <f>X49*Conversions!$E$16/1000</f>
        <v>2.1858359763888875</v>
      </c>
      <c r="Y55" s="35">
        <f>Y49*Conversions!$E$16/1000</f>
        <v>2.190943069791665</v>
      </c>
      <c r="Z55" s="35">
        <f>Z49*Conversions!$E$16/1000</f>
        <v>2.1960501631944425</v>
      </c>
      <c r="AA55" s="35">
        <f>AA49*Conversions!$E$16/1000</f>
        <v>2.2011572565972206</v>
      </c>
      <c r="AB55" s="35">
        <f>AB49*Conversions!$E$16/1000</f>
        <v>2.2062643499999997</v>
      </c>
    </row>
    <row r="56" spans="1:28" ht="12.75">
      <c r="A56" s="15" t="s">
        <v>3</v>
      </c>
      <c r="C56" s="35">
        <f aca="true" t="shared" si="8" ref="C56:AB56">SUM(C54:C55)</f>
        <v>10.347408655293998</v>
      </c>
      <c r="D56" s="35">
        <f t="shared" si="8"/>
        <v>10.000147596875</v>
      </c>
      <c r="E56" s="35">
        <f t="shared" si="8"/>
        <v>9.623666806249998</v>
      </c>
      <c r="F56" s="35">
        <f t="shared" si="8"/>
        <v>9.286619709375</v>
      </c>
      <c r="G56" s="35">
        <f t="shared" si="8"/>
        <v>9.400440953125</v>
      </c>
      <c r="H56" s="35">
        <f t="shared" si="8"/>
        <v>9.343530331249998</v>
      </c>
      <c r="I56" s="35">
        <f t="shared" si="8"/>
        <v>9.07869406875</v>
      </c>
      <c r="J56" s="35">
        <f t="shared" si="8"/>
        <v>9.07869406875</v>
      </c>
      <c r="K56" s="35">
        <f t="shared" si="8"/>
        <v>9.149178212446888</v>
      </c>
      <c r="L56" s="35">
        <f t="shared" si="8"/>
        <v>9.219662356143777</v>
      </c>
      <c r="M56" s="35">
        <f t="shared" si="8"/>
        <v>9.290146499840665</v>
      </c>
      <c r="N56" s="35">
        <f t="shared" si="8"/>
        <v>9.360630643537554</v>
      </c>
      <c r="O56" s="35">
        <f t="shared" si="8"/>
        <v>9.431114787234444</v>
      </c>
      <c r="P56" s="35">
        <f t="shared" si="8"/>
        <v>9.501598930931333</v>
      </c>
      <c r="Q56" s="35">
        <f t="shared" si="8"/>
        <v>9.572083074628221</v>
      </c>
      <c r="R56" s="35">
        <f t="shared" si="8"/>
        <v>9.64256721832511</v>
      </c>
      <c r="S56" s="35">
        <f t="shared" si="8"/>
        <v>9.713051362022</v>
      </c>
      <c r="T56" s="35">
        <f t="shared" si="8"/>
        <v>9.783535505718888</v>
      </c>
      <c r="U56" s="35">
        <f t="shared" si="8"/>
        <v>9.854019649415777</v>
      </c>
      <c r="V56" s="35">
        <f t="shared" si="8"/>
        <v>9.924503793112667</v>
      </c>
      <c r="W56" s="35">
        <f t="shared" si="8"/>
        <v>9.994987936809554</v>
      </c>
      <c r="X56" s="35">
        <f t="shared" si="8"/>
        <v>10.065472080506444</v>
      </c>
      <c r="Y56" s="35">
        <f t="shared" si="8"/>
        <v>10.135956224203333</v>
      </c>
      <c r="Z56" s="35">
        <f t="shared" si="8"/>
        <v>10.206440367900223</v>
      </c>
      <c r="AA56" s="35">
        <f t="shared" si="8"/>
        <v>10.27692451159711</v>
      </c>
      <c r="AB56" s="35">
        <f t="shared" si="8"/>
        <v>10.347408655293998</v>
      </c>
    </row>
    <row r="57" spans="1:28" ht="12.75">
      <c r="A57" s="36" t="s">
        <v>16</v>
      </c>
      <c r="C57" s="37">
        <f aca="true" t="shared" si="9" ref="C57:AB57">C54/C56</f>
        <v>0.7867809783591355</v>
      </c>
      <c r="D57" s="37">
        <f t="shared" si="9"/>
        <v>0.7288173428837744</v>
      </c>
      <c r="E57" s="37">
        <f t="shared" si="9"/>
        <v>0.7994027281787991</v>
      </c>
      <c r="F57" s="37">
        <f t="shared" si="9"/>
        <v>0.7673749354467332</v>
      </c>
      <c r="G57" s="37">
        <f t="shared" si="9"/>
        <v>0.7408543316986456</v>
      </c>
      <c r="H57" s="37">
        <f t="shared" si="9"/>
        <v>0.7540338662396634</v>
      </c>
      <c r="I57" s="37">
        <f t="shared" si="9"/>
        <v>0.7671100432794833</v>
      </c>
      <c r="J57" s="37">
        <f t="shared" si="9"/>
        <v>0.7671100432794833</v>
      </c>
      <c r="K57" s="37">
        <f t="shared" si="9"/>
        <v>0.7683459964448605</v>
      </c>
      <c r="L57" s="37">
        <f t="shared" si="9"/>
        <v>0.7695630519332628</v>
      </c>
      <c r="M57" s="37">
        <f t="shared" si="9"/>
        <v>0.7707616398735091</v>
      </c>
      <c r="N57" s="37">
        <f t="shared" si="9"/>
        <v>0.7719421774391962</v>
      </c>
      <c r="O57" s="37">
        <f t="shared" si="9"/>
        <v>0.7731050693328081</v>
      </c>
      <c r="P57" s="37">
        <f t="shared" si="9"/>
        <v>0.7742507082482781</v>
      </c>
      <c r="Q57" s="37">
        <f t="shared" si="9"/>
        <v>0.7753794753131149</v>
      </c>
      <c r="R57" s="37">
        <f t="shared" si="9"/>
        <v>0.7764917405111361</v>
      </c>
      <c r="S57" s="37">
        <f t="shared" si="9"/>
        <v>0.7775878630867981</v>
      </c>
      <c r="T57" s="37">
        <f t="shared" si="9"/>
        <v>0.778668191932047</v>
      </c>
      <c r="U57" s="37">
        <f t="shared" si="9"/>
        <v>0.7797330659565674</v>
      </c>
      <c r="V57" s="37">
        <f t="shared" si="9"/>
        <v>0.7807828144422541</v>
      </c>
      <c r="W57" s="37">
        <f t="shared" si="9"/>
        <v>0.781817757382686</v>
      </c>
      <c r="X57" s="37">
        <f t="shared" si="9"/>
        <v>0.7828382058083353</v>
      </c>
      <c r="Y57" s="37">
        <f t="shared" si="9"/>
        <v>0.7838444620982102</v>
      </c>
      <c r="Z57" s="37">
        <f t="shared" si="9"/>
        <v>0.7848368202785828</v>
      </c>
      <c r="AA57" s="37">
        <f t="shared" si="9"/>
        <v>0.7858155663094246</v>
      </c>
      <c r="AB57" s="37">
        <f t="shared" si="9"/>
        <v>0.7867809783591355</v>
      </c>
    </row>
    <row r="59" spans="3:28" ht="12.75">
      <c r="C59" s="14">
        <v>2000</v>
      </c>
      <c r="D59" s="14">
        <f aca="true" t="shared" si="10" ref="D59:AB59">1+C59</f>
        <v>2001</v>
      </c>
      <c r="E59" s="14">
        <f t="shared" si="10"/>
        <v>2002</v>
      </c>
      <c r="F59" s="14">
        <f t="shared" si="10"/>
        <v>2003</v>
      </c>
      <c r="G59" s="14">
        <f t="shared" si="10"/>
        <v>2004</v>
      </c>
      <c r="H59" s="14">
        <f t="shared" si="10"/>
        <v>2005</v>
      </c>
      <c r="I59" s="14">
        <f t="shared" si="10"/>
        <v>2006</v>
      </c>
      <c r="J59" s="14">
        <f t="shared" si="10"/>
        <v>2007</v>
      </c>
      <c r="K59" s="14">
        <f t="shared" si="10"/>
        <v>2008</v>
      </c>
      <c r="L59" s="14">
        <f t="shared" si="10"/>
        <v>2009</v>
      </c>
      <c r="M59" s="14">
        <f t="shared" si="10"/>
        <v>2010</v>
      </c>
      <c r="N59" s="14">
        <f t="shared" si="10"/>
        <v>2011</v>
      </c>
      <c r="O59" s="14">
        <f t="shared" si="10"/>
        <v>2012</v>
      </c>
      <c r="P59" s="14">
        <f t="shared" si="10"/>
        <v>2013</v>
      </c>
      <c r="Q59" s="14">
        <f t="shared" si="10"/>
        <v>2014</v>
      </c>
      <c r="R59" s="14">
        <f t="shared" si="10"/>
        <v>2015</v>
      </c>
      <c r="S59" s="14">
        <f t="shared" si="10"/>
        <v>2016</v>
      </c>
      <c r="T59" s="14">
        <f t="shared" si="10"/>
        <v>2017</v>
      </c>
      <c r="U59" s="14">
        <f t="shared" si="10"/>
        <v>2018</v>
      </c>
      <c r="V59" s="14">
        <f t="shared" si="10"/>
        <v>2019</v>
      </c>
      <c r="W59" s="14">
        <f t="shared" si="10"/>
        <v>2020</v>
      </c>
      <c r="X59" s="14">
        <f t="shared" si="10"/>
        <v>2021</v>
      </c>
      <c r="Y59" s="14">
        <f t="shared" si="10"/>
        <v>2022</v>
      </c>
      <c r="Z59" s="14">
        <f t="shared" si="10"/>
        <v>2023</v>
      </c>
      <c r="AA59" s="14">
        <f t="shared" si="10"/>
        <v>2024</v>
      </c>
      <c r="AB59" s="14">
        <f t="shared" si="10"/>
        <v>2025</v>
      </c>
    </row>
    <row r="60" ht="12.75">
      <c r="A60" s="46" t="s">
        <v>30</v>
      </c>
    </row>
    <row r="61" spans="1:28" ht="12.75">
      <c r="A61" s="19" t="s">
        <v>57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1">
        <f aca="true" t="shared" si="11" ref="M61:AA61">$AB61/16+L61</f>
        <v>0.00625</v>
      </c>
      <c r="N61" s="41">
        <f t="shared" si="11"/>
        <v>0.0125</v>
      </c>
      <c r="O61" s="41">
        <f t="shared" si="11"/>
        <v>0.018750000000000003</v>
      </c>
      <c r="P61" s="41">
        <f t="shared" si="11"/>
        <v>0.025</v>
      </c>
      <c r="Q61" s="41">
        <f t="shared" si="11"/>
        <v>0.03125</v>
      </c>
      <c r="R61" s="41">
        <f t="shared" si="11"/>
        <v>0.0375</v>
      </c>
      <c r="S61" s="41">
        <f t="shared" si="11"/>
        <v>0.04375</v>
      </c>
      <c r="T61" s="41">
        <f t="shared" si="11"/>
        <v>0.049999999999999996</v>
      </c>
      <c r="U61" s="41">
        <f t="shared" si="11"/>
        <v>0.056249999999999994</v>
      </c>
      <c r="V61" s="41">
        <f t="shared" si="11"/>
        <v>0.06249999999999999</v>
      </c>
      <c r="W61" s="41">
        <f t="shared" si="11"/>
        <v>0.06874999999999999</v>
      </c>
      <c r="X61" s="41">
        <f t="shared" si="11"/>
        <v>0.075</v>
      </c>
      <c r="Y61" s="41">
        <f t="shared" si="11"/>
        <v>0.08125</v>
      </c>
      <c r="Z61" s="41">
        <f t="shared" si="11"/>
        <v>0.08750000000000001</v>
      </c>
      <c r="AA61" s="41">
        <f t="shared" si="11"/>
        <v>0.09375000000000001</v>
      </c>
      <c r="AB61" s="41">
        <f>B21</f>
        <v>0.1</v>
      </c>
    </row>
    <row r="62" spans="1:28" ht="12.75">
      <c r="A62" s="46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</row>
    <row r="63" ht="12.75">
      <c r="A63" s="19" t="s">
        <v>20</v>
      </c>
    </row>
    <row r="64" spans="1:28" ht="12.75">
      <c r="A64" s="15" t="s">
        <v>14</v>
      </c>
      <c r="C64" s="24">
        <f>C42*Conversions!$E$8*(1-C61)/1000</f>
        <v>20.126438332</v>
      </c>
      <c r="D64" s="24">
        <f>D42*Conversions!$E$8*(1-D61)/1000</f>
        <v>18.018</v>
      </c>
      <c r="E64" s="24">
        <f>E42*Conversions!$E$8*(1-E61)/1000</f>
        <v>19.019</v>
      </c>
      <c r="F64" s="24">
        <f>F42*Conversions!$E$8*(1-F61)/1000</f>
        <v>17.6176</v>
      </c>
      <c r="G64" s="24">
        <f>G42*Conversions!$E$8*(1-G61)/1000</f>
        <v>17.217200000000002</v>
      </c>
      <c r="H64" s="24">
        <f>H42*Conversions!$E$8*(1-H61)/1000</f>
        <v>17.417399999999997</v>
      </c>
      <c r="I64" s="24">
        <f>I42*Conversions!$E$8*(1-I61)/1000</f>
        <v>17.217200000000002</v>
      </c>
      <c r="J64" s="24">
        <f>J42*Conversions!$E$8*(1-J61)/1000</f>
        <v>17.217200000000002</v>
      </c>
      <c r="K64" s="24">
        <f>K42*Conversions!$E$8*(1-K61)/1000</f>
        <v>17.378824351777777</v>
      </c>
      <c r="L64" s="24">
        <f>L42*Conversions!$E$8*(1-L61)/1000</f>
        <v>17.540448703555555</v>
      </c>
      <c r="M64" s="24">
        <f>M42*Conversions!$E$8*(1-M61)/1000</f>
        <v>17.591435098737495</v>
      </c>
      <c r="N64" s="24">
        <f>N42*Conversions!$E$8*(1-N61)/1000</f>
        <v>17.640401189522223</v>
      </c>
      <c r="O64" s="24">
        <f>O42*Conversions!$E$8*(1-O61)/1000</f>
        <v>17.687346975909723</v>
      </c>
      <c r="P64" s="24">
        <f>P42*Conversions!$E$8*(1-P61)/1000</f>
        <v>17.732272457900002</v>
      </c>
      <c r="Q64" s="24">
        <f>Q42*Conversions!$E$8*(1-Q61)/1000</f>
        <v>17.775177635493055</v>
      </c>
      <c r="R64" s="24">
        <f>R42*Conversions!$E$8*(1-R61)/1000</f>
        <v>17.81606250868889</v>
      </c>
      <c r="S64" s="24">
        <f>S42*Conversions!$E$8*(1-S61)/1000</f>
        <v>17.8549270774875</v>
      </c>
      <c r="T64" s="24">
        <f>T42*Conversions!$E$8*(1-T61)/1000</f>
        <v>17.891771341888887</v>
      </c>
      <c r="U64" s="24">
        <f>U42*Conversions!$E$8*(1-U61)/1000</f>
        <v>17.926595301893055</v>
      </c>
      <c r="V64" s="24">
        <f>V42*Conversions!$E$8*(1-V61)/1000</f>
        <v>17.959398957500003</v>
      </c>
      <c r="W64" s="24">
        <f>W42*Conversions!$E$8*(1-W61)/1000</f>
        <v>17.990182308709727</v>
      </c>
      <c r="X64" s="24">
        <f>X42*Conversions!$E$8*(1-X61)/1000</f>
        <v>18.018945355522224</v>
      </c>
      <c r="Y64" s="24">
        <f>Y42*Conversions!$E$8*(1-Y61)/1000</f>
        <v>18.045688097937504</v>
      </c>
      <c r="Z64" s="24">
        <f>Z42*Conversions!$E$8*(1-Z61)/1000</f>
        <v>18.070410535955556</v>
      </c>
      <c r="AA64" s="24">
        <f>AA42*Conversions!$E$8*(1-AA61)/1000</f>
        <v>18.093112669576392</v>
      </c>
      <c r="AB64" s="24">
        <f>AB42*Conversions!$E$8*(1-AB61)/1000</f>
        <v>18.113794498799997</v>
      </c>
    </row>
    <row r="65" spans="1:28" ht="12.75">
      <c r="A65" s="15" t="s">
        <v>15</v>
      </c>
      <c r="C65" s="24">
        <f>C43*Conversions!$E$9/1000</f>
        <v>5.454299999999999</v>
      </c>
      <c r="D65" s="24">
        <f>D43*Conversions!$E$9/1000</f>
        <v>6.70424375</v>
      </c>
      <c r="E65" s="24">
        <f>E43*Conversions!$E$9/1000</f>
        <v>4.7725124999999995</v>
      </c>
      <c r="F65" s="24">
        <f>F43*Conversions!$E$9/1000</f>
        <v>5.34066875</v>
      </c>
      <c r="G65" s="24">
        <f>G43*Conversions!$E$9/1000</f>
        <v>6.022456249999999</v>
      </c>
      <c r="H65" s="24">
        <f>H43*Conversions!$E$9/1000</f>
        <v>5.6815625</v>
      </c>
      <c r="I65" s="24">
        <f>I43*Conversions!$E$9/1000</f>
        <v>5.2270375</v>
      </c>
      <c r="J65" s="24">
        <f>J43*Conversions!$E$9/1000</f>
        <v>5.2270375</v>
      </c>
      <c r="K65" s="24">
        <f>K43*Conversions!$E$9/1000</f>
        <v>5.239663194444445</v>
      </c>
      <c r="L65" s="24">
        <f>L43*Conversions!$E$9/1000</f>
        <v>5.252288888888888</v>
      </c>
      <c r="M65" s="24">
        <f>M43*Conversions!$E$9/1000</f>
        <v>5.264914583333332</v>
      </c>
      <c r="N65" s="24">
        <f>N43*Conversions!$E$9/1000</f>
        <v>5.277540277777776</v>
      </c>
      <c r="O65" s="24">
        <f>O43*Conversions!$E$9/1000</f>
        <v>5.29016597222222</v>
      </c>
      <c r="P65" s="24">
        <f>P43*Conversions!$E$9/1000</f>
        <v>5.302791666666665</v>
      </c>
      <c r="Q65" s="24">
        <f>Q43*Conversions!$E$9/1000</f>
        <v>5.315417361111109</v>
      </c>
      <c r="R65" s="24">
        <f>R43*Conversions!$E$9/1000</f>
        <v>5.328043055555553</v>
      </c>
      <c r="S65" s="24">
        <f>S43*Conversions!$E$9/1000</f>
        <v>5.340668749999998</v>
      </c>
      <c r="T65" s="24">
        <f>T43*Conversions!$E$9/1000</f>
        <v>5.353294444444442</v>
      </c>
      <c r="U65" s="24">
        <f>U43*Conversions!$E$9/1000</f>
        <v>5.365920138888886</v>
      </c>
      <c r="V65" s="24">
        <f>V43*Conversions!$E$9/1000</f>
        <v>5.37854583333333</v>
      </c>
      <c r="W65" s="24">
        <f>W43*Conversions!$E$9/1000</f>
        <v>5.391171527777774</v>
      </c>
      <c r="X65" s="24">
        <f>X43*Conversions!$E$9/1000</f>
        <v>5.403797222222218</v>
      </c>
      <c r="Y65" s="24">
        <f>Y43*Conversions!$E$9/1000</f>
        <v>5.416422916666662</v>
      </c>
      <c r="Z65" s="24">
        <f>Z43*Conversions!$E$9/1000</f>
        <v>5.4290486111111065</v>
      </c>
      <c r="AA65" s="24">
        <f>AA43*Conversions!$E$9/1000</f>
        <v>5.441674305555551</v>
      </c>
      <c r="AB65" s="24">
        <f>AB43*Conversions!$E$9/1000</f>
        <v>5.454299999999999</v>
      </c>
    </row>
    <row r="66" spans="1:28" ht="12.75">
      <c r="A66" s="15" t="s">
        <v>3</v>
      </c>
      <c r="C66" s="24">
        <f aca="true" t="shared" si="12" ref="C66:AB66">SUM(C64:C65)</f>
        <v>25.580738332</v>
      </c>
      <c r="D66" s="24">
        <f t="shared" si="12"/>
        <v>24.72224375</v>
      </c>
      <c r="E66" s="24">
        <f t="shared" si="12"/>
        <v>23.791512499999996</v>
      </c>
      <c r="F66" s="24">
        <f t="shared" si="12"/>
        <v>22.95826875</v>
      </c>
      <c r="G66" s="24">
        <f t="shared" si="12"/>
        <v>23.239656250000003</v>
      </c>
      <c r="H66" s="24">
        <f t="shared" si="12"/>
        <v>23.0989625</v>
      </c>
      <c r="I66" s="24">
        <f t="shared" si="12"/>
        <v>22.4442375</v>
      </c>
      <c r="J66" s="24">
        <f t="shared" si="12"/>
        <v>22.4442375</v>
      </c>
      <c r="K66" s="24">
        <f t="shared" si="12"/>
        <v>22.61848754622222</v>
      </c>
      <c r="L66" s="24">
        <f t="shared" si="12"/>
        <v>22.792737592444443</v>
      </c>
      <c r="M66" s="24">
        <f t="shared" si="12"/>
        <v>22.856349682070828</v>
      </c>
      <c r="N66" s="24">
        <f t="shared" si="12"/>
        <v>22.917941467299997</v>
      </c>
      <c r="O66" s="24">
        <f t="shared" si="12"/>
        <v>22.977512948131942</v>
      </c>
      <c r="P66" s="24">
        <f t="shared" si="12"/>
        <v>23.035064124566667</v>
      </c>
      <c r="Q66" s="24">
        <f t="shared" si="12"/>
        <v>23.090594996604164</v>
      </c>
      <c r="R66" s="24">
        <f t="shared" si="12"/>
        <v>23.144105564244445</v>
      </c>
      <c r="S66" s="24">
        <f t="shared" si="12"/>
        <v>23.195595827487498</v>
      </c>
      <c r="T66" s="24">
        <f t="shared" si="12"/>
        <v>23.245065786333328</v>
      </c>
      <c r="U66" s="24">
        <f t="shared" si="12"/>
        <v>23.29251544078194</v>
      </c>
      <c r="V66" s="24">
        <f t="shared" si="12"/>
        <v>23.337944790833333</v>
      </c>
      <c r="W66" s="24">
        <f t="shared" si="12"/>
        <v>23.381353836487502</v>
      </c>
      <c r="X66" s="24">
        <f t="shared" si="12"/>
        <v>23.422742577744444</v>
      </c>
      <c r="Y66" s="24">
        <f t="shared" si="12"/>
        <v>23.462111014604165</v>
      </c>
      <c r="Z66" s="24">
        <f t="shared" si="12"/>
        <v>23.499459147066663</v>
      </c>
      <c r="AA66" s="24">
        <f t="shared" si="12"/>
        <v>23.534786975131944</v>
      </c>
      <c r="AB66" s="24">
        <f t="shared" si="12"/>
        <v>23.568094498799997</v>
      </c>
    </row>
    <row r="67" spans="1:28" ht="12.75">
      <c r="A67" s="36" t="s">
        <v>16</v>
      </c>
      <c r="C67" s="37">
        <f aca="true" t="shared" si="13" ref="C67:AB67">C64/C66</f>
        <v>0.7867809783591355</v>
      </c>
      <c r="D67" s="37">
        <f t="shared" si="13"/>
        <v>0.7288173428837744</v>
      </c>
      <c r="E67" s="37">
        <f t="shared" si="13"/>
        <v>0.7994027281787991</v>
      </c>
      <c r="F67" s="37">
        <f t="shared" si="13"/>
        <v>0.7673749354467332</v>
      </c>
      <c r="G67" s="37">
        <f t="shared" si="13"/>
        <v>0.7408543316986455</v>
      </c>
      <c r="H67" s="37">
        <f t="shared" si="13"/>
        <v>0.7540338662396633</v>
      </c>
      <c r="I67" s="37">
        <f t="shared" si="13"/>
        <v>0.7671100432794833</v>
      </c>
      <c r="J67" s="37">
        <f t="shared" si="13"/>
        <v>0.7671100432794833</v>
      </c>
      <c r="K67" s="37">
        <f t="shared" si="13"/>
        <v>0.7683459964448603</v>
      </c>
      <c r="L67" s="37">
        <f t="shared" si="13"/>
        <v>0.7695630519332628</v>
      </c>
      <c r="M67" s="37">
        <f t="shared" si="13"/>
        <v>0.7696519935786911</v>
      </c>
      <c r="N67" s="37">
        <f t="shared" si="13"/>
        <v>0.76972014326383</v>
      </c>
      <c r="O67" s="37">
        <f t="shared" si="13"/>
        <v>0.7697676861649944</v>
      </c>
      <c r="P67" s="37">
        <f t="shared" si="13"/>
        <v>0.7697947946664803</v>
      </c>
      <c r="Q67" s="37">
        <f t="shared" si="13"/>
        <v>0.7698016286764016</v>
      </c>
      <c r="R67" s="37">
        <f t="shared" si="13"/>
        <v>0.7697883359213976</v>
      </c>
      <c r="S67" s="37">
        <f t="shared" si="13"/>
        <v>0.7697550522211143</v>
      </c>
      <c r="T67" s="37">
        <f t="shared" si="13"/>
        <v>0.7697019017433003</v>
      </c>
      <c r="U67" s="37">
        <f t="shared" si="13"/>
        <v>0.7696289972402934</v>
      </c>
      <c r="V67" s="37">
        <f t="shared" si="13"/>
        <v>0.7695364402676146</v>
      </c>
      <c r="W67" s="37">
        <f t="shared" si="13"/>
        <v>0.7694243213853321</v>
      </c>
      <c r="X67" s="37">
        <f t="shared" si="13"/>
        <v>0.7692927203428032</v>
      </c>
      <c r="Y67" s="37">
        <f t="shared" si="13"/>
        <v>0.7691417062473548</v>
      </c>
      <c r="Z67" s="37">
        <f t="shared" si="13"/>
        <v>0.7689713377174133</v>
      </c>
      <c r="AA67" s="37">
        <f t="shared" si="13"/>
        <v>0.7687816630205533</v>
      </c>
      <c r="AB67" s="37">
        <f t="shared" si="13"/>
        <v>0.7685727201968868</v>
      </c>
    </row>
    <row r="69" ht="12.75">
      <c r="A69" s="19" t="s">
        <v>21</v>
      </c>
    </row>
    <row r="70" spans="1:28" ht="12.75">
      <c r="A70" s="15" t="s">
        <v>14</v>
      </c>
      <c r="C70" s="35">
        <f>C64*Conversions!$E$16/1000</f>
        <v>8.141144305293999</v>
      </c>
      <c r="D70" s="35">
        <f>D64*Conversions!$E$16/1000</f>
        <v>7.288281</v>
      </c>
      <c r="E70" s="35">
        <f>E64*Conversions!$E$16/1000</f>
        <v>7.693185499999999</v>
      </c>
      <c r="F70" s="35">
        <f>F64*Conversions!$E$16/1000</f>
        <v>7.1263192</v>
      </c>
      <c r="G70" s="35">
        <f>G64*Conversions!$E$16/1000</f>
        <v>6.964357400000001</v>
      </c>
      <c r="H70" s="35">
        <f>H64*Conversions!$E$16/1000</f>
        <v>7.045338299999998</v>
      </c>
      <c r="I70" s="35">
        <f>I64*Conversions!$E$16/1000</f>
        <v>6.964357400000001</v>
      </c>
      <c r="J70" s="35">
        <f>J64*Conversions!$E$16/1000</f>
        <v>6.964357400000001</v>
      </c>
      <c r="K70" s="35">
        <f>K64*Conversions!$E$16/1000</f>
        <v>7.029734450294111</v>
      </c>
      <c r="L70" s="35">
        <f>L64*Conversions!$E$16/1000</f>
        <v>7.095111500588222</v>
      </c>
      <c r="M70" s="35">
        <f>M64*Conversions!$E$16/1000</f>
        <v>7.115735497439316</v>
      </c>
      <c r="N70" s="35">
        <f>N64*Conversions!$E$16/1000</f>
        <v>7.135542281161739</v>
      </c>
      <c r="O70" s="35">
        <f>O64*Conversions!$E$16/1000</f>
        <v>7.154531851755483</v>
      </c>
      <c r="P70" s="35">
        <f>P64*Conversions!$E$16/1000</f>
        <v>7.1727042092205515</v>
      </c>
      <c r="Q70" s="35">
        <f>Q64*Conversions!$E$16/1000</f>
        <v>7.190059353556941</v>
      </c>
      <c r="R70" s="35">
        <f>R64*Conversions!$E$16/1000</f>
        <v>7.206597284764657</v>
      </c>
      <c r="S70" s="35">
        <f>S64*Conversions!$E$16/1000</f>
        <v>7.222318002843694</v>
      </c>
      <c r="T70" s="35">
        <f>T64*Conversions!$E$16/1000</f>
        <v>7.237221507794055</v>
      </c>
      <c r="U70" s="35">
        <f>U64*Conversions!$E$16/1000</f>
        <v>7.2513077996157405</v>
      </c>
      <c r="V70" s="35">
        <f>V64*Conversions!$E$16/1000</f>
        <v>7.264576878308752</v>
      </c>
      <c r="W70" s="35">
        <f>W64*Conversions!$E$16/1000</f>
        <v>7.2770287438730845</v>
      </c>
      <c r="X70" s="35">
        <f>X64*Conversions!$E$16/1000</f>
        <v>7.28866339630874</v>
      </c>
      <c r="Y70" s="35">
        <f>Y64*Conversions!$E$16/1000</f>
        <v>7.29948083561572</v>
      </c>
      <c r="Z70" s="35">
        <f>Z64*Conversions!$E$16/1000</f>
        <v>7.309481061794023</v>
      </c>
      <c r="AA70" s="35">
        <f>AA64*Conversions!$E$16/1000</f>
        <v>7.3186640748436504</v>
      </c>
      <c r="AB70" s="35">
        <f>AB64*Conversions!$E$16/1000</f>
        <v>7.327029874764599</v>
      </c>
    </row>
    <row r="71" spans="1:28" ht="12.75">
      <c r="A71" s="15" t="s">
        <v>15</v>
      </c>
      <c r="C71" s="35">
        <f>C65*Conversions!$E$16/1000</f>
        <v>2.2062643499999997</v>
      </c>
      <c r="D71" s="35">
        <f>D65*Conversions!$E$16/1000</f>
        <v>2.711866596875</v>
      </c>
      <c r="E71" s="35">
        <f>E65*Conversions!$E$16/1000</f>
        <v>1.9304813062499997</v>
      </c>
      <c r="F71" s="35">
        <f>F65*Conversions!$E$16/1000</f>
        <v>2.160300509375</v>
      </c>
      <c r="G71" s="35">
        <f>G65*Conversions!$E$16/1000</f>
        <v>2.436083553125</v>
      </c>
      <c r="H71" s="35">
        <f>H65*Conversions!$E$16/1000</f>
        <v>2.29819203125</v>
      </c>
      <c r="I71" s="35">
        <f>I65*Conversions!$E$16/1000</f>
        <v>2.1143366687499996</v>
      </c>
      <c r="J71" s="35">
        <f>J65*Conversions!$E$16/1000</f>
        <v>2.1143366687499996</v>
      </c>
      <c r="K71" s="35">
        <f>K65*Conversions!$E$16/1000</f>
        <v>2.1194437621527777</v>
      </c>
      <c r="L71" s="35">
        <f>L65*Conversions!$E$16/1000</f>
        <v>2.1245508555555555</v>
      </c>
      <c r="M71" s="35">
        <f>M65*Conversions!$E$16/1000</f>
        <v>2.1296579489583327</v>
      </c>
      <c r="N71" s="35">
        <f>N65*Conversions!$E$16/1000</f>
        <v>2.1347650423611104</v>
      </c>
      <c r="O71" s="35">
        <f>O65*Conversions!$E$16/1000</f>
        <v>2.1398721357638877</v>
      </c>
      <c r="P71" s="35">
        <f>P65*Conversions!$E$16/1000</f>
        <v>2.144979229166666</v>
      </c>
      <c r="Q71" s="35">
        <f>Q65*Conversions!$E$16/1000</f>
        <v>2.150086322569444</v>
      </c>
      <c r="R71" s="35">
        <f>R65*Conversions!$E$16/1000</f>
        <v>2.1551934159722212</v>
      </c>
      <c r="S71" s="35">
        <f>S65*Conversions!$E$16/1000</f>
        <v>2.1603005093749994</v>
      </c>
      <c r="T71" s="35">
        <f>T65*Conversions!$E$16/1000</f>
        <v>2.165407602777777</v>
      </c>
      <c r="U71" s="35">
        <f>U65*Conversions!$E$16/1000</f>
        <v>2.1705146961805544</v>
      </c>
      <c r="V71" s="35">
        <f>V65*Conversions!$E$16/1000</f>
        <v>2.175621789583332</v>
      </c>
      <c r="W71" s="35">
        <f>W65*Conversions!$E$16/1000</f>
        <v>2.1807288829861093</v>
      </c>
      <c r="X71" s="35">
        <f>X65*Conversions!$E$16/1000</f>
        <v>2.1858359763888875</v>
      </c>
      <c r="Y71" s="35">
        <f>Y65*Conversions!$E$16/1000</f>
        <v>2.190943069791665</v>
      </c>
      <c r="Z71" s="35">
        <f>Z65*Conversions!$E$16/1000</f>
        <v>2.1960501631944425</v>
      </c>
      <c r="AA71" s="35">
        <f>AA65*Conversions!$E$16/1000</f>
        <v>2.2011572565972206</v>
      </c>
      <c r="AB71" s="35">
        <f>AB65*Conversions!$E$16/1000</f>
        <v>2.2062643499999997</v>
      </c>
    </row>
    <row r="72" spans="1:28" ht="12.75">
      <c r="A72" s="15" t="s">
        <v>3</v>
      </c>
      <c r="C72" s="35">
        <f aca="true" t="shared" si="14" ref="C72:AB72">SUM(C70:C71)</f>
        <v>10.347408655293998</v>
      </c>
      <c r="D72" s="35">
        <f t="shared" si="14"/>
        <v>10.000147596875</v>
      </c>
      <c r="E72" s="35">
        <f t="shared" si="14"/>
        <v>9.623666806249998</v>
      </c>
      <c r="F72" s="35">
        <f t="shared" si="14"/>
        <v>9.286619709375</v>
      </c>
      <c r="G72" s="35">
        <f t="shared" si="14"/>
        <v>9.400440953125</v>
      </c>
      <c r="H72" s="35">
        <f t="shared" si="14"/>
        <v>9.343530331249998</v>
      </c>
      <c r="I72" s="35">
        <f t="shared" si="14"/>
        <v>9.07869406875</v>
      </c>
      <c r="J72" s="35">
        <f t="shared" si="14"/>
        <v>9.07869406875</v>
      </c>
      <c r="K72" s="35">
        <f t="shared" si="14"/>
        <v>9.149178212446888</v>
      </c>
      <c r="L72" s="35">
        <f t="shared" si="14"/>
        <v>9.219662356143777</v>
      </c>
      <c r="M72" s="35">
        <f t="shared" si="14"/>
        <v>9.24539344639765</v>
      </c>
      <c r="N72" s="35">
        <f t="shared" si="14"/>
        <v>9.27030732352285</v>
      </c>
      <c r="O72" s="35">
        <f t="shared" si="14"/>
        <v>9.29440398751937</v>
      </c>
      <c r="P72" s="35">
        <f t="shared" si="14"/>
        <v>9.317683438387217</v>
      </c>
      <c r="Q72" s="35">
        <f t="shared" si="14"/>
        <v>9.340145676126385</v>
      </c>
      <c r="R72" s="35">
        <f t="shared" si="14"/>
        <v>9.361790700736877</v>
      </c>
      <c r="S72" s="35">
        <f t="shared" si="14"/>
        <v>9.382618512218693</v>
      </c>
      <c r="T72" s="35">
        <f t="shared" si="14"/>
        <v>9.402629110571832</v>
      </c>
      <c r="U72" s="35">
        <f t="shared" si="14"/>
        <v>9.421822495796295</v>
      </c>
      <c r="V72" s="35">
        <f t="shared" si="14"/>
        <v>9.440198667892084</v>
      </c>
      <c r="W72" s="35">
        <f t="shared" si="14"/>
        <v>9.457757626859195</v>
      </c>
      <c r="X72" s="35">
        <f t="shared" si="14"/>
        <v>9.474499372697627</v>
      </c>
      <c r="Y72" s="35">
        <f t="shared" si="14"/>
        <v>9.490423905407384</v>
      </c>
      <c r="Z72" s="35">
        <f t="shared" si="14"/>
        <v>9.505531224988466</v>
      </c>
      <c r="AA72" s="35">
        <f t="shared" si="14"/>
        <v>9.519821331440872</v>
      </c>
      <c r="AB72" s="35">
        <f t="shared" si="14"/>
        <v>9.5332942247646</v>
      </c>
    </row>
    <row r="73" ht="12.75">
      <c r="A73" s="36" t="s">
        <v>24</v>
      </c>
    </row>
    <row r="74" spans="2:29" ht="12.75">
      <c r="B74" s="44" t="s">
        <v>25</v>
      </c>
      <c r="C74" s="43">
        <f>(C72-C56)/C56</f>
        <v>0</v>
      </c>
      <c r="D74" s="43">
        <f aca="true" t="shared" si="15" ref="D74:AB74">(D72-D56)/D56</f>
        <v>0</v>
      </c>
      <c r="E74" s="43">
        <f t="shared" si="15"/>
        <v>0</v>
      </c>
      <c r="F74" s="43">
        <f t="shared" si="15"/>
        <v>0</v>
      </c>
      <c r="G74" s="43">
        <f t="shared" si="15"/>
        <v>0</v>
      </c>
      <c r="H74" s="43">
        <f t="shared" si="15"/>
        <v>0</v>
      </c>
      <c r="I74" s="43">
        <f t="shared" si="15"/>
        <v>0</v>
      </c>
      <c r="J74" s="43">
        <f t="shared" si="15"/>
        <v>0</v>
      </c>
      <c r="K74" s="43">
        <f t="shared" si="15"/>
        <v>0</v>
      </c>
      <c r="L74" s="43">
        <f t="shared" si="15"/>
        <v>0</v>
      </c>
      <c r="M74" s="43">
        <f t="shared" si="15"/>
        <v>-0.00481726024920952</v>
      </c>
      <c r="N74" s="43">
        <f t="shared" si="15"/>
        <v>-0.00964927721798981</v>
      </c>
      <c r="O74" s="43">
        <f t="shared" si="15"/>
        <v>-0.014495720049990224</v>
      </c>
      <c r="P74" s="43">
        <f t="shared" si="15"/>
        <v>-0.019356267706206926</v>
      </c>
      <c r="Q74" s="43">
        <f t="shared" si="15"/>
        <v>-0.024230608603534782</v>
      </c>
      <c r="R74" s="43">
        <f t="shared" si="15"/>
        <v>-0.029118440269167576</v>
      </c>
      <c r="S74" s="43">
        <f t="shared" si="15"/>
        <v>-0.03401946901004748</v>
      </c>
      <c r="T74" s="43">
        <f t="shared" si="15"/>
        <v>-0.03893340959660239</v>
      </c>
      <c r="U74" s="43">
        <f t="shared" si="15"/>
        <v>-0.04385998496005698</v>
      </c>
      <c r="V74" s="43">
        <f t="shared" si="15"/>
        <v>-0.048798925902640865</v>
      </c>
      <c r="W74" s="43">
        <f t="shared" si="15"/>
        <v>-0.053749970820059445</v>
      </c>
      <c r="X74" s="43">
        <f t="shared" si="15"/>
        <v>-0.05871286543562514</v>
      </c>
      <c r="Y74" s="43">
        <f t="shared" si="15"/>
        <v>-0.06368736254547967</v>
      </c>
      <c r="Z74" s="43">
        <f t="shared" si="15"/>
        <v>-0.06867322177437607</v>
      </c>
      <c r="AA74" s="43">
        <f t="shared" si="15"/>
        <v>-0.0736702093415085</v>
      </c>
      <c r="AB74" s="43">
        <f t="shared" si="15"/>
        <v>-0.07867809783591345</v>
      </c>
      <c r="AC74" s="43"/>
    </row>
    <row r="75" spans="2:28" ht="12.75">
      <c r="B75" s="44" t="s">
        <v>26</v>
      </c>
      <c r="C75" s="51">
        <f aca="true" t="shared" si="16" ref="C75:AB75">(C72-$C72)/$C72</f>
        <v>0</v>
      </c>
      <c r="D75" s="51">
        <f t="shared" si="16"/>
        <v>-0.03356019559943942</v>
      </c>
      <c r="E75" s="51">
        <f t="shared" si="16"/>
        <v>-0.06994426074722729</v>
      </c>
      <c r="F75" s="51">
        <f t="shared" si="16"/>
        <v>-0.10251735301632955</v>
      </c>
      <c r="G75" s="51">
        <f t="shared" si="16"/>
        <v>-0.0915173773178954</v>
      </c>
      <c r="H75" s="51">
        <f t="shared" si="16"/>
        <v>-0.09701736516711273</v>
      </c>
      <c r="I75" s="51">
        <f t="shared" si="16"/>
        <v>-0.1226118179738549</v>
      </c>
      <c r="J75" s="51">
        <f t="shared" si="16"/>
        <v>-0.1226118179738549</v>
      </c>
      <c r="K75" s="51">
        <f t="shared" si="16"/>
        <v>-0.11580005030864084</v>
      </c>
      <c r="L75" s="51">
        <f t="shared" si="16"/>
        <v>-0.10898828264342661</v>
      </c>
      <c r="M75" s="51">
        <f t="shared" si="16"/>
        <v>-0.10650156436341478</v>
      </c>
      <c r="N75" s="51">
        <f t="shared" si="16"/>
        <v>-0.10409382364734147</v>
      </c>
      <c r="O75" s="51">
        <f t="shared" si="16"/>
        <v>-0.10176506049520756</v>
      </c>
      <c r="P75" s="51">
        <f t="shared" si="16"/>
        <v>-0.09951527490701237</v>
      </c>
      <c r="Q75" s="51">
        <f t="shared" si="16"/>
        <v>-0.0973444668827564</v>
      </c>
      <c r="R75" s="51">
        <f t="shared" si="16"/>
        <v>-0.09525263642243931</v>
      </c>
      <c r="S75" s="51">
        <f t="shared" si="16"/>
        <v>-0.09323978352606127</v>
      </c>
      <c r="T75" s="51">
        <f t="shared" si="16"/>
        <v>-0.09130590819362229</v>
      </c>
      <c r="U75" s="51">
        <f t="shared" si="16"/>
        <v>-0.0894510104251222</v>
      </c>
      <c r="V75" s="51">
        <f t="shared" si="16"/>
        <v>-0.08767509022056097</v>
      </c>
      <c r="W75" s="51">
        <f t="shared" si="16"/>
        <v>-0.08597814757993881</v>
      </c>
      <c r="X75" s="51">
        <f t="shared" si="16"/>
        <v>-0.08436018250325587</v>
      </c>
      <c r="Y75" s="51">
        <f t="shared" si="16"/>
        <v>-0.08282119499051181</v>
      </c>
      <c r="Z75" s="51">
        <f t="shared" si="16"/>
        <v>-0.08136118504170664</v>
      </c>
      <c r="AA75" s="51">
        <f t="shared" si="16"/>
        <v>-0.07998015265684051</v>
      </c>
      <c r="AB75" s="51">
        <f t="shared" si="16"/>
        <v>-0.07867809783591345</v>
      </c>
    </row>
    <row r="77" ht="12.75">
      <c r="A77" s="19" t="s">
        <v>50</v>
      </c>
    </row>
    <row r="78" spans="1:28" ht="12.75">
      <c r="A78" s="15" t="s">
        <v>14</v>
      </c>
      <c r="C78" s="35">
        <f aca="true" t="shared" si="17" ref="C78:AB78">C54-C70</f>
        <v>0</v>
      </c>
      <c r="D78" s="35">
        <f t="shared" si="17"/>
        <v>0</v>
      </c>
      <c r="E78" s="35">
        <f t="shared" si="17"/>
        <v>0</v>
      </c>
      <c r="F78" s="35">
        <f t="shared" si="17"/>
        <v>0</v>
      </c>
      <c r="G78" s="35">
        <f t="shared" si="17"/>
        <v>0</v>
      </c>
      <c r="H78" s="35">
        <f t="shared" si="17"/>
        <v>0</v>
      </c>
      <c r="I78" s="35">
        <f t="shared" si="17"/>
        <v>0</v>
      </c>
      <c r="J78" s="35">
        <f t="shared" si="17"/>
        <v>0</v>
      </c>
      <c r="K78" s="35">
        <f t="shared" si="17"/>
        <v>0</v>
      </c>
      <c r="L78" s="35">
        <f t="shared" si="17"/>
        <v>0</v>
      </c>
      <c r="M78" s="35">
        <f t="shared" si="17"/>
        <v>0.04475305344301539</v>
      </c>
      <c r="N78" s="35">
        <f t="shared" si="17"/>
        <v>0.09032332001470511</v>
      </c>
      <c r="O78" s="35">
        <f t="shared" si="17"/>
        <v>0.1367107997150736</v>
      </c>
      <c r="P78" s="35">
        <f t="shared" si="17"/>
        <v>0.18391549254411554</v>
      </c>
      <c r="Q78" s="35">
        <f t="shared" si="17"/>
        <v>0.23193739850183714</v>
      </c>
      <c r="R78" s="35">
        <f t="shared" si="17"/>
        <v>0.2807765175882331</v>
      </c>
      <c r="S78" s="35">
        <f t="shared" si="17"/>
        <v>0.3304328498033069</v>
      </c>
      <c r="T78" s="35">
        <f t="shared" si="17"/>
        <v>0.38090639514705593</v>
      </c>
      <c r="U78" s="35">
        <f t="shared" si="17"/>
        <v>0.43219715361948285</v>
      </c>
      <c r="V78" s="35">
        <f t="shared" si="17"/>
        <v>0.48430512522058233</v>
      </c>
      <c r="W78" s="35">
        <f t="shared" si="17"/>
        <v>0.5372303099503615</v>
      </c>
      <c r="X78" s="35">
        <f t="shared" si="17"/>
        <v>0.5909727078088158</v>
      </c>
      <c r="Y78" s="35">
        <f t="shared" si="17"/>
        <v>0.6455323187959481</v>
      </c>
      <c r="Z78" s="35">
        <f t="shared" si="17"/>
        <v>0.7009091429117573</v>
      </c>
      <c r="AA78" s="35">
        <f t="shared" si="17"/>
        <v>0.75710318015624</v>
      </c>
      <c r="AB78" s="35">
        <f t="shared" si="17"/>
        <v>0.8141144305293997</v>
      </c>
    </row>
    <row r="79" spans="1:28" ht="12.75">
      <c r="A79" s="15" t="s">
        <v>15</v>
      </c>
      <c r="C79" s="35">
        <f aca="true" t="shared" si="18" ref="C79:AB79">C55-C71</f>
        <v>0</v>
      </c>
      <c r="D79" s="35">
        <f t="shared" si="18"/>
        <v>0</v>
      </c>
      <c r="E79" s="35">
        <f t="shared" si="18"/>
        <v>0</v>
      </c>
      <c r="F79" s="35">
        <f t="shared" si="18"/>
        <v>0</v>
      </c>
      <c r="G79" s="35">
        <f t="shared" si="18"/>
        <v>0</v>
      </c>
      <c r="H79" s="35">
        <f t="shared" si="18"/>
        <v>0</v>
      </c>
      <c r="I79" s="35">
        <f t="shared" si="18"/>
        <v>0</v>
      </c>
      <c r="J79" s="35">
        <f t="shared" si="18"/>
        <v>0</v>
      </c>
      <c r="K79" s="35">
        <f t="shared" si="18"/>
        <v>0</v>
      </c>
      <c r="L79" s="35">
        <f t="shared" si="18"/>
        <v>0</v>
      </c>
      <c r="M79" s="35">
        <f t="shared" si="18"/>
        <v>0</v>
      </c>
      <c r="N79" s="35">
        <f t="shared" si="18"/>
        <v>0</v>
      </c>
      <c r="O79" s="35">
        <f t="shared" si="18"/>
        <v>0</v>
      </c>
      <c r="P79" s="35">
        <f t="shared" si="18"/>
        <v>0</v>
      </c>
      <c r="Q79" s="35">
        <f t="shared" si="18"/>
        <v>0</v>
      </c>
      <c r="R79" s="35">
        <f t="shared" si="18"/>
        <v>0</v>
      </c>
      <c r="S79" s="35">
        <f t="shared" si="18"/>
        <v>0</v>
      </c>
      <c r="T79" s="35">
        <f t="shared" si="18"/>
        <v>0</v>
      </c>
      <c r="U79" s="35">
        <f t="shared" si="18"/>
        <v>0</v>
      </c>
      <c r="V79" s="35">
        <f t="shared" si="18"/>
        <v>0</v>
      </c>
      <c r="W79" s="35">
        <f t="shared" si="18"/>
        <v>0</v>
      </c>
      <c r="X79" s="35">
        <f t="shared" si="18"/>
        <v>0</v>
      </c>
      <c r="Y79" s="35">
        <f t="shared" si="18"/>
        <v>0</v>
      </c>
      <c r="Z79" s="35">
        <f t="shared" si="18"/>
        <v>0</v>
      </c>
      <c r="AA79" s="35">
        <f t="shared" si="18"/>
        <v>0</v>
      </c>
      <c r="AB79" s="35">
        <f t="shared" si="18"/>
        <v>0</v>
      </c>
    </row>
    <row r="80" spans="1:28" ht="12.75">
      <c r="A80" s="15" t="s">
        <v>3</v>
      </c>
      <c r="C80" s="35">
        <f aca="true" t="shared" si="19" ref="C80:AB80">SUM(C78:C79)</f>
        <v>0</v>
      </c>
      <c r="D80" s="35">
        <f t="shared" si="19"/>
        <v>0</v>
      </c>
      <c r="E80" s="35">
        <f t="shared" si="19"/>
        <v>0</v>
      </c>
      <c r="F80" s="35">
        <f t="shared" si="19"/>
        <v>0</v>
      </c>
      <c r="G80" s="35">
        <f t="shared" si="19"/>
        <v>0</v>
      </c>
      <c r="H80" s="35">
        <f t="shared" si="19"/>
        <v>0</v>
      </c>
      <c r="I80" s="35">
        <f t="shared" si="19"/>
        <v>0</v>
      </c>
      <c r="J80" s="35">
        <f t="shared" si="19"/>
        <v>0</v>
      </c>
      <c r="K80" s="35">
        <f t="shared" si="19"/>
        <v>0</v>
      </c>
      <c r="L80" s="35">
        <f t="shared" si="19"/>
        <v>0</v>
      </c>
      <c r="M80" s="35">
        <f t="shared" si="19"/>
        <v>0.04475305344301539</v>
      </c>
      <c r="N80" s="35">
        <f t="shared" si="19"/>
        <v>0.09032332001470511</v>
      </c>
      <c r="O80" s="35">
        <f t="shared" si="19"/>
        <v>0.1367107997150736</v>
      </c>
      <c r="P80" s="35">
        <f t="shared" si="19"/>
        <v>0.18391549254411554</v>
      </c>
      <c r="Q80" s="35">
        <f t="shared" si="19"/>
        <v>0.23193739850183714</v>
      </c>
      <c r="R80" s="35">
        <f t="shared" si="19"/>
        <v>0.2807765175882331</v>
      </c>
      <c r="S80" s="35">
        <f t="shared" si="19"/>
        <v>0.3304328498033069</v>
      </c>
      <c r="T80" s="35">
        <f t="shared" si="19"/>
        <v>0.38090639514705593</v>
      </c>
      <c r="U80" s="35">
        <f t="shared" si="19"/>
        <v>0.43219715361948285</v>
      </c>
      <c r="V80" s="35">
        <f t="shared" si="19"/>
        <v>0.48430512522058233</v>
      </c>
      <c r="W80" s="35">
        <f t="shared" si="19"/>
        <v>0.5372303099503615</v>
      </c>
      <c r="X80" s="35">
        <f t="shared" si="19"/>
        <v>0.5909727078088158</v>
      </c>
      <c r="Y80" s="35">
        <f t="shared" si="19"/>
        <v>0.6455323187959481</v>
      </c>
      <c r="Z80" s="35">
        <f t="shared" si="19"/>
        <v>0.7009091429117573</v>
      </c>
      <c r="AA80" s="35">
        <f t="shared" si="19"/>
        <v>0.75710318015624</v>
      </c>
      <c r="AB80" s="35">
        <f t="shared" si="19"/>
        <v>0.8141144305293997</v>
      </c>
    </row>
    <row r="81" spans="1:28" ht="12.75">
      <c r="A81" s="1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</row>
    <row r="82" ht="12.75">
      <c r="A82" s="19" t="s">
        <v>51</v>
      </c>
    </row>
    <row r="83" spans="1:28" ht="12.75">
      <c r="A83" s="15" t="s">
        <v>14</v>
      </c>
      <c r="C83" s="35">
        <f aca="true" t="shared" si="20" ref="C83:AB83">$C54-C70</f>
        <v>0</v>
      </c>
      <c r="D83" s="35">
        <f t="shared" si="20"/>
        <v>0.8528633052939991</v>
      </c>
      <c r="E83" s="35">
        <f t="shared" si="20"/>
        <v>0.44795880529399934</v>
      </c>
      <c r="F83" s="35">
        <f t="shared" si="20"/>
        <v>1.0148251052939985</v>
      </c>
      <c r="G83" s="35">
        <f t="shared" si="20"/>
        <v>1.1767869052939979</v>
      </c>
      <c r="H83" s="35">
        <f t="shared" si="20"/>
        <v>1.0958060052940004</v>
      </c>
      <c r="I83" s="35">
        <f t="shared" si="20"/>
        <v>1.1767869052939979</v>
      </c>
      <c r="J83" s="35">
        <f t="shared" si="20"/>
        <v>1.1767869052939979</v>
      </c>
      <c r="K83" s="35">
        <f t="shared" si="20"/>
        <v>1.1114098549998879</v>
      </c>
      <c r="L83" s="35">
        <f t="shared" si="20"/>
        <v>1.046032804705777</v>
      </c>
      <c r="M83" s="35">
        <f t="shared" si="20"/>
        <v>1.0254088078546824</v>
      </c>
      <c r="N83" s="35">
        <f t="shared" si="20"/>
        <v>1.0056020241322594</v>
      </c>
      <c r="O83" s="35">
        <f t="shared" si="20"/>
        <v>0.9866124535385161</v>
      </c>
      <c r="P83" s="35">
        <f t="shared" si="20"/>
        <v>0.9684400960734472</v>
      </c>
      <c r="Q83" s="35">
        <f t="shared" si="20"/>
        <v>0.9510849517370579</v>
      </c>
      <c r="R83" s="35">
        <f t="shared" si="20"/>
        <v>0.934547020529342</v>
      </c>
      <c r="S83" s="35">
        <f t="shared" si="20"/>
        <v>0.9188263024503049</v>
      </c>
      <c r="T83" s="35">
        <f t="shared" si="20"/>
        <v>0.903922797499944</v>
      </c>
      <c r="U83" s="35">
        <f t="shared" si="20"/>
        <v>0.8898365056782582</v>
      </c>
      <c r="V83" s="35">
        <f t="shared" si="20"/>
        <v>0.8765674269852468</v>
      </c>
      <c r="W83" s="35">
        <f t="shared" si="20"/>
        <v>0.8641155614209142</v>
      </c>
      <c r="X83" s="35">
        <f t="shared" si="20"/>
        <v>0.8524809089852585</v>
      </c>
      <c r="Y83" s="35">
        <f t="shared" si="20"/>
        <v>0.841663469678279</v>
      </c>
      <c r="Z83" s="35">
        <f t="shared" si="20"/>
        <v>0.8316632434999756</v>
      </c>
      <c r="AA83" s="35">
        <f t="shared" si="20"/>
        <v>0.8224802304503482</v>
      </c>
      <c r="AB83" s="35">
        <f t="shared" si="20"/>
        <v>0.8141144305293997</v>
      </c>
    </row>
    <row r="84" spans="1:28" ht="12.75">
      <c r="A84" s="15" t="s">
        <v>15</v>
      </c>
      <c r="C84" s="35">
        <f aca="true" t="shared" si="21" ref="C84:AB84">$C55-C71</f>
        <v>0</v>
      </c>
      <c r="D84" s="35">
        <f t="shared" si="21"/>
        <v>-0.5056022468750005</v>
      </c>
      <c r="E84" s="35">
        <f t="shared" si="21"/>
        <v>0.27578304374999996</v>
      </c>
      <c r="F84" s="35">
        <f t="shared" si="21"/>
        <v>0.04596384062499981</v>
      </c>
      <c r="G84" s="35">
        <f t="shared" si="21"/>
        <v>-0.22981920312500037</v>
      </c>
      <c r="H84" s="35">
        <f t="shared" si="21"/>
        <v>-0.0919276812500005</v>
      </c>
      <c r="I84" s="35">
        <f t="shared" si="21"/>
        <v>0.09192768125000006</v>
      </c>
      <c r="J84" s="35">
        <f t="shared" si="21"/>
        <v>0.09192768125000006</v>
      </c>
      <c r="K84" s="35">
        <f t="shared" si="21"/>
        <v>0.08682058784722191</v>
      </c>
      <c r="L84" s="35">
        <f t="shared" si="21"/>
        <v>0.0817134944444442</v>
      </c>
      <c r="M84" s="35">
        <f t="shared" si="21"/>
        <v>0.07660640104166694</v>
      </c>
      <c r="N84" s="35">
        <f t="shared" si="21"/>
        <v>0.07149930763888923</v>
      </c>
      <c r="O84" s="35">
        <f t="shared" si="21"/>
        <v>0.06639221423611197</v>
      </c>
      <c r="P84" s="35">
        <f t="shared" si="21"/>
        <v>0.06128512083333382</v>
      </c>
      <c r="Q84" s="35">
        <f t="shared" si="21"/>
        <v>0.056178027430555666</v>
      </c>
      <c r="R84" s="35">
        <f t="shared" si="21"/>
        <v>0.0510709340277784</v>
      </c>
      <c r="S84" s="35">
        <f t="shared" si="21"/>
        <v>0.04596384062500025</v>
      </c>
      <c r="T84" s="35">
        <f t="shared" si="21"/>
        <v>0.040856747222222545</v>
      </c>
      <c r="U84" s="35">
        <f t="shared" si="21"/>
        <v>0.03574965381944528</v>
      </c>
      <c r="V84" s="35">
        <f t="shared" si="21"/>
        <v>0.030642560416667575</v>
      </c>
      <c r="W84" s="35">
        <f t="shared" si="21"/>
        <v>0.02553546701389031</v>
      </c>
      <c r="X84" s="35">
        <f t="shared" si="21"/>
        <v>0.02042837361111216</v>
      </c>
      <c r="Y84" s="35">
        <f t="shared" si="21"/>
        <v>0.015321280208334453</v>
      </c>
      <c r="Z84" s="35">
        <f t="shared" si="21"/>
        <v>0.01021418680555719</v>
      </c>
      <c r="AA84" s="35">
        <f t="shared" si="21"/>
        <v>0.005107093402779039</v>
      </c>
      <c r="AB84" s="35">
        <f t="shared" si="21"/>
        <v>0</v>
      </c>
    </row>
    <row r="85" spans="1:28" ht="12.75">
      <c r="A85" s="15" t="s">
        <v>3</v>
      </c>
      <c r="C85" s="35">
        <f aca="true" t="shared" si="22" ref="C85:AB85">SUM(C83:C84)</f>
        <v>0</v>
      </c>
      <c r="D85" s="35">
        <f t="shared" si="22"/>
        <v>0.34726105841899857</v>
      </c>
      <c r="E85" s="35">
        <f t="shared" si="22"/>
        <v>0.7237418490439993</v>
      </c>
      <c r="F85" s="35">
        <f t="shared" si="22"/>
        <v>1.0607889459189983</v>
      </c>
      <c r="G85" s="35">
        <f t="shared" si="22"/>
        <v>0.9469677021689975</v>
      </c>
      <c r="H85" s="35">
        <f t="shared" si="22"/>
        <v>1.003878324044</v>
      </c>
      <c r="I85" s="35">
        <f t="shared" si="22"/>
        <v>1.268714586543998</v>
      </c>
      <c r="J85" s="35">
        <f t="shared" si="22"/>
        <v>1.268714586543998</v>
      </c>
      <c r="K85" s="35">
        <f t="shared" si="22"/>
        <v>1.1982304428471098</v>
      </c>
      <c r="L85" s="35">
        <f t="shared" si="22"/>
        <v>1.1277462991502212</v>
      </c>
      <c r="M85" s="35">
        <f t="shared" si="22"/>
        <v>1.1020152088963493</v>
      </c>
      <c r="N85" s="35">
        <f t="shared" si="22"/>
        <v>1.0771013317711486</v>
      </c>
      <c r="O85" s="35">
        <f t="shared" si="22"/>
        <v>1.053004667774628</v>
      </c>
      <c r="P85" s="35">
        <f t="shared" si="22"/>
        <v>1.029725216906781</v>
      </c>
      <c r="Q85" s="35">
        <f t="shared" si="22"/>
        <v>1.0072629791676135</v>
      </c>
      <c r="R85" s="35">
        <f t="shared" si="22"/>
        <v>0.9856179545571204</v>
      </c>
      <c r="S85" s="35">
        <f t="shared" si="22"/>
        <v>0.9647901430753052</v>
      </c>
      <c r="T85" s="35">
        <f t="shared" si="22"/>
        <v>0.9447795447221665</v>
      </c>
      <c r="U85" s="35">
        <f t="shared" si="22"/>
        <v>0.9255861594977035</v>
      </c>
      <c r="V85" s="35">
        <f t="shared" si="22"/>
        <v>0.9072099874019144</v>
      </c>
      <c r="W85" s="35">
        <f t="shared" si="22"/>
        <v>0.8896510284348045</v>
      </c>
      <c r="X85" s="35">
        <f t="shared" si="22"/>
        <v>0.8729092825963707</v>
      </c>
      <c r="Y85" s="35">
        <f t="shared" si="22"/>
        <v>0.8569847498866134</v>
      </c>
      <c r="Z85" s="35">
        <f t="shared" si="22"/>
        <v>0.8418774303055327</v>
      </c>
      <c r="AA85" s="35">
        <f t="shared" si="22"/>
        <v>0.8275873238531273</v>
      </c>
      <c r="AB85" s="35">
        <f t="shared" si="22"/>
        <v>0.8141144305293997</v>
      </c>
    </row>
    <row r="86" spans="1:28" ht="12.75">
      <c r="A86" s="1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</row>
    <row r="87" ht="12.75">
      <c r="A87" s="19" t="s">
        <v>52</v>
      </c>
    </row>
    <row r="88" spans="1:28" ht="12.75">
      <c r="A88" s="15" t="s">
        <v>14</v>
      </c>
      <c r="C88" s="35">
        <f>C78</f>
        <v>0</v>
      </c>
      <c r="D88" s="35">
        <f aca="true" t="shared" si="23" ref="D88:AB88">C88+D78</f>
        <v>0</v>
      </c>
      <c r="E88" s="35">
        <f t="shared" si="23"/>
        <v>0</v>
      </c>
      <c r="F88" s="35">
        <f t="shared" si="23"/>
        <v>0</v>
      </c>
      <c r="G88" s="35">
        <f t="shared" si="23"/>
        <v>0</v>
      </c>
      <c r="H88" s="35">
        <f t="shared" si="23"/>
        <v>0</v>
      </c>
      <c r="I88" s="35">
        <f t="shared" si="23"/>
        <v>0</v>
      </c>
      <c r="J88" s="35">
        <f t="shared" si="23"/>
        <v>0</v>
      </c>
      <c r="K88" s="35">
        <f t="shared" si="23"/>
        <v>0</v>
      </c>
      <c r="L88" s="35">
        <f t="shared" si="23"/>
        <v>0</v>
      </c>
      <c r="M88" s="35">
        <f t="shared" si="23"/>
        <v>0.04475305344301539</v>
      </c>
      <c r="N88" s="35">
        <f t="shared" si="23"/>
        <v>0.1350763734577205</v>
      </c>
      <c r="O88" s="35">
        <f t="shared" si="23"/>
        <v>0.2717871731727941</v>
      </c>
      <c r="P88" s="35">
        <f t="shared" si="23"/>
        <v>0.45570266571690965</v>
      </c>
      <c r="Q88" s="35">
        <f t="shared" si="23"/>
        <v>0.6876400642187468</v>
      </c>
      <c r="R88" s="35">
        <f t="shared" si="23"/>
        <v>0.9684165818069799</v>
      </c>
      <c r="S88" s="35">
        <f t="shared" si="23"/>
        <v>1.2988494316102868</v>
      </c>
      <c r="T88" s="35">
        <f t="shared" si="23"/>
        <v>1.6797558267573427</v>
      </c>
      <c r="U88" s="35">
        <f t="shared" si="23"/>
        <v>2.1119529803768256</v>
      </c>
      <c r="V88" s="35">
        <f t="shared" si="23"/>
        <v>2.596258105597408</v>
      </c>
      <c r="W88" s="35">
        <f t="shared" si="23"/>
        <v>3.1334884155477694</v>
      </c>
      <c r="X88" s="35">
        <f t="shared" si="23"/>
        <v>3.724461123356585</v>
      </c>
      <c r="Y88" s="35">
        <f t="shared" si="23"/>
        <v>4.369993442152533</v>
      </c>
      <c r="Z88" s="35">
        <f t="shared" si="23"/>
        <v>5.070902585064291</v>
      </c>
      <c r="AA88" s="35">
        <f t="shared" si="23"/>
        <v>5.828005765220531</v>
      </c>
      <c r="AB88" s="35">
        <f t="shared" si="23"/>
        <v>6.64212019574993</v>
      </c>
    </row>
    <row r="89" spans="1:28" ht="12.75">
      <c r="A89" s="15" t="s">
        <v>15</v>
      </c>
      <c r="C89" s="35">
        <f>C79</f>
        <v>0</v>
      </c>
      <c r="D89" s="35">
        <f aca="true" t="shared" si="24" ref="D89:AB89">C89+D79</f>
        <v>0</v>
      </c>
      <c r="E89" s="35">
        <f t="shared" si="24"/>
        <v>0</v>
      </c>
      <c r="F89" s="35">
        <f t="shared" si="24"/>
        <v>0</v>
      </c>
      <c r="G89" s="35">
        <f t="shared" si="24"/>
        <v>0</v>
      </c>
      <c r="H89" s="35">
        <f t="shared" si="24"/>
        <v>0</v>
      </c>
      <c r="I89" s="35">
        <f t="shared" si="24"/>
        <v>0</v>
      </c>
      <c r="J89" s="35">
        <f t="shared" si="24"/>
        <v>0</v>
      </c>
      <c r="K89" s="35">
        <f t="shared" si="24"/>
        <v>0</v>
      </c>
      <c r="L89" s="35">
        <f t="shared" si="24"/>
        <v>0</v>
      </c>
      <c r="M89" s="35">
        <f t="shared" si="24"/>
        <v>0</v>
      </c>
      <c r="N89" s="35">
        <f t="shared" si="24"/>
        <v>0</v>
      </c>
      <c r="O89" s="35">
        <f t="shared" si="24"/>
        <v>0</v>
      </c>
      <c r="P89" s="35">
        <f t="shared" si="24"/>
        <v>0</v>
      </c>
      <c r="Q89" s="35">
        <f t="shared" si="24"/>
        <v>0</v>
      </c>
      <c r="R89" s="35">
        <f t="shared" si="24"/>
        <v>0</v>
      </c>
      <c r="S89" s="35">
        <f t="shared" si="24"/>
        <v>0</v>
      </c>
      <c r="T89" s="35">
        <f t="shared" si="24"/>
        <v>0</v>
      </c>
      <c r="U89" s="35">
        <f t="shared" si="24"/>
        <v>0</v>
      </c>
      <c r="V89" s="35">
        <f t="shared" si="24"/>
        <v>0</v>
      </c>
      <c r="W89" s="35">
        <f t="shared" si="24"/>
        <v>0</v>
      </c>
      <c r="X89" s="35">
        <f t="shared" si="24"/>
        <v>0</v>
      </c>
      <c r="Y89" s="35">
        <f t="shared" si="24"/>
        <v>0</v>
      </c>
      <c r="Z89" s="35">
        <f t="shared" si="24"/>
        <v>0</v>
      </c>
      <c r="AA89" s="35">
        <f t="shared" si="24"/>
        <v>0</v>
      </c>
      <c r="AB89" s="35">
        <f t="shared" si="24"/>
        <v>0</v>
      </c>
    </row>
    <row r="90" spans="1:28" ht="12.75">
      <c r="A90" s="15" t="s">
        <v>3</v>
      </c>
      <c r="C90" s="35">
        <f aca="true" t="shared" si="25" ref="C90:AB90">SUM(C88:C89)</f>
        <v>0</v>
      </c>
      <c r="D90" s="35">
        <f t="shared" si="25"/>
        <v>0</v>
      </c>
      <c r="E90" s="35">
        <f t="shared" si="25"/>
        <v>0</v>
      </c>
      <c r="F90" s="35">
        <f t="shared" si="25"/>
        <v>0</v>
      </c>
      <c r="G90" s="35">
        <f t="shared" si="25"/>
        <v>0</v>
      </c>
      <c r="H90" s="35">
        <f t="shared" si="25"/>
        <v>0</v>
      </c>
      <c r="I90" s="35">
        <f t="shared" si="25"/>
        <v>0</v>
      </c>
      <c r="J90" s="35">
        <f t="shared" si="25"/>
        <v>0</v>
      </c>
      <c r="K90" s="35">
        <f t="shared" si="25"/>
        <v>0</v>
      </c>
      <c r="L90" s="35">
        <f t="shared" si="25"/>
        <v>0</v>
      </c>
      <c r="M90" s="35">
        <f t="shared" si="25"/>
        <v>0.04475305344301539</v>
      </c>
      <c r="N90" s="35">
        <f t="shared" si="25"/>
        <v>0.1350763734577205</v>
      </c>
      <c r="O90" s="35">
        <f t="shared" si="25"/>
        <v>0.2717871731727941</v>
      </c>
      <c r="P90" s="35">
        <f t="shared" si="25"/>
        <v>0.45570266571690965</v>
      </c>
      <c r="Q90" s="35">
        <f t="shared" si="25"/>
        <v>0.6876400642187468</v>
      </c>
      <c r="R90" s="35">
        <f t="shared" si="25"/>
        <v>0.9684165818069799</v>
      </c>
      <c r="S90" s="35">
        <f t="shared" si="25"/>
        <v>1.2988494316102868</v>
      </c>
      <c r="T90" s="35">
        <f t="shared" si="25"/>
        <v>1.6797558267573427</v>
      </c>
      <c r="U90" s="35">
        <f t="shared" si="25"/>
        <v>2.1119529803768256</v>
      </c>
      <c r="V90" s="35">
        <f t="shared" si="25"/>
        <v>2.596258105597408</v>
      </c>
      <c r="W90" s="35">
        <f t="shared" si="25"/>
        <v>3.1334884155477694</v>
      </c>
      <c r="X90" s="35">
        <f t="shared" si="25"/>
        <v>3.724461123356585</v>
      </c>
      <c r="Y90" s="35">
        <f t="shared" si="25"/>
        <v>4.369993442152533</v>
      </c>
      <c r="Z90" s="35">
        <f t="shared" si="25"/>
        <v>5.070902585064291</v>
      </c>
      <c r="AA90" s="35">
        <f t="shared" si="25"/>
        <v>5.828005765220531</v>
      </c>
      <c r="AB90" s="35">
        <f t="shared" si="25"/>
        <v>6.64212019574993</v>
      </c>
    </row>
    <row r="91" spans="1:28" ht="12.75">
      <c r="A91" s="1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</row>
    <row r="92" ht="12.75">
      <c r="A92" s="19" t="s">
        <v>53</v>
      </c>
    </row>
    <row r="93" spans="1:28" ht="12.75">
      <c r="A93" s="15" t="s">
        <v>14</v>
      </c>
      <c r="C93" s="35">
        <f>C83</f>
        <v>0</v>
      </c>
      <c r="D93" s="35">
        <f aca="true" t="shared" si="26" ref="D93:AB93">C93+D83</f>
        <v>0.8528633052939991</v>
      </c>
      <c r="E93" s="35">
        <f t="shared" si="26"/>
        <v>1.3008221105879985</v>
      </c>
      <c r="F93" s="35">
        <f t="shared" si="26"/>
        <v>2.315647215881997</v>
      </c>
      <c r="G93" s="35">
        <f t="shared" si="26"/>
        <v>3.492434121175995</v>
      </c>
      <c r="H93" s="35">
        <f t="shared" si="26"/>
        <v>4.588240126469995</v>
      </c>
      <c r="I93" s="35">
        <f t="shared" si="26"/>
        <v>5.765027031763993</v>
      </c>
      <c r="J93" s="35">
        <f t="shared" si="26"/>
        <v>6.941813937057991</v>
      </c>
      <c r="K93" s="35">
        <f t="shared" si="26"/>
        <v>8.053223792057878</v>
      </c>
      <c r="L93" s="35">
        <f t="shared" si="26"/>
        <v>9.099256596763656</v>
      </c>
      <c r="M93" s="35">
        <f t="shared" si="26"/>
        <v>10.124665404618337</v>
      </c>
      <c r="N93" s="35">
        <f t="shared" si="26"/>
        <v>11.130267428750596</v>
      </c>
      <c r="O93" s="35">
        <f t="shared" si="26"/>
        <v>12.116879882289112</v>
      </c>
      <c r="P93" s="35">
        <f t="shared" si="26"/>
        <v>13.08531997836256</v>
      </c>
      <c r="Q93" s="35">
        <f t="shared" si="26"/>
        <v>14.036404930099618</v>
      </c>
      <c r="R93" s="35">
        <f t="shared" si="26"/>
        <v>14.97095195062896</v>
      </c>
      <c r="S93" s="35">
        <f t="shared" si="26"/>
        <v>15.889778253079264</v>
      </c>
      <c r="T93" s="35">
        <f t="shared" si="26"/>
        <v>16.79370105057921</v>
      </c>
      <c r="U93" s="35">
        <f t="shared" si="26"/>
        <v>17.683537556257466</v>
      </c>
      <c r="V93" s="35">
        <f t="shared" si="26"/>
        <v>18.560104983242713</v>
      </c>
      <c r="W93" s="35">
        <f t="shared" si="26"/>
        <v>19.424220544663626</v>
      </c>
      <c r="X93" s="35">
        <f t="shared" si="26"/>
        <v>20.276701453648883</v>
      </c>
      <c r="Y93" s="35">
        <f t="shared" si="26"/>
        <v>21.118364923327164</v>
      </c>
      <c r="Z93" s="35">
        <f t="shared" si="26"/>
        <v>21.95002816682714</v>
      </c>
      <c r="AA93" s="35">
        <f t="shared" si="26"/>
        <v>22.772508397277488</v>
      </c>
      <c r="AB93" s="35">
        <f t="shared" si="26"/>
        <v>23.586622827806888</v>
      </c>
    </row>
    <row r="94" spans="1:28" ht="12.75">
      <c r="A94" s="15" t="s">
        <v>15</v>
      </c>
      <c r="C94" s="35">
        <f>C84</f>
        <v>0</v>
      </c>
      <c r="D94" s="35">
        <f aca="true" t="shared" si="27" ref="D94:AB94">C94+D84</f>
        <v>-0.5056022468750005</v>
      </c>
      <c r="E94" s="35">
        <f t="shared" si="27"/>
        <v>-0.2298192031250006</v>
      </c>
      <c r="F94" s="35">
        <f t="shared" si="27"/>
        <v>-0.18385536250000079</v>
      </c>
      <c r="G94" s="35">
        <f t="shared" si="27"/>
        <v>-0.41367456562500116</v>
      </c>
      <c r="H94" s="35">
        <f t="shared" si="27"/>
        <v>-0.5056022468750017</v>
      </c>
      <c r="I94" s="35">
        <f t="shared" si="27"/>
        <v>-0.4136745656250016</v>
      </c>
      <c r="J94" s="35">
        <f t="shared" si="27"/>
        <v>-0.32174688437500154</v>
      </c>
      <c r="K94" s="35">
        <f t="shared" si="27"/>
        <v>-0.23492629652777963</v>
      </c>
      <c r="L94" s="35">
        <f t="shared" si="27"/>
        <v>-0.15321280208333543</v>
      </c>
      <c r="M94" s="35">
        <f t="shared" si="27"/>
        <v>-0.07660640104166849</v>
      </c>
      <c r="N94" s="35">
        <f t="shared" si="27"/>
        <v>-0.005107093402779261</v>
      </c>
      <c r="O94" s="35">
        <f t="shared" si="27"/>
        <v>0.06128512083333271</v>
      </c>
      <c r="P94" s="35">
        <f t="shared" si="27"/>
        <v>0.12257024166666652</v>
      </c>
      <c r="Q94" s="35">
        <f t="shared" si="27"/>
        <v>0.1787482690972222</v>
      </c>
      <c r="R94" s="35">
        <f t="shared" si="27"/>
        <v>0.2298192031250006</v>
      </c>
      <c r="S94" s="35">
        <f t="shared" si="27"/>
        <v>0.27578304375000084</v>
      </c>
      <c r="T94" s="35">
        <f t="shared" si="27"/>
        <v>0.3166397909722234</v>
      </c>
      <c r="U94" s="35">
        <f t="shared" si="27"/>
        <v>0.35238944479166867</v>
      </c>
      <c r="V94" s="35">
        <f t="shared" si="27"/>
        <v>0.38303200520833625</v>
      </c>
      <c r="W94" s="35">
        <f t="shared" si="27"/>
        <v>0.40856747222222656</v>
      </c>
      <c r="X94" s="35">
        <f t="shared" si="27"/>
        <v>0.4289958458333387</v>
      </c>
      <c r="Y94" s="35">
        <f t="shared" si="27"/>
        <v>0.44431712604167317</v>
      </c>
      <c r="Z94" s="35">
        <f t="shared" si="27"/>
        <v>0.45453131284723036</v>
      </c>
      <c r="AA94" s="35">
        <f t="shared" si="27"/>
        <v>0.4596384062500094</v>
      </c>
      <c r="AB94" s="35">
        <f t="shared" si="27"/>
        <v>0.4596384062500094</v>
      </c>
    </row>
    <row r="95" spans="1:28" ht="12.75">
      <c r="A95" s="15" t="s">
        <v>3</v>
      </c>
      <c r="C95" s="35">
        <f aca="true" t="shared" si="28" ref="C95:AB95">SUM(C93:C94)</f>
        <v>0</v>
      </c>
      <c r="D95" s="35">
        <f t="shared" si="28"/>
        <v>0.34726105841899857</v>
      </c>
      <c r="E95" s="35">
        <f t="shared" si="28"/>
        <v>1.0710029074629979</v>
      </c>
      <c r="F95" s="35">
        <f t="shared" si="28"/>
        <v>2.131791853381996</v>
      </c>
      <c r="G95" s="35">
        <f t="shared" si="28"/>
        <v>3.0787595555509935</v>
      </c>
      <c r="H95" s="35">
        <f t="shared" si="28"/>
        <v>4.082637879594993</v>
      </c>
      <c r="I95" s="35">
        <f t="shared" si="28"/>
        <v>5.351352466138992</v>
      </c>
      <c r="J95" s="35">
        <f t="shared" si="28"/>
        <v>6.620067052682989</v>
      </c>
      <c r="K95" s="35">
        <f t="shared" si="28"/>
        <v>7.818297495530098</v>
      </c>
      <c r="L95" s="35">
        <f t="shared" si="28"/>
        <v>8.946043794680321</v>
      </c>
      <c r="M95" s="35">
        <f t="shared" si="28"/>
        <v>10.048059003576668</v>
      </c>
      <c r="N95" s="35">
        <f t="shared" si="28"/>
        <v>11.125160335347816</v>
      </c>
      <c r="O95" s="35">
        <f t="shared" si="28"/>
        <v>12.178165003122444</v>
      </c>
      <c r="P95" s="35">
        <f t="shared" si="28"/>
        <v>13.207890220029226</v>
      </c>
      <c r="Q95" s="35">
        <f t="shared" si="28"/>
        <v>14.21515319919684</v>
      </c>
      <c r="R95" s="35">
        <f t="shared" si="28"/>
        <v>15.20077115375396</v>
      </c>
      <c r="S95" s="35">
        <f t="shared" si="28"/>
        <v>16.165561296829264</v>
      </c>
      <c r="T95" s="35">
        <f t="shared" si="28"/>
        <v>17.110340841551434</v>
      </c>
      <c r="U95" s="35">
        <f t="shared" si="28"/>
        <v>18.035927001049135</v>
      </c>
      <c r="V95" s="35">
        <f t="shared" si="28"/>
        <v>18.943136988451048</v>
      </c>
      <c r="W95" s="35">
        <f t="shared" si="28"/>
        <v>19.832788016885853</v>
      </c>
      <c r="X95" s="35">
        <f t="shared" si="28"/>
        <v>20.70569729948222</v>
      </c>
      <c r="Y95" s="35">
        <f t="shared" si="28"/>
        <v>21.56268204936884</v>
      </c>
      <c r="Z95" s="35">
        <f t="shared" si="28"/>
        <v>22.40455947967437</v>
      </c>
      <c r="AA95" s="35">
        <f t="shared" si="28"/>
        <v>23.232146803527495</v>
      </c>
      <c r="AB95" s="35">
        <f t="shared" si="28"/>
        <v>24.046261234056896</v>
      </c>
    </row>
    <row r="96" spans="3:28" ht="12.75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</row>
    <row r="97" spans="3:28" ht="12.75">
      <c r="C97" s="14">
        <v>2000</v>
      </c>
      <c r="D97" s="14">
        <f aca="true" t="shared" si="29" ref="D97:AB97">1+C97</f>
        <v>2001</v>
      </c>
      <c r="E97" s="14">
        <f t="shared" si="29"/>
        <v>2002</v>
      </c>
      <c r="F97" s="14">
        <f t="shared" si="29"/>
        <v>2003</v>
      </c>
      <c r="G97" s="14">
        <f t="shared" si="29"/>
        <v>2004</v>
      </c>
      <c r="H97" s="14">
        <f t="shared" si="29"/>
        <v>2005</v>
      </c>
      <c r="I97" s="14">
        <f t="shared" si="29"/>
        <v>2006</v>
      </c>
      <c r="J97" s="14">
        <f t="shared" si="29"/>
        <v>2007</v>
      </c>
      <c r="K97" s="14">
        <f t="shared" si="29"/>
        <v>2008</v>
      </c>
      <c r="L97" s="14">
        <f t="shared" si="29"/>
        <v>2009</v>
      </c>
      <c r="M97" s="14">
        <f t="shared" si="29"/>
        <v>2010</v>
      </c>
      <c r="N97" s="14">
        <f t="shared" si="29"/>
        <v>2011</v>
      </c>
      <c r="O97" s="14">
        <f t="shared" si="29"/>
        <v>2012</v>
      </c>
      <c r="P97" s="14">
        <f t="shared" si="29"/>
        <v>2013</v>
      </c>
      <c r="Q97" s="14">
        <f t="shared" si="29"/>
        <v>2014</v>
      </c>
      <c r="R97" s="14">
        <f t="shared" si="29"/>
        <v>2015</v>
      </c>
      <c r="S97" s="14">
        <f t="shared" si="29"/>
        <v>2016</v>
      </c>
      <c r="T97" s="14">
        <f t="shared" si="29"/>
        <v>2017</v>
      </c>
      <c r="U97" s="14">
        <f t="shared" si="29"/>
        <v>2018</v>
      </c>
      <c r="V97" s="14">
        <f t="shared" si="29"/>
        <v>2019</v>
      </c>
      <c r="W97" s="14">
        <f t="shared" si="29"/>
        <v>2020</v>
      </c>
      <c r="X97" s="14">
        <f t="shared" si="29"/>
        <v>2021</v>
      </c>
      <c r="Y97" s="14">
        <f t="shared" si="29"/>
        <v>2022</v>
      </c>
      <c r="Z97" s="14">
        <f t="shared" si="29"/>
        <v>2023</v>
      </c>
      <c r="AA97" s="14">
        <f t="shared" si="29"/>
        <v>2024</v>
      </c>
      <c r="AB97" s="14">
        <f t="shared" si="29"/>
        <v>2025</v>
      </c>
    </row>
    <row r="98" ht="12.75">
      <c r="A98" s="46" t="s">
        <v>56</v>
      </c>
    </row>
    <row r="99" spans="1:28" ht="12.75">
      <c r="A99" s="19" t="s">
        <v>57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1">
        <f aca="true" t="shared" si="30" ref="M99:AA99">$AB99/16+L99</f>
        <v>0.012762075</v>
      </c>
      <c r="N99" s="41">
        <f t="shared" si="30"/>
        <v>0.02552415</v>
      </c>
      <c r="O99" s="41">
        <f t="shared" si="30"/>
        <v>0.038286225</v>
      </c>
      <c r="P99" s="41">
        <f t="shared" si="30"/>
        <v>0.0510483</v>
      </c>
      <c r="Q99" s="41">
        <f t="shared" si="30"/>
        <v>0.063810375</v>
      </c>
      <c r="R99" s="41">
        <f t="shared" si="30"/>
        <v>0.07657245</v>
      </c>
      <c r="S99" s="41">
        <f t="shared" si="30"/>
        <v>0.089334525</v>
      </c>
      <c r="T99" s="41">
        <f t="shared" si="30"/>
        <v>0.1020966</v>
      </c>
      <c r="U99" s="41">
        <f t="shared" si="30"/>
        <v>0.114858675</v>
      </c>
      <c r="V99" s="41">
        <f t="shared" si="30"/>
        <v>0.12762075</v>
      </c>
      <c r="W99" s="41">
        <f t="shared" si="30"/>
        <v>0.14038282500000002</v>
      </c>
      <c r="X99" s="41">
        <f t="shared" si="30"/>
        <v>0.15314490000000003</v>
      </c>
      <c r="Y99" s="41">
        <f t="shared" si="30"/>
        <v>0.16590697500000004</v>
      </c>
      <c r="Z99" s="41">
        <f t="shared" si="30"/>
        <v>0.17866905000000005</v>
      </c>
      <c r="AA99" s="41">
        <f t="shared" si="30"/>
        <v>0.19143112500000006</v>
      </c>
      <c r="AB99" s="41">
        <f>B22</f>
        <v>0.2041932</v>
      </c>
    </row>
    <row r="100" spans="1:28" ht="12.75">
      <c r="A100" s="46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</row>
    <row r="101" ht="12.75">
      <c r="A101" s="19" t="s">
        <v>35</v>
      </c>
    </row>
    <row r="102" spans="1:28" ht="12.75">
      <c r="A102" s="15" t="s">
        <v>14</v>
      </c>
      <c r="C102" s="24">
        <f>C42*Conversions!$E$8*(1-C99)/1000</f>
        <v>20.126438332</v>
      </c>
      <c r="D102" s="24">
        <f>D42*Conversions!$E$8*(1-D99)/1000</f>
        <v>18.018</v>
      </c>
      <c r="E102" s="24">
        <f>E42*Conversions!$E$8*(1-E99)/1000</f>
        <v>19.019</v>
      </c>
      <c r="F102" s="24">
        <f>F42*Conversions!$E$8*(1-F99)/1000</f>
        <v>17.6176</v>
      </c>
      <c r="G102" s="24">
        <f>G42*Conversions!$E$8*(1-G99)/1000</f>
        <v>17.217200000000002</v>
      </c>
      <c r="H102" s="24">
        <f>H42*Conversions!$E$8*(1-H99)/1000</f>
        <v>17.417399999999997</v>
      </c>
      <c r="I102" s="24">
        <f>I42*Conversions!$E$8*(1-I99)/1000</f>
        <v>17.217200000000002</v>
      </c>
      <c r="J102" s="24">
        <f>J42*Conversions!$E$8*(1-J99)/1000</f>
        <v>17.217200000000002</v>
      </c>
      <c r="K102" s="24">
        <f>K42*Conversions!$E$8*(1-K99)/1000</f>
        <v>17.378824351777777</v>
      </c>
      <c r="L102" s="24">
        <f>L42*Conversions!$E$8*(1-L99)/1000</f>
        <v>17.540448703555555</v>
      </c>
      <c r="M102" s="24">
        <f>M42*Conversions!$E$8*(1-M99)/1000</f>
        <v>17.476157871345688</v>
      </c>
      <c r="N102" s="24">
        <f>N42*Conversions!$E$8*(1-N99)/1000</f>
        <v>17.407741714937398</v>
      </c>
      <c r="O102" s="24">
        <f>O42*Conversions!$E$8*(1-O99)/1000</f>
        <v>17.335200234330674</v>
      </c>
      <c r="P102" s="24">
        <f>P42*Conversions!$E$8*(1-P99)/1000</f>
        <v>17.258533429525524</v>
      </c>
      <c r="Q102" s="24">
        <f>Q42*Conversions!$E$8*(1-Q99)/1000</f>
        <v>17.17774130052194</v>
      </c>
      <c r="R102" s="24">
        <f>R42*Conversions!$E$8*(1-R99)/1000</f>
        <v>17.092823847319934</v>
      </c>
      <c r="S102" s="24">
        <f>S42*Conversions!$E$8*(1-S99)/1000</f>
        <v>17.003781069919498</v>
      </c>
      <c r="T102" s="24">
        <f>T42*Conversions!$E$8*(1-T99)/1000</f>
        <v>16.910612968320628</v>
      </c>
      <c r="U102" s="24">
        <f>U42*Conversions!$E$8*(1-U99)/1000</f>
        <v>16.81331954252333</v>
      </c>
      <c r="V102" s="24">
        <f>V42*Conversions!$E$8*(1-V99)/1000</f>
        <v>16.711900792527608</v>
      </c>
      <c r="W102" s="24">
        <f>W42*Conversions!$E$8*(1-W99)/1000</f>
        <v>16.606356718333455</v>
      </c>
      <c r="X102" s="24">
        <f>X42*Conversions!$E$8*(1-X99)/1000</f>
        <v>16.49668731994087</v>
      </c>
      <c r="Y102" s="24">
        <f>Y42*Conversions!$E$8*(1-Y99)/1000</f>
        <v>16.382892597349862</v>
      </c>
      <c r="Z102" s="24">
        <f>Z42*Conversions!$E$8*(1-Z99)/1000</f>
        <v>16.264972550560422</v>
      </c>
      <c r="AA102" s="24">
        <f>AA42*Conversions!$E$8*(1-AA99)/1000</f>
        <v>16.142927179572556</v>
      </c>
      <c r="AB102" s="24">
        <f>AB42*Conversions!$E$8*(1-AB99)/1000</f>
        <v>16.016756484386256</v>
      </c>
    </row>
    <row r="103" spans="1:28" ht="12.75">
      <c r="A103" s="15" t="s">
        <v>15</v>
      </c>
      <c r="C103" s="24">
        <f>C43*Conversions!$E$9/1000</f>
        <v>5.454299999999999</v>
      </c>
      <c r="D103" s="24">
        <f>D43*Conversions!$E$9/1000</f>
        <v>6.70424375</v>
      </c>
      <c r="E103" s="24">
        <f>E43*Conversions!$E$9/1000</f>
        <v>4.7725124999999995</v>
      </c>
      <c r="F103" s="24">
        <f>F43*Conversions!$E$9/1000</f>
        <v>5.34066875</v>
      </c>
      <c r="G103" s="24">
        <f>G43*Conversions!$E$9/1000</f>
        <v>6.022456249999999</v>
      </c>
      <c r="H103" s="24">
        <f>H43*Conversions!$E$9/1000</f>
        <v>5.6815625</v>
      </c>
      <c r="I103" s="24">
        <f>I43*Conversions!$E$9/1000</f>
        <v>5.2270375</v>
      </c>
      <c r="J103" s="24">
        <f>J43*Conversions!$E$9/1000</f>
        <v>5.2270375</v>
      </c>
      <c r="K103" s="24">
        <f>K43*Conversions!$E$9/1000</f>
        <v>5.239663194444445</v>
      </c>
      <c r="L103" s="24">
        <f>L43*Conversions!$E$9/1000</f>
        <v>5.252288888888888</v>
      </c>
      <c r="M103" s="24">
        <f>M43*Conversions!$E$9/1000</f>
        <v>5.264914583333332</v>
      </c>
      <c r="N103" s="24">
        <f>N43*Conversions!$E$9/1000</f>
        <v>5.277540277777776</v>
      </c>
      <c r="O103" s="24">
        <f>O43*Conversions!$E$9/1000</f>
        <v>5.29016597222222</v>
      </c>
      <c r="P103" s="24">
        <f>P43*Conversions!$E$9/1000</f>
        <v>5.302791666666665</v>
      </c>
      <c r="Q103" s="24">
        <f>Q43*Conversions!$E$9/1000</f>
        <v>5.315417361111109</v>
      </c>
      <c r="R103" s="24">
        <f>R43*Conversions!$E$9/1000</f>
        <v>5.328043055555553</v>
      </c>
      <c r="S103" s="24">
        <f>S43*Conversions!$E$9/1000</f>
        <v>5.340668749999998</v>
      </c>
      <c r="T103" s="24">
        <f>T43*Conversions!$E$9/1000</f>
        <v>5.353294444444442</v>
      </c>
      <c r="U103" s="24">
        <f>U43*Conversions!$E$9/1000</f>
        <v>5.365920138888886</v>
      </c>
      <c r="V103" s="24">
        <f>V43*Conversions!$E$9/1000</f>
        <v>5.37854583333333</v>
      </c>
      <c r="W103" s="24">
        <f>W43*Conversions!$E$9/1000</f>
        <v>5.391171527777774</v>
      </c>
      <c r="X103" s="24">
        <f>X43*Conversions!$E$9/1000</f>
        <v>5.403797222222218</v>
      </c>
      <c r="Y103" s="24">
        <f>Y43*Conversions!$E$9/1000</f>
        <v>5.416422916666662</v>
      </c>
      <c r="Z103" s="24">
        <f>Z43*Conversions!$E$9/1000</f>
        <v>5.4290486111111065</v>
      </c>
      <c r="AA103" s="24">
        <f>AA43*Conversions!$E$9/1000</f>
        <v>5.441674305555551</v>
      </c>
      <c r="AB103" s="24">
        <f>AB43*Conversions!$E$9/1000</f>
        <v>5.454299999999999</v>
      </c>
    </row>
    <row r="104" spans="1:28" ht="12.75">
      <c r="A104" s="15" t="s">
        <v>3</v>
      </c>
      <c r="C104" s="24">
        <f aca="true" t="shared" si="31" ref="C104:AB104">SUM(C102:C103)</f>
        <v>25.580738332</v>
      </c>
      <c r="D104" s="24">
        <f t="shared" si="31"/>
        <v>24.72224375</v>
      </c>
      <c r="E104" s="24">
        <f t="shared" si="31"/>
        <v>23.791512499999996</v>
      </c>
      <c r="F104" s="24">
        <f t="shared" si="31"/>
        <v>22.95826875</v>
      </c>
      <c r="G104" s="24">
        <f t="shared" si="31"/>
        <v>23.239656250000003</v>
      </c>
      <c r="H104" s="24">
        <f t="shared" si="31"/>
        <v>23.0989625</v>
      </c>
      <c r="I104" s="24">
        <f t="shared" si="31"/>
        <v>22.4442375</v>
      </c>
      <c r="J104" s="24">
        <f t="shared" si="31"/>
        <v>22.4442375</v>
      </c>
      <c r="K104" s="24">
        <f t="shared" si="31"/>
        <v>22.61848754622222</v>
      </c>
      <c r="L104" s="24">
        <f t="shared" si="31"/>
        <v>22.792737592444443</v>
      </c>
      <c r="M104" s="24">
        <f t="shared" si="31"/>
        <v>22.74107245467902</v>
      </c>
      <c r="N104" s="24">
        <f t="shared" si="31"/>
        <v>22.685281992715176</v>
      </c>
      <c r="O104" s="24">
        <f t="shared" si="31"/>
        <v>22.625366206552894</v>
      </c>
      <c r="P104" s="24">
        <f t="shared" si="31"/>
        <v>22.56132509619219</v>
      </c>
      <c r="Q104" s="24">
        <f t="shared" si="31"/>
        <v>22.49315866163305</v>
      </c>
      <c r="R104" s="24">
        <f t="shared" si="31"/>
        <v>22.42086690287549</v>
      </c>
      <c r="S104" s="24">
        <f t="shared" si="31"/>
        <v>22.344449819919497</v>
      </c>
      <c r="T104" s="24">
        <f t="shared" si="31"/>
        <v>22.26390741276507</v>
      </c>
      <c r="U104" s="24">
        <f t="shared" si="31"/>
        <v>22.179239681412216</v>
      </c>
      <c r="V104" s="24">
        <f t="shared" si="31"/>
        <v>22.090446625860938</v>
      </c>
      <c r="W104" s="24">
        <f t="shared" si="31"/>
        <v>21.99752824611123</v>
      </c>
      <c r="X104" s="24">
        <f t="shared" si="31"/>
        <v>21.900484542163092</v>
      </c>
      <c r="Y104" s="24">
        <f t="shared" si="31"/>
        <v>21.799315514016524</v>
      </c>
      <c r="Z104" s="24">
        <f t="shared" si="31"/>
        <v>21.69402116167153</v>
      </c>
      <c r="AA104" s="24">
        <f t="shared" si="31"/>
        <v>21.584601485128108</v>
      </c>
      <c r="AB104" s="24">
        <f t="shared" si="31"/>
        <v>21.471056484386256</v>
      </c>
    </row>
    <row r="105" spans="1:28" ht="12.75">
      <c r="A105" s="36" t="s">
        <v>16</v>
      </c>
      <c r="C105" s="37">
        <f aca="true" t="shared" si="32" ref="C105:AB105">C102/C104</f>
        <v>0.7867809783591355</v>
      </c>
      <c r="D105" s="37">
        <f t="shared" si="32"/>
        <v>0.7288173428837744</v>
      </c>
      <c r="E105" s="37">
        <f t="shared" si="32"/>
        <v>0.7994027281787991</v>
      </c>
      <c r="F105" s="37">
        <f t="shared" si="32"/>
        <v>0.7673749354467332</v>
      </c>
      <c r="G105" s="37">
        <f t="shared" si="32"/>
        <v>0.7408543316986455</v>
      </c>
      <c r="H105" s="37">
        <f t="shared" si="32"/>
        <v>0.7540338662396633</v>
      </c>
      <c r="I105" s="37">
        <f t="shared" si="32"/>
        <v>0.7671100432794833</v>
      </c>
      <c r="J105" s="37">
        <f t="shared" si="32"/>
        <v>0.7671100432794833</v>
      </c>
      <c r="K105" s="37">
        <f t="shared" si="32"/>
        <v>0.7683459964448603</v>
      </c>
      <c r="L105" s="37">
        <f t="shared" si="32"/>
        <v>0.7695630519332628</v>
      </c>
      <c r="M105" s="37">
        <f t="shared" si="32"/>
        <v>0.7684843318701944</v>
      </c>
      <c r="N105" s="37">
        <f t="shared" si="32"/>
        <v>0.7673584009459291</v>
      </c>
      <c r="O105" s="37">
        <f t="shared" si="32"/>
        <v>0.7661842940385182</v>
      </c>
      <c r="P105" s="37">
        <f t="shared" si="32"/>
        <v>0.7649609832730238</v>
      </c>
      <c r="Q105" s="37">
        <f t="shared" si="32"/>
        <v>0.7636873753005751</v>
      </c>
      <c r="R105" s="37">
        <f t="shared" si="32"/>
        <v>0.7623623083515906</v>
      </c>
      <c r="S105" s="37">
        <f t="shared" si="32"/>
        <v>0.7609845490472121</v>
      </c>
      <c r="T105" s="37">
        <f t="shared" si="32"/>
        <v>0.7595527889513627</v>
      </c>
      <c r="U105" s="37">
        <f t="shared" si="32"/>
        <v>0.7580656408440408</v>
      </c>
      <c r="V105" s="37">
        <f t="shared" si="32"/>
        <v>0.756521634694486</v>
      </c>
      <c r="W105" s="37">
        <f t="shared" si="32"/>
        <v>0.7549192133106665</v>
      </c>
      <c r="X105" s="37">
        <f t="shared" si="32"/>
        <v>0.7532567276391187</v>
      </c>
      <c r="Y105" s="37">
        <f t="shared" si="32"/>
        <v>0.7515324316864899</v>
      </c>
      <c r="Z105" s="37">
        <f t="shared" si="32"/>
        <v>0.7497444770311639</v>
      </c>
      <c r="AA105" s="37">
        <f t="shared" si="32"/>
        <v>0.7478909068900396</v>
      </c>
      <c r="AB105" s="37">
        <f t="shared" si="32"/>
        <v>0.7459696497018503</v>
      </c>
    </row>
    <row r="107" ht="12.75">
      <c r="A107" s="19" t="s">
        <v>21</v>
      </c>
    </row>
    <row r="108" spans="1:28" ht="12.75">
      <c r="A108" s="15" t="s">
        <v>14</v>
      </c>
      <c r="C108" s="35">
        <f>C102*Conversions!$E$16/1000</f>
        <v>8.141144305293999</v>
      </c>
      <c r="D108" s="35">
        <f>D102*Conversions!$E$16/1000</f>
        <v>7.288281</v>
      </c>
      <c r="E108" s="35">
        <f>E102*Conversions!$E$16/1000</f>
        <v>7.693185499999999</v>
      </c>
      <c r="F108" s="35">
        <f>F102*Conversions!$E$16/1000</f>
        <v>7.1263192</v>
      </c>
      <c r="G108" s="35">
        <f>G102*Conversions!$E$16/1000</f>
        <v>6.964357400000001</v>
      </c>
      <c r="H108" s="35">
        <f>H102*Conversions!$E$16/1000</f>
        <v>7.045338299999998</v>
      </c>
      <c r="I108" s="35">
        <f>I102*Conversions!$E$16/1000</f>
        <v>6.964357400000001</v>
      </c>
      <c r="J108" s="35">
        <f>J102*Conversions!$E$16/1000</f>
        <v>6.964357400000001</v>
      </c>
      <c r="K108" s="35">
        <f>K102*Conversions!$E$16/1000</f>
        <v>7.029734450294111</v>
      </c>
      <c r="L108" s="35">
        <f>L102*Conversions!$E$16/1000</f>
        <v>7.095111500588222</v>
      </c>
      <c r="M108" s="35">
        <f>M102*Conversions!$E$16/1000</f>
        <v>7.069105858959331</v>
      </c>
      <c r="N108" s="35">
        <f>N102*Conversions!$E$16/1000</f>
        <v>7.041431523692178</v>
      </c>
      <c r="O108" s="35">
        <f>O102*Conversions!$E$16/1000</f>
        <v>7.012088494786758</v>
      </c>
      <c r="P108" s="35">
        <f>P102*Conversions!$E$16/1000</f>
        <v>6.981076772243075</v>
      </c>
      <c r="Q108" s="35">
        <f>Q102*Conversions!$E$16/1000</f>
        <v>6.948396356061124</v>
      </c>
      <c r="R108" s="35">
        <f>R102*Conversions!$E$16/1000</f>
        <v>6.914047246240913</v>
      </c>
      <c r="S108" s="35">
        <f>S102*Conversions!$E$16/1000</f>
        <v>6.878029442782436</v>
      </c>
      <c r="T108" s="35">
        <f>T102*Conversions!$E$16/1000</f>
        <v>6.840342945685694</v>
      </c>
      <c r="U108" s="35">
        <f>U102*Conversions!$E$16/1000</f>
        <v>6.800987754950687</v>
      </c>
      <c r="V108" s="35">
        <f>V102*Conversions!$E$16/1000</f>
        <v>6.759963870577418</v>
      </c>
      <c r="W108" s="35">
        <f>W102*Conversions!$E$16/1000</f>
        <v>6.717271292565883</v>
      </c>
      <c r="X108" s="35">
        <f>X102*Conversions!$E$16/1000</f>
        <v>6.672910020916082</v>
      </c>
      <c r="Y108" s="35">
        <f>Y102*Conversions!$E$16/1000</f>
        <v>6.626880055628019</v>
      </c>
      <c r="Z108" s="35">
        <f>Z102*Conversions!$E$16/1000</f>
        <v>6.57918139670169</v>
      </c>
      <c r="AA108" s="35">
        <f>AA102*Conversions!$E$16/1000</f>
        <v>6.529814044137098</v>
      </c>
      <c r="AB108" s="35">
        <f>AB102*Conversions!$E$16/1000</f>
        <v>6.47877799793424</v>
      </c>
    </row>
    <row r="109" spans="1:28" ht="12.75">
      <c r="A109" s="15" t="s">
        <v>15</v>
      </c>
      <c r="C109" s="35">
        <f>C103*Conversions!$E$16/1000</f>
        <v>2.2062643499999997</v>
      </c>
      <c r="D109" s="35">
        <f>D103*Conversions!$E$16/1000</f>
        <v>2.711866596875</v>
      </c>
      <c r="E109" s="35">
        <f>E103*Conversions!$E$16/1000</f>
        <v>1.9304813062499997</v>
      </c>
      <c r="F109" s="35">
        <f>F103*Conversions!$E$16/1000</f>
        <v>2.160300509375</v>
      </c>
      <c r="G109" s="35">
        <f>G103*Conversions!$E$16/1000</f>
        <v>2.436083553125</v>
      </c>
      <c r="H109" s="35">
        <f>H103*Conversions!$E$16/1000</f>
        <v>2.29819203125</v>
      </c>
      <c r="I109" s="35">
        <f>I103*Conversions!$E$16/1000</f>
        <v>2.1143366687499996</v>
      </c>
      <c r="J109" s="35">
        <f>J103*Conversions!$E$16/1000</f>
        <v>2.1143366687499996</v>
      </c>
      <c r="K109" s="35">
        <f>K103*Conversions!$E$16/1000</f>
        <v>2.1194437621527777</v>
      </c>
      <c r="L109" s="35">
        <f>L103*Conversions!$E$16/1000</f>
        <v>2.1245508555555555</v>
      </c>
      <c r="M109" s="35">
        <f>M103*Conversions!$E$16/1000</f>
        <v>2.1296579489583327</v>
      </c>
      <c r="N109" s="35">
        <f>N103*Conversions!$E$16/1000</f>
        <v>2.1347650423611104</v>
      </c>
      <c r="O109" s="35">
        <f>O103*Conversions!$E$16/1000</f>
        <v>2.1398721357638877</v>
      </c>
      <c r="P109" s="35">
        <f>P103*Conversions!$E$16/1000</f>
        <v>2.144979229166666</v>
      </c>
      <c r="Q109" s="35">
        <f>Q103*Conversions!$E$16/1000</f>
        <v>2.150086322569444</v>
      </c>
      <c r="R109" s="35">
        <f>R103*Conversions!$E$16/1000</f>
        <v>2.1551934159722212</v>
      </c>
      <c r="S109" s="35">
        <f>S103*Conversions!$E$16/1000</f>
        <v>2.1603005093749994</v>
      </c>
      <c r="T109" s="35">
        <f>T103*Conversions!$E$16/1000</f>
        <v>2.165407602777777</v>
      </c>
      <c r="U109" s="35">
        <f>U103*Conversions!$E$16/1000</f>
        <v>2.1705146961805544</v>
      </c>
      <c r="V109" s="35">
        <f>V103*Conversions!$E$16/1000</f>
        <v>2.175621789583332</v>
      </c>
      <c r="W109" s="35">
        <f>W103*Conversions!$E$16/1000</f>
        <v>2.1807288829861093</v>
      </c>
      <c r="X109" s="35">
        <f>X103*Conversions!$E$16/1000</f>
        <v>2.1858359763888875</v>
      </c>
      <c r="Y109" s="35">
        <f>Y103*Conversions!$E$16/1000</f>
        <v>2.190943069791665</v>
      </c>
      <c r="Z109" s="35">
        <f>Z103*Conversions!$E$16/1000</f>
        <v>2.1960501631944425</v>
      </c>
      <c r="AA109" s="35">
        <f>AA103*Conversions!$E$16/1000</f>
        <v>2.2011572565972206</v>
      </c>
      <c r="AB109" s="35">
        <f>AB103*Conversions!$E$16/1000</f>
        <v>2.2062643499999997</v>
      </c>
    </row>
    <row r="110" spans="1:29" ht="12.75">
      <c r="A110" s="15" t="s">
        <v>3</v>
      </c>
      <c r="C110" s="35">
        <f aca="true" t="shared" si="33" ref="C110:AB110">SUM(C108:C109)</f>
        <v>10.347408655293998</v>
      </c>
      <c r="D110" s="35">
        <f t="shared" si="33"/>
        <v>10.000147596875</v>
      </c>
      <c r="E110" s="35">
        <f t="shared" si="33"/>
        <v>9.623666806249998</v>
      </c>
      <c r="F110" s="35">
        <f t="shared" si="33"/>
        <v>9.286619709375</v>
      </c>
      <c r="G110" s="35">
        <f t="shared" si="33"/>
        <v>9.400440953125</v>
      </c>
      <c r="H110" s="35">
        <f t="shared" si="33"/>
        <v>9.343530331249998</v>
      </c>
      <c r="I110" s="35">
        <f t="shared" si="33"/>
        <v>9.07869406875</v>
      </c>
      <c r="J110" s="35">
        <f t="shared" si="33"/>
        <v>9.07869406875</v>
      </c>
      <c r="K110" s="35">
        <f t="shared" si="33"/>
        <v>9.149178212446888</v>
      </c>
      <c r="L110" s="35">
        <f t="shared" si="33"/>
        <v>9.219662356143777</v>
      </c>
      <c r="M110" s="35">
        <f t="shared" si="33"/>
        <v>9.198763807917663</v>
      </c>
      <c r="N110" s="35">
        <f t="shared" si="33"/>
        <v>9.176196566053289</v>
      </c>
      <c r="O110" s="35">
        <f t="shared" si="33"/>
        <v>9.151960630550645</v>
      </c>
      <c r="P110" s="35">
        <f t="shared" si="33"/>
        <v>9.12605600140974</v>
      </c>
      <c r="Q110" s="35">
        <f t="shared" si="33"/>
        <v>9.098482678630567</v>
      </c>
      <c r="R110" s="35">
        <f t="shared" si="33"/>
        <v>9.069240662213135</v>
      </c>
      <c r="S110" s="35">
        <f t="shared" si="33"/>
        <v>9.038329952157437</v>
      </c>
      <c r="T110" s="35">
        <f t="shared" si="33"/>
        <v>9.005750548463471</v>
      </c>
      <c r="U110" s="35">
        <f t="shared" si="33"/>
        <v>8.971502451131242</v>
      </c>
      <c r="V110" s="35">
        <f t="shared" si="33"/>
        <v>8.93558566016075</v>
      </c>
      <c r="W110" s="35">
        <f t="shared" si="33"/>
        <v>8.898000175551992</v>
      </c>
      <c r="X110" s="35">
        <f t="shared" si="33"/>
        <v>8.85874599730497</v>
      </c>
      <c r="Y110" s="35">
        <f t="shared" si="33"/>
        <v>8.817823125419684</v>
      </c>
      <c r="Z110" s="35">
        <f t="shared" si="33"/>
        <v>8.775231559896133</v>
      </c>
      <c r="AA110" s="35">
        <f t="shared" si="33"/>
        <v>8.73097130073432</v>
      </c>
      <c r="AB110" s="35">
        <f t="shared" si="33"/>
        <v>8.685042347934239</v>
      </c>
      <c r="AC110" s="39"/>
    </row>
    <row r="111" ht="12.75">
      <c r="A111" s="36" t="s">
        <v>24</v>
      </c>
    </row>
    <row r="112" spans="2:28" ht="12.75">
      <c r="B112" s="44" t="s">
        <v>25</v>
      </c>
      <c r="C112" s="43">
        <f>(C110-C56)/C56</f>
        <v>0</v>
      </c>
      <c r="D112" s="43">
        <f aca="true" t="shared" si="34" ref="D112:AB112">(D110-D56)/D56</f>
        <v>0</v>
      </c>
      <c r="E112" s="43">
        <f t="shared" si="34"/>
        <v>0</v>
      </c>
      <c r="F112" s="43">
        <f t="shared" si="34"/>
        <v>0</v>
      </c>
      <c r="G112" s="43">
        <f t="shared" si="34"/>
        <v>0</v>
      </c>
      <c r="H112" s="43">
        <f t="shared" si="34"/>
        <v>0</v>
      </c>
      <c r="I112" s="43">
        <f t="shared" si="34"/>
        <v>0</v>
      </c>
      <c r="J112" s="43">
        <f t="shared" si="34"/>
        <v>0</v>
      </c>
      <c r="K112" s="43">
        <f t="shared" si="34"/>
        <v>0</v>
      </c>
      <c r="L112" s="43">
        <f t="shared" si="34"/>
        <v>0</v>
      </c>
      <c r="M112" s="43">
        <f t="shared" si="34"/>
        <v>-0.009836517855188739</v>
      </c>
      <c r="N112" s="43">
        <f t="shared" si="34"/>
        <v>-0.019703167928284436</v>
      </c>
      <c r="O112" s="43">
        <f t="shared" si="34"/>
        <v>-0.029599274633116512</v>
      </c>
      <c r="P112" s="43">
        <f t="shared" si="34"/>
        <v>-0.03952418242987058</v>
      </c>
      <c r="Q112" s="43">
        <f t="shared" si="34"/>
        <v>-0.049477255087033205</v>
      </c>
      <c r="R112" s="43">
        <f t="shared" si="34"/>
        <v>-0.059457874975701874</v>
      </c>
      <c r="S112" s="43">
        <f t="shared" si="34"/>
        <v>-0.06946544239462402</v>
      </c>
      <c r="T112" s="43">
        <f t="shared" si="34"/>
        <v>-0.07949937492440935</v>
      </c>
      <c r="U112" s="43">
        <f t="shared" si="34"/>
        <v>-0.08955910680945901</v>
      </c>
      <c r="V112" s="43">
        <f t="shared" si="34"/>
        <v>-0.09964408836623129</v>
      </c>
      <c r="W112" s="43">
        <f t="shared" si="34"/>
        <v>-0.10975378541654605</v>
      </c>
      <c r="X112" s="43">
        <f t="shared" si="34"/>
        <v>-0.11988767874469704</v>
      </c>
      <c r="Y112" s="43">
        <f t="shared" si="34"/>
        <v>-0.13004526357721635</v>
      </c>
      <c r="Z112" s="43">
        <f t="shared" si="34"/>
        <v>-0.14022604908419542</v>
      </c>
      <c r="AA112" s="43">
        <f t="shared" si="34"/>
        <v>-0.15042955790112528</v>
      </c>
      <c r="AB112" s="43">
        <f t="shared" si="34"/>
        <v>-0.1606553256702827</v>
      </c>
    </row>
    <row r="113" spans="2:28" ht="12.75">
      <c r="B113" s="44" t="s">
        <v>26</v>
      </c>
      <c r="C113" s="43">
        <f aca="true" t="shared" si="35" ref="C113:AB113">(C110-$C110)/$C110</f>
        <v>0</v>
      </c>
      <c r="D113" s="43">
        <f t="shared" si="35"/>
        <v>-0.03356019559943942</v>
      </c>
      <c r="E113" s="43">
        <f t="shared" si="35"/>
        <v>-0.06994426074722729</v>
      </c>
      <c r="F113" s="43">
        <f t="shared" si="35"/>
        <v>-0.10251735301632955</v>
      </c>
      <c r="G113" s="43">
        <f t="shared" si="35"/>
        <v>-0.0915173773178954</v>
      </c>
      <c r="H113" s="43">
        <f t="shared" si="35"/>
        <v>-0.09701736516711273</v>
      </c>
      <c r="I113" s="43">
        <f t="shared" si="35"/>
        <v>-0.1226118179738549</v>
      </c>
      <c r="J113" s="43">
        <f t="shared" si="35"/>
        <v>-0.1226118179738549</v>
      </c>
      <c r="K113" s="43">
        <f t="shared" si="35"/>
        <v>-0.11580005030864084</v>
      </c>
      <c r="L113" s="43">
        <f t="shared" si="35"/>
        <v>-0.10898828264342661</v>
      </c>
      <c r="M113" s="43">
        <f t="shared" si="35"/>
        <v>-0.11100797171943715</v>
      </c>
      <c r="N113" s="43">
        <f t="shared" si="35"/>
        <v>-0.11318892761053635</v>
      </c>
      <c r="O113" s="43">
        <f t="shared" si="35"/>
        <v>-0.11553115031672508</v>
      </c>
      <c r="P113" s="43">
        <f t="shared" si="35"/>
        <v>-0.11803463983800264</v>
      </c>
      <c r="Q113" s="43">
        <f t="shared" si="35"/>
        <v>-0.12069939617436956</v>
      </c>
      <c r="R113" s="43">
        <f t="shared" si="35"/>
        <v>-0.12352541932582514</v>
      </c>
      <c r="S113" s="43">
        <f t="shared" si="35"/>
        <v>-0.1265127092923699</v>
      </c>
      <c r="T113" s="43">
        <f t="shared" si="35"/>
        <v>-0.12966126607400402</v>
      </c>
      <c r="U113" s="43">
        <f t="shared" si="35"/>
        <v>-0.13297108967072716</v>
      </c>
      <c r="V113" s="43">
        <f t="shared" si="35"/>
        <v>-0.1364421800825391</v>
      </c>
      <c r="W113" s="43">
        <f t="shared" si="35"/>
        <v>-0.14007453730944044</v>
      </c>
      <c r="X113" s="43">
        <f t="shared" si="35"/>
        <v>-0.14386816135143077</v>
      </c>
      <c r="Y113" s="43">
        <f t="shared" si="35"/>
        <v>-0.1478230522085101</v>
      </c>
      <c r="Z113" s="43">
        <f t="shared" si="35"/>
        <v>-0.15193920988067863</v>
      </c>
      <c r="AA113" s="43">
        <f t="shared" si="35"/>
        <v>-0.156216634367936</v>
      </c>
      <c r="AB113" s="43">
        <f t="shared" si="35"/>
        <v>-0.1606553256702827</v>
      </c>
    </row>
    <row r="115" ht="12.75">
      <c r="A115" s="19" t="s">
        <v>50</v>
      </c>
    </row>
    <row r="116" spans="1:28" ht="12.75">
      <c r="A116" s="15" t="s">
        <v>14</v>
      </c>
      <c r="C116" s="35">
        <f aca="true" t="shared" si="36" ref="C116:AB116">C54-C108</f>
        <v>0</v>
      </c>
      <c r="D116" s="35">
        <f t="shared" si="36"/>
        <v>0</v>
      </c>
      <c r="E116" s="35">
        <f t="shared" si="36"/>
        <v>0</v>
      </c>
      <c r="F116" s="35">
        <f t="shared" si="36"/>
        <v>0</v>
      </c>
      <c r="G116" s="35">
        <f t="shared" si="36"/>
        <v>0</v>
      </c>
      <c r="H116" s="35">
        <f t="shared" si="36"/>
        <v>0</v>
      </c>
      <c r="I116" s="35">
        <f t="shared" si="36"/>
        <v>0</v>
      </c>
      <c r="J116" s="35">
        <f t="shared" si="36"/>
        <v>0</v>
      </c>
      <c r="K116" s="35">
        <f t="shared" si="36"/>
        <v>0</v>
      </c>
      <c r="L116" s="35">
        <f t="shared" si="36"/>
        <v>0</v>
      </c>
      <c r="M116" s="35">
        <f t="shared" si="36"/>
        <v>0.09138269192300097</v>
      </c>
      <c r="N116" s="35">
        <f t="shared" si="36"/>
        <v>0.18443407748426655</v>
      </c>
      <c r="O116" s="35">
        <f t="shared" si="36"/>
        <v>0.2791541566837985</v>
      </c>
      <c r="P116" s="35">
        <f t="shared" si="36"/>
        <v>0.3755429295215924</v>
      </c>
      <c r="Q116" s="35">
        <f t="shared" si="36"/>
        <v>0.4736003959976536</v>
      </c>
      <c r="R116" s="35">
        <f t="shared" si="36"/>
        <v>0.5733265561119767</v>
      </c>
      <c r="S116" s="35">
        <f t="shared" si="36"/>
        <v>0.6747214098645644</v>
      </c>
      <c r="T116" s="35">
        <f t="shared" si="36"/>
        <v>0.7777849572554167</v>
      </c>
      <c r="U116" s="35">
        <f t="shared" si="36"/>
        <v>0.8825171982845363</v>
      </c>
      <c r="V116" s="35">
        <f t="shared" si="36"/>
        <v>0.9889181329519161</v>
      </c>
      <c r="W116" s="35">
        <f t="shared" si="36"/>
        <v>1.0969877612575631</v>
      </c>
      <c r="X116" s="35">
        <f t="shared" si="36"/>
        <v>1.206726083201474</v>
      </c>
      <c r="Y116" s="35">
        <f t="shared" si="36"/>
        <v>1.3181330987836484</v>
      </c>
      <c r="Z116" s="35">
        <f t="shared" si="36"/>
        <v>1.4312088080040901</v>
      </c>
      <c r="AA116" s="35">
        <f t="shared" si="36"/>
        <v>1.545953210862792</v>
      </c>
      <c r="AB116" s="35">
        <f t="shared" si="36"/>
        <v>1.6623663073597585</v>
      </c>
    </row>
    <row r="117" spans="1:28" ht="12.75">
      <c r="A117" s="15" t="s">
        <v>15</v>
      </c>
      <c r="C117" s="35">
        <f aca="true" t="shared" si="37" ref="C117:AB117">C55-C109</f>
        <v>0</v>
      </c>
      <c r="D117" s="35">
        <f t="shared" si="37"/>
        <v>0</v>
      </c>
      <c r="E117" s="35">
        <f t="shared" si="37"/>
        <v>0</v>
      </c>
      <c r="F117" s="35">
        <f t="shared" si="37"/>
        <v>0</v>
      </c>
      <c r="G117" s="35">
        <f t="shared" si="37"/>
        <v>0</v>
      </c>
      <c r="H117" s="35">
        <f t="shared" si="37"/>
        <v>0</v>
      </c>
      <c r="I117" s="35">
        <f t="shared" si="37"/>
        <v>0</v>
      </c>
      <c r="J117" s="35">
        <f t="shared" si="37"/>
        <v>0</v>
      </c>
      <c r="K117" s="35">
        <f t="shared" si="37"/>
        <v>0</v>
      </c>
      <c r="L117" s="35">
        <f t="shared" si="37"/>
        <v>0</v>
      </c>
      <c r="M117" s="35">
        <f t="shared" si="37"/>
        <v>0</v>
      </c>
      <c r="N117" s="35">
        <f t="shared" si="37"/>
        <v>0</v>
      </c>
      <c r="O117" s="35">
        <f t="shared" si="37"/>
        <v>0</v>
      </c>
      <c r="P117" s="35">
        <f t="shared" si="37"/>
        <v>0</v>
      </c>
      <c r="Q117" s="35">
        <f t="shared" si="37"/>
        <v>0</v>
      </c>
      <c r="R117" s="35">
        <f t="shared" si="37"/>
        <v>0</v>
      </c>
      <c r="S117" s="35">
        <f t="shared" si="37"/>
        <v>0</v>
      </c>
      <c r="T117" s="35">
        <f t="shared" si="37"/>
        <v>0</v>
      </c>
      <c r="U117" s="35">
        <f t="shared" si="37"/>
        <v>0</v>
      </c>
      <c r="V117" s="35">
        <f t="shared" si="37"/>
        <v>0</v>
      </c>
      <c r="W117" s="35">
        <f t="shared" si="37"/>
        <v>0</v>
      </c>
      <c r="X117" s="35">
        <f t="shared" si="37"/>
        <v>0</v>
      </c>
      <c r="Y117" s="35">
        <f t="shared" si="37"/>
        <v>0</v>
      </c>
      <c r="Z117" s="35">
        <f t="shared" si="37"/>
        <v>0</v>
      </c>
      <c r="AA117" s="35">
        <f t="shared" si="37"/>
        <v>0</v>
      </c>
      <c r="AB117" s="35">
        <f t="shared" si="37"/>
        <v>0</v>
      </c>
    </row>
    <row r="118" spans="1:28" ht="12.75">
      <c r="A118" s="15" t="s">
        <v>3</v>
      </c>
      <c r="C118" s="35">
        <f aca="true" t="shared" si="38" ref="C118:AB118">SUM(C116:C117)</f>
        <v>0</v>
      </c>
      <c r="D118" s="35">
        <f t="shared" si="38"/>
        <v>0</v>
      </c>
      <c r="E118" s="35">
        <f t="shared" si="38"/>
        <v>0</v>
      </c>
      <c r="F118" s="35">
        <f t="shared" si="38"/>
        <v>0</v>
      </c>
      <c r="G118" s="35">
        <f t="shared" si="38"/>
        <v>0</v>
      </c>
      <c r="H118" s="35">
        <f t="shared" si="38"/>
        <v>0</v>
      </c>
      <c r="I118" s="35">
        <f t="shared" si="38"/>
        <v>0</v>
      </c>
      <c r="J118" s="35">
        <f t="shared" si="38"/>
        <v>0</v>
      </c>
      <c r="K118" s="35">
        <f t="shared" si="38"/>
        <v>0</v>
      </c>
      <c r="L118" s="35">
        <f t="shared" si="38"/>
        <v>0</v>
      </c>
      <c r="M118" s="35">
        <f t="shared" si="38"/>
        <v>0.09138269192300097</v>
      </c>
      <c r="N118" s="35">
        <f t="shared" si="38"/>
        <v>0.18443407748426655</v>
      </c>
      <c r="O118" s="35">
        <f t="shared" si="38"/>
        <v>0.2791541566837985</v>
      </c>
      <c r="P118" s="35">
        <f t="shared" si="38"/>
        <v>0.3755429295215924</v>
      </c>
      <c r="Q118" s="35">
        <f t="shared" si="38"/>
        <v>0.4736003959976536</v>
      </c>
      <c r="R118" s="35">
        <f t="shared" si="38"/>
        <v>0.5733265561119767</v>
      </c>
      <c r="S118" s="35">
        <f t="shared" si="38"/>
        <v>0.6747214098645644</v>
      </c>
      <c r="T118" s="35">
        <f t="shared" si="38"/>
        <v>0.7777849572554167</v>
      </c>
      <c r="U118" s="35">
        <f t="shared" si="38"/>
        <v>0.8825171982845363</v>
      </c>
      <c r="V118" s="35">
        <f t="shared" si="38"/>
        <v>0.9889181329519161</v>
      </c>
      <c r="W118" s="35">
        <f t="shared" si="38"/>
        <v>1.0969877612575631</v>
      </c>
      <c r="X118" s="35">
        <f t="shared" si="38"/>
        <v>1.206726083201474</v>
      </c>
      <c r="Y118" s="35">
        <f t="shared" si="38"/>
        <v>1.3181330987836484</v>
      </c>
      <c r="Z118" s="35">
        <f t="shared" si="38"/>
        <v>1.4312088080040901</v>
      </c>
      <c r="AA118" s="35">
        <f t="shared" si="38"/>
        <v>1.545953210862792</v>
      </c>
      <c r="AB118" s="35">
        <f t="shared" si="38"/>
        <v>1.6623663073597585</v>
      </c>
    </row>
    <row r="119" spans="1:28" ht="12.75">
      <c r="A119" s="1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</row>
    <row r="120" ht="12.75">
      <c r="A120" s="19" t="s">
        <v>51</v>
      </c>
    </row>
    <row r="121" spans="1:28" ht="12.75">
      <c r="A121" s="15" t="s">
        <v>14</v>
      </c>
      <c r="C121" s="35">
        <f aca="true" t="shared" si="39" ref="C121:AB121">$C54-C108</f>
        <v>0</v>
      </c>
      <c r="D121" s="35">
        <f t="shared" si="39"/>
        <v>0.8528633052939991</v>
      </c>
      <c r="E121" s="35">
        <f t="shared" si="39"/>
        <v>0.44795880529399934</v>
      </c>
      <c r="F121" s="35">
        <f t="shared" si="39"/>
        <v>1.0148251052939985</v>
      </c>
      <c r="G121" s="35">
        <f t="shared" si="39"/>
        <v>1.1767869052939979</v>
      </c>
      <c r="H121" s="35">
        <f t="shared" si="39"/>
        <v>1.0958060052940004</v>
      </c>
      <c r="I121" s="35">
        <f t="shared" si="39"/>
        <v>1.1767869052939979</v>
      </c>
      <c r="J121" s="35">
        <f t="shared" si="39"/>
        <v>1.1767869052939979</v>
      </c>
      <c r="K121" s="35">
        <f t="shared" si="39"/>
        <v>1.1114098549998879</v>
      </c>
      <c r="L121" s="35">
        <f t="shared" si="39"/>
        <v>1.046032804705777</v>
      </c>
      <c r="M121" s="35">
        <f t="shared" si="39"/>
        <v>1.072038446334668</v>
      </c>
      <c r="N121" s="35">
        <f t="shared" si="39"/>
        <v>1.0997127816018208</v>
      </c>
      <c r="O121" s="35">
        <f t="shared" si="39"/>
        <v>1.129055810507241</v>
      </c>
      <c r="P121" s="35">
        <f t="shared" si="39"/>
        <v>1.160067533050924</v>
      </c>
      <c r="Q121" s="35">
        <f t="shared" si="39"/>
        <v>1.1927479492328743</v>
      </c>
      <c r="R121" s="35">
        <f t="shared" si="39"/>
        <v>1.2270970590530856</v>
      </c>
      <c r="S121" s="35">
        <f t="shared" si="39"/>
        <v>1.2631148625115625</v>
      </c>
      <c r="T121" s="35">
        <f t="shared" si="39"/>
        <v>1.3008013596083048</v>
      </c>
      <c r="U121" s="35">
        <f t="shared" si="39"/>
        <v>1.3401565503433117</v>
      </c>
      <c r="V121" s="35">
        <f t="shared" si="39"/>
        <v>1.3811804347165806</v>
      </c>
      <c r="W121" s="35">
        <f t="shared" si="39"/>
        <v>1.4238730127281158</v>
      </c>
      <c r="X121" s="35">
        <f t="shared" si="39"/>
        <v>1.4682342843779166</v>
      </c>
      <c r="Y121" s="35">
        <f t="shared" si="39"/>
        <v>1.5142642496659793</v>
      </c>
      <c r="Z121" s="35">
        <f t="shared" si="39"/>
        <v>1.5619629085923084</v>
      </c>
      <c r="AA121" s="35">
        <f t="shared" si="39"/>
        <v>1.6113302611569003</v>
      </c>
      <c r="AB121" s="35">
        <f t="shared" si="39"/>
        <v>1.6623663073597585</v>
      </c>
    </row>
    <row r="122" spans="1:28" ht="12.75">
      <c r="A122" s="15" t="s">
        <v>15</v>
      </c>
      <c r="C122" s="35">
        <f aca="true" t="shared" si="40" ref="C122:AB122">$C55-C109</f>
        <v>0</v>
      </c>
      <c r="D122" s="35">
        <f t="shared" si="40"/>
        <v>-0.5056022468750005</v>
      </c>
      <c r="E122" s="35">
        <f t="shared" si="40"/>
        <v>0.27578304374999996</v>
      </c>
      <c r="F122" s="35">
        <f t="shared" si="40"/>
        <v>0.04596384062499981</v>
      </c>
      <c r="G122" s="35">
        <f t="shared" si="40"/>
        <v>-0.22981920312500037</v>
      </c>
      <c r="H122" s="35">
        <f t="shared" si="40"/>
        <v>-0.0919276812500005</v>
      </c>
      <c r="I122" s="35">
        <f t="shared" si="40"/>
        <v>0.09192768125000006</v>
      </c>
      <c r="J122" s="35">
        <f t="shared" si="40"/>
        <v>0.09192768125000006</v>
      </c>
      <c r="K122" s="35">
        <f t="shared" si="40"/>
        <v>0.08682058784722191</v>
      </c>
      <c r="L122" s="35">
        <f t="shared" si="40"/>
        <v>0.0817134944444442</v>
      </c>
      <c r="M122" s="35">
        <f t="shared" si="40"/>
        <v>0.07660640104166694</v>
      </c>
      <c r="N122" s="35">
        <f t="shared" si="40"/>
        <v>0.07149930763888923</v>
      </c>
      <c r="O122" s="35">
        <f t="shared" si="40"/>
        <v>0.06639221423611197</v>
      </c>
      <c r="P122" s="35">
        <f t="shared" si="40"/>
        <v>0.06128512083333382</v>
      </c>
      <c r="Q122" s="35">
        <f t="shared" si="40"/>
        <v>0.056178027430555666</v>
      </c>
      <c r="R122" s="35">
        <f t="shared" si="40"/>
        <v>0.0510709340277784</v>
      </c>
      <c r="S122" s="35">
        <f t="shared" si="40"/>
        <v>0.04596384062500025</v>
      </c>
      <c r="T122" s="35">
        <f t="shared" si="40"/>
        <v>0.040856747222222545</v>
      </c>
      <c r="U122" s="35">
        <f t="shared" si="40"/>
        <v>0.03574965381944528</v>
      </c>
      <c r="V122" s="35">
        <f t="shared" si="40"/>
        <v>0.030642560416667575</v>
      </c>
      <c r="W122" s="35">
        <f t="shared" si="40"/>
        <v>0.02553546701389031</v>
      </c>
      <c r="X122" s="35">
        <f t="shared" si="40"/>
        <v>0.02042837361111216</v>
      </c>
      <c r="Y122" s="35">
        <f t="shared" si="40"/>
        <v>0.015321280208334453</v>
      </c>
      <c r="Z122" s="35">
        <f t="shared" si="40"/>
        <v>0.01021418680555719</v>
      </c>
      <c r="AA122" s="35">
        <f t="shared" si="40"/>
        <v>0.005107093402779039</v>
      </c>
      <c r="AB122" s="35">
        <f t="shared" si="40"/>
        <v>0</v>
      </c>
    </row>
    <row r="123" spans="1:28" ht="12.75">
      <c r="A123" s="15" t="s">
        <v>3</v>
      </c>
      <c r="C123" s="35">
        <f aca="true" t="shared" si="41" ref="C123:AB123">SUM(C121:C122)</f>
        <v>0</v>
      </c>
      <c r="D123" s="35">
        <f t="shared" si="41"/>
        <v>0.34726105841899857</v>
      </c>
      <c r="E123" s="35">
        <f t="shared" si="41"/>
        <v>0.7237418490439993</v>
      </c>
      <c r="F123" s="35">
        <f t="shared" si="41"/>
        <v>1.0607889459189983</v>
      </c>
      <c r="G123" s="35">
        <f t="shared" si="41"/>
        <v>0.9469677021689975</v>
      </c>
      <c r="H123" s="35">
        <f t="shared" si="41"/>
        <v>1.003878324044</v>
      </c>
      <c r="I123" s="35">
        <f t="shared" si="41"/>
        <v>1.268714586543998</v>
      </c>
      <c r="J123" s="35">
        <f t="shared" si="41"/>
        <v>1.268714586543998</v>
      </c>
      <c r="K123" s="35">
        <f t="shared" si="41"/>
        <v>1.1982304428471098</v>
      </c>
      <c r="L123" s="35">
        <f t="shared" si="41"/>
        <v>1.1277462991502212</v>
      </c>
      <c r="M123" s="35">
        <f t="shared" si="41"/>
        <v>1.1486448473763349</v>
      </c>
      <c r="N123" s="35">
        <f t="shared" si="41"/>
        <v>1.17121208924071</v>
      </c>
      <c r="O123" s="35">
        <f t="shared" si="41"/>
        <v>1.195448024743353</v>
      </c>
      <c r="P123" s="35">
        <f t="shared" si="41"/>
        <v>1.2213526538842578</v>
      </c>
      <c r="Q123" s="35">
        <f t="shared" si="41"/>
        <v>1.24892597666343</v>
      </c>
      <c r="R123" s="35">
        <f t="shared" si="41"/>
        <v>1.278167993080864</v>
      </c>
      <c r="S123" s="35">
        <f t="shared" si="41"/>
        <v>1.3090787031365627</v>
      </c>
      <c r="T123" s="35">
        <f t="shared" si="41"/>
        <v>1.3416581068305273</v>
      </c>
      <c r="U123" s="35">
        <f t="shared" si="41"/>
        <v>1.375906204162757</v>
      </c>
      <c r="V123" s="35">
        <f t="shared" si="41"/>
        <v>1.4118229951332482</v>
      </c>
      <c r="W123" s="35">
        <f t="shared" si="41"/>
        <v>1.4494084797420062</v>
      </c>
      <c r="X123" s="35">
        <f t="shared" si="41"/>
        <v>1.4886626579890287</v>
      </c>
      <c r="Y123" s="35">
        <f t="shared" si="41"/>
        <v>1.5295855298743137</v>
      </c>
      <c r="Z123" s="35">
        <f t="shared" si="41"/>
        <v>1.5721770953978655</v>
      </c>
      <c r="AA123" s="35">
        <f t="shared" si="41"/>
        <v>1.6164373545596793</v>
      </c>
      <c r="AB123" s="35">
        <f t="shared" si="41"/>
        <v>1.6623663073597585</v>
      </c>
    </row>
    <row r="124" spans="1:28" ht="12.75">
      <c r="A124" s="1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</row>
    <row r="125" ht="12.75">
      <c r="A125" s="19" t="s">
        <v>52</v>
      </c>
    </row>
    <row r="126" spans="1:28" ht="12.75">
      <c r="A126" s="15" t="s">
        <v>14</v>
      </c>
      <c r="C126" s="35">
        <f>C116</f>
        <v>0</v>
      </c>
      <c r="D126" s="35">
        <f aca="true" t="shared" si="42" ref="D126:AB126">C126+D116</f>
        <v>0</v>
      </c>
      <c r="E126" s="35">
        <f t="shared" si="42"/>
        <v>0</v>
      </c>
      <c r="F126" s="35">
        <f t="shared" si="42"/>
        <v>0</v>
      </c>
      <c r="G126" s="35">
        <f t="shared" si="42"/>
        <v>0</v>
      </c>
      <c r="H126" s="35">
        <f t="shared" si="42"/>
        <v>0</v>
      </c>
      <c r="I126" s="35">
        <f t="shared" si="42"/>
        <v>0</v>
      </c>
      <c r="J126" s="35">
        <f t="shared" si="42"/>
        <v>0</v>
      </c>
      <c r="K126" s="35">
        <f t="shared" si="42"/>
        <v>0</v>
      </c>
      <c r="L126" s="35">
        <f t="shared" si="42"/>
        <v>0</v>
      </c>
      <c r="M126" s="35">
        <f t="shared" si="42"/>
        <v>0.09138269192300097</v>
      </c>
      <c r="N126" s="35">
        <f t="shared" si="42"/>
        <v>0.2758167694072675</v>
      </c>
      <c r="O126" s="35">
        <f t="shared" si="42"/>
        <v>0.554970926091066</v>
      </c>
      <c r="P126" s="35">
        <f t="shared" si="42"/>
        <v>0.9305138556126584</v>
      </c>
      <c r="Q126" s="35">
        <f t="shared" si="42"/>
        <v>1.404114251610312</v>
      </c>
      <c r="R126" s="35">
        <f t="shared" si="42"/>
        <v>1.9774408077222887</v>
      </c>
      <c r="S126" s="35">
        <f t="shared" si="42"/>
        <v>2.652162217586853</v>
      </c>
      <c r="T126" s="35">
        <f t="shared" si="42"/>
        <v>3.42994717484227</v>
      </c>
      <c r="U126" s="35">
        <f t="shared" si="42"/>
        <v>4.312464373126806</v>
      </c>
      <c r="V126" s="35">
        <f t="shared" si="42"/>
        <v>5.301382506078722</v>
      </c>
      <c r="W126" s="35">
        <f t="shared" si="42"/>
        <v>6.398370267336285</v>
      </c>
      <c r="X126" s="35">
        <f t="shared" si="42"/>
        <v>7.605096350537759</v>
      </c>
      <c r="Y126" s="35">
        <f t="shared" si="42"/>
        <v>8.923229449321408</v>
      </c>
      <c r="Z126" s="35">
        <f t="shared" si="42"/>
        <v>10.354438257325498</v>
      </c>
      <c r="AA126" s="35">
        <f t="shared" si="42"/>
        <v>11.900391468188289</v>
      </c>
      <c r="AB126" s="35">
        <f t="shared" si="42"/>
        <v>13.562757775548047</v>
      </c>
    </row>
    <row r="127" spans="1:28" ht="12.75">
      <c r="A127" s="15" t="s">
        <v>15</v>
      </c>
      <c r="C127" s="35">
        <f>C117</f>
        <v>0</v>
      </c>
      <c r="D127" s="35">
        <f aca="true" t="shared" si="43" ref="D127:AB127">C127+D117</f>
        <v>0</v>
      </c>
      <c r="E127" s="35">
        <f t="shared" si="43"/>
        <v>0</v>
      </c>
      <c r="F127" s="35">
        <f t="shared" si="43"/>
        <v>0</v>
      </c>
      <c r="G127" s="35">
        <f t="shared" si="43"/>
        <v>0</v>
      </c>
      <c r="H127" s="35">
        <f t="shared" si="43"/>
        <v>0</v>
      </c>
      <c r="I127" s="35">
        <f t="shared" si="43"/>
        <v>0</v>
      </c>
      <c r="J127" s="35">
        <f t="shared" si="43"/>
        <v>0</v>
      </c>
      <c r="K127" s="35">
        <f t="shared" si="43"/>
        <v>0</v>
      </c>
      <c r="L127" s="35">
        <f t="shared" si="43"/>
        <v>0</v>
      </c>
      <c r="M127" s="35">
        <f t="shared" si="43"/>
        <v>0</v>
      </c>
      <c r="N127" s="35">
        <f t="shared" si="43"/>
        <v>0</v>
      </c>
      <c r="O127" s="35">
        <f t="shared" si="43"/>
        <v>0</v>
      </c>
      <c r="P127" s="35">
        <f t="shared" si="43"/>
        <v>0</v>
      </c>
      <c r="Q127" s="35">
        <f t="shared" si="43"/>
        <v>0</v>
      </c>
      <c r="R127" s="35">
        <f t="shared" si="43"/>
        <v>0</v>
      </c>
      <c r="S127" s="35">
        <f t="shared" si="43"/>
        <v>0</v>
      </c>
      <c r="T127" s="35">
        <f t="shared" si="43"/>
        <v>0</v>
      </c>
      <c r="U127" s="35">
        <f t="shared" si="43"/>
        <v>0</v>
      </c>
      <c r="V127" s="35">
        <f t="shared" si="43"/>
        <v>0</v>
      </c>
      <c r="W127" s="35">
        <f t="shared" si="43"/>
        <v>0</v>
      </c>
      <c r="X127" s="35">
        <f t="shared" si="43"/>
        <v>0</v>
      </c>
      <c r="Y127" s="35">
        <f t="shared" si="43"/>
        <v>0</v>
      </c>
      <c r="Z127" s="35">
        <f t="shared" si="43"/>
        <v>0</v>
      </c>
      <c r="AA127" s="35">
        <f t="shared" si="43"/>
        <v>0</v>
      </c>
      <c r="AB127" s="35">
        <f t="shared" si="43"/>
        <v>0</v>
      </c>
    </row>
    <row r="128" spans="1:28" ht="12.75">
      <c r="A128" s="15" t="s">
        <v>3</v>
      </c>
      <c r="C128" s="35">
        <f aca="true" t="shared" si="44" ref="C128:AB128">SUM(C126:C127)</f>
        <v>0</v>
      </c>
      <c r="D128" s="35">
        <f t="shared" si="44"/>
        <v>0</v>
      </c>
      <c r="E128" s="35">
        <f t="shared" si="44"/>
        <v>0</v>
      </c>
      <c r="F128" s="35">
        <f t="shared" si="44"/>
        <v>0</v>
      </c>
      <c r="G128" s="35">
        <f t="shared" si="44"/>
        <v>0</v>
      </c>
      <c r="H128" s="35">
        <f t="shared" si="44"/>
        <v>0</v>
      </c>
      <c r="I128" s="35">
        <f t="shared" si="44"/>
        <v>0</v>
      </c>
      <c r="J128" s="35">
        <f t="shared" si="44"/>
        <v>0</v>
      </c>
      <c r="K128" s="35">
        <f t="shared" si="44"/>
        <v>0</v>
      </c>
      <c r="L128" s="35">
        <f t="shared" si="44"/>
        <v>0</v>
      </c>
      <c r="M128" s="35">
        <f t="shared" si="44"/>
        <v>0.09138269192300097</v>
      </c>
      <c r="N128" s="35">
        <f t="shared" si="44"/>
        <v>0.2758167694072675</v>
      </c>
      <c r="O128" s="35">
        <f t="shared" si="44"/>
        <v>0.554970926091066</v>
      </c>
      <c r="P128" s="35">
        <f t="shared" si="44"/>
        <v>0.9305138556126584</v>
      </c>
      <c r="Q128" s="35">
        <f t="shared" si="44"/>
        <v>1.404114251610312</v>
      </c>
      <c r="R128" s="35">
        <f t="shared" si="44"/>
        <v>1.9774408077222887</v>
      </c>
      <c r="S128" s="35">
        <f t="shared" si="44"/>
        <v>2.652162217586853</v>
      </c>
      <c r="T128" s="35">
        <f t="shared" si="44"/>
        <v>3.42994717484227</v>
      </c>
      <c r="U128" s="35">
        <f t="shared" si="44"/>
        <v>4.312464373126806</v>
      </c>
      <c r="V128" s="35">
        <f t="shared" si="44"/>
        <v>5.301382506078722</v>
      </c>
      <c r="W128" s="35">
        <f t="shared" si="44"/>
        <v>6.398370267336285</v>
      </c>
      <c r="X128" s="35">
        <f t="shared" si="44"/>
        <v>7.605096350537759</v>
      </c>
      <c r="Y128" s="35">
        <f t="shared" si="44"/>
        <v>8.923229449321408</v>
      </c>
      <c r="Z128" s="35">
        <f t="shared" si="44"/>
        <v>10.354438257325498</v>
      </c>
      <c r="AA128" s="35">
        <f t="shared" si="44"/>
        <v>11.900391468188289</v>
      </c>
      <c r="AB128" s="35">
        <f t="shared" si="44"/>
        <v>13.562757775548047</v>
      </c>
    </row>
    <row r="129" spans="1:28" ht="12.75">
      <c r="A129" s="1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</row>
    <row r="130" ht="12.75">
      <c r="A130" s="19" t="s">
        <v>53</v>
      </c>
    </row>
    <row r="131" spans="1:28" ht="12.75">
      <c r="A131" s="15" t="s">
        <v>14</v>
      </c>
      <c r="C131" s="35">
        <f>C121</f>
        <v>0</v>
      </c>
      <c r="D131" s="35">
        <f aca="true" t="shared" si="45" ref="D131:AB131">C131+D121</f>
        <v>0.8528633052939991</v>
      </c>
      <c r="E131" s="35">
        <f t="shared" si="45"/>
        <v>1.3008221105879985</v>
      </c>
      <c r="F131" s="35">
        <f t="shared" si="45"/>
        <v>2.315647215881997</v>
      </c>
      <c r="G131" s="35">
        <f t="shared" si="45"/>
        <v>3.492434121175995</v>
      </c>
      <c r="H131" s="35">
        <f t="shared" si="45"/>
        <v>4.588240126469995</v>
      </c>
      <c r="I131" s="35">
        <f t="shared" si="45"/>
        <v>5.765027031763993</v>
      </c>
      <c r="J131" s="35">
        <f t="shared" si="45"/>
        <v>6.941813937057991</v>
      </c>
      <c r="K131" s="35">
        <f t="shared" si="45"/>
        <v>8.053223792057878</v>
      </c>
      <c r="L131" s="35">
        <f t="shared" si="45"/>
        <v>9.099256596763656</v>
      </c>
      <c r="M131" s="35">
        <f t="shared" si="45"/>
        <v>10.171295043098324</v>
      </c>
      <c r="N131" s="35">
        <f t="shared" si="45"/>
        <v>11.271007824700146</v>
      </c>
      <c r="O131" s="35">
        <f t="shared" si="45"/>
        <v>12.400063635207387</v>
      </c>
      <c r="P131" s="35">
        <f t="shared" si="45"/>
        <v>13.56013116825831</v>
      </c>
      <c r="Q131" s="35">
        <f t="shared" si="45"/>
        <v>14.752879117491185</v>
      </c>
      <c r="R131" s="35">
        <f t="shared" si="45"/>
        <v>15.97997617654427</v>
      </c>
      <c r="S131" s="35">
        <f t="shared" si="45"/>
        <v>17.243091039055834</v>
      </c>
      <c r="T131" s="35">
        <f t="shared" si="45"/>
        <v>18.543892398664138</v>
      </c>
      <c r="U131" s="35">
        <f t="shared" si="45"/>
        <v>19.88404894900745</v>
      </c>
      <c r="V131" s="35">
        <f t="shared" si="45"/>
        <v>21.26522938372403</v>
      </c>
      <c r="W131" s="35">
        <f t="shared" si="45"/>
        <v>22.689102396452146</v>
      </c>
      <c r="X131" s="35">
        <f t="shared" si="45"/>
        <v>24.157336680830063</v>
      </c>
      <c r="Y131" s="35">
        <f t="shared" si="45"/>
        <v>25.67160093049604</v>
      </c>
      <c r="Z131" s="35">
        <f t="shared" si="45"/>
        <v>27.233563839088347</v>
      </c>
      <c r="AA131" s="35">
        <f t="shared" si="45"/>
        <v>28.84489410024525</v>
      </c>
      <c r="AB131" s="35">
        <f t="shared" si="45"/>
        <v>30.507260407605006</v>
      </c>
    </row>
    <row r="132" spans="1:28" ht="12.75">
      <c r="A132" s="15" t="s">
        <v>15</v>
      </c>
      <c r="C132" s="35">
        <f>C122</f>
        <v>0</v>
      </c>
      <c r="D132" s="35">
        <f aca="true" t="shared" si="46" ref="D132:AB132">C132+D122</f>
        <v>-0.5056022468750005</v>
      </c>
      <c r="E132" s="35">
        <f t="shared" si="46"/>
        <v>-0.2298192031250006</v>
      </c>
      <c r="F132" s="35">
        <f t="shared" si="46"/>
        <v>-0.18385536250000079</v>
      </c>
      <c r="G132" s="35">
        <f t="shared" si="46"/>
        <v>-0.41367456562500116</v>
      </c>
      <c r="H132" s="35">
        <f t="shared" si="46"/>
        <v>-0.5056022468750017</v>
      </c>
      <c r="I132" s="35">
        <f t="shared" si="46"/>
        <v>-0.4136745656250016</v>
      </c>
      <c r="J132" s="35">
        <f t="shared" si="46"/>
        <v>-0.32174688437500154</v>
      </c>
      <c r="K132" s="35">
        <f t="shared" si="46"/>
        <v>-0.23492629652777963</v>
      </c>
      <c r="L132" s="35">
        <f t="shared" si="46"/>
        <v>-0.15321280208333543</v>
      </c>
      <c r="M132" s="35">
        <f t="shared" si="46"/>
        <v>-0.07660640104166849</v>
      </c>
      <c r="N132" s="35">
        <f t="shared" si="46"/>
        <v>-0.005107093402779261</v>
      </c>
      <c r="O132" s="35">
        <f t="shared" si="46"/>
        <v>0.06128512083333271</v>
      </c>
      <c r="P132" s="35">
        <f t="shared" si="46"/>
        <v>0.12257024166666652</v>
      </c>
      <c r="Q132" s="35">
        <f t="shared" si="46"/>
        <v>0.1787482690972222</v>
      </c>
      <c r="R132" s="35">
        <f t="shared" si="46"/>
        <v>0.2298192031250006</v>
      </c>
      <c r="S132" s="35">
        <f t="shared" si="46"/>
        <v>0.27578304375000084</v>
      </c>
      <c r="T132" s="35">
        <f t="shared" si="46"/>
        <v>0.3166397909722234</v>
      </c>
      <c r="U132" s="35">
        <f t="shared" si="46"/>
        <v>0.35238944479166867</v>
      </c>
      <c r="V132" s="35">
        <f t="shared" si="46"/>
        <v>0.38303200520833625</v>
      </c>
      <c r="W132" s="35">
        <f t="shared" si="46"/>
        <v>0.40856747222222656</v>
      </c>
      <c r="X132" s="35">
        <f t="shared" si="46"/>
        <v>0.4289958458333387</v>
      </c>
      <c r="Y132" s="35">
        <f t="shared" si="46"/>
        <v>0.44431712604167317</v>
      </c>
      <c r="Z132" s="35">
        <f t="shared" si="46"/>
        <v>0.45453131284723036</v>
      </c>
      <c r="AA132" s="35">
        <f t="shared" si="46"/>
        <v>0.4596384062500094</v>
      </c>
      <c r="AB132" s="35">
        <f t="shared" si="46"/>
        <v>0.4596384062500094</v>
      </c>
    </row>
    <row r="133" spans="1:28" ht="12.75">
      <c r="A133" s="15" t="s">
        <v>3</v>
      </c>
      <c r="C133" s="35">
        <f aca="true" t="shared" si="47" ref="C133:AB133">SUM(C131:C132)</f>
        <v>0</v>
      </c>
      <c r="D133" s="35">
        <f t="shared" si="47"/>
        <v>0.34726105841899857</v>
      </c>
      <c r="E133" s="35">
        <f t="shared" si="47"/>
        <v>1.0710029074629979</v>
      </c>
      <c r="F133" s="35">
        <f t="shared" si="47"/>
        <v>2.131791853381996</v>
      </c>
      <c r="G133" s="35">
        <f t="shared" si="47"/>
        <v>3.0787595555509935</v>
      </c>
      <c r="H133" s="35">
        <f t="shared" si="47"/>
        <v>4.082637879594993</v>
      </c>
      <c r="I133" s="35">
        <f t="shared" si="47"/>
        <v>5.351352466138992</v>
      </c>
      <c r="J133" s="35">
        <f t="shared" si="47"/>
        <v>6.620067052682989</v>
      </c>
      <c r="K133" s="35">
        <f t="shared" si="47"/>
        <v>7.818297495530098</v>
      </c>
      <c r="L133" s="35">
        <f t="shared" si="47"/>
        <v>8.946043794680321</v>
      </c>
      <c r="M133" s="35">
        <f t="shared" si="47"/>
        <v>10.094688642056655</v>
      </c>
      <c r="N133" s="35">
        <f t="shared" si="47"/>
        <v>11.265900731297366</v>
      </c>
      <c r="O133" s="35">
        <f t="shared" si="47"/>
        <v>12.461348756040719</v>
      </c>
      <c r="P133" s="35">
        <f t="shared" si="47"/>
        <v>13.682701409924977</v>
      </c>
      <c r="Q133" s="35">
        <f t="shared" si="47"/>
        <v>14.931627386588406</v>
      </c>
      <c r="R133" s="35">
        <f t="shared" si="47"/>
        <v>16.20979537966927</v>
      </c>
      <c r="S133" s="35">
        <f t="shared" si="47"/>
        <v>17.518874082805834</v>
      </c>
      <c r="T133" s="35">
        <f t="shared" si="47"/>
        <v>18.860532189636363</v>
      </c>
      <c r="U133" s="35">
        <f t="shared" si="47"/>
        <v>20.23643839379912</v>
      </c>
      <c r="V133" s="35">
        <f t="shared" si="47"/>
        <v>21.648261388932365</v>
      </c>
      <c r="W133" s="35">
        <f t="shared" si="47"/>
        <v>23.097669868674373</v>
      </c>
      <c r="X133" s="35">
        <f t="shared" si="47"/>
        <v>24.5863325266634</v>
      </c>
      <c r="Y133" s="35">
        <f t="shared" si="47"/>
        <v>26.115918056537716</v>
      </c>
      <c r="Z133" s="35">
        <f t="shared" si="47"/>
        <v>27.688095151935578</v>
      </c>
      <c r="AA133" s="35">
        <f t="shared" si="47"/>
        <v>29.304532506495256</v>
      </c>
      <c r="AB133" s="35">
        <f t="shared" si="47"/>
        <v>30.966898813855014</v>
      </c>
    </row>
    <row r="134" spans="1:28" ht="12.75">
      <c r="A134" s="1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</row>
    <row r="135" ht="13.5" thickBot="1"/>
    <row r="136" spans="2:10" ht="12.75">
      <c r="B136" s="112" t="s">
        <v>64</v>
      </c>
      <c r="C136" s="113"/>
      <c r="D136" s="113"/>
      <c r="E136" s="112" t="s">
        <v>65</v>
      </c>
      <c r="F136" s="113"/>
      <c r="G136" s="114"/>
      <c r="H136" s="113" t="s">
        <v>66</v>
      </c>
      <c r="I136" s="113"/>
      <c r="J136" s="114"/>
    </row>
    <row r="137" spans="2:10" ht="13.5" thickBot="1">
      <c r="B137" s="94">
        <v>2000</v>
      </c>
      <c r="C137" s="95">
        <v>2025</v>
      </c>
      <c r="D137" s="96" t="s">
        <v>63</v>
      </c>
      <c r="E137" s="94">
        <v>2000</v>
      </c>
      <c r="F137" s="95">
        <v>2025</v>
      </c>
      <c r="G137" s="97" t="s">
        <v>63</v>
      </c>
      <c r="H137" s="95">
        <v>2000</v>
      </c>
      <c r="I137" s="95">
        <v>2025</v>
      </c>
      <c r="J137" s="97" t="s">
        <v>63</v>
      </c>
    </row>
    <row r="138" spans="1:10" ht="13.5" thickBot="1">
      <c r="A138" s="4" t="s">
        <v>62</v>
      </c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2.75">
      <c r="A139" s="69" t="s">
        <v>14</v>
      </c>
      <c r="B139" s="77">
        <f>C42</f>
        <v>50.26583</v>
      </c>
      <c r="C139" s="78">
        <f>AB42</f>
        <v>50.26583</v>
      </c>
      <c r="D139" s="79">
        <f>(C139-B139)/B139</f>
        <v>0</v>
      </c>
      <c r="E139" s="77">
        <f aca="true" t="shared" si="48" ref="E139:F141">B139</f>
        <v>50.26583</v>
      </c>
      <c r="F139" s="78">
        <f t="shared" si="48"/>
        <v>50.26583</v>
      </c>
      <c r="G139" s="80">
        <f>(F139-E139)/E139</f>
        <v>0</v>
      </c>
      <c r="H139" s="78">
        <f aca="true" t="shared" si="49" ref="H139:I141">E139</f>
        <v>50.26583</v>
      </c>
      <c r="I139" s="78">
        <f t="shared" si="49"/>
        <v>50.26583</v>
      </c>
      <c r="J139" s="80">
        <f>(I139-H139)/H139</f>
        <v>0</v>
      </c>
    </row>
    <row r="140" spans="1:10" ht="12.75">
      <c r="A140" s="69" t="s">
        <v>15</v>
      </c>
      <c r="B140" s="81">
        <f>C43</f>
        <v>24</v>
      </c>
      <c r="C140" s="21">
        <f>AB43</f>
        <v>24</v>
      </c>
      <c r="D140" s="82">
        <f>(C140-B140)/B140</f>
        <v>0</v>
      </c>
      <c r="E140" s="81">
        <f t="shared" si="48"/>
        <v>24</v>
      </c>
      <c r="F140" s="21">
        <f t="shared" si="48"/>
        <v>24</v>
      </c>
      <c r="G140" s="83">
        <f>(F140-E140)/E140</f>
        <v>0</v>
      </c>
      <c r="H140" s="21">
        <f t="shared" si="49"/>
        <v>24</v>
      </c>
      <c r="I140" s="21">
        <f t="shared" si="49"/>
        <v>24</v>
      </c>
      <c r="J140" s="83">
        <f>(I140-H140)/H140</f>
        <v>0</v>
      </c>
    </row>
    <row r="141" spans="1:10" ht="13.5" thickBot="1">
      <c r="A141" s="69" t="s">
        <v>3</v>
      </c>
      <c r="B141" s="84">
        <f>C44</f>
        <v>74.26583</v>
      </c>
      <c r="C141" s="85">
        <f>AB44</f>
        <v>74.26583</v>
      </c>
      <c r="D141" s="86">
        <f>(C141-B141)/B141</f>
        <v>0</v>
      </c>
      <c r="E141" s="84">
        <f t="shared" si="48"/>
        <v>74.26583</v>
      </c>
      <c r="F141" s="85">
        <f t="shared" si="48"/>
        <v>74.26583</v>
      </c>
      <c r="G141" s="87">
        <f>(F141-E141)/E141</f>
        <v>0</v>
      </c>
      <c r="H141" s="85">
        <f t="shared" si="49"/>
        <v>74.26583</v>
      </c>
      <c r="I141" s="85">
        <f t="shared" si="49"/>
        <v>74.26583</v>
      </c>
      <c r="J141" s="87">
        <f>(I141-H141)/H141</f>
        <v>0</v>
      </c>
    </row>
    <row r="142" spans="2:10" ht="12.75"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3.5" thickBot="1">
      <c r="A143" s="19" t="s">
        <v>54</v>
      </c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2.75">
      <c r="A144" s="69" t="s">
        <v>14</v>
      </c>
      <c r="B144" s="77">
        <f>C48</f>
        <v>20.126438332</v>
      </c>
      <c r="C144" s="78">
        <f>AB48</f>
        <v>20.126438332</v>
      </c>
      <c r="D144" s="79">
        <f>(C144-B144)/B144</f>
        <v>0</v>
      </c>
      <c r="E144" s="77">
        <f>B144</f>
        <v>20.126438332</v>
      </c>
      <c r="F144" s="78">
        <f>AB64</f>
        <v>18.113794498799997</v>
      </c>
      <c r="G144" s="80">
        <f>(F144-E144)/E144</f>
        <v>-0.1000000000000001</v>
      </c>
      <c r="H144" s="78">
        <f>E144</f>
        <v>20.126438332</v>
      </c>
      <c r="I144" s="78">
        <f>AB64</f>
        <v>18.113794498799997</v>
      </c>
      <c r="J144" s="80">
        <f>(I144-H144)/H144</f>
        <v>-0.1000000000000001</v>
      </c>
    </row>
    <row r="145" spans="1:10" ht="12.75">
      <c r="A145" s="69" t="s">
        <v>15</v>
      </c>
      <c r="B145" s="81">
        <f>C49</f>
        <v>5.454299999999999</v>
      </c>
      <c r="C145" s="21">
        <f>AB49</f>
        <v>5.454299999999999</v>
      </c>
      <c r="D145" s="82">
        <f>(C145-B145)/B145</f>
        <v>0</v>
      </c>
      <c r="E145" s="81">
        <f>B145</f>
        <v>5.454299999999999</v>
      </c>
      <c r="F145" s="21">
        <f>AB65</f>
        <v>5.454299999999999</v>
      </c>
      <c r="G145" s="83">
        <f>(F145-E145)/E145</f>
        <v>0</v>
      </c>
      <c r="H145" s="21">
        <f>E145</f>
        <v>5.454299999999999</v>
      </c>
      <c r="I145" s="21">
        <f>AB65</f>
        <v>5.454299999999999</v>
      </c>
      <c r="J145" s="83">
        <f>(I145-H145)/H145</f>
        <v>0</v>
      </c>
    </row>
    <row r="146" spans="1:10" ht="13.5" thickBot="1">
      <c r="A146" s="69" t="s">
        <v>3</v>
      </c>
      <c r="B146" s="84">
        <f>C50</f>
        <v>25.580738332</v>
      </c>
      <c r="C146" s="85">
        <f>AB42</f>
        <v>50.26583</v>
      </c>
      <c r="D146" s="86">
        <f>(C146-B146)/B146</f>
        <v>0.9649874584393995</v>
      </c>
      <c r="E146" s="84">
        <f>B146</f>
        <v>25.580738332</v>
      </c>
      <c r="F146" s="85">
        <f>AB66</f>
        <v>23.568094498799997</v>
      </c>
      <c r="G146" s="87">
        <f>(F146-E146)/E146</f>
        <v>-0.07867809783591363</v>
      </c>
      <c r="H146" s="85">
        <f>E146</f>
        <v>25.580738332</v>
      </c>
      <c r="I146" s="85">
        <f>AB66</f>
        <v>23.568094498799997</v>
      </c>
      <c r="J146" s="87">
        <f>(I146-H146)/H146</f>
        <v>-0.07867809783591363</v>
      </c>
    </row>
    <row r="147" spans="2:10" ht="12.75"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3.5" thickBot="1">
      <c r="A148" s="19" t="s">
        <v>55</v>
      </c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2.75">
      <c r="A149" s="69" t="s">
        <v>14</v>
      </c>
      <c r="B149" s="88">
        <f>C70</f>
        <v>8.141144305293999</v>
      </c>
      <c r="C149" s="89">
        <f>AB54</f>
        <v>8.141144305293999</v>
      </c>
      <c r="D149" s="79">
        <f>(C149-B149)/B149</f>
        <v>0</v>
      </c>
      <c r="E149" s="77">
        <f>B149</f>
        <v>8.141144305293999</v>
      </c>
      <c r="F149" s="89">
        <f>AB70</f>
        <v>7.327029874764599</v>
      </c>
      <c r="G149" s="80">
        <f>(F149-E149)/E149</f>
        <v>-0.09999999999999998</v>
      </c>
      <c r="H149" s="78">
        <f>E149</f>
        <v>8.141144305293999</v>
      </c>
      <c r="I149" s="89">
        <f>AB70</f>
        <v>7.327029874764599</v>
      </c>
      <c r="J149" s="80">
        <f>(I149-H149)/H149</f>
        <v>-0.09999999999999998</v>
      </c>
    </row>
    <row r="150" spans="1:10" ht="12.75">
      <c r="A150" s="69" t="s">
        <v>15</v>
      </c>
      <c r="B150" s="90">
        <f>C71</f>
        <v>2.2062643499999997</v>
      </c>
      <c r="C150" s="91">
        <f>AB55</f>
        <v>2.2062643499999997</v>
      </c>
      <c r="D150" s="82">
        <f>(C150-B150)/B150</f>
        <v>0</v>
      </c>
      <c r="E150" s="81">
        <f>B150</f>
        <v>2.2062643499999997</v>
      </c>
      <c r="F150" s="91">
        <f>AB71</f>
        <v>2.2062643499999997</v>
      </c>
      <c r="G150" s="83">
        <f>(F150-E150)/E150</f>
        <v>0</v>
      </c>
      <c r="H150" s="21">
        <f>E150</f>
        <v>2.2062643499999997</v>
      </c>
      <c r="I150" s="91">
        <f>AB71</f>
        <v>2.2062643499999997</v>
      </c>
      <c r="J150" s="83">
        <f>(I150-H150)/H150</f>
        <v>0</v>
      </c>
    </row>
    <row r="151" spans="1:10" ht="13.5" thickBot="1">
      <c r="A151" s="69" t="s">
        <v>3</v>
      </c>
      <c r="B151" s="92">
        <f>C72</f>
        <v>10.347408655293998</v>
      </c>
      <c r="C151" s="93">
        <f>AB56</f>
        <v>10.347408655293998</v>
      </c>
      <c r="D151" s="86">
        <f>(C151-B151)/B151</f>
        <v>0</v>
      </c>
      <c r="E151" s="84">
        <f>B151</f>
        <v>10.347408655293998</v>
      </c>
      <c r="F151" s="93">
        <f>AB72</f>
        <v>9.5332942247646</v>
      </c>
      <c r="G151" s="87">
        <f>(F151-E151)/E151</f>
        <v>-0.07867809783591345</v>
      </c>
      <c r="H151" s="85">
        <f>E151</f>
        <v>10.347408655293998</v>
      </c>
      <c r="I151" s="93">
        <f>AB72</f>
        <v>9.5332942247646</v>
      </c>
      <c r="J151" s="87">
        <f>(I151-H151)/H151</f>
        <v>-0.07867809783591345</v>
      </c>
    </row>
    <row r="154" ht="13.5" thickBot="1">
      <c r="A154" s="19" t="s">
        <v>49</v>
      </c>
    </row>
    <row r="155" spans="2:7" ht="13.5" thickBot="1">
      <c r="B155" s="109" t="s">
        <v>65</v>
      </c>
      <c r="C155" s="110"/>
      <c r="D155" s="111"/>
      <c r="E155" s="109" t="s">
        <v>66</v>
      </c>
      <c r="F155" s="110"/>
      <c r="G155" s="111"/>
    </row>
    <row r="156" spans="1:7" ht="12.75">
      <c r="A156" s="2" t="s">
        <v>70</v>
      </c>
      <c r="B156" s="98">
        <v>2015</v>
      </c>
      <c r="C156" s="99">
        <v>2020</v>
      </c>
      <c r="D156" s="100">
        <v>2025</v>
      </c>
      <c r="E156" s="98">
        <v>2015</v>
      </c>
      <c r="F156" s="99">
        <v>2020</v>
      </c>
      <c r="G156" s="100">
        <v>2025</v>
      </c>
    </row>
    <row r="157" spans="1:7" ht="12.75">
      <c r="A157" s="2" t="s">
        <v>68</v>
      </c>
      <c r="B157" s="90">
        <f>R80</f>
        <v>0.2807765175882331</v>
      </c>
      <c r="C157" s="91">
        <f>W80</f>
        <v>0.5372303099503615</v>
      </c>
      <c r="D157" s="101">
        <f>AB80</f>
        <v>0.8141144305293997</v>
      </c>
      <c r="E157" s="90">
        <f>R118</f>
        <v>0.5733265561119767</v>
      </c>
      <c r="F157" s="91">
        <f>W118</f>
        <v>1.0969877612575631</v>
      </c>
      <c r="G157" s="101">
        <f>AB118</f>
        <v>1.6623663073597585</v>
      </c>
    </row>
    <row r="158" spans="1:7" ht="13.5" thickBot="1">
      <c r="A158" s="2" t="s">
        <v>67</v>
      </c>
      <c r="B158" s="92">
        <f>R90</f>
        <v>0.9684165818069799</v>
      </c>
      <c r="C158" s="93">
        <f>W90</f>
        <v>3.1334884155477694</v>
      </c>
      <c r="D158" s="102">
        <f>AB90</f>
        <v>6.64212019574993</v>
      </c>
      <c r="E158" s="92">
        <f>R128</f>
        <v>1.9774408077222887</v>
      </c>
      <c r="F158" s="93">
        <f>W128</f>
        <v>6.398370267336285</v>
      </c>
      <c r="G158" s="102">
        <f>AB128</f>
        <v>13.562757775548047</v>
      </c>
    </row>
    <row r="159" spans="2:7" ht="13.5" thickBot="1">
      <c r="B159" s="35"/>
      <c r="C159" s="35"/>
      <c r="D159" s="35"/>
      <c r="E159" s="35"/>
      <c r="F159" s="35"/>
      <c r="G159" s="35"/>
    </row>
    <row r="160" spans="1:7" ht="12.75">
      <c r="A160" s="2" t="s">
        <v>69</v>
      </c>
      <c r="B160" s="98">
        <v>2015</v>
      </c>
      <c r="C160" s="99">
        <v>2020</v>
      </c>
      <c r="D160" s="100">
        <v>2025</v>
      </c>
      <c r="E160" s="98">
        <v>2015</v>
      </c>
      <c r="F160" s="99">
        <v>2020</v>
      </c>
      <c r="G160" s="100">
        <v>2025</v>
      </c>
    </row>
    <row r="161" spans="1:7" ht="12.75">
      <c r="A161" s="2" t="s">
        <v>68</v>
      </c>
      <c r="B161" s="90">
        <f>R85</f>
        <v>0.9856179545571204</v>
      </c>
      <c r="C161" s="91">
        <f>W85</f>
        <v>0.8896510284348045</v>
      </c>
      <c r="D161" s="101">
        <f>AB85</f>
        <v>0.8141144305293997</v>
      </c>
      <c r="E161" s="90">
        <f>R123</f>
        <v>1.278167993080864</v>
      </c>
      <c r="F161" s="91">
        <f>W123</f>
        <v>1.4494084797420062</v>
      </c>
      <c r="G161" s="101">
        <f>AB123</f>
        <v>1.6623663073597585</v>
      </c>
    </row>
    <row r="162" spans="1:7" ht="13.5" thickBot="1">
      <c r="A162" s="2" t="s">
        <v>67</v>
      </c>
      <c r="B162" s="92">
        <f>R95</f>
        <v>15.20077115375396</v>
      </c>
      <c r="C162" s="93">
        <f>W95</f>
        <v>19.832788016885853</v>
      </c>
      <c r="D162" s="102">
        <f>AB95</f>
        <v>24.046261234056896</v>
      </c>
      <c r="E162" s="92">
        <f>R133</f>
        <v>16.20979537966927</v>
      </c>
      <c r="F162" s="93">
        <f>W133</f>
        <v>23.097669868674373</v>
      </c>
      <c r="G162" s="102">
        <f>AB133</f>
        <v>30.966898813855014</v>
      </c>
    </row>
  </sheetData>
  <mergeCells count="5">
    <mergeCell ref="H136:J136"/>
    <mergeCell ref="B155:D155"/>
    <mergeCell ref="E155:G155"/>
    <mergeCell ref="B136:D136"/>
    <mergeCell ref="E136:G13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71"/>
  <sheetViews>
    <sheetView workbookViewId="0" topLeftCell="A10">
      <selection activeCell="A1" sqref="A1"/>
    </sheetView>
  </sheetViews>
  <sheetFormatPr defaultColWidth="9.140625" defaultRowHeight="12.75"/>
  <cols>
    <col min="1" max="1" width="27.28125" style="2" customWidth="1"/>
    <col min="2" max="2" width="8.8515625" style="2" customWidth="1"/>
    <col min="3" max="27" width="6.28125" style="2" customWidth="1"/>
    <col min="28" max="28" width="6.7109375" style="2" customWidth="1"/>
    <col min="29" max="29" width="17.57421875" style="2" customWidth="1"/>
    <col min="30" max="16384" width="8.8515625" style="2" customWidth="1"/>
  </cols>
  <sheetData>
    <row r="1" ht="23.25">
      <c r="A1" s="1" t="str">
        <f>Conversions!A1</f>
        <v>Coal Mine Methane Option Evaluation</v>
      </c>
    </row>
    <row r="2" ht="15.75">
      <c r="A2" s="3" t="s">
        <v>82</v>
      </c>
    </row>
    <row r="5" ht="12.75">
      <c r="A5" s="4" t="s">
        <v>0</v>
      </c>
    </row>
    <row r="6" ht="12.75">
      <c r="A6" s="62" t="s">
        <v>42</v>
      </c>
    </row>
    <row r="7" ht="12.75">
      <c r="A7" s="2" t="s">
        <v>48</v>
      </c>
    </row>
    <row r="8" ht="12.75">
      <c r="A8" s="2" t="s">
        <v>44</v>
      </c>
    </row>
    <row r="9" ht="12.75">
      <c r="A9" s="2" t="s">
        <v>45</v>
      </c>
    </row>
    <row r="13" ht="13.5" thickBot="1">
      <c r="A13" s="45" t="s">
        <v>23</v>
      </c>
    </row>
    <row r="14" spans="1:4" ht="13.5" thickBot="1">
      <c r="A14" s="45"/>
      <c r="B14" s="61">
        <v>2010</v>
      </c>
      <c r="C14" s="45"/>
      <c r="D14" s="45"/>
    </row>
    <row r="15" spans="1:5" ht="12.75">
      <c r="A15" s="45"/>
      <c r="B15" s="45"/>
      <c r="C15" s="45"/>
      <c r="D15" s="45"/>
      <c r="E15" s="45"/>
    </row>
    <row r="16" spans="1:4" ht="13.5" thickBot="1">
      <c r="A16" s="45" t="s">
        <v>36</v>
      </c>
      <c r="B16" s="62"/>
      <c r="C16" s="45"/>
      <c r="D16" s="45"/>
    </row>
    <row r="17" spans="1:4" ht="13.5" thickBot="1">
      <c r="A17" s="44" t="s">
        <v>37</v>
      </c>
      <c r="B17" s="75">
        <f>'Workplan Benchmark'!$B$21</f>
        <v>0.1</v>
      </c>
      <c r="C17" s="45"/>
      <c r="D17" s="45"/>
    </row>
    <row r="18" spans="1:4" ht="13.5" thickBot="1">
      <c r="A18" s="44" t="s">
        <v>38</v>
      </c>
      <c r="B18" s="75">
        <f>'Workplan Benchmark'!$B$22</f>
        <v>0.2041932</v>
      </c>
      <c r="C18" s="2" t="s">
        <v>40</v>
      </c>
      <c r="D18" s="45"/>
    </row>
    <row r="19" spans="1:4" ht="12.75">
      <c r="A19" s="44"/>
      <c r="B19" s="44"/>
      <c r="C19" s="44"/>
      <c r="D19" s="44"/>
    </row>
    <row r="20" spans="1:2" ht="13.5" thickBot="1">
      <c r="A20" s="45" t="s">
        <v>27</v>
      </c>
      <c r="B20" s="62"/>
    </row>
    <row r="21" spans="1:10" ht="13.5" thickBot="1">
      <c r="A21" s="44" t="s">
        <v>28</v>
      </c>
      <c r="B21" s="74">
        <f>'Workplan Benchmark'!$B25</f>
        <v>8.092018</v>
      </c>
      <c r="I21" s="53"/>
      <c r="J21" s="57"/>
    </row>
    <row r="22" spans="1:2" ht="13.5" thickBot="1">
      <c r="A22" s="44" t="s">
        <v>29</v>
      </c>
      <c r="B22" s="74">
        <f>'Workplan Benchmark'!$B$26</f>
        <v>7.372008</v>
      </c>
    </row>
    <row r="23" spans="1:2" ht="12.75">
      <c r="A23" s="19"/>
      <c r="B23" s="44"/>
    </row>
    <row r="24" ht="13.5" thickBot="1">
      <c r="A24" s="45" t="s">
        <v>34</v>
      </c>
    </row>
    <row r="25" spans="1:7" ht="13.5" thickBot="1">
      <c r="A25" s="44" t="s">
        <v>28</v>
      </c>
      <c r="B25" s="76">
        <f>'Workplan Benchmark'!$B29</f>
        <v>-0.218</v>
      </c>
      <c r="F25" s="38"/>
      <c r="G25" s="38"/>
    </row>
    <row r="26" spans="1:3" ht="13.5" thickBot="1">
      <c r="A26" s="44" t="s">
        <v>29</v>
      </c>
      <c r="B26" s="76">
        <f>'Workplan Benchmark'!$B30</f>
        <v>-0.2876</v>
      </c>
      <c r="C26" s="2" t="s">
        <v>41</v>
      </c>
    </row>
    <row r="29" spans="3:28" ht="12.75">
      <c r="C29" s="14">
        <v>2000</v>
      </c>
      <c r="D29" s="14">
        <f aca="true" t="shared" si="0" ref="D29:AB29">1+C29</f>
        <v>2001</v>
      </c>
      <c r="E29" s="14">
        <f t="shared" si="0"/>
        <v>2002</v>
      </c>
      <c r="F29" s="14">
        <f t="shared" si="0"/>
        <v>2003</v>
      </c>
      <c r="G29" s="14">
        <f t="shared" si="0"/>
        <v>2004</v>
      </c>
      <c r="H29" s="14">
        <f t="shared" si="0"/>
        <v>2005</v>
      </c>
      <c r="I29" s="14">
        <f t="shared" si="0"/>
        <v>2006</v>
      </c>
      <c r="J29" s="14">
        <f t="shared" si="0"/>
        <v>2007</v>
      </c>
      <c r="K29" s="14">
        <f t="shared" si="0"/>
        <v>2008</v>
      </c>
      <c r="L29" s="14">
        <f t="shared" si="0"/>
        <v>2009</v>
      </c>
      <c r="M29" s="14">
        <f t="shared" si="0"/>
        <v>2010</v>
      </c>
      <c r="N29" s="14">
        <f t="shared" si="0"/>
        <v>2011</v>
      </c>
      <c r="O29" s="14">
        <f t="shared" si="0"/>
        <v>2012</v>
      </c>
      <c r="P29" s="14">
        <f t="shared" si="0"/>
        <v>2013</v>
      </c>
      <c r="Q29" s="14">
        <f t="shared" si="0"/>
        <v>2014</v>
      </c>
      <c r="R29" s="14">
        <f t="shared" si="0"/>
        <v>2015</v>
      </c>
      <c r="S29" s="14">
        <f t="shared" si="0"/>
        <v>2016</v>
      </c>
      <c r="T29" s="14">
        <f t="shared" si="0"/>
        <v>2017</v>
      </c>
      <c r="U29" s="14">
        <f t="shared" si="0"/>
        <v>2018</v>
      </c>
      <c r="V29" s="14">
        <f t="shared" si="0"/>
        <v>2019</v>
      </c>
      <c r="W29" s="14">
        <f t="shared" si="0"/>
        <v>2020</v>
      </c>
      <c r="X29" s="14">
        <f t="shared" si="0"/>
        <v>2021</v>
      </c>
      <c r="Y29" s="14">
        <f t="shared" si="0"/>
        <v>2022</v>
      </c>
      <c r="Z29" s="14">
        <f t="shared" si="0"/>
        <v>2023</v>
      </c>
      <c r="AA29" s="14">
        <f t="shared" si="0"/>
        <v>2024</v>
      </c>
      <c r="AB29" s="14">
        <f t="shared" si="0"/>
        <v>2025</v>
      </c>
    </row>
    <row r="30" spans="1:30" ht="12.75">
      <c r="A30" s="19" t="s">
        <v>47</v>
      </c>
      <c r="C30" s="67"/>
      <c r="D30" s="67"/>
      <c r="E30" s="67"/>
      <c r="F30" s="67"/>
      <c r="G30" s="67"/>
      <c r="H30" s="67"/>
      <c r="I30" s="67"/>
      <c r="J30" s="16">
        <f>'[2]13'!D$18/1000</f>
        <v>117.27694577714196</v>
      </c>
      <c r="K30" s="16">
        <f>'[2]13'!E$18/1000</f>
        <v>118.54939399354879</v>
      </c>
      <c r="L30" s="16">
        <f>'[2]13'!F$18/1000</f>
        <v>114.63910618067592</v>
      </c>
      <c r="M30" s="16">
        <f>'[2]13'!G$18/1000</f>
        <v>116.21282520296312</v>
      </c>
      <c r="N30" s="16">
        <f>'[2]13'!H$18/1000</f>
        <v>118.25828913697424</v>
      </c>
      <c r="O30" s="16">
        <f>'[2]13'!I$18/1000</f>
        <v>119.86036547302619</v>
      </c>
      <c r="P30" s="16">
        <f>'[2]13'!J$18/1000</f>
        <v>121.4729965834227</v>
      </c>
      <c r="Q30" s="16">
        <f>'[2]13'!K$18/1000</f>
        <v>123.04473456031349</v>
      </c>
      <c r="R30" s="16">
        <f>'[2]13'!L$18/1000</f>
        <v>124.58549076540767</v>
      </c>
      <c r="S30" s="16">
        <f>'[2]13'!M$18/1000</f>
        <v>126.55473294506552</v>
      </c>
      <c r="T30" s="16">
        <f>'[2]13'!N$18/1000</f>
        <v>128.13288697638774</v>
      </c>
      <c r="U30" s="16">
        <f>'[2]13'!O$18/1000</f>
        <v>129.71054212456573</v>
      </c>
      <c r="V30" s="16">
        <f>'[2]13'!P$18/1000</f>
        <v>131.28739166646528</v>
      </c>
      <c r="W30" s="16">
        <f>'[2]13'!Q$18/1000</f>
        <v>132.86297798784557</v>
      </c>
      <c r="X30" s="16">
        <f>'[2]13'!R$18/1000</f>
        <v>135.6336595101797</v>
      </c>
      <c r="Y30" s="16">
        <f>'[2]13'!S$18/1000</f>
        <v>138.06069976475442</v>
      </c>
      <c r="Z30" s="16">
        <f>'[2]13'!T$18/1000</f>
        <v>140.51657209579196</v>
      </c>
      <c r="AA30" s="16">
        <f>'[2]13'!U$18/1000</f>
        <v>143.00161603104422</v>
      </c>
      <c r="AB30" s="16">
        <f>'[2]13'!V$18/1000</f>
        <v>145.51617504830617</v>
      </c>
      <c r="AD30" s="2">
        <f>(AB30-J30)/J30</f>
        <v>0.2407909677732093</v>
      </c>
    </row>
    <row r="32" spans="1:7" ht="12.75">
      <c r="A32" s="19" t="s">
        <v>22</v>
      </c>
      <c r="D32" s="8"/>
      <c r="E32" s="8"/>
      <c r="F32" s="8"/>
      <c r="G32" s="23"/>
    </row>
    <row r="33" spans="1:28" ht="12.75">
      <c r="A33" s="2" t="s">
        <v>46</v>
      </c>
      <c r="C33" s="40">
        <v>1</v>
      </c>
      <c r="D33" s="40">
        <v>1</v>
      </c>
      <c r="E33" s="40">
        <v>1</v>
      </c>
      <c r="F33" s="40">
        <v>1</v>
      </c>
      <c r="G33" s="40">
        <v>1</v>
      </c>
      <c r="H33" s="40">
        <v>1</v>
      </c>
      <c r="I33" s="40">
        <v>1</v>
      </c>
      <c r="J33" s="40">
        <v>1</v>
      </c>
      <c r="K33" s="68">
        <f>K30/$J30</f>
        <v>1.0108499433369011</v>
      </c>
      <c r="L33" s="68">
        <f aca="true" t="shared" si="1" ref="L33:AB33">L30/$J30</f>
        <v>0.9775076032293794</v>
      </c>
      <c r="M33" s="68">
        <f t="shared" si="1"/>
        <v>0.990926430023161</v>
      </c>
      <c r="N33" s="68">
        <f t="shared" si="1"/>
        <v>1.0083677431513018</v>
      </c>
      <c r="O33" s="68">
        <f t="shared" si="1"/>
        <v>1.0220283677986757</v>
      </c>
      <c r="P33" s="68">
        <f t="shared" si="1"/>
        <v>1.0357789911604143</v>
      </c>
      <c r="Q33" s="68">
        <f t="shared" si="1"/>
        <v>1.0491809259266685</v>
      </c>
      <c r="R33" s="68">
        <f t="shared" si="1"/>
        <v>1.0623186845448203</v>
      </c>
      <c r="S33" s="68">
        <f t="shared" si="1"/>
        <v>1.0791100681079628</v>
      </c>
      <c r="T33" s="68">
        <f t="shared" si="1"/>
        <v>1.0925667114479176</v>
      </c>
      <c r="U33" s="68">
        <f t="shared" si="1"/>
        <v>1.1060191008985771</v>
      </c>
      <c r="V33" s="68">
        <f t="shared" si="1"/>
        <v>1.1194646210854347</v>
      </c>
      <c r="W33" s="68">
        <f t="shared" si="1"/>
        <v>1.1328993700119143</v>
      </c>
      <c r="X33" s="68">
        <f t="shared" si="1"/>
        <v>1.1565244866448048</v>
      </c>
      <c r="Y33" s="68">
        <f t="shared" si="1"/>
        <v>1.1772194343047373</v>
      </c>
      <c r="Z33" s="68">
        <f t="shared" si="1"/>
        <v>1.1981602280367327</v>
      </c>
      <c r="AA33" s="68">
        <f t="shared" si="1"/>
        <v>1.2193497629345338</v>
      </c>
      <c r="AB33" s="68">
        <f t="shared" si="1"/>
        <v>1.2407909677732094</v>
      </c>
    </row>
    <row r="34" spans="3:7" ht="12.75">
      <c r="C34" s="8"/>
      <c r="D34" s="8"/>
      <c r="E34" s="8"/>
      <c r="F34" s="8"/>
      <c r="G34" s="8"/>
    </row>
    <row r="35" spans="1:7" ht="12.75">
      <c r="A35" s="19" t="s">
        <v>13</v>
      </c>
      <c r="C35" s="8"/>
      <c r="D35" s="8"/>
      <c r="E35" s="8"/>
      <c r="F35" s="8"/>
      <c r="G35" s="8"/>
    </row>
    <row r="36" spans="1:28" ht="12.75">
      <c r="A36" s="15" t="s">
        <v>14</v>
      </c>
      <c r="C36" s="24">
        <f>'Historical Production'!C17*C33</f>
        <v>50.26583</v>
      </c>
      <c r="D36" s="24">
        <f>'Historical Production'!D17*D33</f>
        <v>45</v>
      </c>
      <c r="E36" s="24">
        <f>'Historical Production'!E17*E33</f>
        <v>47.5</v>
      </c>
      <c r="F36" s="24">
        <f>'Historical Production'!F17*F33</f>
        <v>44</v>
      </c>
      <c r="G36" s="24">
        <f>'Historical Production'!G17*G33</f>
        <v>43</v>
      </c>
      <c r="H36" s="24">
        <f>'Historical Production'!H17*H33</f>
        <v>43.5</v>
      </c>
      <c r="I36" s="24">
        <f>'Historical Production'!I17*I33</f>
        <v>43</v>
      </c>
      <c r="J36" s="24">
        <f>'Historical Production'!J17*J33</f>
        <v>43</v>
      </c>
      <c r="K36" s="24">
        <f>J36*$K33</f>
        <v>43.46654756348675</v>
      </c>
      <c r="L36" s="24">
        <f aca="true" t="shared" si="2" ref="L36:AB36">K36*$K33</f>
        <v>43.9381571416013</v>
      </c>
      <c r="M36" s="24">
        <f t="shared" si="2"/>
        <v>44.414883656915535</v>
      </c>
      <c r="N36" s="24">
        <f t="shared" si="2"/>
        <v>44.896782627908124</v>
      </c>
      <c r="O36" s="24">
        <f t="shared" si="2"/>
        <v>45.383910175430096</v>
      </c>
      <c r="P36" s="24">
        <f t="shared" si="2"/>
        <v>45.876323029240524</v>
      </c>
      <c r="Q36" s="24">
        <f t="shared" si="2"/>
        <v>46.374078534613155</v>
      </c>
      <c r="R36" s="24">
        <f t="shared" si="2"/>
        <v>46.87723465901471</v>
      </c>
      <c r="S36" s="24">
        <f t="shared" si="2"/>
        <v>47.38584999885564</v>
      </c>
      <c r="T36" s="24">
        <f t="shared" si="2"/>
        <v>47.899983786314124</v>
      </c>
      <c r="U36" s="24">
        <f t="shared" si="2"/>
        <v>48.41969589623412</v>
      </c>
      <c r="V36" s="24">
        <f t="shared" si="2"/>
        <v>48.94504685309824</v>
      </c>
      <c r="W36" s="24">
        <f t="shared" si="2"/>
        <v>49.47609783807633</v>
      </c>
      <c r="X36" s="24">
        <f t="shared" si="2"/>
        <v>50.012910696150435</v>
      </c>
      <c r="Y36" s="24">
        <f t="shared" si="2"/>
        <v>50.555547943317166</v>
      </c>
      <c r="Z36" s="24">
        <f t="shared" si="2"/>
        <v>51.10407277386815</v>
      </c>
      <c r="AA36" s="24">
        <f t="shared" si="2"/>
        <v>51.65854906774949</v>
      </c>
      <c r="AB36" s="24">
        <f t="shared" si="2"/>
        <v>52.2190413980011</v>
      </c>
    </row>
    <row r="37" spans="1:28" ht="12.75">
      <c r="A37" s="15" t="s">
        <v>15</v>
      </c>
      <c r="C37" s="24">
        <f>'Historical Production'!C18*C33</f>
        <v>24</v>
      </c>
      <c r="D37" s="24">
        <f>'Historical Production'!D18*D33</f>
        <v>29.5</v>
      </c>
      <c r="E37" s="24">
        <f>'Historical Production'!E18*E33</f>
        <v>21</v>
      </c>
      <c r="F37" s="24">
        <f>'Historical Production'!F18*F33</f>
        <v>23.5</v>
      </c>
      <c r="G37" s="24">
        <f>'Historical Production'!G18*G33</f>
        <v>26.5</v>
      </c>
      <c r="H37" s="24">
        <f>'Historical Production'!H18*H33</f>
        <v>25</v>
      </c>
      <c r="I37" s="24">
        <f>'Historical Production'!I18*I33</f>
        <v>23</v>
      </c>
      <c r="J37" s="24">
        <f>'Historical Production'!J18*J33</f>
        <v>23</v>
      </c>
      <c r="K37" s="24">
        <f aca="true" t="shared" si="3" ref="K37:AB37">J37*$K33</f>
        <v>23.249548696748725</v>
      </c>
      <c r="L37" s="24">
        <f t="shared" si="3"/>
        <v>23.501804982716973</v>
      </c>
      <c r="M37" s="24">
        <f t="shared" si="3"/>
        <v>23.756798235094355</v>
      </c>
      <c r="N37" s="24">
        <f t="shared" si="3"/>
        <v>24.01455814981132</v>
      </c>
      <c r="O37" s="24">
        <f t="shared" si="3"/>
        <v>24.27511474499749</v>
      </c>
      <c r="P37" s="24">
        <f t="shared" si="3"/>
        <v>24.538498364477487</v>
      </c>
      <c r="Q37" s="24">
        <f t="shared" si="3"/>
        <v>24.80473968130471</v>
      </c>
      <c r="R37" s="24">
        <f t="shared" si="3"/>
        <v>25.07386970133345</v>
      </c>
      <c r="S37" s="24">
        <f t="shared" si="3"/>
        <v>25.34591976682976</v>
      </c>
      <c r="T37" s="24">
        <f t="shared" si="3"/>
        <v>25.620921560121506</v>
      </c>
      <c r="U37" s="24">
        <f t="shared" si="3"/>
        <v>25.898907107288014</v>
      </c>
      <c r="V37" s="24">
        <f t="shared" si="3"/>
        <v>26.179908781889754</v>
      </c>
      <c r="W37" s="24">
        <f t="shared" si="3"/>
        <v>26.4639593087385</v>
      </c>
      <c r="X37" s="24">
        <f t="shared" si="3"/>
        <v>26.75109176770837</v>
      </c>
      <c r="Y37" s="24">
        <f t="shared" si="3"/>
        <v>27.041339597588248</v>
      </c>
      <c r="Z37" s="24">
        <f t="shared" si="3"/>
        <v>27.334736599975983</v>
      </c>
      <c r="AA37" s="24">
        <f t="shared" si="3"/>
        <v>27.63131694321484</v>
      </c>
      <c r="AB37" s="24">
        <f t="shared" si="3"/>
        <v>27.931115166372678</v>
      </c>
    </row>
    <row r="38" spans="1:28" ht="12.75">
      <c r="A38" s="15" t="s">
        <v>3</v>
      </c>
      <c r="C38" s="24">
        <f aca="true" t="shared" si="4" ref="C38:AB38">SUM(C36:C37)</f>
        <v>74.26583</v>
      </c>
      <c r="D38" s="24">
        <f t="shared" si="4"/>
        <v>74.5</v>
      </c>
      <c r="E38" s="24">
        <f t="shared" si="4"/>
        <v>68.5</v>
      </c>
      <c r="F38" s="24">
        <f t="shared" si="4"/>
        <v>67.5</v>
      </c>
      <c r="G38" s="24">
        <f t="shared" si="4"/>
        <v>69.5</v>
      </c>
      <c r="H38" s="24">
        <f t="shared" si="4"/>
        <v>68.5</v>
      </c>
      <c r="I38" s="24">
        <f t="shared" si="4"/>
        <v>66</v>
      </c>
      <c r="J38" s="24">
        <f t="shared" si="4"/>
        <v>66</v>
      </c>
      <c r="K38" s="24">
        <f t="shared" si="4"/>
        <v>66.71609626023547</v>
      </c>
      <c r="L38" s="24">
        <f t="shared" si="4"/>
        <v>67.43996212431827</v>
      </c>
      <c r="M38" s="24">
        <f t="shared" si="4"/>
        <v>68.17168189200989</v>
      </c>
      <c r="N38" s="24">
        <f t="shared" si="4"/>
        <v>68.91134077771945</v>
      </c>
      <c r="O38" s="24">
        <f t="shared" si="4"/>
        <v>69.65902492042758</v>
      </c>
      <c r="P38" s="24">
        <f t="shared" si="4"/>
        <v>70.41482139371801</v>
      </c>
      <c r="Q38" s="24">
        <f t="shared" si="4"/>
        <v>71.17881821591786</v>
      </c>
      <c r="R38" s="24">
        <f t="shared" si="4"/>
        <v>71.95110436034815</v>
      </c>
      <c r="S38" s="24">
        <f t="shared" si="4"/>
        <v>72.7317697656854</v>
      </c>
      <c r="T38" s="24">
        <f t="shared" si="4"/>
        <v>73.52090534643563</v>
      </c>
      <c r="U38" s="24">
        <f t="shared" si="4"/>
        <v>74.31860300352213</v>
      </c>
      <c r="V38" s="24">
        <f t="shared" si="4"/>
        <v>75.124955634988</v>
      </c>
      <c r="W38" s="24">
        <f t="shared" si="4"/>
        <v>75.94005714681482</v>
      </c>
      <c r="X38" s="24">
        <f t="shared" si="4"/>
        <v>76.7640024638588</v>
      </c>
      <c r="Y38" s="24">
        <f t="shared" si="4"/>
        <v>77.59688754090541</v>
      </c>
      <c r="Z38" s="24">
        <f t="shared" si="4"/>
        <v>78.43880937384412</v>
      </c>
      <c r="AA38" s="24">
        <f t="shared" si="4"/>
        <v>79.28986601096433</v>
      </c>
      <c r="AB38" s="24">
        <f t="shared" si="4"/>
        <v>80.15015656437379</v>
      </c>
    </row>
    <row r="39" spans="1:28" ht="12.75">
      <c r="A39" s="36" t="s">
        <v>16</v>
      </c>
      <c r="C39" s="37">
        <f aca="true" t="shared" si="5" ref="C39:AB39">C36/C38</f>
        <v>0.6768365747746979</v>
      </c>
      <c r="D39" s="37">
        <f t="shared" si="5"/>
        <v>0.6040268456375839</v>
      </c>
      <c r="E39" s="37">
        <f t="shared" si="5"/>
        <v>0.6934306569343066</v>
      </c>
      <c r="F39" s="37">
        <f t="shared" si="5"/>
        <v>0.6518518518518519</v>
      </c>
      <c r="G39" s="37">
        <f t="shared" si="5"/>
        <v>0.6187050359712231</v>
      </c>
      <c r="H39" s="37">
        <f t="shared" si="5"/>
        <v>0.635036496350365</v>
      </c>
      <c r="I39" s="37">
        <f t="shared" si="5"/>
        <v>0.6515151515151515</v>
      </c>
      <c r="J39" s="37">
        <f t="shared" si="5"/>
        <v>0.6515151515151515</v>
      </c>
      <c r="K39" s="37">
        <f t="shared" si="5"/>
        <v>0.6515151515151515</v>
      </c>
      <c r="L39" s="37">
        <f t="shared" si="5"/>
        <v>0.6515151515151516</v>
      </c>
      <c r="M39" s="37">
        <f t="shared" si="5"/>
        <v>0.6515151515151516</v>
      </c>
      <c r="N39" s="37">
        <f t="shared" si="5"/>
        <v>0.6515151515151515</v>
      </c>
      <c r="O39" s="37">
        <f t="shared" si="5"/>
        <v>0.6515151515151516</v>
      </c>
      <c r="P39" s="37">
        <f t="shared" si="5"/>
        <v>0.6515151515151515</v>
      </c>
      <c r="Q39" s="37">
        <f t="shared" si="5"/>
        <v>0.6515151515151516</v>
      </c>
      <c r="R39" s="37">
        <f t="shared" si="5"/>
        <v>0.6515151515151516</v>
      </c>
      <c r="S39" s="37">
        <f t="shared" si="5"/>
        <v>0.6515151515151515</v>
      </c>
      <c r="T39" s="37">
        <f t="shared" si="5"/>
        <v>0.6515151515151516</v>
      </c>
      <c r="U39" s="37">
        <f t="shared" si="5"/>
        <v>0.6515151515151516</v>
      </c>
      <c r="V39" s="37">
        <f t="shared" si="5"/>
        <v>0.6515151515151515</v>
      </c>
      <c r="W39" s="37">
        <f t="shared" si="5"/>
        <v>0.6515151515151516</v>
      </c>
      <c r="X39" s="37">
        <f t="shared" si="5"/>
        <v>0.6515151515151516</v>
      </c>
      <c r="Y39" s="37">
        <f t="shared" si="5"/>
        <v>0.6515151515151515</v>
      </c>
      <c r="Z39" s="37">
        <f t="shared" si="5"/>
        <v>0.6515151515151516</v>
      </c>
      <c r="AA39" s="37">
        <f t="shared" si="5"/>
        <v>0.6515151515151515</v>
      </c>
      <c r="AB39" s="37">
        <f t="shared" si="5"/>
        <v>0.6515151515151515</v>
      </c>
    </row>
    <row r="41" ht="12.75">
      <c r="A41" s="19" t="s">
        <v>54</v>
      </c>
    </row>
    <row r="42" spans="1:28" ht="12.75">
      <c r="A42" s="15" t="s">
        <v>14</v>
      </c>
      <c r="C42" s="24">
        <f>C36*Conversions!$E$8/1000</f>
        <v>20.126438332</v>
      </c>
      <c r="D42" s="24">
        <f>D36*Conversions!$E$8/1000</f>
        <v>18.018</v>
      </c>
      <c r="E42" s="24">
        <f>E36*Conversions!$E$8/1000</f>
        <v>19.019</v>
      </c>
      <c r="F42" s="24">
        <f>F36*Conversions!$E$8/1000</f>
        <v>17.6176</v>
      </c>
      <c r="G42" s="24">
        <f>G36*Conversions!$E$8/1000</f>
        <v>17.217200000000002</v>
      </c>
      <c r="H42" s="24">
        <f>H36*Conversions!$E$8/1000</f>
        <v>17.417399999999997</v>
      </c>
      <c r="I42" s="24">
        <f>I36*Conversions!$E$8/1000</f>
        <v>17.217200000000002</v>
      </c>
      <c r="J42" s="24">
        <f>J36*Conversions!$E$8/1000</f>
        <v>17.217200000000002</v>
      </c>
      <c r="K42" s="24">
        <f>K36*Conversions!$E$8/1000</f>
        <v>17.404005644420092</v>
      </c>
      <c r="L42" s="24">
        <f>L36*Conversions!$E$8/1000</f>
        <v>17.59283811949716</v>
      </c>
      <c r="M42" s="24">
        <f>M36*Conversions!$E$8/1000</f>
        <v>17.783719416228976</v>
      </c>
      <c r="N42" s="24">
        <f>N36*Conversions!$E$8/1000</f>
        <v>17.97667176421441</v>
      </c>
      <c r="O42" s="24">
        <f>O36*Conversions!$E$8/1000</f>
        <v>18.17171763424221</v>
      </c>
      <c r="P42" s="24">
        <f>P36*Conversions!$E$8/1000</f>
        <v>18.368879740907904</v>
      </c>
      <c r="Q42" s="24">
        <f>Q36*Conversions!$E$8/1000</f>
        <v>18.568181045259106</v>
      </c>
      <c r="R42" s="24">
        <f>R36*Conversions!$E$8/1000</f>
        <v>18.76964475746949</v>
      </c>
      <c r="S42" s="24">
        <f>S36*Conversions!$E$8/1000</f>
        <v>18.9732943395418</v>
      </c>
      <c r="T42" s="24">
        <f>T36*Conversions!$E$8/1000</f>
        <v>19.179153508040173</v>
      </c>
      <c r="U42" s="24">
        <f>U36*Conversions!$E$8/1000</f>
        <v>19.387246236852143</v>
      </c>
      <c r="V42" s="24">
        <f>V36*Conversions!$E$8/1000</f>
        <v>19.597596759980533</v>
      </c>
      <c r="W42" s="24">
        <f>W36*Conversions!$E$8/1000</f>
        <v>19.81022957436576</v>
      </c>
      <c r="X42" s="24">
        <f>X36*Conversions!$E$8/1000</f>
        <v>20.025169442738633</v>
      </c>
      <c r="Y42" s="24">
        <f>Y36*Conversions!$E$8/1000</f>
        <v>20.242441396504194</v>
      </c>
      <c r="Z42" s="24">
        <f>Z36*Conversions!$E$8/1000</f>
        <v>20.462070738656806</v>
      </c>
      <c r="AA42" s="24">
        <f>AA36*Conversions!$E$8/1000</f>
        <v>20.684083046726894</v>
      </c>
      <c r="AB42" s="24">
        <f>AB36*Conversions!$E$8/1000</f>
        <v>20.908504175759642</v>
      </c>
    </row>
    <row r="43" spans="1:28" ht="12.75">
      <c r="A43" s="15" t="s">
        <v>15</v>
      </c>
      <c r="C43" s="24">
        <f>C37*Conversions!$E$9/1000</f>
        <v>5.454299999999999</v>
      </c>
      <c r="D43" s="24">
        <f>D37*Conversions!$E$9/1000</f>
        <v>6.70424375</v>
      </c>
      <c r="E43" s="24">
        <f>E37*Conversions!$E$9/1000</f>
        <v>4.7725124999999995</v>
      </c>
      <c r="F43" s="24">
        <f>F37*Conversions!$E$9/1000</f>
        <v>5.34066875</v>
      </c>
      <c r="G43" s="24">
        <f>G37*Conversions!$E$9/1000</f>
        <v>6.022456249999999</v>
      </c>
      <c r="H43" s="24">
        <f>H37*Conversions!$E$9/1000</f>
        <v>5.6815625</v>
      </c>
      <c r="I43" s="24">
        <f>I37*Conversions!$E$9/1000</f>
        <v>5.2270375</v>
      </c>
      <c r="J43" s="24">
        <f>J37*Conversions!$E$9/1000</f>
        <v>5.2270375</v>
      </c>
      <c r="K43" s="24">
        <f>K37*Conversions!$E$9/1000</f>
        <v>5.283750560694857</v>
      </c>
      <c r="L43" s="24">
        <f>L37*Conversions!$E$9/1000</f>
        <v>5.341078954884716</v>
      </c>
      <c r="M43" s="24">
        <f>M37*Conversions!$E$9/1000</f>
        <v>5.399029358903131</v>
      </c>
      <c r="N43" s="24">
        <f>N37*Conversions!$E$9/1000</f>
        <v>5.457608521521495</v>
      </c>
      <c r="O43" s="24">
        <f>O37*Conversions!$E$9/1000</f>
        <v>5.516823264734993</v>
      </c>
      <c r="P43" s="24">
        <f>P37*Conversions!$E$9/1000</f>
        <v>5.576680484557065</v>
      </c>
      <c r="Q43" s="24">
        <f>Q37*Conversions!$E$9/1000</f>
        <v>5.637187151822512</v>
      </c>
      <c r="R43" s="24">
        <f>R37*Conversions!$E$9/1000</f>
        <v>5.698350312999294</v>
      </c>
      <c r="S43" s="24">
        <f>S37*Conversions!$E$9/1000</f>
        <v>5.760177091009148</v>
      </c>
      <c r="T43" s="24">
        <f>T37*Conversions!$E$9/1000</f>
        <v>5.8226746860571135</v>
      </c>
      <c r="U43" s="24">
        <f>U37*Conversions!$E$9/1000</f>
        <v>5.885850376470041</v>
      </c>
      <c r="V43" s="24">
        <f>V37*Conversions!$E$9/1000</f>
        <v>5.94971151954422</v>
      </c>
      <c r="W43" s="24">
        <f>W37*Conversions!$E$9/1000</f>
        <v>6.014265552402183</v>
      </c>
      <c r="X43" s="24">
        <f>X37*Conversions!$E$9/1000</f>
        <v>6.079519992858824</v>
      </c>
      <c r="Y43" s="24">
        <f>Y37*Conversions!$E$9/1000</f>
        <v>6.145482440296899</v>
      </c>
      <c r="Z43" s="24">
        <f>Z37*Conversions!$E$9/1000</f>
        <v>6.212160576552042</v>
      </c>
      <c r="AA43" s="24">
        <f>AA37*Conversions!$E$9/1000</f>
        <v>6.279562166807363</v>
      </c>
      <c r="AB43" s="24">
        <f>AB37*Conversions!$E$9/1000</f>
        <v>6.34769506049777</v>
      </c>
    </row>
    <row r="44" spans="1:28" ht="12.75">
      <c r="A44" s="15" t="s">
        <v>3</v>
      </c>
      <c r="C44" s="24">
        <f>SUM(C42:C43)</f>
        <v>25.580738332</v>
      </c>
      <c r="D44" s="24">
        <f aca="true" t="shared" si="6" ref="D44:AB44">SUM(D42:D43)</f>
        <v>24.72224375</v>
      </c>
      <c r="E44" s="24">
        <f t="shared" si="6"/>
        <v>23.791512499999996</v>
      </c>
      <c r="F44" s="24">
        <f t="shared" si="6"/>
        <v>22.95826875</v>
      </c>
      <c r="G44" s="24">
        <f t="shared" si="6"/>
        <v>23.239656250000003</v>
      </c>
      <c r="H44" s="24">
        <f t="shared" si="6"/>
        <v>23.0989625</v>
      </c>
      <c r="I44" s="24">
        <f t="shared" si="6"/>
        <v>22.4442375</v>
      </c>
      <c r="J44" s="24">
        <f t="shared" si="6"/>
        <v>22.4442375</v>
      </c>
      <c r="K44" s="24">
        <f t="shared" si="6"/>
        <v>22.68775620511495</v>
      </c>
      <c r="L44" s="24">
        <f t="shared" si="6"/>
        <v>22.933917074381874</v>
      </c>
      <c r="M44" s="24">
        <f t="shared" si="6"/>
        <v>23.182748775132108</v>
      </c>
      <c r="N44" s="24">
        <f t="shared" si="6"/>
        <v>23.434280285735902</v>
      </c>
      <c r="O44" s="24">
        <f t="shared" si="6"/>
        <v>23.6885408989772</v>
      </c>
      <c r="P44" s="24">
        <f t="shared" si="6"/>
        <v>23.94556022546497</v>
      </c>
      <c r="Q44" s="24">
        <f t="shared" si="6"/>
        <v>24.20536819708162</v>
      </c>
      <c r="R44" s="24">
        <f t="shared" si="6"/>
        <v>24.46799507046878</v>
      </c>
      <c r="S44" s="24">
        <f t="shared" si="6"/>
        <v>24.733471430550946</v>
      </c>
      <c r="T44" s="24">
        <f t="shared" si="6"/>
        <v>25.001828194097286</v>
      </c>
      <c r="U44" s="24">
        <f t="shared" si="6"/>
        <v>25.273096613322185</v>
      </c>
      <c r="V44" s="24">
        <f t="shared" si="6"/>
        <v>25.547308279524753</v>
      </c>
      <c r="W44" s="24">
        <f t="shared" si="6"/>
        <v>25.824495126767943</v>
      </c>
      <c r="X44" s="24">
        <f t="shared" si="6"/>
        <v>26.104689435597457</v>
      </c>
      <c r="Y44" s="24">
        <f t="shared" si="6"/>
        <v>26.387923836801093</v>
      </c>
      <c r="Z44" s="24">
        <f t="shared" si="6"/>
        <v>26.674231315208846</v>
      </c>
      <c r="AA44" s="24">
        <f t="shared" si="6"/>
        <v>26.963645213534257</v>
      </c>
      <c r="AB44" s="24">
        <f t="shared" si="6"/>
        <v>27.256199236257412</v>
      </c>
    </row>
    <row r="45" spans="1:28" ht="12.75">
      <c r="A45" s="36" t="s">
        <v>16</v>
      </c>
      <c r="C45" s="37">
        <f>C42/C44</f>
        <v>0.7867809783591355</v>
      </c>
      <c r="D45" s="37">
        <f aca="true" t="shared" si="7" ref="D45:AB45">D42/D44</f>
        <v>0.7288173428837744</v>
      </c>
      <c r="E45" s="37">
        <f t="shared" si="7"/>
        <v>0.7994027281787991</v>
      </c>
      <c r="F45" s="37">
        <f t="shared" si="7"/>
        <v>0.7673749354467332</v>
      </c>
      <c r="G45" s="37">
        <f t="shared" si="7"/>
        <v>0.7408543316986455</v>
      </c>
      <c r="H45" s="37">
        <f t="shared" si="7"/>
        <v>0.7540338662396633</v>
      </c>
      <c r="I45" s="37">
        <f t="shared" si="7"/>
        <v>0.7671100432794833</v>
      </c>
      <c r="J45" s="37">
        <f t="shared" si="7"/>
        <v>0.7671100432794833</v>
      </c>
      <c r="K45" s="37">
        <f t="shared" si="7"/>
        <v>0.7671100432794832</v>
      </c>
      <c r="L45" s="37">
        <f t="shared" si="7"/>
        <v>0.7671100432794833</v>
      </c>
      <c r="M45" s="37">
        <f t="shared" si="7"/>
        <v>0.7671100432794832</v>
      </c>
      <c r="N45" s="37">
        <f t="shared" si="7"/>
        <v>0.7671100432794833</v>
      </c>
      <c r="O45" s="37">
        <f t="shared" si="7"/>
        <v>0.7671100432794833</v>
      </c>
      <c r="P45" s="37">
        <f t="shared" si="7"/>
        <v>0.7671100432794832</v>
      </c>
      <c r="Q45" s="37">
        <f t="shared" si="7"/>
        <v>0.7671100432794832</v>
      </c>
      <c r="R45" s="37">
        <f t="shared" si="7"/>
        <v>0.7671100432794833</v>
      </c>
      <c r="S45" s="37">
        <f t="shared" si="7"/>
        <v>0.7671100432794833</v>
      </c>
      <c r="T45" s="37">
        <f t="shared" si="7"/>
        <v>0.7671100432794833</v>
      </c>
      <c r="U45" s="37">
        <f t="shared" si="7"/>
        <v>0.7671100432794833</v>
      </c>
      <c r="V45" s="37">
        <f t="shared" si="7"/>
        <v>0.7671100432794832</v>
      </c>
      <c r="W45" s="37">
        <f t="shared" si="7"/>
        <v>0.7671100432794832</v>
      </c>
      <c r="X45" s="37">
        <f t="shared" si="7"/>
        <v>0.7671100432794832</v>
      </c>
      <c r="Y45" s="37">
        <f t="shared" si="7"/>
        <v>0.7671100432794833</v>
      </c>
      <c r="Z45" s="37">
        <f t="shared" si="7"/>
        <v>0.7671100432794833</v>
      </c>
      <c r="AA45" s="37">
        <f t="shared" si="7"/>
        <v>0.7671100432794832</v>
      </c>
      <c r="AB45" s="37">
        <f t="shared" si="7"/>
        <v>0.7671100432794833</v>
      </c>
    </row>
    <row r="47" ht="12.75">
      <c r="A47" s="19" t="s">
        <v>55</v>
      </c>
    </row>
    <row r="48" spans="1:28" ht="12.75">
      <c r="A48" s="15" t="s">
        <v>14</v>
      </c>
      <c r="C48" s="35">
        <f>C42*Conversions!$E$16/1000</f>
        <v>8.141144305293999</v>
      </c>
      <c r="D48" s="35">
        <f>D42*Conversions!$E$16/1000</f>
        <v>7.288281</v>
      </c>
      <c r="E48" s="35">
        <f>E42*Conversions!$E$16/1000</f>
        <v>7.693185499999999</v>
      </c>
      <c r="F48" s="35">
        <f>F42*Conversions!$E$16/1000</f>
        <v>7.1263192</v>
      </c>
      <c r="G48" s="35">
        <f>G42*Conversions!$E$16/1000</f>
        <v>6.964357400000001</v>
      </c>
      <c r="H48" s="35">
        <f>H42*Conversions!$E$16/1000</f>
        <v>7.045338299999998</v>
      </c>
      <c r="I48" s="35">
        <f>I42*Conversions!$E$16/1000</f>
        <v>6.964357400000001</v>
      </c>
      <c r="J48" s="35">
        <f>J42*Conversions!$E$16/1000</f>
        <v>6.964357400000001</v>
      </c>
      <c r="K48" s="35">
        <f>K42*Conversions!$E$16/1000</f>
        <v>7.039920283167928</v>
      </c>
      <c r="L48" s="35">
        <f>L42*Conversions!$E$16/1000</f>
        <v>7.116303019336601</v>
      </c>
      <c r="M48" s="35">
        <f>M42*Conversions!$E$16/1000</f>
        <v>7.193514503864621</v>
      </c>
      <c r="N48" s="35">
        <f>N42*Conversions!$E$16/1000</f>
        <v>7.271563728624728</v>
      </c>
      <c r="O48" s="35">
        <f>O42*Conversions!$E$16/1000</f>
        <v>7.350459783050974</v>
      </c>
      <c r="P48" s="35">
        <f>P42*Conversions!$E$16/1000</f>
        <v>7.430211855197247</v>
      </c>
      <c r="Q48" s="35">
        <f>Q42*Conversions!$E$16/1000</f>
        <v>7.510829232807309</v>
      </c>
      <c r="R48" s="35">
        <f>R42*Conversions!$E$16/1000</f>
        <v>7.592321304396409</v>
      </c>
      <c r="S48" s="35">
        <f>S42*Conversions!$E$16/1000</f>
        <v>7.674697560344657</v>
      </c>
      <c r="T48" s="35">
        <f>T42*Conversions!$E$16/1000</f>
        <v>7.75796759400225</v>
      </c>
      <c r="U48" s="35">
        <f>U42*Conversions!$E$16/1000</f>
        <v>7.842141102806691</v>
      </c>
      <c r="V48" s="35">
        <f>V42*Conversions!$E$16/1000</f>
        <v>7.9272278894121255</v>
      </c>
      <c r="W48" s="35">
        <f>W42*Conversions!$E$16/1000</f>
        <v>8.01323786283095</v>
      </c>
      <c r="X48" s="35">
        <f>X42*Conversions!$E$16/1000</f>
        <v>8.100181039587778</v>
      </c>
      <c r="Y48" s="35">
        <f>Y42*Conversions!$E$16/1000</f>
        <v>8.188067544885946</v>
      </c>
      <c r="Z48" s="35">
        <f>Z42*Conversions!$E$16/1000</f>
        <v>8.276907613786678</v>
      </c>
      <c r="AA48" s="35">
        <f>AA42*Conversions!$E$16/1000</f>
        <v>8.366711592401028</v>
      </c>
      <c r="AB48" s="35">
        <f>AB42*Conversions!$E$16/1000</f>
        <v>8.457489939094776</v>
      </c>
    </row>
    <row r="49" spans="1:28" ht="12.75">
      <c r="A49" s="15" t="s">
        <v>15</v>
      </c>
      <c r="C49" s="35">
        <f>C43*Conversions!$E$16/1000</f>
        <v>2.2062643499999997</v>
      </c>
      <c r="D49" s="35">
        <f>D43*Conversions!$E$16/1000</f>
        <v>2.711866596875</v>
      </c>
      <c r="E49" s="35">
        <f>E43*Conversions!$E$16/1000</f>
        <v>1.9304813062499997</v>
      </c>
      <c r="F49" s="35">
        <f>F43*Conversions!$E$16/1000</f>
        <v>2.160300509375</v>
      </c>
      <c r="G49" s="35">
        <f>G43*Conversions!$E$16/1000</f>
        <v>2.436083553125</v>
      </c>
      <c r="H49" s="35">
        <f>H43*Conversions!$E$16/1000</f>
        <v>2.29819203125</v>
      </c>
      <c r="I49" s="35">
        <f>I43*Conversions!$E$16/1000</f>
        <v>2.1143366687499996</v>
      </c>
      <c r="J49" s="35">
        <f>J43*Conversions!$E$16/1000</f>
        <v>2.1143366687499996</v>
      </c>
      <c r="K49" s="35">
        <f>K43*Conversions!$E$16/1000</f>
        <v>2.13727710180107</v>
      </c>
      <c r="L49" s="35">
        <f>L43*Conversions!$E$16/1000</f>
        <v>2.1604664372508675</v>
      </c>
      <c r="M49" s="35">
        <f>M43*Conversions!$E$16/1000</f>
        <v>2.1839073756763163</v>
      </c>
      <c r="N49" s="35">
        <f>N43*Conversions!$E$16/1000</f>
        <v>2.2076026469554444</v>
      </c>
      <c r="O49" s="35">
        <f>O43*Conversions!$E$16/1000</f>
        <v>2.2315550105853044</v>
      </c>
      <c r="P49" s="35">
        <f>P43*Conversions!$E$16/1000</f>
        <v>2.255767256003333</v>
      </c>
      <c r="Q49" s="35">
        <f>Q43*Conversions!$E$16/1000</f>
        <v>2.2802422029122065</v>
      </c>
      <c r="R49" s="35">
        <f>R43*Conversions!$E$16/1000</f>
        <v>2.3049827016082145</v>
      </c>
      <c r="S49" s="35">
        <f>S43*Conversions!$E$16/1000</f>
        <v>2.3299916333132007</v>
      </c>
      <c r="T49" s="35">
        <f>T43*Conversions!$E$16/1000</f>
        <v>2.355271910510102</v>
      </c>
      <c r="U49" s="35">
        <f>U43*Conversions!$E$16/1000</f>
        <v>2.3808264772821315</v>
      </c>
      <c r="V49" s="35">
        <f>V43*Conversions!$E$16/1000</f>
        <v>2.406658309655637</v>
      </c>
      <c r="W49" s="35">
        <f>W43*Conversions!$E$16/1000</f>
        <v>2.432770415946683</v>
      </c>
      <c r="X49" s="35">
        <f>X43*Conversions!$E$16/1000</f>
        <v>2.4591658371113945</v>
      </c>
      <c r="Y49" s="35">
        <f>Y43*Conversions!$E$16/1000</f>
        <v>2.4858476471000954</v>
      </c>
      <c r="Z49" s="35">
        <f>Z43*Conversions!$E$16/1000</f>
        <v>2.512818953215301</v>
      </c>
      <c r="AA49" s="35">
        <f>AA43*Conversions!$E$16/1000</f>
        <v>2.5400828964735784</v>
      </c>
      <c r="AB49" s="35">
        <f>AB43*Conversions!$E$16/1000</f>
        <v>2.5676426519713482</v>
      </c>
    </row>
    <row r="50" spans="1:28" ht="12.75">
      <c r="A50" s="15" t="s">
        <v>3</v>
      </c>
      <c r="C50" s="35">
        <f>SUM(C48:C49)</f>
        <v>10.347408655293998</v>
      </c>
      <c r="D50" s="35">
        <f aca="true" t="shared" si="8" ref="D50:AB50">SUM(D48:D49)</f>
        <v>10.000147596875</v>
      </c>
      <c r="E50" s="35">
        <f t="shared" si="8"/>
        <v>9.623666806249998</v>
      </c>
      <c r="F50" s="35">
        <f t="shared" si="8"/>
        <v>9.286619709375</v>
      </c>
      <c r="G50" s="35">
        <f t="shared" si="8"/>
        <v>9.400440953125</v>
      </c>
      <c r="H50" s="35">
        <f t="shared" si="8"/>
        <v>9.343530331249998</v>
      </c>
      <c r="I50" s="35">
        <f t="shared" si="8"/>
        <v>9.07869406875</v>
      </c>
      <c r="J50" s="35">
        <f t="shared" si="8"/>
        <v>9.07869406875</v>
      </c>
      <c r="K50" s="35">
        <f t="shared" si="8"/>
        <v>9.177197384968999</v>
      </c>
      <c r="L50" s="35">
        <f t="shared" si="8"/>
        <v>9.276769456587468</v>
      </c>
      <c r="M50" s="35">
        <f t="shared" si="8"/>
        <v>9.377421879540936</v>
      </c>
      <c r="N50" s="35">
        <f t="shared" si="8"/>
        <v>9.479166375580172</v>
      </c>
      <c r="O50" s="35">
        <f t="shared" si="8"/>
        <v>9.58201479363628</v>
      </c>
      <c r="P50" s="35">
        <f t="shared" si="8"/>
        <v>9.68597911120058</v>
      </c>
      <c r="Q50" s="35">
        <f t="shared" si="8"/>
        <v>9.791071435719516</v>
      </c>
      <c r="R50" s="35">
        <f t="shared" si="8"/>
        <v>9.897304006004623</v>
      </c>
      <c r="S50" s="35">
        <f t="shared" si="8"/>
        <v>10.004689193657857</v>
      </c>
      <c r="T50" s="35">
        <f t="shared" si="8"/>
        <v>10.113239504512352</v>
      </c>
      <c r="U50" s="35">
        <f t="shared" si="8"/>
        <v>10.222967580088822</v>
      </c>
      <c r="V50" s="35">
        <f t="shared" si="8"/>
        <v>10.333886199067763</v>
      </c>
      <c r="W50" s="35">
        <f t="shared" si="8"/>
        <v>10.446008278777633</v>
      </c>
      <c r="X50" s="35">
        <f t="shared" si="8"/>
        <v>10.559346876699172</v>
      </c>
      <c r="Y50" s="35">
        <f t="shared" si="8"/>
        <v>10.673915191986042</v>
      </c>
      <c r="Z50" s="35">
        <f t="shared" si="8"/>
        <v>10.78972656700198</v>
      </c>
      <c r="AA50" s="35">
        <f t="shared" si="8"/>
        <v>10.906794488874606</v>
      </c>
      <c r="AB50" s="35">
        <f t="shared" si="8"/>
        <v>11.025132591066125</v>
      </c>
    </row>
    <row r="51" spans="1:28" ht="12.75">
      <c r="A51" s="36" t="s">
        <v>16</v>
      </c>
      <c r="C51" s="37">
        <f>C48/C50</f>
        <v>0.7867809783591355</v>
      </c>
      <c r="D51" s="37">
        <f aca="true" t="shared" si="9" ref="D51:AB51">D48/D50</f>
        <v>0.7288173428837744</v>
      </c>
      <c r="E51" s="37">
        <f t="shared" si="9"/>
        <v>0.7994027281787991</v>
      </c>
      <c r="F51" s="37">
        <f t="shared" si="9"/>
        <v>0.7673749354467332</v>
      </c>
      <c r="G51" s="37">
        <f t="shared" si="9"/>
        <v>0.7408543316986456</v>
      </c>
      <c r="H51" s="37">
        <f t="shared" si="9"/>
        <v>0.7540338662396634</v>
      </c>
      <c r="I51" s="37">
        <f t="shared" si="9"/>
        <v>0.7671100432794833</v>
      </c>
      <c r="J51" s="37">
        <f t="shared" si="9"/>
        <v>0.7671100432794833</v>
      </c>
      <c r="K51" s="37">
        <f t="shared" si="9"/>
        <v>0.7671100432794831</v>
      </c>
      <c r="L51" s="37">
        <f t="shared" si="9"/>
        <v>0.7671100432794833</v>
      </c>
      <c r="M51" s="37">
        <f t="shared" si="9"/>
        <v>0.7671100432794833</v>
      </c>
      <c r="N51" s="37">
        <f t="shared" si="9"/>
        <v>0.7671100432794832</v>
      </c>
      <c r="O51" s="37">
        <f t="shared" si="9"/>
        <v>0.7671100432794832</v>
      </c>
      <c r="P51" s="37">
        <f t="shared" si="9"/>
        <v>0.7671100432794832</v>
      </c>
      <c r="Q51" s="37">
        <f t="shared" si="9"/>
        <v>0.7671100432794831</v>
      </c>
      <c r="R51" s="37">
        <f t="shared" si="9"/>
        <v>0.7671100432794832</v>
      </c>
      <c r="S51" s="37">
        <f t="shared" si="9"/>
        <v>0.7671100432794833</v>
      </c>
      <c r="T51" s="37">
        <f t="shared" si="9"/>
        <v>0.7671100432794832</v>
      </c>
      <c r="U51" s="37">
        <f t="shared" si="9"/>
        <v>0.7671100432794833</v>
      </c>
      <c r="V51" s="37">
        <f t="shared" si="9"/>
        <v>0.7671100432794832</v>
      </c>
      <c r="W51" s="37">
        <f t="shared" si="9"/>
        <v>0.7671100432794832</v>
      </c>
      <c r="X51" s="37">
        <f t="shared" si="9"/>
        <v>0.7671100432794832</v>
      </c>
      <c r="Y51" s="37">
        <f t="shared" si="9"/>
        <v>0.7671100432794832</v>
      </c>
      <c r="Z51" s="37">
        <f t="shared" si="9"/>
        <v>0.7671100432794832</v>
      </c>
      <c r="AA51" s="37">
        <f t="shared" si="9"/>
        <v>0.7671100432794832</v>
      </c>
      <c r="AB51" s="37">
        <f t="shared" si="9"/>
        <v>0.7671100432794832</v>
      </c>
    </row>
    <row r="53" spans="3:28" ht="12.75">
      <c r="C53" s="14">
        <v>2000</v>
      </c>
      <c r="D53" s="14">
        <f aca="true" t="shared" si="10" ref="D53:AB53">1+C53</f>
        <v>2001</v>
      </c>
      <c r="E53" s="14">
        <f t="shared" si="10"/>
        <v>2002</v>
      </c>
      <c r="F53" s="14">
        <f t="shared" si="10"/>
        <v>2003</v>
      </c>
      <c r="G53" s="14">
        <f t="shared" si="10"/>
        <v>2004</v>
      </c>
      <c r="H53" s="14">
        <f t="shared" si="10"/>
        <v>2005</v>
      </c>
      <c r="I53" s="14">
        <f t="shared" si="10"/>
        <v>2006</v>
      </c>
      <c r="J53" s="14">
        <f t="shared" si="10"/>
        <v>2007</v>
      </c>
      <c r="K53" s="14">
        <f t="shared" si="10"/>
        <v>2008</v>
      </c>
      <c r="L53" s="14">
        <f t="shared" si="10"/>
        <v>2009</v>
      </c>
      <c r="M53" s="14">
        <f t="shared" si="10"/>
        <v>2010</v>
      </c>
      <c r="N53" s="14">
        <f t="shared" si="10"/>
        <v>2011</v>
      </c>
      <c r="O53" s="14">
        <f t="shared" si="10"/>
        <v>2012</v>
      </c>
      <c r="P53" s="14">
        <f t="shared" si="10"/>
        <v>2013</v>
      </c>
      <c r="Q53" s="14">
        <f t="shared" si="10"/>
        <v>2014</v>
      </c>
      <c r="R53" s="14">
        <f t="shared" si="10"/>
        <v>2015</v>
      </c>
      <c r="S53" s="14">
        <f t="shared" si="10"/>
        <v>2016</v>
      </c>
      <c r="T53" s="14">
        <f t="shared" si="10"/>
        <v>2017</v>
      </c>
      <c r="U53" s="14">
        <f t="shared" si="10"/>
        <v>2018</v>
      </c>
      <c r="V53" s="14">
        <f t="shared" si="10"/>
        <v>2019</v>
      </c>
      <c r="W53" s="14">
        <f t="shared" si="10"/>
        <v>2020</v>
      </c>
      <c r="X53" s="14">
        <f t="shared" si="10"/>
        <v>2021</v>
      </c>
      <c r="Y53" s="14">
        <f t="shared" si="10"/>
        <v>2022</v>
      </c>
      <c r="Z53" s="14">
        <f t="shared" si="10"/>
        <v>2023</v>
      </c>
      <c r="AA53" s="14">
        <f t="shared" si="10"/>
        <v>2024</v>
      </c>
      <c r="AB53" s="14">
        <f t="shared" si="10"/>
        <v>2025</v>
      </c>
    </row>
    <row r="54" ht="12.75">
      <c r="A54" s="46" t="s">
        <v>30</v>
      </c>
    </row>
    <row r="55" spans="1:28" ht="12.75">
      <c r="A55" s="19" t="s">
        <v>57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1">
        <f aca="true" t="shared" si="11" ref="M55:AA55">$AB55/16+L55</f>
        <v>0.00625</v>
      </c>
      <c r="N55" s="41">
        <f t="shared" si="11"/>
        <v>0.0125</v>
      </c>
      <c r="O55" s="41">
        <f t="shared" si="11"/>
        <v>0.018750000000000003</v>
      </c>
      <c r="P55" s="41">
        <f t="shared" si="11"/>
        <v>0.025</v>
      </c>
      <c r="Q55" s="41">
        <f t="shared" si="11"/>
        <v>0.03125</v>
      </c>
      <c r="R55" s="41">
        <f t="shared" si="11"/>
        <v>0.0375</v>
      </c>
      <c r="S55" s="41">
        <f t="shared" si="11"/>
        <v>0.04375</v>
      </c>
      <c r="T55" s="41">
        <f t="shared" si="11"/>
        <v>0.049999999999999996</v>
      </c>
      <c r="U55" s="41">
        <f t="shared" si="11"/>
        <v>0.056249999999999994</v>
      </c>
      <c r="V55" s="41">
        <f t="shared" si="11"/>
        <v>0.06249999999999999</v>
      </c>
      <c r="W55" s="41">
        <f t="shared" si="11"/>
        <v>0.06874999999999999</v>
      </c>
      <c r="X55" s="41">
        <f t="shared" si="11"/>
        <v>0.075</v>
      </c>
      <c r="Y55" s="41">
        <f t="shared" si="11"/>
        <v>0.08125</v>
      </c>
      <c r="Z55" s="41">
        <f t="shared" si="11"/>
        <v>0.08750000000000001</v>
      </c>
      <c r="AA55" s="41">
        <f t="shared" si="11"/>
        <v>0.09375000000000001</v>
      </c>
      <c r="AB55" s="41">
        <f>B17</f>
        <v>0.1</v>
      </c>
    </row>
    <row r="56" spans="1:28" ht="12.75">
      <c r="A56" s="46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</row>
    <row r="57" ht="12.75">
      <c r="A57" s="19" t="s">
        <v>20</v>
      </c>
    </row>
    <row r="58" spans="1:28" ht="12.75">
      <c r="A58" s="15" t="s">
        <v>14</v>
      </c>
      <c r="C58" s="24">
        <f>C36*Conversions!$E$8*(1-C55)/1000</f>
        <v>20.126438332</v>
      </c>
      <c r="D58" s="24">
        <f>D36*Conversions!$E$8*(1-D55)/1000</f>
        <v>18.018</v>
      </c>
      <c r="E58" s="24">
        <f>E36*Conversions!$E$8*(1-E55)/1000</f>
        <v>19.019</v>
      </c>
      <c r="F58" s="24">
        <f>F36*Conversions!$E$8*(1-F55)/1000</f>
        <v>17.6176</v>
      </c>
      <c r="G58" s="24">
        <f>G36*Conversions!$E$8*(1-G55)/1000</f>
        <v>17.217200000000002</v>
      </c>
      <c r="H58" s="24">
        <f>H36*Conversions!$E$8*(1-H55)/1000</f>
        <v>17.417399999999997</v>
      </c>
      <c r="I58" s="24">
        <f>I36*Conversions!$E$8*(1-I55)/1000</f>
        <v>17.217200000000002</v>
      </c>
      <c r="J58" s="24">
        <f>J36*Conversions!$E$8*(1-J55)/1000</f>
        <v>17.217200000000002</v>
      </c>
      <c r="K58" s="24">
        <f>K36*Conversions!$E$8*(1-K55)/1000</f>
        <v>17.404005644420092</v>
      </c>
      <c r="L58" s="24">
        <f>L36*Conversions!$E$8*(1-L55)/1000</f>
        <v>17.59283811949716</v>
      </c>
      <c r="M58" s="24">
        <f>M36*Conversions!$E$8*(1-M55)/1000</f>
        <v>17.67257116987755</v>
      </c>
      <c r="N58" s="24">
        <f>N36*Conversions!$E$8*(1-N55)/1000</f>
        <v>17.75196336716173</v>
      </c>
      <c r="O58" s="24">
        <f>O36*Conversions!$E$8*(1-O55)/1000</f>
        <v>17.83099792860017</v>
      </c>
      <c r="P58" s="24">
        <f>P36*Conversions!$E$8*(1-P55)/1000</f>
        <v>17.909657747385207</v>
      </c>
      <c r="Q58" s="24">
        <f>Q36*Conversions!$E$8*(1-Q55)/1000</f>
        <v>17.987925387594757</v>
      </c>
      <c r="R58" s="24">
        <f>R36*Conversions!$E$8*(1-R55)/1000</f>
        <v>18.065783079064385</v>
      </c>
      <c r="S58" s="24">
        <f>S36*Conversions!$E$8*(1-S55)/1000</f>
        <v>18.143212712186845</v>
      </c>
      <c r="T58" s="24">
        <f>T36*Conversions!$E$8*(1-T55)/1000</f>
        <v>18.220195832638165</v>
      </c>
      <c r="U58" s="24">
        <f>U36*Conversions!$E$8*(1-U55)/1000</f>
        <v>18.296713636029207</v>
      </c>
      <c r="V58" s="24">
        <f>V36*Conversions!$E$8*(1-V55)/1000</f>
        <v>18.37274696248175</v>
      </c>
      <c r="W58" s="24">
        <f>W36*Conversions!$E$8*(1-W55)/1000</f>
        <v>18.448276291128114</v>
      </c>
      <c r="X58" s="24">
        <f>X36*Conversions!$E$8*(1-X55)/1000</f>
        <v>18.52328173453324</v>
      </c>
      <c r="Y58" s="24">
        <f>Y36*Conversions!$E$8*(1-Y55)/1000</f>
        <v>18.597743033038228</v>
      </c>
      <c r="Z58" s="24">
        <f>Z36*Conversions!$E$8*(1-Z55)/1000</f>
        <v>18.671639549024334</v>
      </c>
      <c r="AA58" s="24">
        <f>AA36*Conversions!$E$8*(1-AA55)/1000</f>
        <v>18.74495026109625</v>
      </c>
      <c r="AB58" s="24">
        <f>AB36*Conversions!$E$8*(1-AB55)/1000</f>
        <v>18.817653758183678</v>
      </c>
    </row>
    <row r="59" spans="1:28" ht="12.75">
      <c r="A59" s="15" t="s">
        <v>15</v>
      </c>
      <c r="C59" s="24">
        <f>C37*Conversions!$E$9/1000</f>
        <v>5.454299999999999</v>
      </c>
      <c r="D59" s="24">
        <f>D37*Conversions!$E$9/1000</f>
        <v>6.70424375</v>
      </c>
      <c r="E59" s="24">
        <f>E37*Conversions!$E$9/1000</f>
        <v>4.7725124999999995</v>
      </c>
      <c r="F59" s="24">
        <f>F37*Conversions!$E$9/1000</f>
        <v>5.34066875</v>
      </c>
      <c r="G59" s="24">
        <f>G37*Conversions!$E$9/1000</f>
        <v>6.022456249999999</v>
      </c>
      <c r="H59" s="24">
        <f>H37*Conversions!$E$9/1000</f>
        <v>5.6815625</v>
      </c>
      <c r="I59" s="24">
        <f>I37*Conversions!$E$9/1000</f>
        <v>5.2270375</v>
      </c>
      <c r="J59" s="24">
        <f>J37*Conversions!$E$9/1000</f>
        <v>5.2270375</v>
      </c>
      <c r="K59" s="24">
        <f>K37*Conversions!$E$9/1000</f>
        <v>5.283750560694857</v>
      </c>
      <c r="L59" s="24">
        <f>L37*Conversions!$E$9/1000</f>
        <v>5.341078954884716</v>
      </c>
      <c r="M59" s="24">
        <f>M37*Conversions!$E$9/1000</f>
        <v>5.399029358903131</v>
      </c>
      <c r="N59" s="24">
        <f>N37*Conversions!$E$9/1000</f>
        <v>5.457608521521495</v>
      </c>
      <c r="O59" s="24">
        <f>O37*Conversions!$E$9/1000</f>
        <v>5.516823264734993</v>
      </c>
      <c r="P59" s="24">
        <f>P37*Conversions!$E$9/1000</f>
        <v>5.576680484557065</v>
      </c>
      <c r="Q59" s="24">
        <f>Q37*Conversions!$E$9/1000</f>
        <v>5.637187151822512</v>
      </c>
      <c r="R59" s="24">
        <f>R37*Conversions!$E$9/1000</f>
        <v>5.698350312999294</v>
      </c>
      <c r="S59" s="24">
        <f>S37*Conversions!$E$9/1000</f>
        <v>5.760177091009148</v>
      </c>
      <c r="T59" s="24">
        <f>T37*Conversions!$E$9/1000</f>
        <v>5.8226746860571135</v>
      </c>
      <c r="U59" s="24">
        <f>U37*Conversions!$E$9/1000</f>
        <v>5.885850376470041</v>
      </c>
      <c r="V59" s="24">
        <f>V37*Conversions!$E$9/1000</f>
        <v>5.94971151954422</v>
      </c>
      <c r="W59" s="24">
        <f>W37*Conversions!$E$9/1000</f>
        <v>6.014265552402183</v>
      </c>
      <c r="X59" s="24">
        <f>X37*Conversions!$E$9/1000</f>
        <v>6.079519992858824</v>
      </c>
      <c r="Y59" s="24">
        <f>Y37*Conversions!$E$9/1000</f>
        <v>6.145482440296899</v>
      </c>
      <c r="Z59" s="24">
        <f>Z37*Conversions!$E$9/1000</f>
        <v>6.212160576552042</v>
      </c>
      <c r="AA59" s="24">
        <f>AA37*Conversions!$E$9/1000</f>
        <v>6.279562166807363</v>
      </c>
      <c r="AB59" s="24">
        <f>AB37*Conversions!$E$9/1000</f>
        <v>6.34769506049777</v>
      </c>
    </row>
    <row r="60" spans="1:28" ht="12.75">
      <c r="A60" s="15" t="s">
        <v>3</v>
      </c>
      <c r="C60" s="24">
        <f aca="true" t="shared" si="12" ref="C60:AB60">SUM(C58:C59)</f>
        <v>25.580738332</v>
      </c>
      <c r="D60" s="24">
        <f t="shared" si="12"/>
        <v>24.72224375</v>
      </c>
      <c r="E60" s="24">
        <f t="shared" si="12"/>
        <v>23.791512499999996</v>
      </c>
      <c r="F60" s="24">
        <f t="shared" si="12"/>
        <v>22.95826875</v>
      </c>
      <c r="G60" s="24">
        <f t="shared" si="12"/>
        <v>23.239656250000003</v>
      </c>
      <c r="H60" s="24">
        <f t="shared" si="12"/>
        <v>23.0989625</v>
      </c>
      <c r="I60" s="24">
        <f t="shared" si="12"/>
        <v>22.4442375</v>
      </c>
      <c r="J60" s="24">
        <f t="shared" si="12"/>
        <v>22.4442375</v>
      </c>
      <c r="K60" s="24">
        <f t="shared" si="12"/>
        <v>22.68775620511495</v>
      </c>
      <c r="L60" s="24">
        <f t="shared" si="12"/>
        <v>22.933917074381874</v>
      </c>
      <c r="M60" s="24">
        <f t="shared" si="12"/>
        <v>23.07160052878068</v>
      </c>
      <c r="N60" s="24">
        <f t="shared" si="12"/>
        <v>23.20957188868322</v>
      </c>
      <c r="O60" s="24">
        <f t="shared" si="12"/>
        <v>23.34782119333516</v>
      </c>
      <c r="P60" s="24">
        <f t="shared" si="12"/>
        <v>23.486338231942273</v>
      </c>
      <c r="Q60" s="24">
        <f t="shared" si="12"/>
        <v>23.62511253941727</v>
      </c>
      <c r="R60" s="24">
        <f t="shared" si="12"/>
        <v>23.764133392063677</v>
      </c>
      <c r="S60" s="24">
        <f t="shared" si="12"/>
        <v>23.903389803195992</v>
      </c>
      <c r="T60" s="24">
        <f t="shared" si="12"/>
        <v>24.042870518695278</v>
      </c>
      <c r="U60" s="24">
        <f t="shared" si="12"/>
        <v>24.18256401249925</v>
      </c>
      <c r="V60" s="24">
        <f t="shared" si="12"/>
        <v>24.32245848202597</v>
      </c>
      <c r="W60" s="24">
        <f t="shared" si="12"/>
        <v>24.462541843530296</v>
      </c>
      <c r="X60" s="24">
        <f t="shared" si="12"/>
        <v>24.602801727392063</v>
      </c>
      <c r="Y60" s="24">
        <f t="shared" si="12"/>
        <v>24.743225473335126</v>
      </c>
      <c r="Z60" s="24">
        <f t="shared" si="12"/>
        <v>24.883800125576375</v>
      </c>
      <c r="AA60" s="24">
        <f t="shared" si="12"/>
        <v>25.024512427903613</v>
      </c>
      <c r="AB60" s="24">
        <f t="shared" si="12"/>
        <v>25.165348818681448</v>
      </c>
    </row>
    <row r="61" spans="1:28" ht="12.75">
      <c r="A61" s="36" t="s">
        <v>16</v>
      </c>
      <c r="C61" s="37">
        <f aca="true" t="shared" si="13" ref="C61:AB61">C58/C60</f>
        <v>0.7867809783591355</v>
      </c>
      <c r="D61" s="37">
        <f t="shared" si="13"/>
        <v>0.7288173428837744</v>
      </c>
      <c r="E61" s="37">
        <f t="shared" si="13"/>
        <v>0.7994027281787991</v>
      </c>
      <c r="F61" s="37">
        <f t="shared" si="13"/>
        <v>0.7673749354467332</v>
      </c>
      <c r="G61" s="37">
        <f t="shared" si="13"/>
        <v>0.7408543316986455</v>
      </c>
      <c r="H61" s="37">
        <f t="shared" si="13"/>
        <v>0.7540338662396633</v>
      </c>
      <c r="I61" s="37">
        <f t="shared" si="13"/>
        <v>0.7671100432794833</v>
      </c>
      <c r="J61" s="37">
        <f t="shared" si="13"/>
        <v>0.7671100432794833</v>
      </c>
      <c r="K61" s="37">
        <f t="shared" si="13"/>
        <v>0.7671100432794832</v>
      </c>
      <c r="L61" s="37">
        <f t="shared" si="13"/>
        <v>0.7671100432794833</v>
      </c>
      <c r="M61" s="37">
        <f t="shared" si="13"/>
        <v>0.7659880877285428</v>
      </c>
      <c r="N61" s="37">
        <f t="shared" si="13"/>
        <v>0.7648552697267728</v>
      </c>
      <c r="O61" s="37">
        <f t="shared" si="13"/>
        <v>0.7637114307561248</v>
      </c>
      <c r="P61" s="37">
        <f t="shared" si="13"/>
        <v>0.7625564091990902</v>
      </c>
      <c r="Q61" s="37">
        <f t="shared" si="13"/>
        <v>0.761390040262574</v>
      </c>
      <c r="R61" s="37">
        <f t="shared" si="13"/>
        <v>0.7602121558995151</v>
      </c>
      <c r="S61" s="37">
        <f t="shared" si="13"/>
        <v>0.7590225847281716</v>
      </c>
      <c r="T61" s="37">
        <f t="shared" si="13"/>
        <v>0.7578211519489941</v>
      </c>
      <c r="U61" s="37">
        <f t="shared" si="13"/>
        <v>0.7566076792589975</v>
      </c>
      <c r="V61" s="37">
        <f t="shared" si="13"/>
        <v>0.7553819847635471</v>
      </c>
      <c r="W61" s="37">
        <f t="shared" si="13"/>
        <v>0.7541438828854656</v>
      </c>
      <c r="X61" s="37">
        <f t="shared" si="13"/>
        <v>0.7528931842713645</v>
      </c>
      <c r="Y61" s="37">
        <f t="shared" si="13"/>
        <v>0.7516296956951041</v>
      </c>
      <c r="Z61" s="37">
        <f t="shared" si="13"/>
        <v>0.750353219958274</v>
      </c>
      <c r="AA61" s="37">
        <f t="shared" si="13"/>
        <v>0.7490635557875913</v>
      </c>
      <c r="AB61" s="37">
        <f t="shared" si="13"/>
        <v>0.7477604977291008</v>
      </c>
    </row>
    <row r="63" ht="12.75">
      <c r="A63" s="19" t="s">
        <v>21</v>
      </c>
    </row>
    <row r="64" spans="1:28" ht="12.75">
      <c r="A64" s="15" t="s">
        <v>14</v>
      </c>
      <c r="C64" s="35">
        <f>C58*Conversions!$E$16/1000</f>
        <v>8.141144305293999</v>
      </c>
      <c r="D64" s="35">
        <f>D58*Conversions!$E$16/1000</f>
        <v>7.288281</v>
      </c>
      <c r="E64" s="35">
        <f>E58*Conversions!$E$16/1000</f>
        <v>7.693185499999999</v>
      </c>
      <c r="F64" s="35">
        <f>F58*Conversions!$E$16/1000</f>
        <v>7.1263192</v>
      </c>
      <c r="G64" s="35">
        <f>G58*Conversions!$E$16/1000</f>
        <v>6.964357400000001</v>
      </c>
      <c r="H64" s="35">
        <f>H58*Conversions!$E$16/1000</f>
        <v>7.045338299999998</v>
      </c>
      <c r="I64" s="35">
        <f>I58*Conversions!$E$16/1000</f>
        <v>6.964357400000001</v>
      </c>
      <c r="J64" s="35">
        <f>J58*Conversions!$E$16/1000</f>
        <v>6.964357400000001</v>
      </c>
      <c r="K64" s="35">
        <f>K58*Conversions!$E$16/1000</f>
        <v>7.039920283167928</v>
      </c>
      <c r="L64" s="35">
        <f>L58*Conversions!$E$16/1000</f>
        <v>7.116303019336601</v>
      </c>
      <c r="M64" s="35">
        <f>M58*Conversions!$E$16/1000</f>
        <v>7.148555038215469</v>
      </c>
      <c r="N64" s="35">
        <f>N58*Conversions!$E$16/1000</f>
        <v>7.180669182016919</v>
      </c>
      <c r="O64" s="35">
        <f>O58*Conversions!$E$16/1000</f>
        <v>7.212638662118769</v>
      </c>
      <c r="P64" s="35">
        <f>P58*Conversions!$E$16/1000</f>
        <v>7.244456558817316</v>
      </c>
      <c r="Q64" s="35">
        <f>Q58*Conversions!$E$16/1000</f>
        <v>7.276115819282079</v>
      </c>
      <c r="R64" s="35">
        <f>R58*Conversions!$E$16/1000</f>
        <v>7.307609255481544</v>
      </c>
      <c r="S64" s="35">
        <f>S58*Conversions!$E$16/1000</f>
        <v>7.338929542079579</v>
      </c>
      <c r="T64" s="35">
        <f>T58*Conversions!$E$16/1000</f>
        <v>7.370069214302138</v>
      </c>
      <c r="U64" s="35">
        <f>U58*Conversions!$E$16/1000</f>
        <v>7.401020665773815</v>
      </c>
      <c r="V64" s="35">
        <f>V58*Conversions!$E$16/1000</f>
        <v>7.431776146323868</v>
      </c>
      <c r="W64" s="35">
        <f>W58*Conversions!$E$16/1000</f>
        <v>7.4623277597613225</v>
      </c>
      <c r="X64" s="35">
        <f>X58*Conversions!$E$16/1000</f>
        <v>7.492667461618694</v>
      </c>
      <c r="Y64" s="35">
        <f>Y58*Conversions!$E$16/1000</f>
        <v>7.5227870568639625</v>
      </c>
      <c r="Z64" s="35">
        <f>Z58*Conversions!$E$16/1000</f>
        <v>7.552678197580343</v>
      </c>
      <c r="AA64" s="35">
        <f>AA58*Conversions!$E$16/1000</f>
        <v>7.582332380613433</v>
      </c>
      <c r="AB64" s="35">
        <f>AB58*Conversions!$E$16/1000</f>
        <v>7.611740945185297</v>
      </c>
    </row>
    <row r="65" spans="1:28" ht="12.75">
      <c r="A65" s="15" t="s">
        <v>15</v>
      </c>
      <c r="C65" s="35">
        <f>C59*Conversions!$E$16/1000</f>
        <v>2.2062643499999997</v>
      </c>
      <c r="D65" s="35">
        <f>D59*Conversions!$E$16/1000</f>
        <v>2.711866596875</v>
      </c>
      <c r="E65" s="35">
        <f>E59*Conversions!$E$16/1000</f>
        <v>1.9304813062499997</v>
      </c>
      <c r="F65" s="35">
        <f>F59*Conversions!$E$16/1000</f>
        <v>2.160300509375</v>
      </c>
      <c r="G65" s="35">
        <f>G59*Conversions!$E$16/1000</f>
        <v>2.436083553125</v>
      </c>
      <c r="H65" s="35">
        <f>H59*Conversions!$E$16/1000</f>
        <v>2.29819203125</v>
      </c>
      <c r="I65" s="35">
        <f>I59*Conversions!$E$16/1000</f>
        <v>2.1143366687499996</v>
      </c>
      <c r="J65" s="35">
        <f>J59*Conversions!$E$16/1000</f>
        <v>2.1143366687499996</v>
      </c>
      <c r="K65" s="35">
        <f>K59*Conversions!$E$16/1000</f>
        <v>2.13727710180107</v>
      </c>
      <c r="L65" s="35">
        <f>L59*Conversions!$E$16/1000</f>
        <v>2.1604664372508675</v>
      </c>
      <c r="M65" s="35">
        <f>M59*Conversions!$E$16/1000</f>
        <v>2.1839073756763163</v>
      </c>
      <c r="N65" s="35">
        <f>N59*Conversions!$E$16/1000</f>
        <v>2.2076026469554444</v>
      </c>
      <c r="O65" s="35">
        <f>O59*Conversions!$E$16/1000</f>
        <v>2.2315550105853044</v>
      </c>
      <c r="P65" s="35">
        <f>P59*Conversions!$E$16/1000</f>
        <v>2.255767256003333</v>
      </c>
      <c r="Q65" s="35">
        <f>Q59*Conversions!$E$16/1000</f>
        <v>2.2802422029122065</v>
      </c>
      <c r="R65" s="35">
        <f>R59*Conversions!$E$16/1000</f>
        <v>2.3049827016082145</v>
      </c>
      <c r="S65" s="35">
        <f>S59*Conversions!$E$16/1000</f>
        <v>2.3299916333132007</v>
      </c>
      <c r="T65" s="35">
        <f>T59*Conversions!$E$16/1000</f>
        <v>2.355271910510102</v>
      </c>
      <c r="U65" s="35">
        <f>U59*Conversions!$E$16/1000</f>
        <v>2.3808264772821315</v>
      </c>
      <c r="V65" s="35">
        <f>V59*Conversions!$E$16/1000</f>
        <v>2.406658309655637</v>
      </c>
      <c r="W65" s="35">
        <f>W59*Conversions!$E$16/1000</f>
        <v>2.432770415946683</v>
      </c>
      <c r="X65" s="35">
        <f>X59*Conversions!$E$16/1000</f>
        <v>2.4591658371113945</v>
      </c>
      <c r="Y65" s="35">
        <f>Y59*Conversions!$E$16/1000</f>
        <v>2.4858476471000954</v>
      </c>
      <c r="Z65" s="35">
        <f>Z59*Conversions!$E$16/1000</f>
        <v>2.512818953215301</v>
      </c>
      <c r="AA65" s="35">
        <f>AA59*Conversions!$E$16/1000</f>
        <v>2.5400828964735784</v>
      </c>
      <c r="AB65" s="35">
        <f>AB59*Conversions!$E$16/1000</f>
        <v>2.5676426519713482</v>
      </c>
    </row>
    <row r="66" spans="1:28" ht="12.75">
      <c r="A66" s="15" t="s">
        <v>3</v>
      </c>
      <c r="C66" s="35">
        <f aca="true" t="shared" si="14" ref="C66:AB66">SUM(C64:C65)</f>
        <v>10.347408655293998</v>
      </c>
      <c r="D66" s="35">
        <f t="shared" si="14"/>
        <v>10.000147596875</v>
      </c>
      <c r="E66" s="35">
        <f t="shared" si="14"/>
        <v>9.623666806249998</v>
      </c>
      <c r="F66" s="35">
        <f t="shared" si="14"/>
        <v>9.286619709375</v>
      </c>
      <c r="G66" s="35">
        <f t="shared" si="14"/>
        <v>9.400440953125</v>
      </c>
      <c r="H66" s="35">
        <f t="shared" si="14"/>
        <v>9.343530331249998</v>
      </c>
      <c r="I66" s="35">
        <f t="shared" si="14"/>
        <v>9.07869406875</v>
      </c>
      <c r="J66" s="35">
        <f t="shared" si="14"/>
        <v>9.07869406875</v>
      </c>
      <c r="K66" s="35">
        <f t="shared" si="14"/>
        <v>9.177197384968999</v>
      </c>
      <c r="L66" s="35">
        <f t="shared" si="14"/>
        <v>9.276769456587468</v>
      </c>
      <c r="M66" s="35">
        <f t="shared" si="14"/>
        <v>9.332462413891786</v>
      </c>
      <c r="N66" s="35">
        <f t="shared" si="14"/>
        <v>9.388271828972364</v>
      </c>
      <c r="O66" s="35">
        <f t="shared" si="14"/>
        <v>9.444193672704074</v>
      </c>
      <c r="P66" s="35">
        <f t="shared" si="14"/>
        <v>9.50022381482065</v>
      </c>
      <c r="Q66" s="35">
        <f t="shared" si="14"/>
        <v>9.556358022194285</v>
      </c>
      <c r="R66" s="35">
        <f t="shared" si="14"/>
        <v>9.612591957089759</v>
      </c>
      <c r="S66" s="35">
        <f t="shared" si="14"/>
        <v>9.668921175392779</v>
      </c>
      <c r="T66" s="35">
        <f t="shared" si="14"/>
        <v>9.725341124812239</v>
      </c>
      <c r="U66" s="35">
        <f t="shared" si="14"/>
        <v>9.781847143055947</v>
      </c>
      <c r="V66" s="35">
        <f t="shared" si="14"/>
        <v>9.838434455979504</v>
      </c>
      <c r="W66" s="35">
        <f t="shared" si="14"/>
        <v>9.895098175708005</v>
      </c>
      <c r="X66" s="35">
        <f t="shared" si="14"/>
        <v>9.951833298730088</v>
      </c>
      <c r="Y66" s="35">
        <f t="shared" si="14"/>
        <v>10.008634703964058</v>
      </c>
      <c r="Z66" s="35">
        <f t="shared" si="14"/>
        <v>10.065497150795645</v>
      </c>
      <c r="AA66" s="35">
        <f t="shared" si="14"/>
        <v>10.122415277087011</v>
      </c>
      <c r="AB66" s="35">
        <f t="shared" si="14"/>
        <v>10.179383597156646</v>
      </c>
    </row>
    <row r="67" ht="12.75">
      <c r="A67" s="36" t="s">
        <v>24</v>
      </c>
    </row>
    <row r="68" spans="2:28" ht="12.75">
      <c r="B68" s="44" t="s">
        <v>25</v>
      </c>
      <c r="C68" s="43">
        <f>(C66-C50)/C50</f>
        <v>0</v>
      </c>
      <c r="D68" s="43">
        <f aca="true" t="shared" si="15" ref="D68:AB68">(D66-D50)/D50</f>
        <v>0</v>
      </c>
      <c r="E68" s="43">
        <f t="shared" si="15"/>
        <v>0</v>
      </c>
      <c r="F68" s="43">
        <f t="shared" si="15"/>
        <v>0</v>
      </c>
      <c r="G68" s="43">
        <f t="shared" si="15"/>
        <v>0</v>
      </c>
      <c r="H68" s="43">
        <f t="shared" si="15"/>
        <v>0</v>
      </c>
      <c r="I68" s="43">
        <f t="shared" si="15"/>
        <v>0</v>
      </c>
      <c r="J68" s="43">
        <f t="shared" si="15"/>
        <v>0</v>
      </c>
      <c r="K68" s="43">
        <f t="shared" si="15"/>
        <v>0</v>
      </c>
      <c r="L68" s="43">
        <f t="shared" si="15"/>
        <v>0</v>
      </c>
      <c r="M68" s="43">
        <f t="shared" si="15"/>
        <v>-0.004794437770496343</v>
      </c>
      <c r="N68" s="43">
        <f t="shared" si="15"/>
        <v>-0.009588875540993464</v>
      </c>
      <c r="O68" s="43">
        <f t="shared" si="15"/>
        <v>-0.014383313311490264</v>
      </c>
      <c r="P68" s="43">
        <f t="shared" si="15"/>
        <v>-0.01917775108198703</v>
      </c>
      <c r="Q68" s="43">
        <f t="shared" si="15"/>
        <v>-0.023972188852484123</v>
      </c>
      <c r="R68" s="43">
        <f t="shared" si="15"/>
        <v>-0.028766626622980487</v>
      </c>
      <c r="S68" s="43">
        <f t="shared" si="15"/>
        <v>-0.033561064393477336</v>
      </c>
      <c r="T68" s="43">
        <f t="shared" si="15"/>
        <v>-0.03835550216397421</v>
      </c>
      <c r="U68" s="43">
        <f t="shared" si="15"/>
        <v>-0.04314993993447084</v>
      </c>
      <c r="V68" s="43">
        <f t="shared" si="15"/>
        <v>-0.04794437770496777</v>
      </c>
      <c r="W68" s="43">
        <f t="shared" si="15"/>
        <v>-0.05273881547546444</v>
      </c>
      <c r="X68" s="43">
        <f t="shared" si="15"/>
        <v>-0.05753325324596124</v>
      </c>
      <c r="Y68" s="43">
        <f t="shared" si="15"/>
        <v>-0.06232769101645816</v>
      </c>
      <c r="Z68" s="43">
        <f t="shared" si="15"/>
        <v>-0.0671221287869548</v>
      </c>
      <c r="AA68" s="43">
        <f t="shared" si="15"/>
        <v>-0.07191656655745142</v>
      </c>
      <c r="AB68" s="43">
        <f t="shared" si="15"/>
        <v>-0.0767110043279485</v>
      </c>
    </row>
    <row r="69" spans="2:28" ht="12.75">
      <c r="B69" s="44" t="s">
        <v>26</v>
      </c>
      <c r="C69" s="51">
        <f aca="true" t="shared" si="16" ref="C69:AB69">(C66-$C66)/$C66</f>
        <v>0</v>
      </c>
      <c r="D69" s="51">
        <f t="shared" si="16"/>
        <v>-0.03356019559943942</v>
      </c>
      <c r="E69" s="51">
        <f t="shared" si="16"/>
        <v>-0.06994426074722729</v>
      </c>
      <c r="F69" s="51">
        <f t="shared" si="16"/>
        <v>-0.10251735301632955</v>
      </c>
      <c r="G69" s="51">
        <f t="shared" si="16"/>
        <v>-0.0915173773178954</v>
      </c>
      <c r="H69" s="51">
        <f t="shared" si="16"/>
        <v>-0.09701736516711273</v>
      </c>
      <c r="I69" s="51">
        <f t="shared" si="16"/>
        <v>-0.1226118179738549</v>
      </c>
      <c r="J69" s="51">
        <f t="shared" si="16"/>
        <v>-0.1226118179738549</v>
      </c>
      <c r="K69" s="51">
        <f t="shared" si="16"/>
        <v>-0.11309220591440446</v>
      </c>
      <c r="L69" s="51">
        <f t="shared" si="16"/>
        <v>-0.1034693066035199</v>
      </c>
      <c r="M69" s="51">
        <f t="shared" si="16"/>
        <v>-0.09808699696836075</v>
      </c>
      <c r="N69" s="51">
        <f t="shared" si="16"/>
        <v>-0.09269343255626764</v>
      </c>
      <c r="O69" s="51">
        <f t="shared" si="16"/>
        <v>-0.08728900275218342</v>
      </c>
      <c r="P69" s="51">
        <f t="shared" si="16"/>
        <v>-0.08187410671558881</v>
      </c>
      <c r="Q69" s="51">
        <f t="shared" si="16"/>
        <v>-0.07644915354676668</v>
      </c>
      <c r="R69" s="51">
        <f t="shared" si="16"/>
        <v>-0.07101456245552733</v>
      </c>
      <c r="S69" s="51">
        <f t="shared" si="16"/>
        <v>-0.06557076293242639</v>
      </c>
      <c r="T69" s="51">
        <f t="shared" si="16"/>
        <v>-0.06011819492250301</v>
      </c>
      <c r="U69" s="51">
        <f t="shared" si="16"/>
        <v>-0.054657309001582347</v>
      </c>
      <c r="V69" s="51">
        <f t="shared" si="16"/>
        <v>-0.04918856655517223</v>
      </c>
      <c r="W69" s="51">
        <f t="shared" si="16"/>
        <v>-0.04371243995998741</v>
      </c>
      <c r="X69" s="51">
        <f t="shared" si="16"/>
        <v>-0.038229412768144955</v>
      </c>
      <c r="Y69" s="51">
        <f t="shared" si="16"/>
        <v>-0.032739979894059315</v>
      </c>
      <c r="Z69" s="51">
        <f t="shared" si="16"/>
        <v>-0.027244647804078002</v>
      </c>
      <c r="AA69" s="51">
        <f t="shared" si="16"/>
        <v>-0.02174393470889687</v>
      </c>
      <c r="AB69" s="51">
        <f t="shared" si="16"/>
        <v>-0.016238370758787698</v>
      </c>
    </row>
    <row r="71" ht="12.75">
      <c r="A71" s="19" t="s">
        <v>50</v>
      </c>
    </row>
    <row r="72" spans="1:28" ht="12.75">
      <c r="A72" s="15" t="s">
        <v>14</v>
      </c>
      <c r="C72" s="35">
        <f aca="true" t="shared" si="17" ref="C72:AB72">C48-C64</f>
        <v>0</v>
      </c>
      <c r="D72" s="35">
        <f t="shared" si="17"/>
        <v>0</v>
      </c>
      <c r="E72" s="35">
        <f t="shared" si="17"/>
        <v>0</v>
      </c>
      <c r="F72" s="35">
        <f t="shared" si="17"/>
        <v>0</v>
      </c>
      <c r="G72" s="35">
        <f t="shared" si="17"/>
        <v>0</v>
      </c>
      <c r="H72" s="35">
        <f t="shared" si="17"/>
        <v>0</v>
      </c>
      <c r="I72" s="35">
        <f t="shared" si="17"/>
        <v>0</v>
      </c>
      <c r="J72" s="35">
        <f t="shared" si="17"/>
        <v>0</v>
      </c>
      <c r="K72" s="35">
        <f t="shared" si="17"/>
        <v>0</v>
      </c>
      <c r="L72" s="35">
        <f t="shared" si="17"/>
        <v>0</v>
      </c>
      <c r="M72" s="35">
        <f t="shared" si="17"/>
        <v>0.04495946564915165</v>
      </c>
      <c r="N72" s="35">
        <f t="shared" si="17"/>
        <v>0.09089454660780927</v>
      </c>
      <c r="O72" s="35">
        <f t="shared" si="17"/>
        <v>0.13782112093220533</v>
      </c>
      <c r="P72" s="35">
        <f t="shared" si="17"/>
        <v>0.1857552963799307</v>
      </c>
      <c r="Q72" s="35">
        <f t="shared" si="17"/>
        <v>0.23471341352522934</v>
      </c>
      <c r="R72" s="35">
        <f t="shared" si="17"/>
        <v>0.2847120489148649</v>
      </c>
      <c r="S72" s="35">
        <f t="shared" si="17"/>
        <v>0.3357680182650782</v>
      </c>
      <c r="T72" s="35">
        <f t="shared" si="17"/>
        <v>0.3878983797001121</v>
      </c>
      <c r="U72" s="35">
        <f t="shared" si="17"/>
        <v>0.4411204370328763</v>
      </c>
      <c r="V72" s="35">
        <f t="shared" si="17"/>
        <v>0.4954517430882577</v>
      </c>
      <c r="W72" s="35">
        <f t="shared" si="17"/>
        <v>0.5509101030696275</v>
      </c>
      <c r="X72" s="35">
        <f t="shared" si="17"/>
        <v>0.6075135779690832</v>
      </c>
      <c r="Y72" s="35">
        <f t="shared" si="17"/>
        <v>0.6652804880219838</v>
      </c>
      <c r="Z72" s="35">
        <f t="shared" si="17"/>
        <v>0.7242294162063345</v>
      </c>
      <c r="AA72" s="35">
        <f t="shared" si="17"/>
        <v>0.784379211787595</v>
      </c>
      <c r="AB72" s="35">
        <f t="shared" si="17"/>
        <v>0.8457489939094787</v>
      </c>
    </row>
    <row r="73" spans="1:28" ht="12.75">
      <c r="A73" s="15" t="s">
        <v>15</v>
      </c>
      <c r="C73" s="35">
        <f aca="true" t="shared" si="18" ref="C73:AB73">C49-C65</f>
        <v>0</v>
      </c>
      <c r="D73" s="35">
        <f t="shared" si="18"/>
        <v>0</v>
      </c>
      <c r="E73" s="35">
        <f t="shared" si="18"/>
        <v>0</v>
      </c>
      <c r="F73" s="35">
        <f t="shared" si="18"/>
        <v>0</v>
      </c>
      <c r="G73" s="35">
        <f t="shared" si="18"/>
        <v>0</v>
      </c>
      <c r="H73" s="35">
        <f t="shared" si="18"/>
        <v>0</v>
      </c>
      <c r="I73" s="35">
        <f t="shared" si="18"/>
        <v>0</v>
      </c>
      <c r="J73" s="35">
        <f t="shared" si="18"/>
        <v>0</v>
      </c>
      <c r="K73" s="35">
        <f t="shared" si="18"/>
        <v>0</v>
      </c>
      <c r="L73" s="35">
        <f t="shared" si="18"/>
        <v>0</v>
      </c>
      <c r="M73" s="35">
        <f t="shared" si="18"/>
        <v>0</v>
      </c>
      <c r="N73" s="35">
        <f t="shared" si="18"/>
        <v>0</v>
      </c>
      <c r="O73" s="35">
        <f t="shared" si="18"/>
        <v>0</v>
      </c>
      <c r="P73" s="35">
        <f t="shared" si="18"/>
        <v>0</v>
      </c>
      <c r="Q73" s="35">
        <f t="shared" si="18"/>
        <v>0</v>
      </c>
      <c r="R73" s="35">
        <f t="shared" si="18"/>
        <v>0</v>
      </c>
      <c r="S73" s="35">
        <f t="shared" si="18"/>
        <v>0</v>
      </c>
      <c r="T73" s="35">
        <f t="shared" si="18"/>
        <v>0</v>
      </c>
      <c r="U73" s="35">
        <f t="shared" si="18"/>
        <v>0</v>
      </c>
      <c r="V73" s="35">
        <f t="shared" si="18"/>
        <v>0</v>
      </c>
      <c r="W73" s="35">
        <f t="shared" si="18"/>
        <v>0</v>
      </c>
      <c r="X73" s="35">
        <f t="shared" si="18"/>
        <v>0</v>
      </c>
      <c r="Y73" s="35">
        <f t="shared" si="18"/>
        <v>0</v>
      </c>
      <c r="Z73" s="35">
        <f t="shared" si="18"/>
        <v>0</v>
      </c>
      <c r="AA73" s="35">
        <f t="shared" si="18"/>
        <v>0</v>
      </c>
      <c r="AB73" s="35">
        <f t="shared" si="18"/>
        <v>0</v>
      </c>
    </row>
    <row r="74" spans="1:28" ht="12.75">
      <c r="A74" s="15" t="s">
        <v>3</v>
      </c>
      <c r="C74" s="35">
        <f aca="true" t="shared" si="19" ref="C74:AB74">SUM(C72:C73)</f>
        <v>0</v>
      </c>
      <c r="D74" s="35">
        <f t="shared" si="19"/>
        <v>0</v>
      </c>
      <c r="E74" s="35">
        <f t="shared" si="19"/>
        <v>0</v>
      </c>
      <c r="F74" s="35">
        <f t="shared" si="19"/>
        <v>0</v>
      </c>
      <c r="G74" s="35">
        <f t="shared" si="19"/>
        <v>0</v>
      </c>
      <c r="H74" s="35">
        <f t="shared" si="19"/>
        <v>0</v>
      </c>
      <c r="I74" s="35">
        <f t="shared" si="19"/>
        <v>0</v>
      </c>
      <c r="J74" s="35">
        <f t="shared" si="19"/>
        <v>0</v>
      </c>
      <c r="K74" s="35">
        <f t="shared" si="19"/>
        <v>0</v>
      </c>
      <c r="L74" s="35">
        <f t="shared" si="19"/>
        <v>0</v>
      </c>
      <c r="M74" s="35">
        <f t="shared" si="19"/>
        <v>0.04495946564915165</v>
      </c>
      <c r="N74" s="35">
        <f t="shared" si="19"/>
        <v>0.09089454660780927</v>
      </c>
      <c r="O74" s="35">
        <f t="shared" si="19"/>
        <v>0.13782112093220533</v>
      </c>
      <c r="P74" s="35">
        <f t="shared" si="19"/>
        <v>0.1857552963799307</v>
      </c>
      <c r="Q74" s="35">
        <f t="shared" si="19"/>
        <v>0.23471341352522934</v>
      </c>
      <c r="R74" s="35">
        <f t="shared" si="19"/>
        <v>0.2847120489148649</v>
      </c>
      <c r="S74" s="35">
        <f t="shared" si="19"/>
        <v>0.3357680182650782</v>
      </c>
      <c r="T74" s="35">
        <f t="shared" si="19"/>
        <v>0.3878983797001121</v>
      </c>
      <c r="U74" s="35">
        <f t="shared" si="19"/>
        <v>0.4411204370328763</v>
      </c>
      <c r="V74" s="35">
        <f t="shared" si="19"/>
        <v>0.4954517430882577</v>
      </c>
      <c r="W74" s="35">
        <f t="shared" si="19"/>
        <v>0.5509101030696275</v>
      </c>
      <c r="X74" s="35">
        <f t="shared" si="19"/>
        <v>0.6075135779690832</v>
      </c>
      <c r="Y74" s="35">
        <f t="shared" si="19"/>
        <v>0.6652804880219838</v>
      </c>
      <c r="Z74" s="35">
        <f t="shared" si="19"/>
        <v>0.7242294162063345</v>
      </c>
      <c r="AA74" s="35">
        <f t="shared" si="19"/>
        <v>0.784379211787595</v>
      </c>
      <c r="AB74" s="35">
        <f t="shared" si="19"/>
        <v>0.8457489939094787</v>
      </c>
    </row>
    <row r="75" spans="1:28" ht="12.75">
      <c r="A75" s="1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ht="12.75">
      <c r="A76" s="19" t="s">
        <v>51</v>
      </c>
    </row>
    <row r="77" spans="1:28" ht="12.75">
      <c r="A77" s="15" t="s">
        <v>14</v>
      </c>
      <c r="C77" s="35">
        <f aca="true" t="shared" si="20" ref="C77:AB77">$C48-C64</f>
        <v>0</v>
      </c>
      <c r="D77" s="35">
        <f t="shared" si="20"/>
        <v>0.8528633052939991</v>
      </c>
      <c r="E77" s="35">
        <f t="shared" si="20"/>
        <v>0.44795880529399934</v>
      </c>
      <c r="F77" s="35">
        <f t="shared" si="20"/>
        <v>1.0148251052939985</v>
      </c>
      <c r="G77" s="35">
        <f t="shared" si="20"/>
        <v>1.1767869052939979</v>
      </c>
      <c r="H77" s="35">
        <f t="shared" si="20"/>
        <v>1.0958060052940004</v>
      </c>
      <c r="I77" s="35">
        <f t="shared" si="20"/>
        <v>1.1767869052939979</v>
      </c>
      <c r="J77" s="35">
        <f t="shared" si="20"/>
        <v>1.1767869052939979</v>
      </c>
      <c r="K77" s="35">
        <f t="shared" si="20"/>
        <v>1.101224022126071</v>
      </c>
      <c r="L77" s="35">
        <f t="shared" si="20"/>
        <v>1.0248412859573977</v>
      </c>
      <c r="M77" s="35">
        <f t="shared" si="20"/>
        <v>0.9925892670785297</v>
      </c>
      <c r="N77" s="35">
        <f t="shared" si="20"/>
        <v>0.9604751232770798</v>
      </c>
      <c r="O77" s="35">
        <f t="shared" si="20"/>
        <v>0.9285056431752299</v>
      </c>
      <c r="P77" s="35">
        <f t="shared" si="20"/>
        <v>0.8966877464766823</v>
      </c>
      <c r="Q77" s="35">
        <f t="shared" si="20"/>
        <v>0.8650284860119193</v>
      </c>
      <c r="R77" s="35">
        <f t="shared" si="20"/>
        <v>0.833535049812455</v>
      </c>
      <c r="S77" s="35">
        <f t="shared" si="20"/>
        <v>0.8022147632144199</v>
      </c>
      <c r="T77" s="35">
        <f t="shared" si="20"/>
        <v>0.7710750909918609</v>
      </c>
      <c r="U77" s="35">
        <f t="shared" si="20"/>
        <v>0.740123639520184</v>
      </c>
      <c r="V77" s="35">
        <f t="shared" si="20"/>
        <v>0.7093681589701308</v>
      </c>
      <c r="W77" s="35">
        <f t="shared" si="20"/>
        <v>0.6788165455326762</v>
      </c>
      <c r="X77" s="35">
        <f t="shared" si="20"/>
        <v>0.6484768436753043</v>
      </c>
      <c r="Y77" s="35">
        <f t="shared" si="20"/>
        <v>0.6183572484300361</v>
      </c>
      <c r="Z77" s="35">
        <f t="shared" si="20"/>
        <v>0.5884661077136553</v>
      </c>
      <c r="AA77" s="35">
        <f t="shared" si="20"/>
        <v>0.5588119246805654</v>
      </c>
      <c r="AB77" s="35">
        <f t="shared" si="20"/>
        <v>0.5294033601087014</v>
      </c>
    </row>
    <row r="78" spans="1:28" ht="12.75">
      <c r="A78" s="15" t="s">
        <v>15</v>
      </c>
      <c r="C78" s="35">
        <f aca="true" t="shared" si="21" ref="C78:AB78">$C49-C65</f>
        <v>0</v>
      </c>
      <c r="D78" s="35">
        <f t="shared" si="21"/>
        <v>-0.5056022468750005</v>
      </c>
      <c r="E78" s="35">
        <f t="shared" si="21"/>
        <v>0.27578304374999996</v>
      </c>
      <c r="F78" s="35">
        <f t="shared" si="21"/>
        <v>0.04596384062499981</v>
      </c>
      <c r="G78" s="35">
        <f t="shared" si="21"/>
        <v>-0.22981920312500037</v>
      </c>
      <c r="H78" s="35">
        <f t="shared" si="21"/>
        <v>-0.0919276812500005</v>
      </c>
      <c r="I78" s="35">
        <f t="shared" si="21"/>
        <v>0.09192768125000006</v>
      </c>
      <c r="J78" s="35">
        <f t="shared" si="21"/>
        <v>0.09192768125000006</v>
      </c>
      <c r="K78" s="35">
        <f t="shared" si="21"/>
        <v>0.06898724819892976</v>
      </c>
      <c r="L78" s="35">
        <f t="shared" si="21"/>
        <v>0.04579791274913214</v>
      </c>
      <c r="M78" s="35">
        <f t="shared" si="21"/>
        <v>0.022356974323683332</v>
      </c>
      <c r="N78" s="35">
        <f t="shared" si="21"/>
        <v>-0.00133829695544474</v>
      </c>
      <c r="O78" s="35">
        <f t="shared" si="21"/>
        <v>-0.025290660585304714</v>
      </c>
      <c r="P78" s="35">
        <f t="shared" si="21"/>
        <v>-0.04950290600333318</v>
      </c>
      <c r="Q78" s="35">
        <f t="shared" si="21"/>
        <v>-0.07397785291220682</v>
      </c>
      <c r="R78" s="35">
        <f t="shared" si="21"/>
        <v>-0.09871835160821485</v>
      </c>
      <c r="S78" s="35">
        <f t="shared" si="21"/>
        <v>-0.12372728331320104</v>
      </c>
      <c r="T78" s="35">
        <f t="shared" si="21"/>
        <v>-0.14900756051010244</v>
      </c>
      <c r="U78" s="35">
        <f t="shared" si="21"/>
        <v>-0.17456212728213183</v>
      </c>
      <c r="V78" s="35">
        <f t="shared" si="21"/>
        <v>-0.20039395965563722</v>
      </c>
      <c r="W78" s="35">
        <f t="shared" si="21"/>
        <v>-0.22650606594668332</v>
      </c>
      <c r="X78" s="35">
        <f t="shared" si="21"/>
        <v>-0.2529014871113948</v>
      </c>
      <c r="Y78" s="35">
        <f t="shared" si="21"/>
        <v>-0.2795832971000958</v>
      </c>
      <c r="Z78" s="35">
        <f t="shared" si="21"/>
        <v>-0.3065546032153015</v>
      </c>
      <c r="AA78" s="35">
        <f t="shared" si="21"/>
        <v>-0.3338185464735788</v>
      </c>
      <c r="AB78" s="35">
        <f t="shared" si="21"/>
        <v>-0.36137830197134857</v>
      </c>
    </row>
    <row r="79" spans="1:28" ht="12.75">
      <c r="A79" s="15" t="s">
        <v>3</v>
      </c>
      <c r="C79" s="35">
        <f aca="true" t="shared" si="22" ref="C79:AB79">SUM(C77:C78)</f>
        <v>0</v>
      </c>
      <c r="D79" s="35">
        <f t="shared" si="22"/>
        <v>0.34726105841899857</v>
      </c>
      <c r="E79" s="35">
        <f t="shared" si="22"/>
        <v>0.7237418490439993</v>
      </c>
      <c r="F79" s="35">
        <f t="shared" si="22"/>
        <v>1.0607889459189983</v>
      </c>
      <c r="G79" s="35">
        <f t="shared" si="22"/>
        <v>0.9469677021689975</v>
      </c>
      <c r="H79" s="35">
        <f t="shared" si="22"/>
        <v>1.003878324044</v>
      </c>
      <c r="I79" s="35">
        <f t="shared" si="22"/>
        <v>1.268714586543998</v>
      </c>
      <c r="J79" s="35">
        <f t="shared" si="22"/>
        <v>1.268714586543998</v>
      </c>
      <c r="K79" s="35">
        <f t="shared" si="22"/>
        <v>1.1702112703250007</v>
      </c>
      <c r="L79" s="35">
        <f t="shared" si="22"/>
        <v>1.0706391987065298</v>
      </c>
      <c r="M79" s="35">
        <f t="shared" si="22"/>
        <v>1.014946241402213</v>
      </c>
      <c r="N79" s="35">
        <f t="shared" si="22"/>
        <v>0.9591368263216351</v>
      </c>
      <c r="O79" s="35">
        <f t="shared" si="22"/>
        <v>0.9032149825899252</v>
      </c>
      <c r="P79" s="35">
        <f t="shared" si="22"/>
        <v>0.8471848404733491</v>
      </c>
      <c r="Q79" s="35">
        <f t="shared" si="22"/>
        <v>0.7910506330997125</v>
      </c>
      <c r="R79" s="35">
        <f t="shared" si="22"/>
        <v>0.7348166982042401</v>
      </c>
      <c r="S79" s="35">
        <f t="shared" si="22"/>
        <v>0.6784874799012188</v>
      </c>
      <c r="T79" s="35">
        <f t="shared" si="22"/>
        <v>0.6220675304817584</v>
      </c>
      <c r="U79" s="35">
        <f t="shared" si="22"/>
        <v>0.5655615122380522</v>
      </c>
      <c r="V79" s="35">
        <f t="shared" si="22"/>
        <v>0.5089741993144936</v>
      </c>
      <c r="W79" s="35">
        <f t="shared" si="22"/>
        <v>0.4523104795859929</v>
      </c>
      <c r="X79" s="35">
        <f t="shared" si="22"/>
        <v>0.3955753565639095</v>
      </c>
      <c r="Y79" s="35">
        <f t="shared" si="22"/>
        <v>0.33877395132994037</v>
      </c>
      <c r="Z79" s="35">
        <f t="shared" si="22"/>
        <v>0.2819115044983538</v>
      </c>
      <c r="AA79" s="35">
        <f t="shared" si="22"/>
        <v>0.22499337820698662</v>
      </c>
      <c r="AB79" s="35">
        <f t="shared" si="22"/>
        <v>0.1680250581373528</v>
      </c>
    </row>
    <row r="80" spans="1:28" ht="12.75">
      <c r="A80" s="1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ht="12.75">
      <c r="A81" s="19" t="s">
        <v>52</v>
      </c>
    </row>
    <row r="82" spans="1:28" ht="12.75">
      <c r="A82" s="15" t="s">
        <v>14</v>
      </c>
      <c r="C82" s="35">
        <f>C72</f>
        <v>0</v>
      </c>
      <c r="D82" s="35">
        <f>C82+D72</f>
        <v>0</v>
      </c>
      <c r="E82" s="35">
        <f aca="true" t="shared" si="23" ref="E82:AB82">D82+E72</f>
        <v>0</v>
      </c>
      <c r="F82" s="35">
        <f t="shared" si="23"/>
        <v>0</v>
      </c>
      <c r="G82" s="35">
        <f t="shared" si="23"/>
        <v>0</v>
      </c>
      <c r="H82" s="35">
        <f t="shared" si="23"/>
        <v>0</v>
      </c>
      <c r="I82" s="35">
        <f t="shared" si="23"/>
        <v>0</v>
      </c>
      <c r="J82" s="35">
        <f t="shared" si="23"/>
        <v>0</v>
      </c>
      <c r="K82" s="35">
        <f t="shared" si="23"/>
        <v>0</v>
      </c>
      <c r="L82" s="35">
        <f t="shared" si="23"/>
        <v>0</v>
      </c>
      <c r="M82" s="35">
        <f t="shared" si="23"/>
        <v>0.04495946564915165</v>
      </c>
      <c r="N82" s="35">
        <f t="shared" si="23"/>
        <v>0.13585401225696092</v>
      </c>
      <c r="O82" s="35">
        <f t="shared" si="23"/>
        <v>0.27367513318916625</v>
      </c>
      <c r="P82" s="35">
        <f t="shared" si="23"/>
        <v>0.45943042956909697</v>
      </c>
      <c r="Q82" s="35">
        <f t="shared" si="23"/>
        <v>0.6941438430943263</v>
      </c>
      <c r="R82" s="35">
        <f t="shared" si="23"/>
        <v>0.9788558920091912</v>
      </c>
      <c r="S82" s="35">
        <f t="shared" si="23"/>
        <v>1.3146239102742694</v>
      </c>
      <c r="T82" s="35">
        <f t="shared" si="23"/>
        <v>1.7025222899743815</v>
      </c>
      <c r="U82" s="35">
        <f t="shared" si="23"/>
        <v>2.1436427270072578</v>
      </c>
      <c r="V82" s="35">
        <f t="shared" si="23"/>
        <v>2.6390944700955155</v>
      </c>
      <c r="W82" s="35">
        <f t="shared" si="23"/>
        <v>3.190004573165143</v>
      </c>
      <c r="X82" s="35">
        <f t="shared" si="23"/>
        <v>3.797518151134226</v>
      </c>
      <c r="Y82" s="35">
        <f t="shared" si="23"/>
        <v>4.46279863915621</v>
      </c>
      <c r="Z82" s="35">
        <f t="shared" si="23"/>
        <v>5.1870280553625445</v>
      </c>
      <c r="AA82" s="35">
        <f t="shared" si="23"/>
        <v>5.9714072671501395</v>
      </c>
      <c r="AB82" s="35">
        <f t="shared" si="23"/>
        <v>6.817156261059618</v>
      </c>
    </row>
    <row r="83" spans="1:28" ht="12.75">
      <c r="A83" s="15" t="s">
        <v>15</v>
      </c>
      <c r="C83" s="35">
        <f>C73</f>
        <v>0</v>
      </c>
      <c r="D83" s="35">
        <f>C83+D73</f>
        <v>0</v>
      </c>
      <c r="E83" s="35">
        <f aca="true" t="shared" si="24" ref="E83:AB83">D83+E73</f>
        <v>0</v>
      </c>
      <c r="F83" s="35">
        <f t="shared" si="24"/>
        <v>0</v>
      </c>
      <c r="G83" s="35">
        <f t="shared" si="24"/>
        <v>0</v>
      </c>
      <c r="H83" s="35">
        <f t="shared" si="24"/>
        <v>0</v>
      </c>
      <c r="I83" s="35">
        <f t="shared" si="24"/>
        <v>0</v>
      </c>
      <c r="J83" s="35">
        <f t="shared" si="24"/>
        <v>0</v>
      </c>
      <c r="K83" s="35">
        <f t="shared" si="24"/>
        <v>0</v>
      </c>
      <c r="L83" s="35">
        <f t="shared" si="24"/>
        <v>0</v>
      </c>
      <c r="M83" s="35">
        <f t="shared" si="24"/>
        <v>0</v>
      </c>
      <c r="N83" s="35">
        <f t="shared" si="24"/>
        <v>0</v>
      </c>
      <c r="O83" s="35">
        <f t="shared" si="24"/>
        <v>0</v>
      </c>
      <c r="P83" s="35">
        <f t="shared" si="24"/>
        <v>0</v>
      </c>
      <c r="Q83" s="35">
        <f t="shared" si="24"/>
        <v>0</v>
      </c>
      <c r="R83" s="35">
        <f t="shared" si="24"/>
        <v>0</v>
      </c>
      <c r="S83" s="35">
        <f t="shared" si="24"/>
        <v>0</v>
      </c>
      <c r="T83" s="35">
        <f t="shared" si="24"/>
        <v>0</v>
      </c>
      <c r="U83" s="35">
        <f t="shared" si="24"/>
        <v>0</v>
      </c>
      <c r="V83" s="35">
        <f t="shared" si="24"/>
        <v>0</v>
      </c>
      <c r="W83" s="35">
        <f t="shared" si="24"/>
        <v>0</v>
      </c>
      <c r="X83" s="35">
        <f t="shared" si="24"/>
        <v>0</v>
      </c>
      <c r="Y83" s="35">
        <f t="shared" si="24"/>
        <v>0</v>
      </c>
      <c r="Z83" s="35">
        <f t="shared" si="24"/>
        <v>0</v>
      </c>
      <c r="AA83" s="35">
        <f t="shared" si="24"/>
        <v>0</v>
      </c>
      <c r="AB83" s="35">
        <f t="shared" si="24"/>
        <v>0</v>
      </c>
    </row>
    <row r="84" spans="1:28" ht="12.75">
      <c r="A84" s="15" t="s">
        <v>3</v>
      </c>
      <c r="C84" s="35">
        <f aca="true" t="shared" si="25" ref="C84:AB84">SUM(C82:C83)</f>
        <v>0</v>
      </c>
      <c r="D84" s="35">
        <f t="shared" si="25"/>
        <v>0</v>
      </c>
      <c r="E84" s="35">
        <f t="shared" si="25"/>
        <v>0</v>
      </c>
      <c r="F84" s="35">
        <f t="shared" si="25"/>
        <v>0</v>
      </c>
      <c r="G84" s="35">
        <f t="shared" si="25"/>
        <v>0</v>
      </c>
      <c r="H84" s="35">
        <f t="shared" si="25"/>
        <v>0</v>
      </c>
      <c r="I84" s="35">
        <f t="shared" si="25"/>
        <v>0</v>
      </c>
      <c r="J84" s="35">
        <f t="shared" si="25"/>
        <v>0</v>
      </c>
      <c r="K84" s="35">
        <f t="shared" si="25"/>
        <v>0</v>
      </c>
      <c r="L84" s="35">
        <f t="shared" si="25"/>
        <v>0</v>
      </c>
      <c r="M84" s="35">
        <f t="shared" si="25"/>
        <v>0.04495946564915165</v>
      </c>
      <c r="N84" s="35">
        <f t="shared" si="25"/>
        <v>0.13585401225696092</v>
      </c>
      <c r="O84" s="35">
        <f t="shared" si="25"/>
        <v>0.27367513318916625</v>
      </c>
      <c r="P84" s="35">
        <f t="shared" si="25"/>
        <v>0.45943042956909697</v>
      </c>
      <c r="Q84" s="35">
        <f t="shared" si="25"/>
        <v>0.6941438430943263</v>
      </c>
      <c r="R84" s="35">
        <f t="shared" si="25"/>
        <v>0.9788558920091912</v>
      </c>
      <c r="S84" s="35">
        <f t="shared" si="25"/>
        <v>1.3146239102742694</v>
      </c>
      <c r="T84" s="35">
        <f t="shared" si="25"/>
        <v>1.7025222899743815</v>
      </c>
      <c r="U84" s="35">
        <f t="shared" si="25"/>
        <v>2.1436427270072578</v>
      </c>
      <c r="V84" s="35">
        <f t="shared" si="25"/>
        <v>2.6390944700955155</v>
      </c>
      <c r="W84" s="35">
        <f t="shared" si="25"/>
        <v>3.190004573165143</v>
      </c>
      <c r="X84" s="35">
        <f t="shared" si="25"/>
        <v>3.797518151134226</v>
      </c>
      <c r="Y84" s="35">
        <f t="shared" si="25"/>
        <v>4.46279863915621</v>
      </c>
      <c r="Z84" s="35">
        <f t="shared" si="25"/>
        <v>5.1870280553625445</v>
      </c>
      <c r="AA84" s="35">
        <f t="shared" si="25"/>
        <v>5.9714072671501395</v>
      </c>
      <c r="AB84" s="35">
        <f t="shared" si="25"/>
        <v>6.817156261059618</v>
      </c>
    </row>
    <row r="85" spans="1:28" ht="12.75">
      <c r="A85" s="1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</row>
    <row r="86" ht="12.75">
      <c r="A86" s="19" t="s">
        <v>53</v>
      </c>
    </row>
    <row r="87" spans="1:28" ht="12.75">
      <c r="A87" s="15" t="s">
        <v>14</v>
      </c>
      <c r="C87" s="35">
        <f>C77</f>
        <v>0</v>
      </c>
      <c r="D87" s="35">
        <f>C87+D77</f>
        <v>0.8528633052939991</v>
      </c>
      <c r="E87" s="35">
        <f aca="true" t="shared" si="26" ref="E87:AB87">D87+E77</f>
        <v>1.3008221105879985</v>
      </c>
      <c r="F87" s="35">
        <f t="shared" si="26"/>
        <v>2.315647215881997</v>
      </c>
      <c r="G87" s="35">
        <f t="shared" si="26"/>
        <v>3.492434121175995</v>
      </c>
      <c r="H87" s="35">
        <f t="shared" si="26"/>
        <v>4.588240126469995</v>
      </c>
      <c r="I87" s="35">
        <f t="shared" si="26"/>
        <v>5.765027031763993</v>
      </c>
      <c r="J87" s="35">
        <f t="shared" si="26"/>
        <v>6.941813937057991</v>
      </c>
      <c r="K87" s="35">
        <f t="shared" si="26"/>
        <v>8.043037959184062</v>
      </c>
      <c r="L87" s="35">
        <f t="shared" si="26"/>
        <v>9.067879245141459</v>
      </c>
      <c r="M87" s="35">
        <f t="shared" si="26"/>
        <v>10.060468512219988</v>
      </c>
      <c r="N87" s="35">
        <f t="shared" si="26"/>
        <v>11.020943635497067</v>
      </c>
      <c r="O87" s="35">
        <f t="shared" si="26"/>
        <v>11.949449278672297</v>
      </c>
      <c r="P87" s="35">
        <f t="shared" si="26"/>
        <v>12.84613702514898</v>
      </c>
      <c r="Q87" s="35">
        <f t="shared" si="26"/>
        <v>13.7111655111609</v>
      </c>
      <c r="R87" s="35">
        <f t="shared" si="26"/>
        <v>14.544700560973354</v>
      </c>
      <c r="S87" s="35">
        <f t="shared" si="26"/>
        <v>15.346915324187773</v>
      </c>
      <c r="T87" s="35">
        <f t="shared" si="26"/>
        <v>16.117990415179634</v>
      </c>
      <c r="U87" s="35">
        <f t="shared" si="26"/>
        <v>16.85811405469982</v>
      </c>
      <c r="V87" s="35">
        <f t="shared" si="26"/>
        <v>17.567482213669948</v>
      </c>
      <c r="W87" s="35">
        <f t="shared" si="26"/>
        <v>18.246298759202624</v>
      </c>
      <c r="X87" s="35">
        <f t="shared" si="26"/>
        <v>18.894775602877928</v>
      </c>
      <c r="Y87" s="35">
        <f t="shared" si="26"/>
        <v>19.513132851307965</v>
      </c>
      <c r="Z87" s="35">
        <f t="shared" si="26"/>
        <v>20.101598959021622</v>
      </c>
      <c r="AA87" s="35">
        <f t="shared" si="26"/>
        <v>20.660410883702188</v>
      </c>
      <c r="AB87" s="35">
        <f t="shared" si="26"/>
        <v>21.18981424381089</v>
      </c>
    </row>
    <row r="88" spans="1:28" ht="12.75">
      <c r="A88" s="15" t="s">
        <v>15</v>
      </c>
      <c r="C88" s="35">
        <f>C78</f>
        <v>0</v>
      </c>
      <c r="D88" s="35">
        <f>C88+D78</f>
        <v>-0.5056022468750005</v>
      </c>
      <c r="E88" s="35">
        <f aca="true" t="shared" si="27" ref="E88:AB88">D88+E78</f>
        <v>-0.2298192031250006</v>
      </c>
      <c r="F88" s="35">
        <f t="shared" si="27"/>
        <v>-0.18385536250000079</v>
      </c>
      <c r="G88" s="35">
        <f t="shared" si="27"/>
        <v>-0.41367456562500116</v>
      </c>
      <c r="H88" s="35">
        <f t="shared" si="27"/>
        <v>-0.5056022468750017</v>
      </c>
      <c r="I88" s="35">
        <f t="shared" si="27"/>
        <v>-0.4136745656250016</v>
      </c>
      <c r="J88" s="35">
        <f t="shared" si="27"/>
        <v>-0.32174688437500154</v>
      </c>
      <c r="K88" s="35">
        <f t="shared" si="27"/>
        <v>-0.2527596361760718</v>
      </c>
      <c r="L88" s="35">
        <f t="shared" si="27"/>
        <v>-0.20696172342693964</v>
      </c>
      <c r="M88" s="35">
        <f t="shared" si="27"/>
        <v>-0.1846047491032563</v>
      </c>
      <c r="N88" s="35">
        <f t="shared" si="27"/>
        <v>-0.18594304605870104</v>
      </c>
      <c r="O88" s="35">
        <f t="shared" si="27"/>
        <v>-0.21123370664400576</v>
      </c>
      <c r="P88" s="35">
        <f t="shared" si="27"/>
        <v>-0.26073661264733894</v>
      </c>
      <c r="Q88" s="35">
        <f t="shared" si="27"/>
        <v>-0.33471446555954576</v>
      </c>
      <c r="R88" s="35">
        <f t="shared" si="27"/>
        <v>-0.4334328171677606</v>
      </c>
      <c r="S88" s="35">
        <f t="shared" si="27"/>
        <v>-0.5571601004809617</v>
      </c>
      <c r="T88" s="35">
        <f t="shared" si="27"/>
        <v>-0.7061676609910641</v>
      </c>
      <c r="U88" s="35">
        <f t="shared" si="27"/>
        <v>-0.8807297882731959</v>
      </c>
      <c r="V88" s="35">
        <f t="shared" si="27"/>
        <v>-1.0811237479288331</v>
      </c>
      <c r="W88" s="35">
        <f t="shared" si="27"/>
        <v>-1.3076298138755165</v>
      </c>
      <c r="X88" s="35">
        <f t="shared" si="27"/>
        <v>-1.5605313009869113</v>
      </c>
      <c r="Y88" s="35">
        <f t="shared" si="27"/>
        <v>-1.840114598087007</v>
      </c>
      <c r="Z88" s="35">
        <f t="shared" si="27"/>
        <v>-2.1466692013023083</v>
      </c>
      <c r="AA88" s="35">
        <f t="shared" si="27"/>
        <v>-2.480487747775887</v>
      </c>
      <c r="AB88" s="35">
        <f t="shared" si="27"/>
        <v>-2.8418660497472357</v>
      </c>
    </row>
    <row r="89" spans="1:28" ht="12.75">
      <c r="A89" s="15" t="s">
        <v>3</v>
      </c>
      <c r="C89" s="35">
        <f aca="true" t="shared" si="28" ref="C89:AB89">SUM(C87:C88)</f>
        <v>0</v>
      </c>
      <c r="D89" s="35">
        <f t="shared" si="28"/>
        <v>0.34726105841899857</v>
      </c>
      <c r="E89" s="35">
        <f t="shared" si="28"/>
        <v>1.0710029074629979</v>
      </c>
      <c r="F89" s="35">
        <f t="shared" si="28"/>
        <v>2.131791853381996</v>
      </c>
      <c r="G89" s="35">
        <f t="shared" si="28"/>
        <v>3.0787595555509935</v>
      </c>
      <c r="H89" s="35">
        <f t="shared" si="28"/>
        <v>4.082637879594993</v>
      </c>
      <c r="I89" s="35">
        <f t="shared" si="28"/>
        <v>5.351352466138992</v>
      </c>
      <c r="J89" s="35">
        <f t="shared" si="28"/>
        <v>6.620067052682989</v>
      </c>
      <c r="K89" s="35">
        <f t="shared" si="28"/>
        <v>7.79027832300799</v>
      </c>
      <c r="L89" s="35">
        <f t="shared" si="28"/>
        <v>8.86091752171452</v>
      </c>
      <c r="M89" s="35">
        <f t="shared" si="28"/>
        <v>9.875863763116731</v>
      </c>
      <c r="N89" s="35">
        <f t="shared" si="28"/>
        <v>10.835000589438366</v>
      </c>
      <c r="O89" s="35">
        <f t="shared" si="28"/>
        <v>11.738215572028292</v>
      </c>
      <c r="P89" s="35">
        <f t="shared" si="28"/>
        <v>12.585400412501642</v>
      </c>
      <c r="Q89" s="35">
        <f t="shared" si="28"/>
        <v>13.376451045601353</v>
      </c>
      <c r="R89" s="35">
        <f t="shared" si="28"/>
        <v>14.111267743805593</v>
      </c>
      <c r="S89" s="35">
        <f t="shared" si="28"/>
        <v>14.78975522370681</v>
      </c>
      <c r="T89" s="35">
        <f t="shared" si="28"/>
        <v>15.41182275418857</v>
      </c>
      <c r="U89" s="35">
        <f t="shared" si="28"/>
        <v>15.977384266426622</v>
      </c>
      <c r="V89" s="35">
        <f t="shared" si="28"/>
        <v>16.486358465741116</v>
      </c>
      <c r="W89" s="35">
        <f t="shared" si="28"/>
        <v>16.93866894532711</v>
      </c>
      <c r="X89" s="35">
        <f t="shared" si="28"/>
        <v>17.334244301891015</v>
      </c>
      <c r="Y89" s="35">
        <f t="shared" si="28"/>
        <v>17.67301825322096</v>
      </c>
      <c r="Z89" s="35">
        <f t="shared" si="28"/>
        <v>17.954929757719313</v>
      </c>
      <c r="AA89" s="35">
        <f t="shared" si="28"/>
        <v>18.179923135926302</v>
      </c>
      <c r="AB89" s="35">
        <f t="shared" si="28"/>
        <v>18.347948194063655</v>
      </c>
    </row>
    <row r="90" spans="3:28" ht="12.7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</row>
    <row r="91" spans="3:28" ht="12.75">
      <c r="C91" s="14">
        <v>2000</v>
      </c>
      <c r="D91" s="14">
        <f aca="true" t="shared" si="29" ref="D91:AB91">1+C91</f>
        <v>2001</v>
      </c>
      <c r="E91" s="14">
        <f t="shared" si="29"/>
        <v>2002</v>
      </c>
      <c r="F91" s="14">
        <f t="shared" si="29"/>
        <v>2003</v>
      </c>
      <c r="G91" s="14">
        <f t="shared" si="29"/>
        <v>2004</v>
      </c>
      <c r="H91" s="14">
        <f t="shared" si="29"/>
        <v>2005</v>
      </c>
      <c r="I91" s="14">
        <f t="shared" si="29"/>
        <v>2006</v>
      </c>
      <c r="J91" s="14">
        <f t="shared" si="29"/>
        <v>2007</v>
      </c>
      <c r="K91" s="14">
        <f t="shared" si="29"/>
        <v>2008</v>
      </c>
      <c r="L91" s="14">
        <f t="shared" si="29"/>
        <v>2009</v>
      </c>
      <c r="M91" s="14">
        <f t="shared" si="29"/>
        <v>2010</v>
      </c>
      <c r="N91" s="14">
        <f t="shared" si="29"/>
        <v>2011</v>
      </c>
      <c r="O91" s="14">
        <f t="shared" si="29"/>
        <v>2012</v>
      </c>
      <c r="P91" s="14">
        <f t="shared" si="29"/>
        <v>2013</v>
      </c>
      <c r="Q91" s="14">
        <f t="shared" si="29"/>
        <v>2014</v>
      </c>
      <c r="R91" s="14">
        <f t="shared" si="29"/>
        <v>2015</v>
      </c>
      <c r="S91" s="14">
        <f t="shared" si="29"/>
        <v>2016</v>
      </c>
      <c r="T91" s="14">
        <f t="shared" si="29"/>
        <v>2017</v>
      </c>
      <c r="U91" s="14">
        <f t="shared" si="29"/>
        <v>2018</v>
      </c>
      <c r="V91" s="14">
        <f t="shared" si="29"/>
        <v>2019</v>
      </c>
      <c r="W91" s="14">
        <f t="shared" si="29"/>
        <v>2020</v>
      </c>
      <c r="X91" s="14">
        <f t="shared" si="29"/>
        <v>2021</v>
      </c>
      <c r="Y91" s="14">
        <f t="shared" si="29"/>
        <v>2022</v>
      </c>
      <c r="Z91" s="14">
        <f t="shared" si="29"/>
        <v>2023</v>
      </c>
      <c r="AA91" s="14">
        <f t="shared" si="29"/>
        <v>2024</v>
      </c>
      <c r="AB91" s="14">
        <f t="shared" si="29"/>
        <v>2025</v>
      </c>
    </row>
    <row r="92" ht="12.75">
      <c r="A92" s="46" t="s">
        <v>56</v>
      </c>
    </row>
    <row r="93" spans="1:28" ht="12.75">
      <c r="A93" s="19" t="s">
        <v>57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1">
        <f aca="true" t="shared" si="30" ref="M93:AA93">$AB93/16+L93</f>
        <v>0.012762075</v>
      </c>
      <c r="N93" s="41">
        <f t="shared" si="30"/>
        <v>0.02552415</v>
      </c>
      <c r="O93" s="41">
        <f t="shared" si="30"/>
        <v>0.038286225</v>
      </c>
      <c r="P93" s="41">
        <f t="shared" si="30"/>
        <v>0.0510483</v>
      </c>
      <c r="Q93" s="41">
        <f t="shared" si="30"/>
        <v>0.063810375</v>
      </c>
      <c r="R93" s="41">
        <f t="shared" si="30"/>
        <v>0.07657245</v>
      </c>
      <c r="S93" s="41">
        <f t="shared" si="30"/>
        <v>0.089334525</v>
      </c>
      <c r="T93" s="41">
        <f t="shared" si="30"/>
        <v>0.1020966</v>
      </c>
      <c r="U93" s="41">
        <f t="shared" si="30"/>
        <v>0.114858675</v>
      </c>
      <c r="V93" s="41">
        <f t="shared" si="30"/>
        <v>0.12762075</v>
      </c>
      <c r="W93" s="41">
        <f t="shared" si="30"/>
        <v>0.14038282500000002</v>
      </c>
      <c r="X93" s="41">
        <f t="shared" si="30"/>
        <v>0.15314490000000003</v>
      </c>
      <c r="Y93" s="41">
        <f t="shared" si="30"/>
        <v>0.16590697500000004</v>
      </c>
      <c r="Z93" s="41">
        <f t="shared" si="30"/>
        <v>0.17866905000000005</v>
      </c>
      <c r="AA93" s="41">
        <f t="shared" si="30"/>
        <v>0.19143112500000006</v>
      </c>
      <c r="AB93" s="41">
        <f>B18</f>
        <v>0.2041932</v>
      </c>
    </row>
    <row r="94" spans="1:28" ht="12.75">
      <c r="A94" s="46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</row>
    <row r="95" ht="12.75">
      <c r="A95" s="19" t="s">
        <v>35</v>
      </c>
    </row>
    <row r="96" spans="1:28" ht="12.75">
      <c r="A96" s="15" t="s">
        <v>14</v>
      </c>
      <c r="C96" s="24">
        <f>C36*Conversions!$E$8*(1-C93)/1000</f>
        <v>20.126438332</v>
      </c>
      <c r="D96" s="24">
        <f>D36*Conversions!$E$8*(1-D93)/1000</f>
        <v>18.018</v>
      </c>
      <c r="E96" s="24">
        <f>E36*Conversions!$E$8*(1-E93)/1000</f>
        <v>19.019</v>
      </c>
      <c r="F96" s="24">
        <f>F36*Conversions!$E$8*(1-F93)/1000</f>
        <v>17.6176</v>
      </c>
      <c r="G96" s="24">
        <f>G36*Conversions!$E$8*(1-G93)/1000</f>
        <v>17.217200000000002</v>
      </c>
      <c r="H96" s="24">
        <f>H36*Conversions!$E$8*(1-H93)/1000</f>
        <v>17.417399999999997</v>
      </c>
      <c r="I96" s="24">
        <f>I36*Conversions!$E$8*(1-I93)/1000</f>
        <v>17.217200000000002</v>
      </c>
      <c r="J96" s="24">
        <f>J36*Conversions!$E$8*(1-J93)/1000</f>
        <v>17.217200000000002</v>
      </c>
      <c r="K96" s="24">
        <f>K36*Conversions!$E$8*(1-K93)/1000</f>
        <v>17.404005644420092</v>
      </c>
      <c r="L96" s="24">
        <f>L36*Conversions!$E$8*(1-L93)/1000</f>
        <v>17.59283811949716</v>
      </c>
      <c r="M96" s="24">
        <f>M36*Conversions!$E$8*(1-M93)/1000</f>
        <v>17.556762255260107</v>
      </c>
      <c r="N96" s="24">
        <f>N36*Conversions!$E$8*(1-N93)/1000</f>
        <v>17.517832497603838</v>
      </c>
      <c r="O96" s="24">
        <f>O36*Conversions!$E$8*(1-O93)/1000</f>
        <v>17.475991164261146</v>
      </c>
      <c r="P96" s="24">
        <f>P36*Conversions!$E$8*(1-P93)/1000</f>
        <v>17.431179657230114</v>
      </c>
      <c r="Q96" s="24">
        <f>Q36*Conversions!$E$8*(1-Q93)/1000</f>
        <v>17.38333844969323</v>
      </c>
      <c r="R96" s="24">
        <f>R36*Conversions!$E$8*(1-R93)/1000</f>
        <v>17.332407072760393</v>
      </c>
      <c r="S96" s="24">
        <f>S36*Conversions!$E$8*(1-S93)/1000</f>
        <v>17.278324102033643</v>
      </c>
      <c r="T96" s="24">
        <f>T36*Conversions!$E$8*(1-T93)/1000</f>
        <v>17.2210271439912</v>
      </c>
      <c r="U96" s="24">
        <f>U36*Conversions!$E$8*(1-U93)/1000</f>
        <v>17.160452822188567</v>
      </c>
      <c r="V96" s="24">
        <f>V36*Conversions!$E$8*(1-V93)/1000</f>
        <v>17.096536763274248</v>
      </c>
      <c r="W96" s="24">
        <f>W36*Conversions!$E$8*(1-W93)/1000</f>
        <v>17.029213582817746</v>
      </c>
      <c r="X96" s="24">
        <f>X36*Conversions!$E$8*(1-X93)/1000</f>
        <v>16.958416870947367</v>
      </c>
      <c r="Y96" s="24">
        <f>Y36*Conversions!$E$8*(1-Y93)/1000</f>
        <v>16.884079177795407</v>
      </c>
      <c r="Z96" s="24">
        <f>Z36*Conversions!$E$8*(1-Z93)/1000</f>
        <v>16.806131998748196</v>
      </c>
      <c r="AA96" s="24">
        <f>AA36*Conversions!$E$8*(1-AA93)/1000</f>
        <v>16.724505759498538</v>
      </c>
      <c r="AB96" s="24">
        <f>AB36*Conversions!$E$8*(1-AB93)/1000</f>
        <v>16.63912980089792</v>
      </c>
    </row>
    <row r="97" spans="1:28" ht="12.75">
      <c r="A97" s="15" t="s">
        <v>15</v>
      </c>
      <c r="C97" s="24">
        <f>C37*Conversions!$E$9/1000</f>
        <v>5.454299999999999</v>
      </c>
      <c r="D97" s="24">
        <f>D37*Conversions!$E$9/1000</f>
        <v>6.70424375</v>
      </c>
      <c r="E97" s="24">
        <f>E37*Conversions!$E$9/1000</f>
        <v>4.7725124999999995</v>
      </c>
      <c r="F97" s="24">
        <f>F37*Conversions!$E$9/1000</f>
        <v>5.34066875</v>
      </c>
      <c r="G97" s="24">
        <f>G37*Conversions!$E$9/1000</f>
        <v>6.022456249999999</v>
      </c>
      <c r="H97" s="24">
        <f>H37*Conversions!$E$9/1000</f>
        <v>5.6815625</v>
      </c>
      <c r="I97" s="24">
        <f>I37*Conversions!$E$9/1000</f>
        <v>5.2270375</v>
      </c>
      <c r="J97" s="24">
        <f>J37*Conversions!$E$9/1000</f>
        <v>5.2270375</v>
      </c>
      <c r="K97" s="24">
        <f>K37*Conversions!$E$9/1000</f>
        <v>5.283750560694857</v>
      </c>
      <c r="L97" s="24">
        <f>L37*Conversions!$E$9/1000</f>
        <v>5.341078954884716</v>
      </c>
      <c r="M97" s="24">
        <f>M37*Conversions!$E$9/1000</f>
        <v>5.399029358903131</v>
      </c>
      <c r="N97" s="24">
        <f>N37*Conversions!$E$9/1000</f>
        <v>5.457608521521495</v>
      </c>
      <c r="O97" s="24">
        <f>O37*Conversions!$E$9/1000</f>
        <v>5.516823264734993</v>
      </c>
      <c r="P97" s="24">
        <f>P37*Conversions!$E$9/1000</f>
        <v>5.576680484557065</v>
      </c>
      <c r="Q97" s="24">
        <f>Q37*Conversions!$E$9/1000</f>
        <v>5.637187151822512</v>
      </c>
      <c r="R97" s="24">
        <f>R37*Conversions!$E$9/1000</f>
        <v>5.698350312999294</v>
      </c>
      <c r="S97" s="24">
        <f>S37*Conversions!$E$9/1000</f>
        <v>5.760177091009148</v>
      </c>
      <c r="T97" s="24">
        <f>T37*Conversions!$E$9/1000</f>
        <v>5.8226746860571135</v>
      </c>
      <c r="U97" s="24">
        <f>U37*Conversions!$E$9/1000</f>
        <v>5.885850376470041</v>
      </c>
      <c r="V97" s="24">
        <f>V37*Conversions!$E$9/1000</f>
        <v>5.94971151954422</v>
      </c>
      <c r="W97" s="24">
        <f>W37*Conversions!$E$9/1000</f>
        <v>6.014265552402183</v>
      </c>
      <c r="X97" s="24">
        <f>X37*Conversions!$E$9/1000</f>
        <v>6.079519992858824</v>
      </c>
      <c r="Y97" s="24">
        <f>Y37*Conversions!$E$9/1000</f>
        <v>6.145482440296899</v>
      </c>
      <c r="Z97" s="24">
        <f>Z37*Conversions!$E$9/1000</f>
        <v>6.212160576552042</v>
      </c>
      <c r="AA97" s="24">
        <f>AA37*Conversions!$E$9/1000</f>
        <v>6.279562166807363</v>
      </c>
      <c r="AB97" s="24">
        <f>AB37*Conversions!$E$9/1000</f>
        <v>6.34769506049777</v>
      </c>
    </row>
    <row r="98" spans="1:28" ht="12.75">
      <c r="A98" s="15" t="s">
        <v>3</v>
      </c>
      <c r="C98" s="24">
        <f aca="true" t="shared" si="31" ref="C98:AB98">SUM(C96:C97)</f>
        <v>25.580738332</v>
      </c>
      <c r="D98" s="24">
        <f t="shared" si="31"/>
        <v>24.72224375</v>
      </c>
      <c r="E98" s="24">
        <f t="shared" si="31"/>
        <v>23.791512499999996</v>
      </c>
      <c r="F98" s="24">
        <f t="shared" si="31"/>
        <v>22.95826875</v>
      </c>
      <c r="G98" s="24">
        <f t="shared" si="31"/>
        <v>23.239656250000003</v>
      </c>
      <c r="H98" s="24">
        <f t="shared" si="31"/>
        <v>23.0989625</v>
      </c>
      <c r="I98" s="24">
        <f t="shared" si="31"/>
        <v>22.4442375</v>
      </c>
      <c r="J98" s="24">
        <f t="shared" si="31"/>
        <v>22.4442375</v>
      </c>
      <c r="K98" s="24">
        <f t="shared" si="31"/>
        <v>22.68775620511495</v>
      </c>
      <c r="L98" s="24">
        <f t="shared" si="31"/>
        <v>22.933917074381874</v>
      </c>
      <c r="M98" s="24">
        <f t="shared" si="31"/>
        <v>22.95579161416324</v>
      </c>
      <c r="N98" s="24">
        <f t="shared" si="31"/>
        <v>22.975441019125334</v>
      </c>
      <c r="O98" s="24">
        <f t="shared" si="31"/>
        <v>22.992814428996137</v>
      </c>
      <c r="P98" s="24">
        <f t="shared" si="31"/>
        <v>23.00786014178718</v>
      </c>
      <c r="Q98" s="24">
        <f t="shared" si="31"/>
        <v>23.020525601515743</v>
      </c>
      <c r="R98" s="24">
        <f t="shared" si="31"/>
        <v>23.030757385759685</v>
      </c>
      <c r="S98" s="24">
        <f t="shared" si="31"/>
        <v>23.03850119304279</v>
      </c>
      <c r="T98" s="24">
        <f t="shared" si="31"/>
        <v>23.043701830048313</v>
      </c>
      <c r="U98" s="24">
        <f t="shared" si="31"/>
        <v>23.04630319865861</v>
      </c>
      <c r="V98" s="24">
        <f t="shared" si="31"/>
        <v>23.046248282818468</v>
      </c>
      <c r="W98" s="24">
        <f t="shared" si="31"/>
        <v>23.04347913521993</v>
      </c>
      <c r="X98" s="24">
        <f t="shared" si="31"/>
        <v>23.03793686380619</v>
      </c>
      <c r="Y98" s="24">
        <f t="shared" si="31"/>
        <v>23.029561618092306</v>
      </c>
      <c r="Z98" s="24">
        <f t="shared" si="31"/>
        <v>23.018292575300237</v>
      </c>
      <c r="AA98" s="24">
        <f t="shared" si="31"/>
        <v>23.0040679263059</v>
      </c>
      <c r="AB98" s="24">
        <f t="shared" si="31"/>
        <v>22.98682486139569</v>
      </c>
    </row>
    <row r="99" spans="1:28" ht="12.75">
      <c r="A99" s="36" t="s">
        <v>16</v>
      </c>
      <c r="C99" s="37">
        <f aca="true" t="shared" si="32" ref="C99:AB99">C96/C98</f>
        <v>0.7867809783591355</v>
      </c>
      <c r="D99" s="37">
        <f t="shared" si="32"/>
        <v>0.7288173428837744</v>
      </c>
      <c r="E99" s="37">
        <f t="shared" si="32"/>
        <v>0.7994027281787991</v>
      </c>
      <c r="F99" s="37">
        <f t="shared" si="32"/>
        <v>0.7673749354467332</v>
      </c>
      <c r="G99" s="37">
        <f t="shared" si="32"/>
        <v>0.7408543316986455</v>
      </c>
      <c r="H99" s="37">
        <f t="shared" si="32"/>
        <v>0.7540338662396633</v>
      </c>
      <c r="I99" s="37">
        <f t="shared" si="32"/>
        <v>0.7671100432794833</v>
      </c>
      <c r="J99" s="37">
        <f t="shared" si="32"/>
        <v>0.7671100432794833</v>
      </c>
      <c r="K99" s="37">
        <f t="shared" si="32"/>
        <v>0.7671100432794832</v>
      </c>
      <c r="L99" s="37">
        <f t="shared" si="32"/>
        <v>0.7671100432794833</v>
      </c>
      <c r="M99" s="37">
        <f t="shared" si="32"/>
        <v>0.7648075287644602</v>
      </c>
      <c r="N99" s="37">
        <f t="shared" si="32"/>
        <v>0.7624590310593626</v>
      </c>
      <c r="O99" s="37">
        <f t="shared" si="32"/>
        <v>0.7600631587850442</v>
      </c>
      <c r="P99" s="37">
        <f t="shared" si="32"/>
        <v>0.7576184638558097</v>
      </c>
      <c r="Q99" s="37">
        <f t="shared" si="32"/>
        <v>0.7551234385607885</v>
      </c>
      <c r="R99" s="37">
        <f t="shared" si="32"/>
        <v>0.7525765124631689</v>
      </c>
      <c r="S99" s="37">
        <f t="shared" si="32"/>
        <v>0.7499760491038967</v>
      </c>
      <c r="T99" s="37">
        <f t="shared" si="32"/>
        <v>0.7473203424952967</v>
      </c>
      <c r="U99" s="37">
        <f t="shared" si="32"/>
        <v>0.744607613388831</v>
      </c>
      <c r="V99" s="37">
        <f t="shared" si="32"/>
        <v>0.7418360052998356</v>
      </c>
      <c r="W99" s="37">
        <f t="shared" si="32"/>
        <v>0.7390035802705718</v>
      </c>
      <c r="X99" s="37">
        <f t="shared" si="32"/>
        <v>0.7361083143512703</v>
      </c>
      <c r="Y99" s="37">
        <f t="shared" si="32"/>
        <v>0.7331480927770274</v>
      </c>
      <c r="Z99" s="37">
        <f t="shared" si="32"/>
        <v>0.7301207048163948</v>
      </c>
      <c r="AA99" s="37">
        <f t="shared" si="32"/>
        <v>0.7270238382652975</v>
      </c>
      <c r="AB99" s="37">
        <f t="shared" si="32"/>
        <v>0.7238550735574553</v>
      </c>
    </row>
    <row r="101" ht="12.75">
      <c r="A101" s="19" t="s">
        <v>21</v>
      </c>
    </row>
    <row r="102" spans="1:28" ht="12.75">
      <c r="A102" s="15" t="s">
        <v>14</v>
      </c>
      <c r="C102" s="35">
        <f>C96*Conversions!$E$16/1000</f>
        <v>8.141144305293999</v>
      </c>
      <c r="D102" s="35">
        <f>D96*Conversions!$E$16/1000</f>
        <v>7.288281</v>
      </c>
      <c r="E102" s="35">
        <f>E96*Conversions!$E$16/1000</f>
        <v>7.693185499999999</v>
      </c>
      <c r="F102" s="35">
        <f>F96*Conversions!$E$16/1000</f>
        <v>7.1263192</v>
      </c>
      <c r="G102" s="35">
        <f>G96*Conversions!$E$16/1000</f>
        <v>6.964357400000001</v>
      </c>
      <c r="H102" s="35">
        <f>H96*Conversions!$E$16/1000</f>
        <v>7.045338299999998</v>
      </c>
      <c r="I102" s="35">
        <f>I96*Conversions!$E$16/1000</f>
        <v>6.964357400000001</v>
      </c>
      <c r="J102" s="35">
        <f>J96*Conversions!$E$16/1000</f>
        <v>6.964357400000001</v>
      </c>
      <c r="K102" s="35">
        <f>K96*Conversions!$E$16/1000</f>
        <v>7.039920283167928</v>
      </c>
      <c r="L102" s="35">
        <f>L96*Conversions!$E$16/1000</f>
        <v>7.116303019336601</v>
      </c>
      <c r="M102" s="35">
        <f>M96*Conversions!$E$16/1000</f>
        <v>7.101710332252714</v>
      </c>
      <c r="N102" s="35">
        <f>N96*Conversions!$E$16/1000</f>
        <v>7.085963245280752</v>
      </c>
      <c r="O102" s="35">
        <f>O96*Conversions!$E$16/1000</f>
        <v>7.069038425943633</v>
      </c>
      <c r="P102" s="35">
        <f>P96*Conversions!$E$16/1000</f>
        <v>7.050912171349582</v>
      </c>
      <c r="Q102" s="35">
        <f>Q96*Conversions!$E$16/1000</f>
        <v>7.0315604029009116</v>
      </c>
      <c r="R102" s="35">
        <f>R96*Conversions!$E$16/1000</f>
        <v>7.010958660931579</v>
      </c>
      <c r="S102" s="35">
        <f>S96*Conversions!$E$16/1000</f>
        <v>6.989082099272609</v>
      </c>
      <c r="T102" s="35">
        <f>T96*Conversions!$E$16/1000</f>
        <v>6.965905479744441</v>
      </c>
      <c r="U102" s="35">
        <f>U96*Conversions!$E$16/1000</f>
        <v>6.941403166575276</v>
      </c>
      <c r="V102" s="35">
        <f>V96*Conversions!$E$16/1000</f>
        <v>6.915549120744433</v>
      </c>
      <c r="W102" s="35">
        <f>W96*Conversions!$E$16/1000</f>
        <v>6.888316894249779</v>
      </c>
      <c r="X102" s="35">
        <f>X96*Conversions!$E$16/1000</f>
        <v>6.85967962429821</v>
      </c>
      <c r="Y102" s="35">
        <f>Y96*Conversions!$E$16/1000</f>
        <v>6.829610027418242</v>
      </c>
      <c r="Z102" s="35">
        <f>Z96*Conversions!$E$16/1000</f>
        <v>6.7980803934936445</v>
      </c>
      <c r="AA102" s="35">
        <f>AA96*Conversions!$E$16/1000</f>
        <v>6.765062579717159</v>
      </c>
      <c r="AB102" s="35">
        <f>AB96*Conversions!$E$16/1000</f>
        <v>6.730528004463208</v>
      </c>
    </row>
    <row r="103" spans="1:28" ht="12.75">
      <c r="A103" s="15" t="s">
        <v>15</v>
      </c>
      <c r="C103" s="35">
        <f>C97*Conversions!$E$16/1000</f>
        <v>2.2062643499999997</v>
      </c>
      <c r="D103" s="35">
        <f>D97*Conversions!$E$16/1000</f>
        <v>2.711866596875</v>
      </c>
      <c r="E103" s="35">
        <f>E97*Conversions!$E$16/1000</f>
        <v>1.9304813062499997</v>
      </c>
      <c r="F103" s="35">
        <f>F97*Conversions!$E$16/1000</f>
        <v>2.160300509375</v>
      </c>
      <c r="G103" s="35">
        <f>G97*Conversions!$E$16/1000</f>
        <v>2.436083553125</v>
      </c>
      <c r="H103" s="35">
        <f>H97*Conversions!$E$16/1000</f>
        <v>2.29819203125</v>
      </c>
      <c r="I103" s="35">
        <f>I97*Conversions!$E$16/1000</f>
        <v>2.1143366687499996</v>
      </c>
      <c r="J103" s="35">
        <f>J97*Conversions!$E$16/1000</f>
        <v>2.1143366687499996</v>
      </c>
      <c r="K103" s="35">
        <f>K97*Conversions!$E$16/1000</f>
        <v>2.13727710180107</v>
      </c>
      <c r="L103" s="35">
        <f>L97*Conversions!$E$16/1000</f>
        <v>2.1604664372508675</v>
      </c>
      <c r="M103" s="35">
        <f>M97*Conversions!$E$16/1000</f>
        <v>2.1839073756763163</v>
      </c>
      <c r="N103" s="35">
        <f>N97*Conversions!$E$16/1000</f>
        <v>2.2076026469554444</v>
      </c>
      <c r="O103" s="35">
        <f>O97*Conversions!$E$16/1000</f>
        <v>2.2315550105853044</v>
      </c>
      <c r="P103" s="35">
        <f>P97*Conversions!$E$16/1000</f>
        <v>2.255767256003333</v>
      </c>
      <c r="Q103" s="35">
        <f>Q97*Conversions!$E$16/1000</f>
        <v>2.2802422029122065</v>
      </c>
      <c r="R103" s="35">
        <f>R97*Conversions!$E$16/1000</f>
        <v>2.3049827016082145</v>
      </c>
      <c r="S103" s="35">
        <f>S97*Conversions!$E$16/1000</f>
        <v>2.3299916333132007</v>
      </c>
      <c r="T103" s="35">
        <f>T97*Conversions!$E$16/1000</f>
        <v>2.355271910510102</v>
      </c>
      <c r="U103" s="35">
        <f>U97*Conversions!$E$16/1000</f>
        <v>2.3808264772821315</v>
      </c>
      <c r="V103" s="35">
        <f>V97*Conversions!$E$16/1000</f>
        <v>2.406658309655637</v>
      </c>
      <c r="W103" s="35">
        <f>W97*Conversions!$E$16/1000</f>
        <v>2.432770415946683</v>
      </c>
      <c r="X103" s="35">
        <f>X97*Conversions!$E$16/1000</f>
        <v>2.4591658371113945</v>
      </c>
      <c r="Y103" s="35">
        <f>Y97*Conversions!$E$16/1000</f>
        <v>2.4858476471000954</v>
      </c>
      <c r="Z103" s="35">
        <f>Z97*Conversions!$E$16/1000</f>
        <v>2.512818953215301</v>
      </c>
      <c r="AA103" s="35">
        <f>AA97*Conversions!$E$16/1000</f>
        <v>2.5400828964735784</v>
      </c>
      <c r="AB103" s="35">
        <f>AB97*Conversions!$E$16/1000</f>
        <v>2.5676426519713482</v>
      </c>
    </row>
    <row r="104" spans="1:29" ht="12.75">
      <c r="A104" s="15" t="s">
        <v>3</v>
      </c>
      <c r="C104" s="35">
        <f aca="true" t="shared" si="33" ref="C104:AB104">SUM(C102:C103)</f>
        <v>10.347408655293998</v>
      </c>
      <c r="D104" s="35">
        <f t="shared" si="33"/>
        <v>10.000147596875</v>
      </c>
      <c r="E104" s="35">
        <f t="shared" si="33"/>
        <v>9.623666806249998</v>
      </c>
      <c r="F104" s="35">
        <f t="shared" si="33"/>
        <v>9.286619709375</v>
      </c>
      <c r="G104" s="35">
        <f t="shared" si="33"/>
        <v>9.400440953125</v>
      </c>
      <c r="H104" s="35">
        <f t="shared" si="33"/>
        <v>9.343530331249998</v>
      </c>
      <c r="I104" s="35">
        <f t="shared" si="33"/>
        <v>9.07869406875</v>
      </c>
      <c r="J104" s="35">
        <f t="shared" si="33"/>
        <v>9.07869406875</v>
      </c>
      <c r="K104" s="35">
        <f t="shared" si="33"/>
        <v>9.177197384968999</v>
      </c>
      <c r="L104" s="35">
        <f t="shared" si="33"/>
        <v>9.276769456587468</v>
      </c>
      <c r="M104" s="35">
        <f t="shared" si="33"/>
        <v>9.285617707929031</v>
      </c>
      <c r="N104" s="35">
        <f t="shared" si="33"/>
        <v>9.293565892236195</v>
      </c>
      <c r="O104" s="35">
        <f t="shared" si="33"/>
        <v>9.300593436528938</v>
      </c>
      <c r="P104" s="35">
        <f t="shared" si="33"/>
        <v>9.306679427352915</v>
      </c>
      <c r="Q104" s="35">
        <f t="shared" si="33"/>
        <v>9.311802605813117</v>
      </c>
      <c r="R104" s="35">
        <f t="shared" si="33"/>
        <v>9.315941362539794</v>
      </c>
      <c r="S104" s="35">
        <f t="shared" si="33"/>
        <v>9.31907373258581</v>
      </c>
      <c r="T104" s="35">
        <f t="shared" si="33"/>
        <v>9.321177390254544</v>
      </c>
      <c r="U104" s="35">
        <f t="shared" si="33"/>
        <v>9.322229643857407</v>
      </c>
      <c r="V104" s="35">
        <f t="shared" si="33"/>
        <v>9.32220743040007</v>
      </c>
      <c r="W104" s="35">
        <f t="shared" si="33"/>
        <v>9.32108731019646</v>
      </c>
      <c r="X104" s="35">
        <f t="shared" si="33"/>
        <v>9.318845461409605</v>
      </c>
      <c r="Y104" s="35">
        <f t="shared" si="33"/>
        <v>9.315457674518337</v>
      </c>
      <c r="Z104" s="35">
        <f t="shared" si="33"/>
        <v>9.310899346708945</v>
      </c>
      <c r="AA104" s="35">
        <f t="shared" si="33"/>
        <v>9.305145476190738</v>
      </c>
      <c r="AB104" s="35">
        <f t="shared" si="33"/>
        <v>9.298170656434557</v>
      </c>
      <c r="AC104" s="39"/>
    </row>
    <row r="105" ht="12.75">
      <c r="A105" s="36" t="s">
        <v>24</v>
      </c>
    </row>
    <row r="106" spans="2:28" ht="12.75">
      <c r="B106" s="44" t="s">
        <v>25</v>
      </c>
      <c r="C106" s="43">
        <f>(C104-C50)/C50</f>
        <v>0</v>
      </c>
      <c r="D106" s="43">
        <f aca="true" t="shared" si="34" ref="D106:AB106">(D104-D50)/D50</f>
        <v>0</v>
      </c>
      <c r="E106" s="43">
        <f t="shared" si="34"/>
        <v>0</v>
      </c>
      <c r="F106" s="43">
        <f t="shared" si="34"/>
        <v>0</v>
      </c>
      <c r="G106" s="43">
        <f t="shared" si="34"/>
        <v>0</v>
      </c>
      <c r="H106" s="43">
        <f t="shared" si="34"/>
        <v>0</v>
      </c>
      <c r="I106" s="43">
        <f t="shared" si="34"/>
        <v>0</v>
      </c>
      <c r="J106" s="43">
        <f t="shared" si="34"/>
        <v>0</v>
      </c>
      <c r="K106" s="43">
        <f t="shared" si="34"/>
        <v>0</v>
      </c>
      <c r="L106" s="43">
        <f t="shared" si="34"/>
        <v>0</v>
      </c>
      <c r="M106" s="43">
        <f t="shared" si="34"/>
        <v>-0.009789915905585672</v>
      </c>
      <c r="N106" s="43">
        <f t="shared" si="34"/>
        <v>-0.019579831811172066</v>
      </c>
      <c r="O106" s="43">
        <f t="shared" si="34"/>
        <v>-0.029369747716758047</v>
      </c>
      <c r="P106" s="43">
        <f t="shared" si="34"/>
        <v>-0.03915966362234409</v>
      </c>
      <c r="Q106" s="43">
        <f t="shared" si="34"/>
        <v>-0.04894957952793028</v>
      </c>
      <c r="R106" s="43">
        <f t="shared" si="34"/>
        <v>-0.05873949543351603</v>
      </c>
      <c r="S106" s="43">
        <f t="shared" si="34"/>
        <v>-0.06852941133910187</v>
      </c>
      <c r="T106" s="43">
        <f t="shared" si="34"/>
        <v>-0.07831932724468789</v>
      </c>
      <c r="U106" s="43">
        <f t="shared" si="34"/>
        <v>-0.08810924315027412</v>
      </c>
      <c r="V106" s="43">
        <f t="shared" si="34"/>
        <v>-0.09789915905586014</v>
      </c>
      <c r="W106" s="43">
        <f t="shared" si="34"/>
        <v>-0.1076890749614462</v>
      </c>
      <c r="X106" s="43">
        <f t="shared" si="34"/>
        <v>-0.11747899086703215</v>
      </c>
      <c r="Y106" s="43">
        <f t="shared" si="34"/>
        <v>-0.1272689067726183</v>
      </c>
      <c r="Z106" s="43">
        <f t="shared" si="34"/>
        <v>-0.1370588226782043</v>
      </c>
      <c r="AA106" s="43">
        <f t="shared" si="34"/>
        <v>-0.14684873858378997</v>
      </c>
      <c r="AB106" s="43">
        <f t="shared" si="34"/>
        <v>-0.15663865448937622</v>
      </c>
    </row>
    <row r="107" spans="2:28" ht="12.75">
      <c r="B107" s="44" t="s">
        <v>26</v>
      </c>
      <c r="C107" s="51">
        <f aca="true" t="shared" si="35" ref="C107:AB107">(C104-$C104)/$C104</f>
        <v>0</v>
      </c>
      <c r="D107" s="51">
        <f t="shared" si="35"/>
        <v>-0.03356019559943942</v>
      </c>
      <c r="E107" s="51">
        <f t="shared" si="35"/>
        <v>-0.06994426074722729</v>
      </c>
      <c r="F107" s="51">
        <f t="shared" si="35"/>
        <v>-0.10251735301632955</v>
      </c>
      <c r="G107" s="51">
        <f t="shared" si="35"/>
        <v>-0.0915173773178954</v>
      </c>
      <c r="H107" s="51">
        <f t="shared" si="35"/>
        <v>-0.09701736516711273</v>
      </c>
      <c r="I107" s="51">
        <f t="shared" si="35"/>
        <v>-0.1226118179738549</v>
      </c>
      <c r="J107" s="51">
        <f t="shared" si="35"/>
        <v>-0.1226118179738549</v>
      </c>
      <c r="K107" s="51">
        <f t="shared" si="35"/>
        <v>-0.11309220591440446</v>
      </c>
      <c r="L107" s="51">
        <f t="shared" si="35"/>
        <v>-0.1034693066035199</v>
      </c>
      <c r="M107" s="51">
        <f t="shared" si="35"/>
        <v>-0.10261418899520584</v>
      </c>
      <c r="N107" s="51">
        <f t="shared" si="35"/>
        <v>-0.10184605616389088</v>
      </c>
      <c r="O107" s="51">
        <f t="shared" si="35"/>
        <v>-0.1011668963349082</v>
      </c>
      <c r="P107" s="51">
        <f t="shared" si="35"/>
        <v>-0.10057873063789936</v>
      </c>
      <c r="Q107" s="51">
        <f t="shared" si="35"/>
        <v>-0.1000836135867736</v>
      </c>
      <c r="R107" s="51">
        <f t="shared" si="35"/>
        <v>-0.09968363356621458</v>
      </c>
      <c r="S107" s="51">
        <f t="shared" si="35"/>
        <v>-0.09938091332481257</v>
      </c>
      <c r="T107" s="51">
        <f t="shared" si="35"/>
        <v>-0.09917761047490943</v>
      </c>
      <c r="U107" s="51">
        <f t="shared" si="35"/>
        <v>-0.09907591799924553</v>
      </c>
      <c r="V107" s="51">
        <f t="shared" si="35"/>
        <v>-0.09907806476449631</v>
      </c>
      <c r="W107" s="51">
        <f t="shared" si="35"/>
        <v>-0.09918631604178939</v>
      </c>
      <c r="X107" s="51">
        <f t="shared" si="35"/>
        <v>-0.09940297403429156</v>
      </c>
      <c r="Y107" s="51">
        <f t="shared" si="35"/>
        <v>-0.0997303784119601</v>
      </c>
      <c r="Z107" s="51">
        <f t="shared" si="35"/>
        <v>-0.10017090685354817</v>
      </c>
      <c r="AA107" s="51">
        <f t="shared" si="35"/>
        <v>-0.10072697559596352</v>
      </c>
      <c r="AB107" s="50">
        <f t="shared" si="35"/>
        <v>-0.10140103999107296</v>
      </c>
    </row>
    <row r="109" ht="12.75">
      <c r="A109" s="19" t="s">
        <v>50</v>
      </c>
    </row>
    <row r="110" spans="1:28" ht="12.75">
      <c r="A110" s="15" t="s">
        <v>14</v>
      </c>
      <c r="C110" s="35">
        <f aca="true" t="shared" si="36" ref="C110:AB110">C48-C102</f>
        <v>0</v>
      </c>
      <c r="D110" s="35">
        <f t="shared" si="36"/>
        <v>0</v>
      </c>
      <c r="E110" s="35">
        <f t="shared" si="36"/>
        <v>0</v>
      </c>
      <c r="F110" s="35">
        <f t="shared" si="36"/>
        <v>0</v>
      </c>
      <c r="G110" s="35">
        <f t="shared" si="36"/>
        <v>0</v>
      </c>
      <c r="H110" s="35">
        <f t="shared" si="36"/>
        <v>0</v>
      </c>
      <c r="I110" s="35">
        <f t="shared" si="36"/>
        <v>0</v>
      </c>
      <c r="J110" s="35">
        <f t="shared" si="36"/>
        <v>0</v>
      </c>
      <c r="K110" s="35">
        <f t="shared" si="36"/>
        <v>0</v>
      </c>
      <c r="L110" s="35">
        <f t="shared" si="36"/>
        <v>0</v>
      </c>
      <c r="M110" s="35">
        <f t="shared" si="36"/>
        <v>0.09180417161190668</v>
      </c>
      <c r="N110" s="35">
        <f t="shared" si="36"/>
        <v>0.18560048334397639</v>
      </c>
      <c r="O110" s="35">
        <f t="shared" si="36"/>
        <v>0.28142135710734095</v>
      </c>
      <c r="P110" s="35">
        <f t="shared" si="36"/>
        <v>0.3792996838476652</v>
      </c>
      <c r="Q110" s="35">
        <f t="shared" si="36"/>
        <v>0.4792688299063972</v>
      </c>
      <c r="R110" s="35">
        <f t="shared" si="36"/>
        <v>0.5813626434648294</v>
      </c>
      <c r="S110" s="35">
        <f t="shared" si="36"/>
        <v>0.6856154610720484</v>
      </c>
      <c r="T110" s="35">
        <f t="shared" si="36"/>
        <v>0.792062114257809</v>
      </c>
      <c r="U110" s="35">
        <f t="shared" si="36"/>
        <v>0.9007379362314154</v>
      </c>
      <c r="V110" s="35">
        <f t="shared" si="36"/>
        <v>1.011678768667693</v>
      </c>
      <c r="W110" s="35">
        <f t="shared" si="36"/>
        <v>1.1249209685811712</v>
      </c>
      <c r="X110" s="35">
        <f t="shared" si="36"/>
        <v>1.2405014152895673</v>
      </c>
      <c r="Y110" s="35">
        <f t="shared" si="36"/>
        <v>1.3584575174677047</v>
      </c>
      <c r="Z110" s="35">
        <f t="shared" si="36"/>
        <v>1.4788272202930335</v>
      </c>
      <c r="AA110" s="35">
        <f t="shared" si="36"/>
        <v>1.6016490126838692</v>
      </c>
      <c r="AB110" s="35">
        <f t="shared" si="36"/>
        <v>1.7269619346315679</v>
      </c>
    </row>
    <row r="111" spans="1:28" ht="12.75">
      <c r="A111" s="15" t="s">
        <v>15</v>
      </c>
      <c r="C111" s="35">
        <f aca="true" t="shared" si="37" ref="C111:AB111">C49-C103</f>
        <v>0</v>
      </c>
      <c r="D111" s="35">
        <f t="shared" si="37"/>
        <v>0</v>
      </c>
      <c r="E111" s="35">
        <f t="shared" si="37"/>
        <v>0</v>
      </c>
      <c r="F111" s="35">
        <f t="shared" si="37"/>
        <v>0</v>
      </c>
      <c r="G111" s="35">
        <f t="shared" si="37"/>
        <v>0</v>
      </c>
      <c r="H111" s="35">
        <f t="shared" si="37"/>
        <v>0</v>
      </c>
      <c r="I111" s="35">
        <f t="shared" si="37"/>
        <v>0</v>
      </c>
      <c r="J111" s="35">
        <f t="shared" si="37"/>
        <v>0</v>
      </c>
      <c r="K111" s="35">
        <f t="shared" si="37"/>
        <v>0</v>
      </c>
      <c r="L111" s="35">
        <f t="shared" si="37"/>
        <v>0</v>
      </c>
      <c r="M111" s="35">
        <f t="shared" si="37"/>
        <v>0</v>
      </c>
      <c r="N111" s="35">
        <f t="shared" si="37"/>
        <v>0</v>
      </c>
      <c r="O111" s="35">
        <f t="shared" si="37"/>
        <v>0</v>
      </c>
      <c r="P111" s="35">
        <f t="shared" si="37"/>
        <v>0</v>
      </c>
      <c r="Q111" s="35">
        <f t="shared" si="37"/>
        <v>0</v>
      </c>
      <c r="R111" s="35">
        <f t="shared" si="37"/>
        <v>0</v>
      </c>
      <c r="S111" s="35">
        <f t="shared" si="37"/>
        <v>0</v>
      </c>
      <c r="T111" s="35">
        <f t="shared" si="37"/>
        <v>0</v>
      </c>
      <c r="U111" s="35">
        <f t="shared" si="37"/>
        <v>0</v>
      </c>
      <c r="V111" s="35">
        <f t="shared" si="37"/>
        <v>0</v>
      </c>
      <c r="W111" s="35">
        <f t="shared" si="37"/>
        <v>0</v>
      </c>
      <c r="X111" s="35">
        <f t="shared" si="37"/>
        <v>0</v>
      </c>
      <c r="Y111" s="35">
        <f t="shared" si="37"/>
        <v>0</v>
      </c>
      <c r="Z111" s="35">
        <f t="shared" si="37"/>
        <v>0</v>
      </c>
      <c r="AA111" s="35">
        <f t="shared" si="37"/>
        <v>0</v>
      </c>
      <c r="AB111" s="35">
        <f t="shared" si="37"/>
        <v>0</v>
      </c>
    </row>
    <row r="112" spans="1:28" ht="12.75">
      <c r="A112" s="15" t="s">
        <v>3</v>
      </c>
      <c r="C112" s="35">
        <f aca="true" t="shared" si="38" ref="C112:AB112">SUM(C110:C111)</f>
        <v>0</v>
      </c>
      <c r="D112" s="35">
        <f t="shared" si="38"/>
        <v>0</v>
      </c>
      <c r="E112" s="35">
        <f t="shared" si="38"/>
        <v>0</v>
      </c>
      <c r="F112" s="35">
        <f t="shared" si="38"/>
        <v>0</v>
      </c>
      <c r="G112" s="35">
        <f t="shared" si="38"/>
        <v>0</v>
      </c>
      <c r="H112" s="35">
        <f t="shared" si="38"/>
        <v>0</v>
      </c>
      <c r="I112" s="35">
        <f t="shared" si="38"/>
        <v>0</v>
      </c>
      <c r="J112" s="35">
        <f t="shared" si="38"/>
        <v>0</v>
      </c>
      <c r="K112" s="35">
        <f t="shared" si="38"/>
        <v>0</v>
      </c>
      <c r="L112" s="35">
        <f t="shared" si="38"/>
        <v>0</v>
      </c>
      <c r="M112" s="35">
        <f t="shared" si="38"/>
        <v>0.09180417161190668</v>
      </c>
      <c r="N112" s="35">
        <f t="shared" si="38"/>
        <v>0.18560048334397639</v>
      </c>
      <c r="O112" s="35">
        <f t="shared" si="38"/>
        <v>0.28142135710734095</v>
      </c>
      <c r="P112" s="35">
        <f t="shared" si="38"/>
        <v>0.3792996838476652</v>
      </c>
      <c r="Q112" s="35">
        <f t="shared" si="38"/>
        <v>0.4792688299063972</v>
      </c>
      <c r="R112" s="35">
        <f t="shared" si="38"/>
        <v>0.5813626434648294</v>
      </c>
      <c r="S112" s="35">
        <f t="shared" si="38"/>
        <v>0.6856154610720484</v>
      </c>
      <c r="T112" s="35">
        <f t="shared" si="38"/>
        <v>0.792062114257809</v>
      </c>
      <c r="U112" s="35">
        <f t="shared" si="38"/>
        <v>0.9007379362314154</v>
      </c>
      <c r="V112" s="35">
        <f t="shared" si="38"/>
        <v>1.011678768667693</v>
      </c>
      <c r="W112" s="35">
        <f t="shared" si="38"/>
        <v>1.1249209685811712</v>
      </c>
      <c r="X112" s="35">
        <f t="shared" si="38"/>
        <v>1.2405014152895673</v>
      </c>
      <c r="Y112" s="35">
        <f t="shared" si="38"/>
        <v>1.3584575174677047</v>
      </c>
      <c r="Z112" s="35">
        <f t="shared" si="38"/>
        <v>1.4788272202930335</v>
      </c>
      <c r="AA112" s="35">
        <f t="shared" si="38"/>
        <v>1.6016490126838692</v>
      </c>
      <c r="AB112" s="35">
        <f t="shared" si="38"/>
        <v>1.7269619346315679</v>
      </c>
    </row>
    <row r="113" spans="1:28" ht="12.75">
      <c r="A113" s="1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</row>
    <row r="114" ht="12.75">
      <c r="A114" s="19" t="s">
        <v>51</v>
      </c>
    </row>
    <row r="115" spans="1:28" ht="12.75">
      <c r="A115" s="15" t="s">
        <v>14</v>
      </c>
      <c r="C115" s="35">
        <f aca="true" t="shared" si="39" ref="C115:AB115">$C48-C102</f>
        <v>0</v>
      </c>
      <c r="D115" s="35">
        <f t="shared" si="39"/>
        <v>0.8528633052939991</v>
      </c>
      <c r="E115" s="35">
        <f t="shared" si="39"/>
        <v>0.44795880529399934</v>
      </c>
      <c r="F115" s="35">
        <f t="shared" si="39"/>
        <v>1.0148251052939985</v>
      </c>
      <c r="G115" s="35">
        <f t="shared" si="39"/>
        <v>1.1767869052939979</v>
      </c>
      <c r="H115" s="35">
        <f t="shared" si="39"/>
        <v>1.0958060052940004</v>
      </c>
      <c r="I115" s="35">
        <f t="shared" si="39"/>
        <v>1.1767869052939979</v>
      </c>
      <c r="J115" s="35">
        <f t="shared" si="39"/>
        <v>1.1767869052939979</v>
      </c>
      <c r="K115" s="35">
        <f t="shared" si="39"/>
        <v>1.101224022126071</v>
      </c>
      <c r="L115" s="35">
        <f t="shared" si="39"/>
        <v>1.0248412859573977</v>
      </c>
      <c r="M115" s="35">
        <f t="shared" si="39"/>
        <v>1.0394339730412847</v>
      </c>
      <c r="N115" s="35">
        <f t="shared" si="39"/>
        <v>1.055181060013247</v>
      </c>
      <c r="O115" s="35">
        <f t="shared" si="39"/>
        <v>1.0721058793503655</v>
      </c>
      <c r="P115" s="35">
        <f t="shared" si="39"/>
        <v>1.0902321339444168</v>
      </c>
      <c r="Q115" s="35">
        <f t="shared" si="39"/>
        <v>1.1095839023930871</v>
      </c>
      <c r="R115" s="35">
        <f t="shared" si="39"/>
        <v>1.1301856443624194</v>
      </c>
      <c r="S115" s="35">
        <f t="shared" si="39"/>
        <v>1.15206220602139</v>
      </c>
      <c r="T115" s="35">
        <f t="shared" si="39"/>
        <v>1.1752388255495578</v>
      </c>
      <c r="U115" s="35">
        <f t="shared" si="39"/>
        <v>1.1997411387187231</v>
      </c>
      <c r="V115" s="35">
        <f t="shared" si="39"/>
        <v>1.225595184549566</v>
      </c>
      <c r="W115" s="35">
        <f t="shared" si="39"/>
        <v>1.25282741104422</v>
      </c>
      <c r="X115" s="35">
        <f t="shared" si="39"/>
        <v>1.2814646809957884</v>
      </c>
      <c r="Y115" s="35">
        <f t="shared" si="39"/>
        <v>1.311534277875757</v>
      </c>
      <c r="Z115" s="35">
        <f t="shared" si="39"/>
        <v>1.3430639118003542</v>
      </c>
      <c r="AA115" s="35">
        <f t="shared" si="39"/>
        <v>1.3760817255768396</v>
      </c>
      <c r="AB115" s="35">
        <f t="shared" si="39"/>
        <v>1.4106163008307906</v>
      </c>
    </row>
    <row r="116" spans="1:28" ht="12.75">
      <c r="A116" s="15" t="s">
        <v>15</v>
      </c>
      <c r="C116" s="35">
        <f aca="true" t="shared" si="40" ref="C116:AB116">$C49-C103</f>
        <v>0</v>
      </c>
      <c r="D116" s="35">
        <f t="shared" si="40"/>
        <v>-0.5056022468750005</v>
      </c>
      <c r="E116" s="35">
        <f t="shared" si="40"/>
        <v>0.27578304374999996</v>
      </c>
      <c r="F116" s="35">
        <f t="shared" si="40"/>
        <v>0.04596384062499981</v>
      </c>
      <c r="G116" s="35">
        <f t="shared" si="40"/>
        <v>-0.22981920312500037</v>
      </c>
      <c r="H116" s="35">
        <f t="shared" si="40"/>
        <v>-0.0919276812500005</v>
      </c>
      <c r="I116" s="35">
        <f t="shared" si="40"/>
        <v>0.09192768125000006</v>
      </c>
      <c r="J116" s="35">
        <f t="shared" si="40"/>
        <v>0.09192768125000006</v>
      </c>
      <c r="K116" s="35">
        <f t="shared" si="40"/>
        <v>0.06898724819892976</v>
      </c>
      <c r="L116" s="35">
        <f t="shared" si="40"/>
        <v>0.04579791274913214</v>
      </c>
      <c r="M116" s="35">
        <f t="shared" si="40"/>
        <v>0.022356974323683332</v>
      </c>
      <c r="N116" s="35">
        <f t="shared" si="40"/>
        <v>-0.00133829695544474</v>
      </c>
      <c r="O116" s="35">
        <f t="shared" si="40"/>
        <v>-0.025290660585304714</v>
      </c>
      <c r="P116" s="35">
        <f t="shared" si="40"/>
        <v>-0.04950290600333318</v>
      </c>
      <c r="Q116" s="35">
        <f t="shared" si="40"/>
        <v>-0.07397785291220682</v>
      </c>
      <c r="R116" s="35">
        <f t="shared" si="40"/>
        <v>-0.09871835160821485</v>
      </c>
      <c r="S116" s="35">
        <f t="shared" si="40"/>
        <v>-0.12372728331320104</v>
      </c>
      <c r="T116" s="35">
        <f t="shared" si="40"/>
        <v>-0.14900756051010244</v>
      </c>
      <c r="U116" s="35">
        <f t="shared" si="40"/>
        <v>-0.17456212728213183</v>
      </c>
      <c r="V116" s="35">
        <f t="shared" si="40"/>
        <v>-0.20039395965563722</v>
      </c>
      <c r="W116" s="35">
        <f t="shared" si="40"/>
        <v>-0.22650606594668332</v>
      </c>
      <c r="X116" s="35">
        <f t="shared" si="40"/>
        <v>-0.2529014871113948</v>
      </c>
      <c r="Y116" s="35">
        <f t="shared" si="40"/>
        <v>-0.2795832971000958</v>
      </c>
      <c r="Z116" s="35">
        <f t="shared" si="40"/>
        <v>-0.3065546032153015</v>
      </c>
      <c r="AA116" s="35">
        <f t="shared" si="40"/>
        <v>-0.3338185464735788</v>
      </c>
      <c r="AB116" s="35">
        <f t="shared" si="40"/>
        <v>-0.36137830197134857</v>
      </c>
    </row>
    <row r="117" spans="1:28" ht="12.75">
      <c r="A117" s="15" t="s">
        <v>3</v>
      </c>
      <c r="C117" s="35">
        <f aca="true" t="shared" si="41" ref="C117:AB117">SUM(C115:C116)</f>
        <v>0</v>
      </c>
      <c r="D117" s="35">
        <f t="shared" si="41"/>
        <v>0.34726105841899857</v>
      </c>
      <c r="E117" s="35">
        <f t="shared" si="41"/>
        <v>0.7237418490439993</v>
      </c>
      <c r="F117" s="35">
        <f t="shared" si="41"/>
        <v>1.0607889459189983</v>
      </c>
      <c r="G117" s="35">
        <f t="shared" si="41"/>
        <v>0.9469677021689975</v>
      </c>
      <c r="H117" s="35">
        <f t="shared" si="41"/>
        <v>1.003878324044</v>
      </c>
      <c r="I117" s="35">
        <f t="shared" si="41"/>
        <v>1.268714586543998</v>
      </c>
      <c r="J117" s="35">
        <f t="shared" si="41"/>
        <v>1.268714586543998</v>
      </c>
      <c r="K117" s="35">
        <f t="shared" si="41"/>
        <v>1.1702112703250007</v>
      </c>
      <c r="L117" s="35">
        <f t="shared" si="41"/>
        <v>1.0706391987065298</v>
      </c>
      <c r="M117" s="35">
        <f t="shared" si="41"/>
        <v>1.061790947364968</v>
      </c>
      <c r="N117" s="35">
        <f t="shared" si="41"/>
        <v>1.0538427630578022</v>
      </c>
      <c r="O117" s="35">
        <f t="shared" si="41"/>
        <v>1.0468152187650608</v>
      </c>
      <c r="P117" s="35">
        <f t="shared" si="41"/>
        <v>1.0407292279410836</v>
      </c>
      <c r="Q117" s="35">
        <f t="shared" si="41"/>
        <v>1.0356060494808803</v>
      </c>
      <c r="R117" s="35">
        <f t="shared" si="41"/>
        <v>1.0314672927542046</v>
      </c>
      <c r="S117" s="35">
        <f t="shared" si="41"/>
        <v>1.028334922708189</v>
      </c>
      <c r="T117" s="35">
        <f t="shared" si="41"/>
        <v>1.0262312650394554</v>
      </c>
      <c r="U117" s="35">
        <f t="shared" si="41"/>
        <v>1.0251790114365913</v>
      </c>
      <c r="V117" s="35">
        <f t="shared" si="41"/>
        <v>1.0252012248939288</v>
      </c>
      <c r="W117" s="35">
        <f t="shared" si="41"/>
        <v>1.0263213450975366</v>
      </c>
      <c r="X117" s="35">
        <f t="shared" si="41"/>
        <v>1.0285631938843935</v>
      </c>
      <c r="Y117" s="35">
        <f t="shared" si="41"/>
        <v>1.0319509807756613</v>
      </c>
      <c r="Z117" s="35">
        <f t="shared" si="41"/>
        <v>1.0365093085850527</v>
      </c>
      <c r="AA117" s="35">
        <f t="shared" si="41"/>
        <v>1.0422631791032608</v>
      </c>
      <c r="AB117" s="35">
        <f t="shared" si="41"/>
        <v>1.049237998859442</v>
      </c>
    </row>
    <row r="118" spans="1:28" ht="12.75">
      <c r="A118" s="1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ht="12.75">
      <c r="A119" s="19" t="s">
        <v>52</v>
      </c>
    </row>
    <row r="120" spans="1:28" ht="12.75">
      <c r="A120" s="15" t="s">
        <v>14</v>
      </c>
      <c r="C120" s="35">
        <f>C110</f>
        <v>0</v>
      </c>
      <c r="D120" s="35">
        <f>C120+D110</f>
        <v>0</v>
      </c>
      <c r="E120" s="35">
        <f aca="true" t="shared" si="42" ref="E120:AB120">D120+E110</f>
        <v>0</v>
      </c>
      <c r="F120" s="35">
        <f t="shared" si="42"/>
        <v>0</v>
      </c>
      <c r="G120" s="35">
        <f t="shared" si="42"/>
        <v>0</v>
      </c>
      <c r="H120" s="35">
        <f t="shared" si="42"/>
        <v>0</v>
      </c>
      <c r="I120" s="35">
        <f t="shared" si="42"/>
        <v>0</v>
      </c>
      <c r="J120" s="35">
        <f t="shared" si="42"/>
        <v>0</v>
      </c>
      <c r="K120" s="35">
        <f t="shared" si="42"/>
        <v>0</v>
      </c>
      <c r="L120" s="35">
        <f t="shared" si="42"/>
        <v>0</v>
      </c>
      <c r="M120" s="35">
        <f t="shared" si="42"/>
        <v>0.09180417161190668</v>
      </c>
      <c r="N120" s="35">
        <f t="shared" si="42"/>
        <v>0.27740465495588307</v>
      </c>
      <c r="O120" s="35">
        <f t="shared" si="42"/>
        <v>0.558826012063224</v>
      </c>
      <c r="P120" s="35">
        <f t="shared" si="42"/>
        <v>0.9381256959108892</v>
      </c>
      <c r="Q120" s="35">
        <f t="shared" si="42"/>
        <v>1.4173945258172864</v>
      </c>
      <c r="R120" s="35">
        <f t="shared" si="42"/>
        <v>1.9987571692821158</v>
      </c>
      <c r="S120" s="35">
        <f t="shared" si="42"/>
        <v>2.684372630354164</v>
      </c>
      <c r="T120" s="35">
        <f t="shared" si="42"/>
        <v>3.476434744611973</v>
      </c>
      <c r="U120" s="35">
        <f t="shared" si="42"/>
        <v>4.377172680843389</v>
      </c>
      <c r="V120" s="35">
        <f t="shared" si="42"/>
        <v>5.3888514495110815</v>
      </c>
      <c r="W120" s="35">
        <f t="shared" si="42"/>
        <v>6.513772418092253</v>
      </c>
      <c r="X120" s="35">
        <f t="shared" si="42"/>
        <v>7.75427383338182</v>
      </c>
      <c r="Y120" s="35">
        <f t="shared" si="42"/>
        <v>9.112731350849526</v>
      </c>
      <c r="Z120" s="35">
        <f t="shared" si="42"/>
        <v>10.59155857114256</v>
      </c>
      <c r="AA120" s="35">
        <f t="shared" si="42"/>
        <v>12.193207583826428</v>
      </c>
      <c r="AB120" s="35">
        <f t="shared" si="42"/>
        <v>13.920169518457996</v>
      </c>
    </row>
    <row r="121" spans="1:28" ht="12.75">
      <c r="A121" s="15" t="s">
        <v>15</v>
      </c>
      <c r="C121" s="35">
        <f>C111</f>
        <v>0</v>
      </c>
      <c r="D121" s="35">
        <f>C121+D111</f>
        <v>0</v>
      </c>
      <c r="E121" s="35">
        <f aca="true" t="shared" si="43" ref="E121:AB121">D121+E111</f>
        <v>0</v>
      </c>
      <c r="F121" s="35">
        <f t="shared" si="43"/>
        <v>0</v>
      </c>
      <c r="G121" s="35">
        <f t="shared" si="43"/>
        <v>0</v>
      </c>
      <c r="H121" s="35">
        <f t="shared" si="43"/>
        <v>0</v>
      </c>
      <c r="I121" s="35">
        <f t="shared" si="43"/>
        <v>0</v>
      </c>
      <c r="J121" s="35">
        <f t="shared" si="43"/>
        <v>0</v>
      </c>
      <c r="K121" s="35">
        <f t="shared" si="43"/>
        <v>0</v>
      </c>
      <c r="L121" s="35">
        <f t="shared" si="43"/>
        <v>0</v>
      </c>
      <c r="M121" s="35">
        <f t="shared" si="43"/>
        <v>0</v>
      </c>
      <c r="N121" s="35">
        <f t="shared" si="43"/>
        <v>0</v>
      </c>
      <c r="O121" s="35">
        <f t="shared" si="43"/>
        <v>0</v>
      </c>
      <c r="P121" s="35">
        <f t="shared" si="43"/>
        <v>0</v>
      </c>
      <c r="Q121" s="35">
        <f t="shared" si="43"/>
        <v>0</v>
      </c>
      <c r="R121" s="35">
        <f t="shared" si="43"/>
        <v>0</v>
      </c>
      <c r="S121" s="35">
        <f t="shared" si="43"/>
        <v>0</v>
      </c>
      <c r="T121" s="35">
        <f t="shared" si="43"/>
        <v>0</v>
      </c>
      <c r="U121" s="35">
        <f t="shared" si="43"/>
        <v>0</v>
      </c>
      <c r="V121" s="35">
        <f t="shared" si="43"/>
        <v>0</v>
      </c>
      <c r="W121" s="35">
        <f t="shared" si="43"/>
        <v>0</v>
      </c>
      <c r="X121" s="35">
        <f t="shared" si="43"/>
        <v>0</v>
      </c>
      <c r="Y121" s="35">
        <f t="shared" si="43"/>
        <v>0</v>
      </c>
      <c r="Z121" s="35">
        <f t="shared" si="43"/>
        <v>0</v>
      </c>
      <c r="AA121" s="35">
        <f t="shared" si="43"/>
        <v>0</v>
      </c>
      <c r="AB121" s="35">
        <f t="shared" si="43"/>
        <v>0</v>
      </c>
    </row>
    <row r="122" spans="1:28" ht="12.75">
      <c r="A122" s="15" t="s">
        <v>3</v>
      </c>
      <c r="C122" s="35">
        <f aca="true" t="shared" si="44" ref="C122:AB122">SUM(C120:C121)</f>
        <v>0</v>
      </c>
      <c r="D122" s="35">
        <f t="shared" si="44"/>
        <v>0</v>
      </c>
      <c r="E122" s="35">
        <f t="shared" si="44"/>
        <v>0</v>
      </c>
      <c r="F122" s="35">
        <f t="shared" si="44"/>
        <v>0</v>
      </c>
      <c r="G122" s="35">
        <f t="shared" si="44"/>
        <v>0</v>
      </c>
      <c r="H122" s="35">
        <f t="shared" si="44"/>
        <v>0</v>
      </c>
      <c r="I122" s="35">
        <f t="shared" si="44"/>
        <v>0</v>
      </c>
      <c r="J122" s="35">
        <f t="shared" si="44"/>
        <v>0</v>
      </c>
      <c r="K122" s="35">
        <f t="shared" si="44"/>
        <v>0</v>
      </c>
      <c r="L122" s="35">
        <f t="shared" si="44"/>
        <v>0</v>
      </c>
      <c r="M122" s="35">
        <f t="shared" si="44"/>
        <v>0.09180417161190668</v>
      </c>
      <c r="N122" s="35">
        <f t="shared" si="44"/>
        <v>0.27740465495588307</v>
      </c>
      <c r="O122" s="35">
        <f t="shared" si="44"/>
        <v>0.558826012063224</v>
      </c>
      <c r="P122" s="35">
        <f t="shared" si="44"/>
        <v>0.9381256959108892</v>
      </c>
      <c r="Q122" s="35">
        <f t="shared" si="44"/>
        <v>1.4173945258172864</v>
      </c>
      <c r="R122" s="35">
        <f t="shared" si="44"/>
        <v>1.9987571692821158</v>
      </c>
      <c r="S122" s="35">
        <f t="shared" si="44"/>
        <v>2.684372630354164</v>
      </c>
      <c r="T122" s="35">
        <f t="shared" si="44"/>
        <v>3.476434744611973</v>
      </c>
      <c r="U122" s="35">
        <f t="shared" si="44"/>
        <v>4.377172680843389</v>
      </c>
      <c r="V122" s="35">
        <f t="shared" si="44"/>
        <v>5.3888514495110815</v>
      </c>
      <c r="W122" s="35">
        <f t="shared" si="44"/>
        <v>6.513772418092253</v>
      </c>
      <c r="X122" s="35">
        <f t="shared" si="44"/>
        <v>7.75427383338182</v>
      </c>
      <c r="Y122" s="35">
        <f t="shared" si="44"/>
        <v>9.112731350849526</v>
      </c>
      <c r="Z122" s="35">
        <f t="shared" si="44"/>
        <v>10.59155857114256</v>
      </c>
      <c r="AA122" s="35">
        <f t="shared" si="44"/>
        <v>12.193207583826428</v>
      </c>
      <c r="AB122" s="35">
        <f t="shared" si="44"/>
        <v>13.920169518457996</v>
      </c>
    </row>
    <row r="123" spans="1:28" ht="12.75">
      <c r="A123" s="1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</row>
    <row r="124" ht="12.75">
      <c r="A124" s="19" t="s">
        <v>53</v>
      </c>
    </row>
    <row r="125" spans="1:28" ht="12.75">
      <c r="A125" s="15" t="s">
        <v>14</v>
      </c>
      <c r="C125" s="35">
        <f>C115</f>
        <v>0</v>
      </c>
      <c r="D125" s="35">
        <f>C125+D115</f>
        <v>0.8528633052939991</v>
      </c>
      <c r="E125" s="35">
        <f aca="true" t="shared" si="45" ref="E125:AB125">D125+E115</f>
        <v>1.3008221105879985</v>
      </c>
      <c r="F125" s="35">
        <f t="shared" si="45"/>
        <v>2.315647215881997</v>
      </c>
      <c r="G125" s="35">
        <f t="shared" si="45"/>
        <v>3.492434121175995</v>
      </c>
      <c r="H125" s="35">
        <f t="shared" si="45"/>
        <v>4.588240126469995</v>
      </c>
      <c r="I125" s="35">
        <f t="shared" si="45"/>
        <v>5.765027031763993</v>
      </c>
      <c r="J125" s="35">
        <f t="shared" si="45"/>
        <v>6.941813937057991</v>
      </c>
      <c r="K125" s="35">
        <f t="shared" si="45"/>
        <v>8.043037959184062</v>
      </c>
      <c r="L125" s="35">
        <f t="shared" si="45"/>
        <v>9.067879245141459</v>
      </c>
      <c r="M125" s="35">
        <f t="shared" si="45"/>
        <v>10.107313218182743</v>
      </c>
      <c r="N125" s="35">
        <f t="shared" si="45"/>
        <v>11.16249427819599</v>
      </c>
      <c r="O125" s="35">
        <f t="shared" si="45"/>
        <v>12.234600157546355</v>
      </c>
      <c r="P125" s="35">
        <f t="shared" si="45"/>
        <v>13.324832291490772</v>
      </c>
      <c r="Q125" s="35">
        <f t="shared" si="45"/>
        <v>14.434416193883859</v>
      </c>
      <c r="R125" s="35">
        <f t="shared" si="45"/>
        <v>15.56460183824628</v>
      </c>
      <c r="S125" s="35">
        <f t="shared" si="45"/>
        <v>16.71666404426767</v>
      </c>
      <c r="T125" s="35">
        <f t="shared" si="45"/>
        <v>17.89190286981723</v>
      </c>
      <c r="U125" s="35">
        <f t="shared" si="45"/>
        <v>19.09164400853595</v>
      </c>
      <c r="V125" s="35">
        <f t="shared" si="45"/>
        <v>20.317239193085516</v>
      </c>
      <c r="W125" s="35">
        <f t="shared" si="45"/>
        <v>21.570066604129735</v>
      </c>
      <c r="X125" s="35">
        <f t="shared" si="45"/>
        <v>22.851531285125525</v>
      </c>
      <c r="Y125" s="35">
        <f t="shared" si="45"/>
        <v>24.163065563001282</v>
      </c>
      <c r="Z125" s="35">
        <f t="shared" si="45"/>
        <v>25.506129474801636</v>
      </c>
      <c r="AA125" s="35">
        <f t="shared" si="45"/>
        <v>26.882211200378475</v>
      </c>
      <c r="AB125" s="35">
        <f t="shared" si="45"/>
        <v>28.292827501209267</v>
      </c>
    </row>
    <row r="126" spans="1:28" ht="12.75">
      <c r="A126" s="15" t="s">
        <v>15</v>
      </c>
      <c r="C126" s="35">
        <f>C116</f>
        <v>0</v>
      </c>
      <c r="D126" s="35">
        <f>C126+D116</f>
        <v>-0.5056022468750005</v>
      </c>
      <c r="E126" s="35">
        <f aca="true" t="shared" si="46" ref="E126:AB126">D126+E116</f>
        <v>-0.2298192031250006</v>
      </c>
      <c r="F126" s="35">
        <f t="shared" si="46"/>
        <v>-0.18385536250000079</v>
      </c>
      <c r="G126" s="35">
        <f t="shared" si="46"/>
        <v>-0.41367456562500116</v>
      </c>
      <c r="H126" s="35">
        <f t="shared" si="46"/>
        <v>-0.5056022468750017</v>
      </c>
      <c r="I126" s="35">
        <f t="shared" si="46"/>
        <v>-0.4136745656250016</v>
      </c>
      <c r="J126" s="35">
        <f t="shared" si="46"/>
        <v>-0.32174688437500154</v>
      </c>
      <c r="K126" s="35">
        <f t="shared" si="46"/>
        <v>-0.2527596361760718</v>
      </c>
      <c r="L126" s="35">
        <f t="shared" si="46"/>
        <v>-0.20696172342693964</v>
      </c>
      <c r="M126" s="35">
        <f t="shared" si="46"/>
        <v>-0.1846047491032563</v>
      </c>
      <c r="N126" s="35">
        <f t="shared" si="46"/>
        <v>-0.18594304605870104</v>
      </c>
      <c r="O126" s="35">
        <f t="shared" si="46"/>
        <v>-0.21123370664400576</v>
      </c>
      <c r="P126" s="35">
        <f t="shared" si="46"/>
        <v>-0.26073661264733894</v>
      </c>
      <c r="Q126" s="35">
        <f t="shared" si="46"/>
        <v>-0.33471446555954576</v>
      </c>
      <c r="R126" s="35">
        <f t="shared" si="46"/>
        <v>-0.4334328171677606</v>
      </c>
      <c r="S126" s="35">
        <f t="shared" si="46"/>
        <v>-0.5571601004809617</v>
      </c>
      <c r="T126" s="35">
        <f t="shared" si="46"/>
        <v>-0.7061676609910641</v>
      </c>
      <c r="U126" s="35">
        <f t="shared" si="46"/>
        <v>-0.8807297882731959</v>
      </c>
      <c r="V126" s="35">
        <f t="shared" si="46"/>
        <v>-1.0811237479288331</v>
      </c>
      <c r="W126" s="35">
        <f t="shared" si="46"/>
        <v>-1.3076298138755165</v>
      </c>
      <c r="X126" s="35">
        <f t="shared" si="46"/>
        <v>-1.5605313009869113</v>
      </c>
      <c r="Y126" s="35">
        <f t="shared" si="46"/>
        <v>-1.840114598087007</v>
      </c>
      <c r="Z126" s="35">
        <f t="shared" si="46"/>
        <v>-2.1466692013023083</v>
      </c>
      <c r="AA126" s="35">
        <f t="shared" si="46"/>
        <v>-2.480487747775887</v>
      </c>
      <c r="AB126" s="35">
        <f t="shared" si="46"/>
        <v>-2.8418660497472357</v>
      </c>
    </row>
    <row r="127" spans="1:28" ht="12.75">
      <c r="A127" s="15" t="s">
        <v>3</v>
      </c>
      <c r="C127" s="35">
        <f aca="true" t="shared" si="47" ref="C127:AB127">SUM(C125:C126)</f>
        <v>0</v>
      </c>
      <c r="D127" s="35">
        <f t="shared" si="47"/>
        <v>0.34726105841899857</v>
      </c>
      <c r="E127" s="35">
        <f t="shared" si="47"/>
        <v>1.0710029074629979</v>
      </c>
      <c r="F127" s="35">
        <f t="shared" si="47"/>
        <v>2.131791853381996</v>
      </c>
      <c r="G127" s="35">
        <f t="shared" si="47"/>
        <v>3.0787595555509935</v>
      </c>
      <c r="H127" s="35">
        <f t="shared" si="47"/>
        <v>4.082637879594993</v>
      </c>
      <c r="I127" s="35">
        <f t="shared" si="47"/>
        <v>5.351352466138992</v>
      </c>
      <c r="J127" s="35">
        <f t="shared" si="47"/>
        <v>6.620067052682989</v>
      </c>
      <c r="K127" s="35">
        <f t="shared" si="47"/>
        <v>7.79027832300799</v>
      </c>
      <c r="L127" s="35">
        <f t="shared" si="47"/>
        <v>8.86091752171452</v>
      </c>
      <c r="M127" s="35">
        <f t="shared" si="47"/>
        <v>9.922708469079486</v>
      </c>
      <c r="N127" s="35">
        <f t="shared" si="47"/>
        <v>10.976551232137288</v>
      </c>
      <c r="O127" s="35">
        <f t="shared" si="47"/>
        <v>12.02336645090235</v>
      </c>
      <c r="P127" s="35">
        <f t="shared" si="47"/>
        <v>13.064095678843433</v>
      </c>
      <c r="Q127" s="35">
        <f t="shared" si="47"/>
        <v>14.099701728324312</v>
      </c>
      <c r="R127" s="35">
        <f t="shared" si="47"/>
        <v>15.131169021078518</v>
      </c>
      <c r="S127" s="35">
        <f t="shared" si="47"/>
        <v>16.15950394378671</v>
      </c>
      <c r="T127" s="35">
        <f t="shared" si="47"/>
        <v>17.185735208826166</v>
      </c>
      <c r="U127" s="35">
        <f t="shared" si="47"/>
        <v>18.210914220262755</v>
      </c>
      <c r="V127" s="35">
        <f t="shared" si="47"/>
        <v>19.236115445156685</v>
      </c>
      <c r="W127" s="35">
        <f t="shared" si="47"/>
        <v>20.26243679025422</v>
      </c>
      <c r="X127" s="35">
        <f t="shared" si="47"/>
        <v>21.29099998413861</v>
      </c>
      <c r="Y127" s="35">
        <f t="shared" si="47"/>
        <v>22.322950964914277</v>
      </c>
      <c r="Z127" s="35">
        <f t="shared" si="47"/>
        <v>23.359460273499327</v>
      </c>
      <c r="AA127" s="35">
        <f t="shared" si="47"/>
        <v>24.40172345260259</v>
      </c>
      <c r="AB127" s="35">
        <f t="shared" si="47"/>
        <v>25.45096145146203</v>
      </c>
    </row>
    <row r="128" spans="1:28" ht="12.75">
      <c r="A128" s="1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</row>
    <row r="129" ht="13.5" thickBot="1"/>
    <row r="130" spans="2:10" ht="12.75">
      <c r="B130" s="112" t="s">
        <v>64</v>
      </c>
      <c r="C130" s="113"/>
      <c r="D130" s="113"/>
      <c r="E130" s="112" t="s">
        <v>65</v>
      </c>
      <c r="F130" s="113"/>
      <c r="G130" s="114"/>
      <c r="H130" s="113" t="s">
        <v>66</v>
      </c>
      <c r="I130" s="113"/>
      <c r="J130" s="114"/>
    </row>
    <row r="131" spans="2:10" ht="13.5" thickBot="1">
      <c r="B131" s="94">
        <v>2000</v>
      </c>
      <c r="C131" s="95">
        <v>2025</v>
      </c>
      <c r="D131" s="96" t="s">
        <v>63</v>
      </c>
      <c r="E131" s="94">
        <v>2000</v>
      </c>
      <c r="F131" s="95">
        <v>2025</v>
      </c>
      <c r="G131" s="97" t="s">
        <v>63</v>
      </c>
      <c r="H131" s="95">
        <v>2000</v>
      </c>
      <c r="I131" s="95">
        <v>2025</v>
      </c>
      <c r="J131" s="97" t="s">
        <v>63</v>
      </c>
    </row>
    <row r="132" spans="1:10" ht="13.5" thickBot="1">
      <c r="A132" s="4" t="s">
        <v>62</v>
      </c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2.75">
      <c r="A133" s="69" t="s">
        <v>14</v>
      </c>
      <c r="B133" s="77">
        <f>C36</f>
        <v>50.26583</v>
      </c>
      <c r="C133" s="78">
        <f>AB36</f>
        <v>52.2190413980011</v>
      </c>
      <c r="D133" s="79">
        <f>(C133-B133)/B133</f>
        <v>0.0388576374447831</v>
      </c>
      <c r="E133" s="77">
        <f aca="true" t="shared" si="48" ref="E133:F135">B133</f>
        <v>50.26583</v>
      </c>
      <c r="F133" s="78">
        <f t="shared" si="48"/>
        <v>52.2190413980011</v>
      </c>
      <c r="G133" s="80">
        <f>(F133-E133)/E133</f>
        <v>0.0388576374447831</v>
      </c>
      <c r="H133" s="78">
        <f aca="true" t="shared" si="49" ref="H133:I135">E133</f>
        <v>50.26583</v>
      </c>
      <c r="I133" s="78">
        <f t="shared" si="49"/>
        <v>52.2190413980011</v>
      </c>
      <c r="J133" s="80">
        <f>(I133-H133)/H133</f>
        <v>0.0388576374447831</v>
      </c>
    </row>
    <row r="134" spans="1:10" ht="12.75">
      <c r="A134" s="69" t="s">
        <v>15</v>
      </c>
      <c r="B134" s="81">
        <f>C37</f>
        <v>24</v>
      </c>
      <c r="C134" s="21">
        <f>AB37</f>
        <v>27.931115166372678</v>
      </c>
      <c r="D134" s="82">
        <f>(C134-B134)/B134</f>
        <v>0.16379646526552824</v>
      </c>
      <c r="E134" s="81">
        <f t="shared" si="48"/>
        <v>24</v>
      </c>
      <c r="F134" s="21">
        <f t="shared" si="48"/>
        <v>27.931115166372678</v>
      </c>
      <c r="G134" s="83">
        <f>(F134-E134)/E134</f>
        <v>0.16379646526552824</v>
      </c>
      <c r="H134" s="21">
        <f t="shared" si="49"/>
        <v>24</v>
      </c>
      <c r="I134" s="21">
        <f t="shared" si="49"/>
        <v>27.931115166372678</v>
      </c>
      <c r="J134" s="83">
        <f>(I134-H134)/H134</f>
        <v>0.16379646526552824</v>
      </c>
    </row>
    <row r="135" spans="1:10" ht="13.5" thickBot="1">
      <c r="A135" s="69" t="s">
        <v>3</v>
      </c>
      <c r="B135" s="84">
        <f>C38</f>
        <v>74.26583</v>
      </c>
      <c r="C135" s="85">
        <f>AB38</f>
        <v>80.15015656437379</v>
      </c>
      <c r="D135" s="86">
        <f>(C135-B135)/B135</f>
        <v>0.07923329698696957</v>
      </c>
      <c r="E135" s="84">
        <f t="shared" si="48"/>
        <v>74.26583</v>
      </c>
      <c r="F135" s="85">
        <f t="shared" si="48"/>
        <v>80.15015656437379</v>
      </c>
      <c r="G135" s="87">
        <f>(F135-E135)/E135</f>
        <v>0.07923329698696957</v>
      </c>
      <c r="H135" s="85">
        <f t="shared" si="49"/>
        <v>74.26583</v>
      </c>
      <c r="I135" s="85">
        <f t="shared" si="49"/>
        <v>80.15015656437379</v>
      </c>
      <c r="J135" s="87">
        <f>(I135-H135)/H135</f>
        <v>0.07923329698696957</v>
      </c>
    </row>
    <row r="136" spans="2:10" ht="12.75"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3.5" thickBot="1">
      <c r="A137" s="19" t="s">
        <v>54</v>
      </c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2.75">
      <c r="A138" s="69" t="s">
        <v>14</v>
      </c>
      <c r="B138" s="77">
        <f>C42</f>
        <v>20.126438332</v>
      </c>
      <c r="C138" s="78">
        <f>AB42</f>
        <v>20.908504175759642</v>
      </c>
      <c r="D138" s="79">
        <f>(C138-B138)/B138</f>
        <v>0.03885763744478319</v>
      </c>
      <c r="E138" s="77">
        <f>B138</f>
        <v>20.126438332</v>
      </c>
      <c r="F138" s="78">
        <f>AB58</f>
        <v>18.817653758183678</v>
      </c>
      <c r="G138" s="80">
        <f>(F138-E138)/E138</f>
        <v>-0.06502812629969515</v>
      </c>
      <c r="H138" s="78">
        <f>E138</f>
        <v>20.126438332</v>
      </c>
      <c r="I138" s="78">
        <f>AB58</f>
        <v>18.817653758183678</v>
      </c>
      <c r="J138" s="80">
        <f>(I138-H138)/H138</f>
        <v>-0.06502812629969515</v>
      </c>
    </row>
    <row r="139" spans="1:10" ht="12.75">
      <c r="A139" s="69" t="s">
        <v>15</v>
      </c>
      <c r="B139" s="81">
        <f>C43</f>
        <v>5.454299999999999</v>
      </c>
      <c r="C139" s="21">
        <f>AB43</f>
        <v>6.34769506049777</v>
      </c>
      <c r="D139" s="82">
        <f>(C139-B139)/B139</f>
        <v>0.16379646526552835</v>
      </c>
      <c r="E139" s="81">
        <f>B139</f>
        <v>5.454299999999999</v>
      </c>
      <c r="F139" s="21">
        <f>AB59</f>
        <v>6.34769506049777</v>
      </c>
      <c r="G139" s="83">
        <f>(F139-E139)/E139</f>
        <v>0.16379646526552835</v>
      </c>
      <c r="H139" s="21">
        <f>E139</f>
        <v>5.454299999999999</v>
      </c>
      <c r="I139" s="21">
        <f>AB59</f>
        <v>6.34769506049777</v>
      </c>
      <c r="J139" s="83">
        <f>(I139-H139)/H139</f>
        <v>0.16379646526552835</v>
      </c>
    </row>
    <row r="140" spans="1:10" ht="13.5" thickBot="1">
      <c r="A140" s="69" t="s">
        <v>3</v>
      </c>
      <c r="B140" s="84">
        <f>C44</f>
        <v>25.580738332</v>
      </c>
      <c r="C140" s="85">
        <f>AB36</f>
        <v>52.2190413980011</v>
      </c>
      <c r="D140" s="86">
        <f>(C140-B140)/B140</f>
        <v>1.0413422286829834</v>
      </c>
      <c r="E140" s="84">
        <f>B140</f>
        <v>25.580738332</v>
      </c>
      <c r="F140" s="85">
        <f>AB60</f>
        <v>25.165348818681448</v>
      </c>
      <c r="G140" s="87">
        <f>(F140-E140)/E140</f>
        <v>-0.01623837075878782</v>
      </c>
      <c r="H140" s="85">
        <f>E140</f>
        <v>25.580738332</v>
      </c>
      <c r="I140" s="85">
        <f>AB60</f>
        <v>25.165348818681448</v>
      </c>
      <c r="J140" s="87">
        <f>(I140-H140)/H140</f>
        <v>-0.01623837075878782</v>
      </c>
    </row>
    <row r="141" spans="2:10" ht="12.75"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3.5" thickBot="1">
      <c r="A142" s="19" t="s">
        <v>55</v>
      </c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2.75">
      <c r="A143" s="69" t="s">
        <v>14</v>
      </c>
      <c r="B143" s="88">
        <f>C64</f>
        <v>8.141144305293999</v>
      </c>
      <c r="C143" s="89">
        <f>AB48</f>
        <v>8.457489939094776</v>
      </c>
      <c r="D143" s="79">
        <f>(C143-B143)/B143</f>
        <v>0.03885763744478341</v>
      </c>
      <c r="E143" s="77">
        <f>B143</f>
        <v>8.141144305293999</v>
      </c>
      <c r="F143" s="89">
        <f>AB64</f>
        <v>7.611740945185297</v>
      </c>
      <c r="G143" s="80">
        <f>(F143-E143)/E143</f>
        <v>-0.06502812629969507</v>
      </c>
      <c r="H143" s="78">
        <f>E143</f>
        <v>8.141144305293999</v>
      </c>
      <c r="I143" s="89">
        <f>AB64</f>
        <v>7.611740945185297</v>
      </c>
      <c r="J143" s="80">
        <f>(I143-H143)/H143</f>
        <v>-0.06502812629969507</v>
      </c>
    </row>
    <row r="144" spans="1:10" ht="12.75">
      <c r="A144" s="69" t="s">
        <v>15</v>
      </c>
      <c r="B144" s="90">
        <f>C65</f>
        <v>2.2062643499999997</v>
      </c>
      <c r="C144" s="91">
        <f>AB49</f>
        <v>2.5676426519713482</v>
      </c>
      <c r="D144" s="82">
        <f>(C144-B144)/B144</f>
        <v>0.1637964652655284</v>
      </c>
      <c r="E144" s="81">
        <f>B144</f>
        <v>2.2062643499999997</v>
      </c>
      <c r="F144" s="91">
        <f>AB65</f>
        <v>2.5676426519713482</v>
      </c>
      <c r="G144" s="83">
        <f>(F144-E144)/E144</f>
        <v>0.1637964652655284</v>
      </c>
      <c r="H144" s="21">
        <f>E144</f>
        <v>2.2062643499999997</v>
      </c>
      <c r="I144" s="91">
        <f>AB65</f>
        <v>2.5676426519713482</v>
      </c>
      <c r="J144" s="83">
        <f>(I144-H144)/H144</f>
        <v>0.1637964652655284</v>
      </c>
    </row>
    <row r="145" spans="1:10" ht="13.5" thickBot="1">
      <c r="A145" s="69" t="s">
        <v>3</v>
      </c>
      <c r="B145" s="92">
        <f>C66</f>
        <v>10.347408655293998</v>
      </c>
      <c r="C145" s="93">
        <f>AB50</f>
        <v>11.025132591066125</v>
      </c>
      <c r="D145" s="86">
        <f>(C145-B145)/B145</f>
        <v>0.06549697207767917</v>
      </c>
      <c r="E145" s="84">
        <f>B145</f>
        <v>10.347408655293998</v>
      </c>
      <c r="F145" s="93">
        <f>AB66</f>
        <v>10.179383597156646</v>
      </c>
      <c r="G145" s="87">
        <f>(F145-E145)/E145</f>
        <v>-0.016238370758787698</v>
      </c>
      <c r="H145" s="85">
        <f>E145</f>
        <v>10.347408655293998</v>
      </c>
      <c r="I145" s="93">
        <f>AB66</f>
        <v>10.179383597156646</v>
      </c>
      <c r="J145" s="87">
        <f>(I145-H145)/H145</f>
        <v>-0.016238370758787698</v>
      </c>
    </row>
    <row r="148" ht="13.5" thickBot="1">
      <c r="A148" s="19" t="s">
        <v>49</v>
      </c>
    </row>
    <row r="149" spans="2:7" ht="13.5" thickBot="1">
      <c r="B149" s="109" t="s">
        <v>65</v>
      </c>
      <c r="C149" s="110"/>
      <c r="D149" s="111"/>
      <c r="E149" s="109" t="s">
        <v>66</v>
      </c>
      <c r="F149" s="110"/>
      <c r="G149" s="111"/>
    </row>
    <row r="150" spans="1:7" ht="12.75">
      <c r="A150" s="2" t="s">
        <v>70</v>
      </c>
      <c r="B150" s="98">
        <v>2015</v>
      </c>
      <c r="C150" s="99">
        <v>2020</v>
      </c>
      <c r="D150" s="100">
        <v>2025</v>
      </c>
      <c r="E150" s="98">
        <v>2015</v>
      </c>
      <c r="F150" s="99">
        <v>2020</v>
      </c>
      <c r="G150" s="100">
        <v>2025</v>
      </c>
    </row>
    <row r="151" spans="1:7" ht="12.75">
      <c r="A151" s="2" t="s">
        <v>68</v>
      </c>
      <c r="B151" s="90">
        <f>R74</f>
        <v>0.2847120489148649</v>
      </c>
      <c r="C151" s="91">
        <f>W74</f>
        <v>0.5509101030696275</v>
      </c>
      <c r="D151" s="101">
        <f>AB74</f>
        <v>0.8457489939094787</v>
      </c>
      <c r="E151" s="90">
        <f>R112</f>
        <v>0.5813626434648294</v>
      </c>
      <c r="F151" s="91">
        <f>W112</f>
        <v>1.1249209685811712</v>
      </c>
      <c r="G151" s="101">
        <f>AB112</f>
        <v>1.7269619346315679</v>
      </c>
    </row>
    <row r="152" spans="1:7" ht="13.5" thickBot="1">
      <c r="A152" s="2" t="s">
        <v>67</v>
      </c>
      <c r="B152" s="92">
        <f>R84</f>
        <v>0.9788558920091912</v>
      </c>
      <c r="C152" s="93">
        <f>W84</f>
        <v>3.190004573165143</v>
      </c>
      <c r="D152" s="102">
        <f>AB84</f>
        <v>6.817156261059618</v>
      </c>
      <c r="E152" s="92">
        <f>R122</f>
        <v>1.9987571692821158</v>
      </c>
      <c r="F152" s="93">
        <f>W122</f>
        <v>6.513772418092253</v>
      </c>
      <c r="G152" s="102">
        <f>AB122</f>
        <v>13.920169518457996</v>
      </c>
    </row>
    <row r="153" spans="2:7" ht="13.5" thickBot="1">
      <c r="B153" s="35"/>
      <c r="C153" s="35"/>
      <c r="D153" s="35"/>
      <c r="E153" s="35"/>
      <c r="F153" s="35"/>
      <c r="G153" s="35"/>
    </row>
    <row r="154" spans="1:7" ht="12.75">
      <c r="A154" s="2" t="s">
        <v>69</v>
      </c>
      <c r="B154" s="98">
        <v>2015</v>
      </c>
      <c r="C154" s="99">
        <v>2020</v>
      </c>
      <c r="D154" s="100">
        <v>2025</v>
      </c>
      <c r="E154" s="98">
        <v>2015</v>
      </c>
      <c r="F154" s="99">
        <v>2020</v>
      </c>
      <c r="G154" s="100">
        <v>2025</v>
      </c>
    </row>
    <row r="155" spans="1:7" ht="12.75">
      <c r="A155" s="2" t="s">
        <v>68</v>
      </c>
      <c r="B155" s="90">
        <f>R79</f>
        <v>0.7348166982042401</v>
      </c>
      <c r="C155" s="91">
        <f>W79</f>
        <v>0.4523104795859929</v>
      </c>
      <c r="D155" s="101">
        <f>AB79</f>
        <v>0.1680250581373528</v>
      </c>
      <c r="E155" s="90">
        <f>R117</f>
        <v>1.0314672927542046</v>
      </c>
      <c r="F155" s="91">
        <f>W117</f>
        <v>1.0263213450975366</v>
      </c>
      <c r="G155" s="101">
        <f>AB117</f>
        <v>1.049237998859442</v>
      </c>
    </row>
    <row r="156" spans="1:7" ht="13.5" thickBot="1">
      <c r="A156" s="2" t="s">
        <v>67</v>
      </c>
      <c r="B156" s="92">
        <f>R89</f>
        <v>14.111267743805593</v>
      </c>
      <c r="C156" s="93">
        <f>W89</f>
        <v>16.93866894532711</v>
      </c>
      <c r="D156" s="102">
        <f>AB89</f>
        <v>18.347948194063655</v>
      </c>
      <c r="E156" s="92">
        <f>R127</f>
        <v>15.131169021078518</v>
      </c>
      <c r="F156" s="93">
        <f>W127</f>
        <v>20.26243679025422</v>
      </c>
      <c r="G156" s="102">
        <f>AB127</f>
        <v>25.45096145146203</v>
      </c>
    </row>
    <row r="157" spans="1:7" ht="12.75">
      <c r="A157" s="8"/>
      <c r="B157" s="91"/>
      <c r="C157" s="91"/>
      <c r="D157" s="91"/>
      <c r="E157" s="91"/>
      <c r="F157" s="91"/>
      <c r="G157" s="91"/>
    </row>
    <row r="158" spans="1:7" ht="12.75">
      <c r="A158" s="8"/>
      <c r="B158" s="91"/>
      <c r="C158" s="91"/>
      <c r="D158" s="91"/>
      <c r="E158" s="91"/>
      <c r="F158" s="91"/>
      <c r="G158" s="91"/>
    </row>
    <row r="159" spans="1:7" ht="12.75">
      <c r="A159" s="8"/>
      <c r="B159" s="91"/>
      <c r="C159" s="91"/>
      <c r="D159" s="91"/>
      <c r="E159" s="91"/>
      <c r="F159" s="91"/>
      <c r="G159" s="91"/>
    </row>
    <row r="160" spans="1:7" ht="12.75">
      <c r="A160" s="8"/>
      <c r="B160" s="8" t="s">
        <v>69</v>
      </c>
      <c r="C160" s="8"/>
      <c r="D160" s="8" t="s">
        <v>70</v>
      </c>
      <c r="E160" s="8"/>
      <c r="F160" s="8"/>
      <c r="G160" s="8"/>
    </row>
    <row r="161" spans="1:7" ht="12.75">
      <c r="A161" s="8"/>
      <c r="B161" s="103" t="s">
        <v>76</v>
      </c>
      <c r="C161" s="103" t="s">
        <v>77</v>
      </c>
      <c r="D161" s="103" t="s">
        <v>74</v>
      </c>
      <c r="E161" s="103" t="s">
        <v>75</v>
      </c>
      <c r="F161" s="91"/>
      <c r="G161" s="91"/>
    </row>
    <row r="162" spans="1:7" ht="12.75">
      <c r="A162" s="8" t="s">
        <v>71</v>
      </c>
      <c r="B162" s="91">
        <f>'Workplan Benchmark'!D168</f>
        <v>35.67090169828701</v>
      </c>
      <c r="C162" s="91">
        <f>'Workplan Benchmark'!G168</f>
        <v>41.88261795805833</v>
      </c>
      <c r="D162" s="91">
        <f>'Workplan Benchmark'!D164</f>
        <v>5.961729037759963</v>
      </c>
      <c r="E162" s="35">
        <f>'Workplan Benchmark'!G164</f>
        <v>12.173445297531279</v>
      </c>
      <c r="F162" s="91"/>
      <c r="G162" s="91"/>
    </row>
    <row r="163" spans="1:5" ht="12.75">
      <c r="A163" s="2" t="s">
        <v>72</v>
      </c>
      <c r="B163" s="35">
        <f>'Workplan Sensitivity - 1'!D162</f>
        <v>24.046261234056896</v>
      </c>
      <c r="C163" s="35">
        <f>'Workplan Sensitivity - 1'!G162</f>
        <v>30.966898813855014</v>
      </c>
      <c r="D163" s="35">
        <f>'Workplan Sensitivity - 1'!D158</f>
        <v>6.64212019574993</v>
      </c>
      <c r="E163" s="35">
        <f>'Workplan Sensitivity - 1'!G158</f>
        <v>13.562757775548047</v>
      </c>
    </row>
    <row r="164" spans="1:5" ht="12.75">
      <c r="A164" s="2" t="s">
        <v>73</v>
      </c>
      <c r="B164" s="35">
        <f>D156</f>
        <v>18.347948194063655</v>
      </c>
      <c r="C164" s="35">
        <f>G156</f>
        <v>25.45096145146203</v>
      </c>
      <c r="D164" s="35">
        <f>D152</f>
        <v>6.817156261059618</v>
      </c>
      <c r="E164" s="91">
        <f>G152</f>
        <v>13.920169518457996</v>
      </c>
    </row>
    <row r="167" spans="1:5" ht="12.75">
      <c r="A167" s="8"/>
      <c r="B167" s="115" t="s">
        <v>76</v>
      </c>
      <c r="C167" s="115"/>
      <c r="D167" s="115" t="s">
        <v>77</v>
      </c>
      <c r="E167" s="115"/>
    </row>
    <row r="168" spans="1:5" ht="12.75">
      <c r="A168" s="8"/>
      <c r="B168" s="2" t="s">
        <v>69</v>
      </c>
      <c r="C168" s="104" t="s">
        <v>78</v>
      </c>
      <c r="D168" s="2" t="s">
        <v>69</v>
      </c>
      <c r="E168" s="104" t="s">
        <v>78</v>
      </c>
    </row>
    <row r="169" spans="1:5" ht="12.75">
      <c r="A169" s="8" t="s">
        <v>71</v>
      </c>
      <c r="B169" s="91">
        <f>B162</f>
        <v>35.67090169828701</v>
      </c>
      <c r="C169" s="91">
        <f>D162</f>
        <v>5.961729037759963</v>
      </c>
      <c r="D169" s="91">
        <f>C162</f>
        <v>41.88261795805833</v>
      </c>
      <c r="E169" s="91">
        <f>E162</f>
        <v>12.173445297531279</v>
      </c>
    </row>
    <row r="170" spans="1:5" ht="12.75">
      <c r="A170" s="2" t="s">
        <v>72</v>
      </c>
      <c r="B170" s="91">
        <f>B163</f>
        <v>24.046261234056896</v>
      </c>
      <c r="C170" s="91">
        <f>D163</f>
        <v>6.64212019574993</v>
      </c>
      <c r="D170" s="91">
        <f>C163</f>
        <v>30.966898813855014</v>
      </c>
      <c r="E170" s="91">
        <f>E163</f>
        <v>13.562757775548047</v>
      </c>
    </row>
    <row r="171" spans="1:5" ht="12.75">
      <c r="A171" s="2" t="s">
        <v>73</v>
      </c>
      <c r="B171" s="91">
        <f>B164</f>
        <v>18.347948194063655</v>
      </c>
      <c r="C171" s="91">
        <f>D164</f>
        <v>6.817156261059618</v>
      </c>
      <c r="D171" s="91">
        <f>C164</f>
        <v>25.45096145146203</v>
      </c>
      <c r="E171" s="91">
        <f>E164</f>
        <v>13.920169518457996</v>
      </c>
    </row>
  </sheetData>
  <mergeCells count="7">
    <mergeCell ref="H130:J130"/>
    <mergeCell ref="B149:D149"/>
    <mergeCell ref="E149:G149"/>
    <mergeCell ref="B167:C167"/>
    <mergeCell ref="D167:E167"/>
    <mergeCell ref="B130:D130"/>
    <mergeCell ref="E130:G13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Stockholm Environment Institute - US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Dougherty</dc:creator>
  <cp:keywords/>
  <dc:description/>
  <cp:lastModifiedBy>nelsonh</cp:lastModifiedBy>
  <dcterms:created xsi:type="dcterms:W3CDTF">2008-07-04T12:19:24Z</dcterms:created>
  <dcterms:modified xsi:type="dcterms:W3CDTF">2009-06-04T20:43:31Z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