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20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Calcs'!$H$6</definedName>
    <definedName name="solver_lhs2" localSheetId="1" hidden="1">'Layer Calcs'!$H$6</definedName>
    <definedName name="solver_lhs3" localSheetId="1" hidden="1">'Layer Calcs'!$H$6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'Layer Calcs'!$I$4</definedName>
    <definedName name="solver_pre" localSheetId="1" hidden="1">0.0001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0.001</definedName>
    <definedName name="solver_rhs2" localSheetId="1" hidden="1">0.001</definedName>
    <definedName name="solver_rhs3" localSheetId="1" hidden="1">0.001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50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<sst xmlns="http://schemas.openxmlformats.org/spreadsheetml/2006/main" count="205" uniqueCount="161">
  <si>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</si>
  <si>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</si>
  <si>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</si>
  <si>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</si>
  <si>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</si>
  <si>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</si>
  <si>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</si>
  <si>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</si>
  <si>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</si>
  <si>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</si>
  <si>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</si>
  <si>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</si>
  <si>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</si>
  <si>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</si>
  <si>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</si>
  <si>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</si>
  <si>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</si>
  <si>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</si>
  <si>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</si>
  <si>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</si>
  <si>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</si>
  <si>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</si>
  <si>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</si>
  <si>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</si>
  <si>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</si>
  <si>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</si>
  <si>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</si>
  <si>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</si>
  <si>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</si>
  <si>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</si>
  <si>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</si>
  <si>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</si>
  <si>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</si>
  <si>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</si>
  <si>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</si>
  <si>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</si>
  <si>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</si>
  <si>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</si>
  <si>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</si>
  <si>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</si>
  <si>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</si>
  <si>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</si>
  <si>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</si>
  <si>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</si>
  <si>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</si>
  <si>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</si>
  <si>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</si>
  <si>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</si>
  <si>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</si>
  <si>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</si>
  <si>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</si>
  <si>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</si>
  <si>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</si>
  <si>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</si>
  <si>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</si>
  <si>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</si>
  <si>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</t>
    </r>
  </si>
  <si>
    <t>van Genuchten-Burdine Model</t>
  </si>
  <si>
    <r>
      <t>l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</si>
  <si>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</si>
  <si>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</si>
  <si>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</si>
  <si>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</si>
  <si>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</si>
  <si>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</si>
  <si>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</si>
  <si>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l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</si>
  <si>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t>Eps-Do</t>
  </si>
  <si>
    <t>Eps-kro</t>
  </si>
  <si>
    <t>Press Ctrl+Shift+S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</si>
  <si>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</si>
  <si>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</si>
  <si>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</si>
  <si>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</si>
  <si>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</si>
  <si>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</si>
  <si>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</si>
  <si>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</si>
  <si>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</si>
  <si>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</si>
  <si>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</si>
  <si>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</si>
  <si>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</si>
  <si>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</si>
  <si>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</si>
  <si>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</si>
  <si>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</si>
  <si>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</si>
  <si>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</si>
  <si>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</si>
  <si>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</si>
  <si>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</si>
  <si>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</si>
  <si>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</si>
  <si>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</si>
  <si>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</si>
  <si>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</si>
  <si>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</si>
  <si>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</si>
  <si>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</si>
  <si>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</si>
  <si>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</si>
  <si>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</si>
  <si>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</si>
  <si>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</si>
  <si>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</si>
  <si>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</si>
  <si>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</si>
  <si>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</si>
  <si>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</si>
  <si>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</si>
  <si>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</si>
  <si>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</si>
  <si>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</si>
  <si>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</si>
  <si>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</si>
  <si>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</si>
  <si>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</si>
  <si>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</si>
  <si>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</si>
  <si>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</si>
  <si>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</si>
  <si>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</si>
  <si>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</si>
  <si>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</si>
  <si>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</si>
  <si>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</si>
  <si>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</si>
  <si>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</si>
  <si>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T1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</si>
  <si>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T2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</si>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</sst>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5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25" fillId="0" borderId="0" xfId="0" applyFon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center"/>
    </xf>
    <xf numFmtId="164" fontId="23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1" fontId="34" fillId="5" borderId="0" xfId="0" applyNumberFormat="1" applyFont="1" applyFill="1" applyBorder="1" applyAlignment="1">
      <alignment horizontal="center" vertical="center"/>
    </xf>
    <xf numFmtId="11" fontId="13" fillId="5" borderId="0" xfId="0" applyNumberFormat="1" applyFont="1" applyFill="1" applyBorder="1" applyAlignment="1">
      <alignment horizontal="center" vertical="center"/>
    </xf>
    <xf numFmtId="11" fontId="15" fillId="5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7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45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9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/>
      <protection/>
    </xf>
    <xf numFmtId="0" fontId="39" fillId="0" borderId="9" xfId="21" applyFont="1" applyBorder="1" applyAlignment="1">
      <alignment horizontal="center" vertical="center"/>
      <protection/>
    </xf>
    <xf numFmtId="0" fontId="39" fillId="0" borderId="9" xfId="21" applyFont="1" applyFill="1" applyBorder="1" applyAlignment="1">
      <alignment horizontal="center" vertical="center"/>
      <protection/>
    </xf>
    <xf numFmtId="2" fontId="39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9" fillId="0" borderId="9" xfId="21" applyNumberFormat="1" applyFont="1" applyBorder="1" applyAlignment="1">
      <alignment horizontal="center" vertical="center"/>
      <protection/>
    </xf>
    <xf numFmtId="165" fontId="39" fillId="0" borderId="9" xfId="21" applyNumberFormat="1" applyFont="1" applyBorder="1" applyAlignment="1">
      <alignment horizontal="center" vertical="center"/>
      <protection/>
    </xf>
    <xf numFmtId="1" fontId="39" fillId="0" borderId="9" xfId="21" applyNumberFormat="1" applyFont="1" applyBorder="1" applyAlignment="1">
      <alignment horizontal="center" vertical="center"/>
      <protection/>
    </xf>
    <xf numFmtId="2" fontId="39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39" fillId="0" borderId="0" xfId="21" applyFont="1" applyAlignment="1">
      <alignment horizontal="left" vertical="top" wrapText="1"/>
      <protection/>
    </xf>
    <xf numFmtId="0" fontId="39" fillId="0" borderId="2" xfId="21" applyFont="1" applyBorder="1" applyAlignment="1">
      <alignment horizontal="center" vertical="center" wrapText="1"/>
      <protection/>
    </xf>
    <xf numFmtId="0" fontId="39" fillId="0" borderId="4" xfId="21" applyFont="1" applyBorder="1" applyAlignment="1">
      <alignment horizontal="center" vertical="center" wrapText="1"/>
      <protection/>
    </xf>
    <xf numFmtId="0" fontId="39" fillId="0" borderId="3" xfId="21" applyFont="1" applyBorder="1" applyAlignment="1">
      <alignment horizontal="center" vertical="center" wrapText="1"/>
      <protection/>
    </xf>
    <xf numFmtId="0" fontId="39" fillId="0" borderId="1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8738878"/>
        <c:axId val="13105583"/>
      </c:scatterChart>
      <c:val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3105583"/>
        <c:crosses val="autoZero"/>
        <c:crossBetween val="midCat"/>
        <c:dispUnits/>
      </c:valAx>
      <c:valAx>
        <c:axId val="131055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8738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6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0841384"/>
        <c:axId val="54919273"/>
      </c:scatterChart>
      <c:valAx>
        <c:axId val="5084138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max"/>
        <c:crossBetween val="midCat"/>
        <c:dispUnits/>
      </c:val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511410"/>
        <c:axId val="19276099"/>
      </c:scatterChart>
      <c:val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76099"/>
        <c:crosses val="autoZero"/>
        <c:crossBetween val="midCat"/>
        <c:dispUnits/>
      </c:val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267164"/>
        <c:axId val="17860157"/>
      </c:scatterChart>
      <c:val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860157"/>
        <c:crosses val="autoZero"/>
        <c:crossBetween val="midCat"/>
        <c:dispUnits/>
      </c:val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523686"/>
        <c:axId val="37386583"/>
      </c:scatterChart>
      <c:val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386583"/>
        <c:crosses val="max"/>
        <c:crossBetween val="midCat"/>
        <c:dispUnits/>
      </c:valAx>
      <c:valAx>
        <c:axId val="373865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52368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9005"/>
          <c:h val="0.90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Trench!$E$34:$E$74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Trench!$O$14:$O$15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934928"/>
        <c:axId val="8414353"/>
      </c:scatterChart>
      <c:val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2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Trench!$F$34:$F$74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8620314"/>
        <c:axId val="10473963"/>
      </c:scatterChart>
      <c:val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473963"/>
        <c:crosses val="autoZero"/>
        <c:crossBetween val="midCat"/>
        <c:dispUnits/>
      </c:val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20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2"/>
          <c:w val="0.90425"/>
          <c:h val="0.88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Trench!$G$34:$G$74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7156804"/>
        <c:axId val="43084645"/>
      </c:scatterChart>
      <c:val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3084645"/>
        <c:crosses val="max"/>
        <c:crossBetween val="midCat"/>
        <c:dispUnits/>
      </c:valAx>
      <c:valAx>
        <c:axId val="4308464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71568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9</xdr:col>
      <xdr:colOff>142875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628650" y="9239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0</xdr:row>
      <xdr:rowOff>47625</xdr:rowOff>
    </xdr:from>
    <xdr:to>
      <xdr:col>8</xdr:col>
      <xdr:colOff>38100</xdr:colOff>
      <xdr:row>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114300</xdr:rowOff>
    </xdr:from>
    <xdr:to>
      <xdr:col>6</xdr:col>
      <xdr:colOff>209550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62350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95250</xdr:rowOff>
    </xdr:from>
    <xdr:to>
      <xdr:col>5</xdr:col>
      <xdr:colOff>114300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66700" y="201930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95250</xdr:rowOff>
    </xdr:from>
    <xdr:to>
      <xdr:col>9</xdr:col>
      <xdr:colOff>180975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3162300" y="201930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95250</xdr:rowOff>
    </xdr:from>
    <xdr:to>
      <xdr:col>14</xdr:col>
      <xdr:colOff>28575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6019800" y="2019300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47625</xdr:rowOff>
    </xdr:from>
    <xdr:to>
      <xdr:col>8</xdr:col>
      <xdr:colOff>590550</xdr:colOff>
      <xdr:row>10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3876675" y="47625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  <xdr:twoCellAnchor>
    <xdr:from>
      <xdr:col>1</xdr:col>
      <xdr:colOff>0</xdr:colOff>
      <xdr:row>11</xdr:row>
      <xdr:rowOff>19050</xdr:rowOff>
    </xdr:from>
    <xdr:to>
      <xdr:col>4</xdr:col>
      <xdr:colOff>219075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219075" y="2181225"/>
        <a:ext cx="27622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11</xdr:row>
      <xdr:rowOff>19050</xdr:rowOff>
    </xdr:from>
    <xdr:to>
      <xdr:col>7</xdr:col>
      <xdr:colOff>419100</xdr:colOff>
      <xdr:row>25</xdr:row>
      <xdr:rowOff>85725</xdr:rowOff>
    </xdr:to>
    <xdr:graphicFrame>
      <xdr:nvGraphicFramePr>
        <xdr:cNvPr id="7" name="Chart 7"/>
        <xdr:cNvGraphicFramePr/>
      </xdr:nvGraphicFramePr>
      <xdr:xfrm>
        <a:off x="2981325" y="2181225"/>
        <a:ext cx="27432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11</xdr:row>
      <xdr:rowOff>19050</xdr:rowOff>
    </xdr:from>
    <xdr:to>
      <xdr:col>12</xdr:col>
      <xdr:colOff>123825</xdr:colOff>
      <xdr:row>25</xdr:row>
      <xdr:rowOff>85725</xdr:rowOff>
    </xdr:to>
    <xdr:graphicFrame>
      <xdr:nvGraphicFramePr>
        <xdr:cNvPr id="8" name="Chart 8"/>
        <xdr:cNvGraphicFramePr/>
      </xdr:nvGraphicFramePr>
      <xdr:xfrm>
        <a:off x="5734050" y="2181225"/>
        <a:ext cx="27432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2">
      <selection activeCell="B4" sqref="B4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2" s="1" customFormat="1" ht="18" customHeight="1">
      <c r="A1" s="20"/>
      <c r="B1" s="127" t="s">
        <v>57</v>
      </c>
      <c r="C1" s="128"/>
      <c r="D1" s="16"/>
      <c r="E1" s="16"/>
      <c r="F1" s="16"/>
      <c r="G1" s="113"/>
      <c r="H1" s="114"/>
      <c r="I1" s="114"/>
      <c r="J1" s="114"/>
      <c r="K1" s="114"/>
      <c r="L1" s="118"/>
    </row>
    <row r="2" spans="1:12" s="1" customFormat="1" ht="18" customHeight="1">
      <c r="A2" s="20"/>
      <c r="B2" s="71" t="s">
        <v>14</v>
      </c>
      <c r="C2" s="72"/>
      <c r="D2" s="16"/>
      <c r="E2" s="16"/>
      <c r="F2" s="16"/>
      <c r="G2" s="113"/>
      <c r="H2" s="114"/>
      <c r="I2" s="114"/>
      <c r="J2" s="114"/>
      <c r="K2" s="114"/>
      <c r="L2" s="118"/>
    </row>
    <row r="3" spans="1:12" s="1" customFormat="1" ht="18" customHeight="1">
      <c r="A3" s="20"/>
      <c r="B3" s="129" t="s">
        <v>17</v>
      </c>
      <c r="C3" s="130"/>
      <c r="D3" s="16"/>
      <c r="E3" s="20"/>
      <c r="F3" s="20"/>
      <c r="G3" s="114"/>
      <c r="H3" s="27" t="s">
        <v>20</v>
      </c>
      <c r="I3" s="28"/>
      <c r="J3" s="114"/>
      <c r="K3" s="114"/>
      <c r="L3" s="118"/>
    </row>
    <row r="4" spans="1:12" s="1" customFormat="1" ht="18" customHeight="1">
      <c r="A4" s="20"/>
      <c r="B4" s="129" t="s">
        <v>77</v>
      </c>
      <c r="C4" s="130"/>
      <c r="D4" s="16"/>
      <c r="E4" s="20"/>
      <c r="F4" s="20"/>
      <c r="G4" s="114"/>
      <c r="H4" s="29" t="s">
        <v>11</v>
      </c>
      <c r="I4" s="30">
        <f>C5*(1-C8)</f>
        <v>0.45000000000000007</v>
      </c>
      <c r="J4" s="119" t="s">
        <v>84</v>
      </c>
      <c r="K4" s="114"/>
      <c r="L4" s="118"/>
    </row>
    <row r="5" spans="1:12" s="1" customFormat="1" ht="18" customHeight="1">
      <c r="A5" s="20"/>
      <c r="B5" s="131" t="s">
        <v>18</v>
      </c>
      <c r="C5" s="165">
        <v>3</v>
      </c>
      <c r="D5" s="16"/>
      <c r="E5" s="20"/>
      <c r="F5" s="20"/>
      <c r="G5" s="114"/>
      <c r="H5" s="29" t="s">
        <v>10</v>
      </c>
      <c r="I5" s="30">
        <f>-C5*C8</f>
        <v>-2.55</v>
      </c>
      <c r="J5" s="119" t="s">
        <v>85</v>
      </c>
      <c r="K5" s="114"/>
      <c r="L5" s="118"/>
    </row>
    <row r="6" spans="1:12" s="1" customFormat="1" ht="18" customHeight="1">
      <c r="A6" s="20"/>
      <c r="B6" s="19"/>
      <c r="C6" s="16"/>
      <c r="D6" s="16"/>
      <c r="E6" s="20"/>
      <c r="F6" s="20"/>
      <c r="G6" s="114"/>
      <c r="H6" s="79" t="s">
        <v>56</v>
      </c>
      <c r="I6" s="80">
        <f>zmax(C5,C8,C14,C18,I8,I9,C20,C21,C22,C26,I13,I14,C28,C29,C30)</f>
        <v>2.7499999999999853</v>
      </c>
      <c r="J6" s="119" t="s">
        <v>86</v>
      </c>
      <c r="K6" s="114"/>
      <c r="L6" s="118"/>
    </row>
    <row r="7" spans="1:12" s="1" customFormat="1" ht="18" customHeight="1">
      <c r="A7" s="20"/>
      <c r="B7" s="129" t="s">
        <v>7</v>
      </c>
      <c r="C7" s="132"/>
      <c r="D7" s="18"/>
      <c r="E7" s="20"/>
      <c r="F7" s="20"/>
      <c r="G7" s="114"/>
      <c r="H7" s="40" t="s">
        <v>50</v>
      </c>
      <c r="I7" s="41">
        <f>1-1/C18</f>
        <v>0.33333333333333337</v>
      </c>
      <c r="J7" s="119" t="s">
        <v>21</v>
      </c>
      <c r="K7" s="114"/>
      <c r="L7" s="118"/>
    </row>
    <row r="8" spans="1:12" s="1" customFormat="1" ht="18" customHeight="1">
      <c r="A8" s="20"/>
      <c r="B8" s="133" t="s">
        <v>60</v>
      </c>
      <c r="C8" s="134">
        <v>0.85</v>
      </c>
      <c r="D8" s="17" t="s">
        <v>78</v>
      </c>
      <c r="E8" s="20"/>
      <c r="F8" s="20"/>
      <c r="G8" s="114"/>
      <c r="H8" s="31" t="s">
        <v>51</v>
      </c>
      <c r="I8" s="32">
        <f>C19*C8*C9/C10</f>
        <v>1.105</v>
      </c>
      <c r="J8" s="119" t="s">
        <v>87</v>
      </c>
      <c r="K8" s="120"/>
      <c r="L8" s="118"/>
    </row>
    <row r="9" spans="1:12" s="2" customFormat="1" ht="18" customHeight="1">
      <c r="A9" s="25"/>
      <c r="B9" s="133" t="s">
        <v>61</v>
      </c>
      <c r="C9" s="134">
        <v>65</v>
      </c>
      <c r="D9" s="17" t="s">
        <v>79</v>
      </c>
      <c r="E9" s="25"/>
      <c r="F9" s="25"/>
      <c r="G9" s="24"/>
      <c r="H9" s="31" t="s">
        <v>52</v>
      </c>
      <c r="I9" s="32">
        <f>C19*(1-C8)*C9/C11</f>
        <v>0.32500000000000007</v>
      </c>
      <c r="J9" s="119" t="s">
        <v>88</v>
      </c>
      <c r="K9" s="120"/>
      <c r="L9" s="121"/>
    </row>
    <row r="10" spans="1:13" s="2" customFormat="1" ht="18" customHeight="1">
      <c r="A10" s="25"/>
      <c r="B10" s="133" t="s">
        <v>63</v>
      </c>
      <c r="C10" s="134">
        <v>25</v>
      </c>
      <c r="D10" s="17" t="s">
        <v>80</v>
      </c>
      <c r="F10" s="25"/>
      <c r="G10" s="24"/>
      <c r="H10" s="81" t="s">
        <v>58</v>
      </c>
      <c r="I10" s="30">
        <f>I7*(1-0.5^(1/I7))/(1-I7)</f>
        <v>0.43750000000000006</v>
      </c>
      <c r="J10" s="119" t="s">
        <v>23</v>
      </c>
      <c r="K10" s="122"/>
      <c r="L10" s="117"/>
      <c r="M10" s="24"/>
    </row>
    <row r="11" spans="1:13" s="2" customFormat="1" ht="18" customHeight="1">
      <c r="A11" s="25"/>
      <c r="B11" s="133" t="s">
        <v>62</v>
      </c>
      <c r="C11" s="134">
        <v>15</v>
      </c>
      <c r="D11" s="17" t="s">
        <v>81</v>
      </c>
      <c r="E11" s="21"/>
      <c r="F11" s="21"/>
      <c r="G11" s="24"/>
      <c r="H11" s="81" t="s">
        <v>59</v>
      </c>
      <c r="I11" s="32">
        <f>((0.72-0.35*EXP(-(C18^4)))^(1/I10)*((0.72-0.35*EXP(-(C18^4)))^(-1/I7)-1)^(1-I7))/C19</f>
        <v>1.3372060454299688</v>
      </c>
      <c r="J11" s="123" t="s">
        <v>89</v>
      </c>
      <c r="K11" s="122"/>
      <c r="L11" s="117"/>
      <c r="M11" s="24"/>
    </row>
    <row r="12" spans="1:13" s="3" customFormat="1" ht="18" customHeight="1">
      <c r="A12" s="73"/>
      <c r="B12" s="73"/>
      <c r="C12" s="73"/>
      <c r="D12" s="73"/>
      <c r="E12" s="21"/>
      <c r="F12" s="21"/>
      <c r="G12" s="33"/>
      <c r="H12" s="40" t="s">
        <v>53</v>
      </c>
      <c r="I12" s="41">
        <f>1-1/C26</f>
        <v>0.75</v>
      </c>
      <c r="J12" s="119" t="s">
        <v>21</v>
      </c>
      <c r="K12" s="33"/>
      <c r="L12" s="33"/>
      <c r="M12" s="33"/>
    </row>
    <row r="13" spans="1:13" s="2" customFormat="1" ht="18" customHeight="1">
      <c r="A13" s="25"/>
      <c r="B13" s="129" t="s">
        <v>39</v>
      </c>
      <c r="C13" s="130"/>
      <c r="D13" s="25"/>
      <c r="E13" s="21"/>
      <c r="F13" s="21"/>
      <c r="G13" s="24"/>
      <c r="H13" s="31" t="s">
        <v>54</v>
      </c>
      <c r="I13" s="32">
        <f>C27*C8*C9/C10</f>
        <v>4.42</v>
      </c>
      <c r="J13" s="119" t="s">
        <v>90</v>
      </c>
      <c r="K13" s="24"/>
      <c r="L13" s="24"/>
      <c r="M13" s="24"/>
    </row>
    <row r="14" spans="1:13" ht="18" customHeight="1">
      <c r="A14" s="26"/>
      <c r="B14" s="135" t="s">
        <v>36</v>
      </c>
      <c r="C14" s="166">
        <v>-0.4</v>
      </c>
      <c r="D14" s="22" t="s">
        <v>82</v>
      </c>
      <c r="E14" s="26"/>
      <c r="F14" s="26"/>
      <c r="G14" s="34"/>
      <c r="H14" s="31" t="s">
        <v>55</v>
      </c>
      <c r="I14" s="32">
        <f>C27*(1-C8)*C9/C11</f>
        <v>1.3000000000000003</v>
      </c>
      <c r="J14" s="119" t="s">
        <v>88</v>
      </c>
      <c r="K14" s="34"/>
      <c r="L14" s="34"/>
      <c r="M14" s="34"/>
    </row>
    <row r="15" spans="1:13" s="2" customFormat="1" ht="18" customHeight="1">
      <c r="A15" s="25"/>
      <c r="B15" s="25"/>
      <c r="C15" s="25"/>
      <c r="D15" s="25"/>
      <c r="E15" s="25"/>
      <c r="F15" s="25"/>
      <c r="G15" s="24"/>
      <c r="H15" s="81" t="s">
        <v>66</v>
      </c>
      <c r="I15" s="30">
        <f>I12*(1-0.5^(1/I12))/(1-I12)</f>
        <v>1.8094492110238505</v>
      </c>
      <c r="J15" s="119" t="s">
        <v>23</v>
      </c>
      <c r="K15" s="24"/>
      <c r="L15" s="24"/>
      <c r="M15" s="24"/>
    </row>
    <row r="16" spans="1:13" s="2" customFormat="1" ht="18" customHeight="1">
      <c r="A16" s="25"/>
      <c r="B16" s="136" t="s">
        <v>40</v>
      </c>
      <c r="C16" s="128"/>
      <c r="D16" s="20"/>
      <c r="E16" s="25"/>
      <c r="F16" s="25"/>
      <c r="G16" s="24"/>
      <c r="H16" s="78" t="s">
        <v>59</v>
      </c>
      <c r="I16" s="82">
        <f>((0.72-0.35*EXP(-(C26^4)))^(1/I15)*((0.72-0.35*EXP(-(C26^4)))^(-1/I12)-1)^(1-I12))/C27</f>
        <v>0.35903641314881884</v>
      </c>
      <c r="J16" s="123" t="s">
        <v>89</v>
      </c>
      <c r="K16" s="24"/>
      <c r="L16" s="24"/>
      <c r="M16" s="24"/>
    </row>
    <row r="17" spans="1:13" s="2" customFormat="1" ht="18" customHeight="1">
      <c r="A17" s="25"/>
      <c r="B17" s="137" t="s">
        <v>64</v>
      </c>
      <c r="C17" s="167">
        <v>0.4</v>
      </c>
      <c r="D17" s="22" t="s">
        <v>8</v>
      </c>
      <c r="E17" s="25"/>
      <c r="F17" s="25"/>
      <c r="G17" s="24"/>
      <c r="H17" s="121"/>
      <c r="I17" s="121"/>
      <c r="J17" s="121"/>
      <c r="K17" s="24"/>
      <c r="L17" s="24"/>
      <c r="M17" s="24"/>
    </row>
    <row r="18" spans="1:13" ht="18" customHeight="1">
      <c r="A18" s="26"/>
      <c r="B18" s="138" t="s">
        <v>37</v>
      </c>
      <c r="C18" s="165">
        <v>1.5</v>
      </c>
      <c r="D18" s="23" t="s">
        <v>19</v>
      </c>
      <c r="E18" s="26"/>
      <c r="F18" s="26"/>
      <c r="G18" s="34"/>
      <c r="H18" s="124"/>
      <c r="I18" s="124"/>
      <c r="J18" s="124"/>
      <c r="K18" s="34"/>
      <c r="L18" s="34"/>
      <c r="M18" s="34"/>
    </row>
    <row r="19" spans="1:13" s="9" customFormat="1" ht="18" customHeight="1">
      <c r="A19" s="26"/>
      <c r="B19" s="139" t="s">
        <v>38</v>
      </c>
      <c r="C19" s="168">
        <v>0.5</v>
      </c>
      <c r="D19" s="23" t="s">
        <v>83</v>
      </c>
      <c r="E19" s="26"/>
      <c r="F19" s="26"/>
      <c r="G19" s="34"/>
      <c r="H19" s="34"/>
      <c r="I19" s="34"/>
      <c r="J19" s="34"/>
      <c r="K19" s="34"/>
      <c r="L19" s="34"/>
      <c r="M19" s="34"/>
    </row>
    <row r="20" spans="1:13" ht="18" customHeight="1">
      <c r="A20" s="26"/>
      <c r="B20" s="138" t="s">
        <v>41</v>
      </c>
      <c r="C20" s="165">
        <v>0.6</v>
      </c>
      <c r="D20" s="17" t="s">
        <v>9</v>
      </c>
      <c r="E20" s="26"/>
      <c r="F20" s="26"/>
      <c r="G20" s="34"/>
      <c r="H20" s="177" t="s">
        <v>134</v>
      </c>
      <c r="I20" s="34"/>
      <c r="J20" s="34"/>
      <c r="K20" s="34"/>
      <c r="L20" s="34"/>
      <c r="M20" s="34"/>
    </row>
    <row r="21" spans="1:14" s="4" customFormat="1" ht="18" customHeight="1">
      <c r="A21" s="74"/>
      <c r="B21" s="138" t="s">
        <v>42</v>
      </c>
      <c r="C21" s="165">
        <v>0.05</v>
      </c>
      <c r="D21" s="17" t="s">
        <v>16</v>
      </c>
      <c r="E21" s="74"/>
      <c r="F21" s="74"/>
      <c r="G21" s="115"/>
      <c r="H21" s="177" t="s">
        <v>69</v>
      </c>
      <c r="I21" s="115"/>
      <c r="J21" s="115"/>
      <c r="K21" s="115"/>
      <c r="L21" s="115"/>
      <c r="M21" s="8"/>
      <c r="N21" s="8"/>
    </row>
    <row r="22" spans="1:14" s="4" customFormat="1" ht="18" customHeight="1">
      <c r="A22" s="74"/>
      <c r="B22" s="138" t="s">
        <v>43</v>
      </c>
      <c r="C22" s="165">
        <v>0.1</v>
      </c>
      <c r="D22" s="17" t="s">
        <v>15</v>
      </c>
      <c r="E22" s="74"/>
      <c r="F22" s="74"/>
      <c r="G22" s="115"/>
      <c r="H22" s="115"/>
      <c r="I22" s="115"/>
      <c r="J22" s="115"/>
      <c r="K22" s="24"/>
      <c r="L22" s="115"/>
      <c r="M22" s="8"/>
      <c r="N22" s="8"/>
    </row>
    <row r="23" spans="1:14" ht="18" customHeight="1">
      <c r="A23" s="26"/>
      <c r="B23" s="73"/>
      <c r="C23" s="73"/>
      <c r="D23" s="73"/>
      <c r="E23" s="25"/>
      <c r="F23" s="25"/>
      <c r="G23" s="116"/>
      <c r="H23" s="194" t="s">
        <v>160</v>
      </c>
      <c r="I23" s="24"/>
      <c r="J23" s="116"/>
      <c r="K23" s="24"/>
      <c r="L23" s="24"/>
      <c r="M23" s="9"/>
      <c r="N23" s="9"/>
    </row>
    <row r="24" spans="1:14" ht="18" customHeight="1">
      <c r="A24" s="26"/>
      <c r="B24" s="136" t="s">
        <v>44</v>
      </c>
      <c r="C24" s="128"/>
      <c r="D24" s="20"/>
      <c r="E24" s="26"/>
      <c r="F24" s="26"/>
      <c r="G24" s="117"/>
      <c r="H24" s="34"/>
      <c r="I24" s="34"/>
      <c r="J24" s="117"/>
      <c r="K24" s="34"/>
      <c r="L24" s="34"/>
      <c r="M24" s="9"/>
      <c r="N24" s="9"/>
    </row>
    <row r="25" spans="1:14" ht="18" customHeight="1">
      <c r="A25" s="26"/>
      <c r="B25" s="137" t="s">
        <v>65</v>
      </c>
      <c r="C25" s="167">
        <v>0.35</v>
      </c>
      <c r="D25" s="22" t="s">
        <v>8</v>
      </c>
      <c r="E25" s="26"/>
      <c r="F25" s="26"/>
      <c r="G25" s="117"/>
      <c r="H25" s="117"/>
      <c r="I25" s="34"/>
      <c r="J25" s="117"/>
      <c r="K25" s="34"/>
      <c r="L25" s="34"/>
      <c r="M25" s="9"/>
      <c r="N25" s="9"/>
    </row>
    <row r="26" spans="1:14" ht="18" customHeight="1">
      <c r="A26" s="26"/>
      <c r="B26" s="138" t="s">
        <v>45</v>
      </c>
      <c r="C26" s="165">
        <v>4</v>
      </c>
      <c r="D26" s="23" t="s">
        <v>19</v>
      </c>
      <c r="E26" s="26"/>
      <c r="F26" s="26"/>
      <c r="G26" s="117"/>
      <c r="H26" s="117"/>
      <c r="I26" s="34"/>
      <c r="J26" s="117"/>
      <c r="K26" s="34"/>
      <c r="L26" s="34"/>
      <c r="M26" s="7"/>
      <c r="N26" s="9"/>
    </row>
    <row r="27" spans="1:14" ht="18" customHeight="1">
      <c r="A27" s="26"/>
      <c r="B27" s="139" t="s">
        <v>46</v>
      </c>
      <c r="C27" s="168">
        <v>2</v>
      </c>
      <c r="D27" s="23" t="s">
        <v>83</v>
      </c>
      <c r="E27" s="26"/>
      <c r="F27" s="26"/>
      <c r="G27" s="117"/>
      <c r="H27" s="117"/>
      <c r="I27" s="34"/>
      <c r="J27" s="117"/>
      <c r="K27" s="125"/>
      <c r="L27" s="117"/>
      <c r="M27" s="6"/>
      <c r="N27" s="9"/>
    </row>
    <row r="28" spans="1:14" ht="18" customHeight="1">
      <c r="A28" s="26"/>
      <c r="B28" s="138" t="s">
        <v>47</v>
      </c>
      <c r="C28" s="165">
        <v>0.1</v>
      </c>
      <c r="D28" s="17" t="s">
        <v>9</v>
      </c>
      <c r="E28" s="26"/>
      <c r="F28" s="26"/>
      <c r="G28" s="117"/>
      <c r="H28" s="117"/>
      <c r="I28" s="34"/>
      <c r="J28" s="117"/>
      <c r="K28" s="125"/>
      <c r="L28" s="117"/>
      <c r="M28" s="6"/>
      <c r="N28" s="9"/>
    </row>
    <row r="29" spans="1:14" ht="18" customHeight="1">
      <c r="A29" s="26"/>
      <c r="B29" s="138" t="s">
        <v>48</v>
      </c>
      <c r="C29" s="165">
        <v>0.1</v>
      </c>
      <c r="D29" s="17" t="s">
        <v>16</v>
      </c>
      <c r="E29" s="26"/>
      <c r="F29" s="26"/>
      <c r="G29" s="117"/>
      <c r="H29" s="117"/>
      <c r="I29" s="34"/>
      <c r="J29" s="117"/>
      <c r="K29" s="125"/>
      <c r="L29" s="117"/>
      <c r="M29" s="6"/>
      <c r="N29" s="9"/>
    </row>
    <row r="30" spans="1:14" ht="18" customHeight="1">
      <c r="A30" s="26"/>
      <c r="B30" s="138" t="s">
        <v>49</v>
      </c>
      <c r="C30" s="165">
        <v>0.2</v>
      </c>
      <c r="D30" s="17" t="s">
        <v>15</v>
      </c>
      <c r="E30" s="26"/>
      <c r="F30" s="26"/>
      <c r="G30" s="117"/>
      <c r="H30" s="117"/>
      <c r="I30" s="34"/>
      <c r="J30" s="117"/>
      <c r="K30" s="125"/>
      <c r="L30" s="117"/>
      <c r="M30" s="6"/>
      <c r="N30" s="9"/>
    </row>
    <row r="31" spans="1:14" ht="18" customHeight="1">
      <c r="A31" s="26"/>
      <c r="B31" s="26"/>
      <c r="C31" s="26"/>
      <c r="D31" s="26"/>
      <c r="E31" s="26"/>
      <c r="F31" s="26"/>
      <c r="G31" s="117"/>
      <c r="H31" s="117"/>
      <c r="I31" s="34"/>
      <c r="J31" s="117"/>
      <c r="K31" s="125"/>
      <c r="L31" s="117"/>
      <c r="M31" s="6"/>
      <c r="N31" s="9"/>
    </row>
    <row r="32" spans="1:14" ht="18" customHeight="1">
      <c r="A32" s="34"/>
      <c r="B32" s="34"/>
      <c r="C32" s="34"/>
      <c r="D32" s="34"/>
      <c r="E32" s="34"/>
      <c r="F32" s="34"/>
      <c r="G32" s="117"/>
      <c r="H32" s="117"/>
      <c r="I32" s="34"/>
      <c r="J32" s="117"/>
      <c r="K32" s="125"/>
      <c r="L32" s="117"/>
      <c r="M32" s="6"/>
      <c r="N32" s="9"/>
    </row>
    <row r="33" spans="1:14" ht="18" customHeight="1">
      <c r="A33" s="34"/>
      <c r="B33" s="34"/>
      <c r="C33" s="34"/>
      <c r="D33" s="34"/>
      <c r="E33" s="34"/>
      <c r="F33" s="34"/>
      <c r="G33" s="117"/>
      <c r="H33" s="117"/>
      <c r="I33" s="34"/>
      <c r="J33" s="117"/>
      <c r="K33" s="125"/>
      <c r="L33" s="117"/>
      <c r="M33" s="6"/>
      <c r="N33" s="9"/>
    </row>
    <row r="34" spans="1:14" ht="18" customHeight="1">
      <c r="A34" s="34"/>
      <c r="B34" s="34"/>
      <c r="C34" s="34"/>
      <c r="D34" s="34"/>
      <c r="E34" s="34"/>
      <c r="F34" s="34"/>
      <c r="G34" s="117"/>
      <c r="H34" s="117"/>
      <c r="I34" s="34"/>
      <c r="J34" s="117"/>
      <c r="K34" s="125"/>
      <c r="L34" s="117"/>
      <c r="M34" s="6"/>
      <c r="N34" s="9"/>
    </row>
    <row r="35" spans="1:14" ht="18" customHeight="1">
      <c r="A35" s="34"/>
      <c r="B35" s="34"/>
      <c r="C35" s="34"/>
      <c r="D35" s="34"/>
      <c r="E35" s="34"/>
      <c r="F35" s="34"/>
      <c r="G35" s="7"/>
      <c r="H35" s="117"/>
      <c r="I35" s="34"/>
      <c r="J35" s="11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117"/>
      <c r="I36" s="34"/>
      <c r="J36" s="11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117"/>
      <c r="I37" s="34"/>
      <c r="J37" s="11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117"/>
      <c r="I38" s="34"/>
      <c r="J38" s="11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7"/>
  <sheetViews>
    <sheetView workbookViewId="0" topLeftCell="A1">
      <selection activeCell="C3" sqref="C3"/>
    </sheetView>
  </sheetViews>
  <sheetFormatPr defaultColWidth="9.140625" defaultRowHeight="12.75"/>
  <cols>
    <col min="2" max="2" width="9.140625" style="43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9" ht="12.75">
      <c r="A1" s="95"/>
      <c r="B1" s="92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5"/>
      <c r="B2" s="15" t="s">
        <v>13</v>
      </c>
      <c r="C2" s="13"/>
      <c r="D2" s="13"/>
      <c r="E2" s="14"/>
      <c r="F2" s="104" t="s">
        <v>69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5"/>
    </row>
    <row r="3" spans="1:19" ht="15.75">
      <c r="A3" s="95"/>
      <c r="B3" s="64" t="s">
        <v>91</v>
      </c>
      <c r="C3" s="65" t="s">
        <v>92</v>
      </c>
      <c r="D3" s="67" t="s">
        <v>6</v>
      </c>
      <c r="E3" s="10" t="s">
        <v>133</v>
      </c>
      <c r="F3" s="10" t="s">
        <v>12</v>
      </c>
      <c r="G3" s="142" t="s">
        <v>93</v>
      </c>
      <c r="H3" s="57" t="s">
        <v>26</v>
      </c>
      <c r="I3" s="95"/>
      <c r="J3" s="95"/>
      <c r="K3" s="99"/>
      <c r="L3" s="99"/>
      <c r="M3" s="99"/>
      <c r="N3" s="99"/>
      <c r="O3" s="99"/>
      <c r="P3" s="99"/>
      <c r="Q3" s="99"/>
      <c r="R3" s="99"/>
      <c r="S3" s="95"/>
    </row>
    <row r="4" spans="1:19" ht="12.75">
      <c r="A4" s="95"/>
      <c r="B4" s="61">
        <v>0</v>
      </c>
      <c r="C4" s="66">
        <v>0</v>
      </c>
      <c r="D4" s="42">
        <v>0</v>
      </c>
      <c r="E4" s="63"/>
      <c r="F4" s="12"/>
      <c r="G4" s="11"/>
      <c r="H4" s="12"/>
      <c r="I4" s="95"/>
      <c r="J4" s="95"/>
      <c r="K4" s="99"/>
      <c r="L4" s="99"/>
      <c r="M4" s="99"/>
      <c r="N4" s="99"/>
      <c r="O4" s="99"/>
      <c r="P4" s="99"/>
      <c r="Q4" s="99"/>
      <c r="R4" s="99"/>
      <c r="S4" s="95"/>
    </row>
    <row r="5" spans="1:19" ht="12.75">
      <c r="A5" s="95"/>
      <c r="B5" s="60">
        <f>B52</f>
        <v>1.44</v>
      </c>
      <c r="C5" s="59">
        <f>C52</f>
        <v>0.16261197553677378</v>
      </c>
      <c r="D5" s="169">
        <f>D52</f>
        <v>0.010066594483527182</v>
      </c>
      <c r="E5" s="58">
        <f>IF(B5&gt;0,B5-C5/F5,)</f>
        <v>0</v>
      </c>
      <c r="F5" s="56">
        <f>IF(C5&gt;0,(C5-C4)/(B5-B4),)</f>
        <v>0.11292498301164847</v>
      </c>
      <c r="G5" s="55">
        <f>B5-D5/H5</f>
        <v>0</v>
      </c>
      <c r="H5" s="56">
        <f>(D5-D4)/(B5-B4)</f>
        <v>0.0069906906135605434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5"/>
    </row>
    <row r="6" spans="1:18" ht="12.75">
      <c r="A6" s="95"/>
      <c r="B6" s="60">
        <f>B55</f>
        <v>1.8</v>
      </c>
      <c r="C6" s="59">
        <f>C55</f>
        <v>0.24331250404922497</v>
      </c>
      <c r="D6" s="169">
        <f>D55</f>
        <v>0.05364886480407344</v>
      </c>
      <c r="E6" s="58">
        <f>IF(B6&gt;0,B6-C6/F6,)</f>
        <v>0.7145981684096845</v>
      </c>
      <c r="F6" s="56">
        <f>IF(C6&gt;0,(C6-C5)/(B6-B5),)</f>
        <v>0.2241681347568088</v>
      </c>
      <c r="G6" s="55">
        <f>B6-D6/H6</f>
        <v>1.3568475164920146</v>
      </c>
      <c r="H6" s="56">
        <f>(D6-D5)/(B6-B5)</f>
        <v>0.12106186200151735</v>
      </c>
      <c r="I6" s="170">
        <v>0.001</v>
      </c>
      <c r="J6" s="86" t="s">
        <v>67</v>
      </c>
      <c r="K6" s="99"/>
      <c r="L6" s="99"/>
      <c r="M6" s="99"/>
      <c r="N6" s="99"/>
      <c r="O6" s="99"/>
      <c r="P6" s="99"/>
      <c r="Q6" s="99"/>
      <c r="R6" s="99"/>
    </row>
    <row r="7" spans="1:18" ht="12.75">
      <c r="A7" s="95"/>
      <c r="B7" s="61">
        <f>B65</f>
        <v>3</v>
      </c>
      <c r="C7" s="62">
        <f>C65</f>
        <v>0.5841133114055931</v>
      </c>
      <c r="D7" s="42">
        <f>D65</f>
        <v>0.24550790426045144</v>
      </c>
      <c r="E7" s="58">
        <f>IF(B7&gt;0,B7-C7/F7,)</f>
        <v>0.9432678604139633</v>
      </c>
      <c r="F7" s="56">
        <f>IF(C7&gt;0,(C7-C6)/(B7-B6),)</f>
        <v>0.28400067279697344</v>
      </c>
      <c r="G7" s="55">
        <f>B7-D7/H7</f>
        <v>1.4644482431096213</v>
      </c>
      <c r="H7" s="56">
        <f>(D7-D6)/(B7-B6)</f>
        <v>0.159882532880315</v>
      </c>
      <c r="I7" s="171">
        <v>0.001</v>
      </c>
      <c r="J7" s="87" t="s">
        <v>68</v>
      </c>
      <c r="K7" s="99"/>
      <c r="L7" s="99"/>
      <c r="M7" s="99"/>
      <c r="N7" s="99"/>
      <c r="O7" s="99"/>
      <c r="P7" s="99"/>
      <c r="Q7" s="99"/>
      <c r="R7" s="99"/>
    </row>
    <row r="8" spans="1:18" ht="12.75">
      <c r="A8" s="95"/>
      <c r="B8" s="47"/>
      <c r="C8" s="46"/>
      <c r="D8" s="46"/>
      <c r="E8" s="46"/>
      <c r="F8" s="46"/>
      <c r="G8" s="46"/>
      <c r="H8" s="46"/>
      <c r="I8" s="46"/>
      <c r="J8" s="110"/>
      <c r="K8" s="110"/>
      <c r="L8" s="110"/>
      <c r="M8" s="110"/>
      <c r="N8" s="110"/>
      <c r="O8" s="110"/>
      <c r="P8" s="110"/>
      <c r="Q8" s="110"/>
      <c r="R8" s="99"/>
    </row>
    <row r="9" spans="1:18" ht="12.75">
      <c r="A9" s="95"/>
      <c r="B9" s="49"/>
      <c r="C9" s="50"/>
      <c r="D9" s="46"/>
      <c r="E9" s="46"/>
      <c r="F9" s="46"/>
      <c r="G9" s="46"/>
      <c r="H9" s="46"/>
      <c r="I9" s="46"/>
      <c r="J9" s="110"/>
      <c r="K9" s="110"/>
      <c r="L9" s="110"/>
      <c r="M9" s="110"/>
      <c r="N9" s="110"/>
      <c r="O9" s="110"/>
      <c r="P9" s="110"/>
      <c r="Q9" s="110"/>
      <c r="R9" s="99"/>
    </row>
    <row r="10" spans="1:18" ht="12.75">
      <c r="A10" s="95"/>
      <c r="B10" s="51"/>
      <c r="C10" s="50"/>
      <c r="D10" s="46"/>
      <c r="E10" s="46"/>
      <c r="F10" s="46"/>
      <c r="G10" s="46"/>
      <c r="H10" s="46"/>
      <c r="I10" s="46"/>
      <c r="J10" s="110"/>
      <c r="K10" s="110"/>
      <c r="L10" s="110"/>
      <c r="M10" s="110"/>
      <c r="N10" s="110"/>
      <c r="O10" s="110"/>
      <c r="P10" s="110"/>
      <c r="Q10" s="110"/>
      <c r="R10" s="99"/>
    </row>
    <row r="11" spans="1:18" ht="12.75">
      <c r="A11" s="95"/>
      <c r="B11" s="51"/>
      <c r="C11" s="52"/>
      <c r="D11" s="46"/>
      <c r="E11" s="46"/>
      <c r="F11" s="46"/>
      <c r="G11" s="46"/>
      <c r="H11" s="46"/>
      <c r="I11" s="46"/>
      <c r="J11" s="110"/>
      <c r="K11" s="110"/>
      <c r="L11" s="110"/>
      <c r="M11" s="110"/>
      <c r="N11" s="110"/>
      <c r="O11" s="110"/>
      <c r="P11" s="110"/>
      <c r="Q11" s="110"/>
      <c r="R11" s="99"/>
    </row>
    <row r="12" spans="1:18" ht="12.75">
      <c r="A12" s="95"/>
      <c r="B12" s="47"/>
      <c r="C12" s="48"/>
      <c r="D12" s="48"/>
      <c r="E12" s="48"/>
      <c r="F12" s="48"/>
      <c r="G12" s="48"/>
      <c r="H12" s="48"/>
      <c r="I12" s="48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15.75">
      <c r="A13" s="95"/>
      <c r="B13" s="47"/>
      <c r="C13" s="48"/>
      <c r="D13" s="48"/>
      <c r="E13" s="48"/>
      <c r="F13" s="48"/>
      <c r="G13" s="48"/>
      <c r="H13" s="48"/>
      <c r="I13" s="48"/>
      <c r="J13" s="111"/>
      <c r="K13" s="112"/>
      <c r="L13" s="99"/>
      <c r="M13" s="99"/>
      <c r="N13" s="99"/>
      <c r="O13" s="99"/>
      <c r="P13" s="99"/>
      <c r="Q13" s="99"/>
      <c r="R13" s="99"/>
    </row>
    <row r="14" spans="1:18" ht="12.75">
      <c r="A14" s="95"/>
      <c r="B14" s="47"/>
      <c r="C14" s="48"/>
      <c r="D14" s="48"/>
      <c r="E14" s="48"/>
      <c r="F14" s="48"/>
      <c r="G14" s="48"/>
      <c r="H14" s="48"/>
      <c r="I14" s="48"/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12.75">
      <c r="A15" s="95"/>
      <c r="B15" s="47"/>
      <c r="C15" s="48"/>
      <c r="D15" s="48"/>
      <c r="E15" s="48"/>
      <c r="F15" s="48"/>
      <c r="G15" s="48"/>
      <c r="H15" s="48"/>
      <c r="I15" s="48"/>
      <c r="J15" s="99"/>
      <c r="K15" s="99"/>
      <c r="L15" s="99"/>
      <c r="M15" s="99"/>
      <c r="N15" s="99"/>
      <c r="O15" s="99"/>
      <c r="P15" s="99"/>
      <c r="Q15" s="99"/>
      <c r="R15" s="99"/>
    </row>
    <row r="16" spans="1:18" ht="12.75">
      <c r="A16" s="95"/>
      <c r="B16" s="47"/>
      <c r="C16" s="48"/>
      <c r="D16" s="48"/>
      <c r="E16" s="48"/>
      <c r="F16" s="48"/>
      <c r="G16" s="48"/>
      <c r="H16" s="48"/>
      <c r="I16" s="48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2.75">
      <c r="A17" s="95"/>
      <c r="B17" s="47"/>
      <c r="C17" s="48"/>
      <c r="D17" s="48"/>
      <c r="E17" s="48"/>
      <c r="F17" s="48"/>
      <c r="G17" s="48"/>
      <c r="H17" s="48"/>
      <c r="I17" s="48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2.75">
      <c r="A18" s="95"/>
      <c r="B18" s="47"/>
      <c r="C18" s="48"/>
      <c r="D18" s="48"/>
      <c r="E18" s="48"/>
      <c r="F18" s="48"/>
      <c r="G18" s="48"/>
      <c r="H18" s="48"/>
      <c r="I18" s="48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2.75">
      <c r="A19" s="95"/>
      <c r="B19" s="47"/>
      <c r="C19" s="48"/>
      <c r="D19" s="48"/>
      <c r="E19" s="48"/>
      <c r="F19" s="48"/>
      <c r="G19" s="48"/>
      <c r="H19" s="48"/>
      <c r="I19" s="48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2.75">
      <c r="A20" s="95"/>
      <c r="B20" s="47"/>
      <c r="C20" s="48"/>
      <c r="D20" s="48"/>
      <c r="E20" s="48"/>
      <c r="F20" s="48"/>
      <c r="G20" s="48"/>
      <c r="H20" s="48"/>
      <c r="I20" s="48"/>
      <c r="J20" s="99"/>
      <c r="K20" s="99"/>
      <c r="L20" s="99"/>
      <c r="M20" s="99"/>
      <c r="N20" s="99"/>
      <c r="O20" s="99"/>
      <c r="P20" s="99"/>
      <c r="Q20" s="99"/>
      <c r="R20" s="99"/>
    </row>
    <row r="21" spans="1:18" ht="12.75">
      <c r="A21" s="99"/>
      <c r="B21" s="47"/>
      <c r="C21" s="48"/>
      <c r="D21" s="48"/>
      <c r="E21" s="48"/>
      <c r="F21" s="48"/>
      <c r="G21" s="48"/>
      <c r="H21" s="48"/>
      <c r="I21" s="48"/>
      <c r="J21" s="99"/>
      <c r="K21" s="99"/>
      <c r="L21" s="99"/>
      <c r="M21" s="99"/>
      <c r="N21" s="99"/>
      <c r="O21" s="99"/>
      <c r="P21" s="99"/>
      <c r="Q21" s="99"/>
      <c r="R21" s="99"/>
    </row>
    <row r="22" spans="1:18" ht="12.75">
      <c r="A22" s="99"/>
      <c r="B22" s="47"/>
      <c r="C22" s="53"/>
      <c r="D22" s="54"/>
      <c r="E22" s="54"/>
      <c r="F22" s="54"/>
      <c r="G22" s="48"/>
      <c r="H22" s="48"/>
      <c r="I22" s="48"/>
      <c r="J22" s="99"/>
      <c r="K22" s="99"/>
      <c r="L22" s="99"/>
      <c r="M22" s="99"/>
      <c r="N22" s="99"/>
      <c r="O22" s="99"/>
      <c r="P22" s="99"/>
      <c r="Q22" s="99"/>
      <c r="R22" s="99"/>
    </row>
    <row r="23" spans="1:18" ht="12.75">
      <c r="A23" s="99"/>
      <c r="B23" s="47"/>
      <c r="C23" s="53"/>
      <c r="D23" s="54"/>
      <c r="E23" s="54"/>
      <c r="F23" s="54"/>
      <c r="G23" s="48"/>
      <c r="H23" s="48"/>
      <c r="I23" s="48"/>
      <c r="J23" s="99"/>
      <c r="K23" s="99"/>
      <c r="L23" s="99"/>
      <c r="M23" s="99"/>
      <c r="N23" s="99"/>
      <c r="O23" s="99"/>
      <c r="P23" s="99"/>
      <c r="Q23" s="99"/>
      <c r="R23" s="99"/>
    </row>
    <row r="24" spans="1:18" ht="12.75">
      <c r="A24" s="99"/>
      <c r="B24" s="47"/>
      <c r="C24" s="53"/>
      <c r="D24" s="53"/>
      <c r="E24" s="53"/>
      <c r="F24" s="53"/>
      <c r="G24" s="48"/>
      <c r="H24" s="48"/>
      <c r="I24" s="48"/>
      <c r="J24" s="99"/>
      <c r="K24" s="99"/>
      <c r="L24" s="99"/>
      <c r="M24" s="99"/>
      <c r="N24" s="99"/>
      <c r="O24" s="99"/>
      <c r="P24" s="99"/>
      <c r="Q24" s="99"/>
      <c r="R24" s="99"/>
    </row>
    <row r="25" spans="1:18" ht="12.75">
      <c r="A25" s="99"/>
      <c r="B25" s="47"/>
      <c r="C25" s="53"/>
      <c r="D25" s="53"/>
      <c r="E25" s="53"/>
      <c r="F25" s="53"/>
      <c r="G25" s="48"/>
      <c r="H25" s="45"/>
      <c r="I25" s="4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2.75">
      <c r="A26" s="99"/>
      <c r="B26" s="47"/>
      <c r="C26" s="53"/>
      <c r="D26" s="53"/>
      <c r="E26" s="53"/>
      <c r="F26" s="53"/>
      <c r="G26" s="48"/>
      <c r="H26" s="45"/>
      <c r="I26" s="45"/>
      <c r="J26" s="95"/>
      <c r="K26" s="95"/>
      <c r="L26" s="95"/>
      <c r="M26" s="95"/>
      <c r="N26" s="95"/>
      <c r="O26" s="95"/>
      <c r="P26" s="95"/>
      <c r="Q26" s="95"/>
      <c r="R26" s="95"/>
    </row>
    <row r="27" spans="1:18" ht="12.75">
      <c r="A27" s="99"/>
      <c r="B27" s="47"/>
      <c r="C27" s="48"/>
      <c r="D27" s="48"/>
      <c r="E27" s="48"/>
      <c r="F27" s="48"/>
      <c r="G27" s="48"/>
      <c r="H27" s="45"/>
      <c r="I27" s="4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12.75">
      <c r="A28" s="99"/>
      <c r="B28" s="47"/>
      <c r="C28" s="48"/>
      <c r="D28" s="48"/>
      <c r="E28" s="48"/>
      <c r="F28" s="48"/>
      <c r="G28" s="48"/>
      <c r="H28" s="45"/>
      <c r="I28" s="45"/>
      <c r="J28" s="95"/>
      <c r="K28" s="95"/>
      <c r="L28" s="95"/>
      <c r="M28" s="95"/>
      <c r="N28" s="95"/>
      <c r="O28" s="95"/>
      <c r="P28" s="95"/>
      <c r="Q28" s="95"/>
      <c r="R28" s="95"/>
    </row>
    <row r="29" spans="1:18" ht="12.75">
      <c r="A29" s="99"/>
      <c r="B29" s="47"/>
      <c r="C29" s="48"/>
      <c r="D29" s="48"/>
      <c r="E29" s="48"/>
      <c r="F29" s="48"/>
      <c r="G29" s="48"/>
      <c r="H29" s="45"/>
      <c r="I29" s="45"/>
      <c r="J29" s="95"/>
      <c r="K29" s="95"/>
      <c r="L29" s="95"/>
      <c r="M29" s="95"/>
      <c r="N29" s="95"/>
      <c r="O29" s="95"/>
      <c r="P29" s="95"/>
      <c r="Q29" s="95"/>
      <c r="R29" s="95"/>
    </row>
    <row r="30" spans="1:18" ht="12.75">
      <c r="A30" s="99"/>
      <c r="B30" s="47"/>
      <c r="C30" s="48"/>
      <c r="D30" s="48"/>
      <c r="E30" s="48"/>
      <c r="F30" s="48"/>
      <c r="G30" s="48"/>
      <c r="H30" s="45"/>
      <c r="I30" s="45"/>
      <c r="J30" s="95"/>
      <c r="K30" s="95"/>
      <c r="L30" s="95"/>
      <c r="M30" s="95"/>
      <c r="N30" s="95"/>
      <c r="O30" s="95"/>
      <c r="P30" s="95"/>
      <c r="Q30" s="95"/>
      <c r="R30" s="95"/>
    </row>
    <row r="31" spans="1:18" ht="12.75">
      <c r="A31" s="99"/>
      <c r="B31" s="108"/>
      <c r="C31" s="99"/>
      <c r="D31" s="99"/>
      <c r="E31" s="99"/>
      <c r="F31" s="99"/>
      <c r="G31" s="99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12.75">
      <c r="A32" s="99"/>
      <c r="B32" s="108"/>
      <c r="C32" s="99"/>
      <c r="D32" s="99"/>
      <c r="E32" s="99"/>
      <c r="F32" s="99"/>
      <c r="G32" s="9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2.75">
      <c r="A33" s="99"/>
      <c r="B33" s="108"/>
      <c r="C33" s="99"/>
      <c r="D33" s="99"/>
      <c r="E33" s="99"/>
      <c r="F33" s="99"/>
      <c r="G33" s="9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.75">
      <c r="A34" s="99"/>
      <c r="B34" s="108"/>
      <c r="C34" s="99"/>
      <c r="D34" s="99"/>
      <c r="E34" s="99"/>
      <c r="F34" s="99"/>
      <c r="G34" s="99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ht="12.75">
      <c r="A35" s="99"/>
      <c r="B35" s="108"/>
      <c r="C35" s="99"/>
      <c r="D35" s="99"/>
      <c r="E35" s="99"/>
      <c r="F35" s="99"/>
      <c r="G35" s="99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12.75">
      <c r="A36" s="95"/>
      <c r="B36" s="9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0" ht="12.75">
      <c r="A37" s="95"/>
      <c r="B37" s="92"/>
      <c r="C37" s="95"/>
      <c r="D37" s="95"/>
      <c r="E37" s="95"/>
      <c r="F37" s="95"/>
      <c r="G37" s="95"/>
      <c r="H37" s="95"/>
      <c r="I37" s="95"/>
      <c r="J37" s="95"/>
    </row>
    <row r="39" spans="2:4" ht="15.75">
      <c r="B39" s="43" t="s">
        <v>94</v>
      </c>
      <c r="C39" s="35" t="s">
        <v>95</v>
      </c>
      <c r="D39" s="35" t="s">
        <v>6</v>
      </c>
    </row>
    <row r="40" spans="1:4" ht="12.75">
      <c r="A40">
        <v>0</v>
      </c>
      <c r="B40" s="43">
        <f>A40*'Data Entry'!C$5/25</f>
        <v>0</v>
      </c>
      <c r="C40" s="39">
        <v>0</v>
      </c>
      <c r="D40" s="68">
        <v>0</v>
      </c>
    </row>
    <row r="41" spans="1:4" ht="12.75">
      <c r="A41">
        <v>1</v>
      </c>
      <c r="B41" s="43">
        <f>A41*'Data Entry'!C$5/25</f>
        <v>0.12</v>
      </c>
      <c r="C41" s="39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68">
        <f>krob(B41,'Data Entry'!C$8,'Data Entry'!C$14,'Data Entry'!C$18,'Data Entry'!I$8,'Data Entry'!I$9,'Data Entry'!C$20,'Data Entry'!I$10,'Data Entry'!C$26,'Data Entry'!I$13,'Data Entry'!I$14,'Data Entry'!C$28,'Data Entry'!I$15,I$7)</f>
        <v>3.936585479411272E-09</v>
      </c>
    </row>
    <row r="42" spans="1:4" ht="12.75">
      <c r="A42">
        <v>2</v>
      </c>
      <c r="B42" s="43">
        <f>A42*'Data Entry'!C$5/25</f>
        <v>0.24</v>
      </c>
      <c r="C42" s="39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68">
        <f>krob(B42,'Data Entry'!C$8,'Data Entry'!C$14,'Data Entry'!C$18,'Data Entry'!I$8,'Data Entry'!I$9,'Data Entry'!C$20,'Data Entry'!I$10,'Data Entry'!C$26,'Data Entry'!I$13,'Data Entry'!I$14,'Data Entry'!C$28,'Data Entry'!I$15,I$7)</f>
        <v>1.183193158590613E-07</v>
      </c>
    </row>
    <row r="43" spans="1:4" ht="12.75">
      <c r="A43">
        <v>3</v>
      </c>
      <c r="B43" s="43">
        <f>A43*'Data Entry'!C$5/25</f>
        <v>0.36</v>
      </c>
      <c r="C43" s="39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68">
        <f>krob(B43,'Data Entry'!C$8,'Data Entry'!C$14,'Data Entry'!C$18,'Data Entry'!I$8,'Data Entry'!I$9,'Data Entry'!C$20,'Data Entry'!I$10,'Data Entry'!C$26,'Data Entry'!I$13,'Data Entry'!I$14,'Data Entry'!C$28,'Data Entry'!I$15,I$7)</f>
        <v>7.003287221850303E-07</v>
      </c>
    </row>
    <row r="44" spans="1:4" ht="12.75">
      <c r="A44">
        <v>4</v>
      </c>
      <c r="B44" s="43">
        <f>A44*'Data Entry'!C$5/25</f>
        <v>0.48</v>
      </c>
      <c r="C44" s="39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68">
        <f>krob(B44,'Data Entry'!C$8,'Data Entry'!C$14,'Data Entry'!C$18,'Data Entry'!I$8,'Data Entry'!I$9,'Data Entry'!C$20,'Data Entry'!I$10,'Data Entry'!C$26,'Data Entry'!I$13,'Data Entry'!I$14,'Data Entry'!C$28,'Data Entry'!I$15,I$7)</f>
        <v>2.4025341760269883E-06</v>
      </c>
    </row>
    <row r="45" spans="1:4" ht="12.75">
      <c r="A45">
        <v>5</v>
      </c>
      <c r="B45" s="43">
        <f>A45*'Data Entry'!C$5/25</f>
        <v>0.6</v>
      </c>
      <c r="C45" s="39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68">
        <f>krob(B45,'Data Entry'!C$8,'Data Entry'!C$14,'Data Entry'!C$18,'Data Entry'!I$8,'Data Entry'!I$9,'Data Entry'!C$20,'Data Entry'!I$10,'Data Entry'!C$26,'Data Entry'!I$13,'Data Entry'!I$14,'Data Entry'!C$28,'Data Entry'!I$15,I$7)</f>
        <v>6.123647158108993E-06</v>
      </c>
    </row>
    <row r="46" spans="1:4" ht="12.75">
      <c r="A46">
        <v>6</v>
      </c>
      <c r="B46" s="43">
        <f>A46*'Data Entry'!C$5/25</f>
        <v>0.72</v>
      </c>
      <c r="C46" s="39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68">
        <f>krob(B46,'Data Entry'!C$8,'Data Entry'!C$14,'Data Entry'!C$18,'Data Entry'!I$8,'Data Entry'!I$9,'Data Entry'!C$20,'Data Entry'!I$10,'Data Entry'!C$26,'Data Entry'!I$13,'Data Entry'!I$14,'Data Entry'!C$28,'Data Entry'!I$15,I$7)</f>
        <v>1.2922345508661042E-05</v>
      </c>
    </row>
    <row r="47" spans="1:4" ht="12.75">
      <c r="A47">
        <v>7</v>
      </c>
      <c r="B47" s="43">
        <f>A47*'Data Entry'!C$5/25</f>
        <v>0.84</v>
      </c>
      <c r="C47" s="39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68">
        <f>krob(B47,'Data Entry'!C$8,'Data Entry'!C$14,'Data Entry'!C$18,'Data Entry'!I$8,'Data Entry'!I$9,'Data Entry'!C$20,'Data Entry'!I$10,'Data Entry'!C$26,'Data Entry'!I$13,'Data Entry'!I$14,'Data Entry'!C$28,'Data Entry'!I$15,I$7)</f>
        <v>2.4316125299173624E-05</v>
      </c>
    </row>
    <row r="48" spans="1:4" ht="12.75">
      <c r="A48">
        <v>8</v>
      </c>
      <c r="B48" s="43">
        <f>A48*'Data Entry'!C$5/25</f>
        <v>0.96</v>
      </c>
      <c r="C48" s="39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68">
        <f>krob(B48,'Data Entry'!C$8,'Data Entry'!C$14,'Data Entry'!C$18,'Data Entry'!I$8,'Data Entry'!I$9,'Data Entry'!C$20,'Data Entry'!I$10,'Data Entry'!C$26,'Data Entry'!I$13,'Data Entry'!I$14,'Data Entry'!C$28,'Data Entry'!I$15,I$7)</f>
        <v>5.2458932500836664E-05</v>
      </c>
    </row>
    <row r="49" spans="1:4" ht="12.75">
      <c r="A49">
        <v>9</v>
      </c>
      <c r="B49" s="43">
        <f>A49*'Data Entry'!C$5/25</f>
        <v>1.08</v>
      </c>
      <c r="C49" s="39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68">
        <f>krob(B49,'Data Entry'!C$8,'Data Entry'!C$14,'Data Entry'!C$18,'Data Entry'!I$8,'Data Entry'!I$9,'Data Entry'!C$20,'Data Entry'!I$10,'Data Entry'!C$26,'Data Entry'!I$13,'Data Entry'!I$14,'Data Entry'!C$28,'Data Entry'!I$15,I$7)</f>
        <v>0.00021149495183825367</v>
      </c>
    </row>
    <row r="50" spans="1:4" ht="12.75">
      <c r="A50">
        <v>10</v>
      </c>
      <c r="B50" s="43">
        <f>A50*'Data Entry'!C$5/25</f>
        <v>1.2</v>
      </c>
      <c r="C50" s="39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68">
        <f>krob(B50,'Data Entry'!C$8,'Data Entry'!C$14,'Data Entry'!C$18,'Data Entry'!I$8,'Data Entry'!I$9,'Data Entry'!C$20,'Data Entry'!I$10,'Data Entry'!C$26,'Data Entry'!I$13,'Data Entry'!I$14,'Data Entry'!C$28,'Data Entry'!I$15,I$7)</f>
        <v>0.0010341544384283364</v>
      </c>
    </row>
    <row r="51" spans="1:4" ht="12.75">
      <c r="A51">
        <v>11</v>
      </c>
      <c r="B51" s="43">
        <f>A51*'Data Entry'!C$5/25</f>
        <v>1.32</v>
      </c>
      <c r="C51" s="39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68">
        <f>krob(B51,'Data Entry'!C$8,'Data Entry'!C$14,'Data Entry'!C$18,'Data Entry'!I$8,'Data Entry'!I$9,'Data Entry'!C$20,'Data Entry'!I$10,'Data Entry'!C$26,'Data Entry'!I$13,'Data Entry'!I$14,'Data Entry'!C$28,'Data Entry'!I$15,I$7)</f>
        <v>0.003788615624642715</v>
      </c>
    </row>
    <row r="52" spans="1:4" ht="12.75">
      <c r="A52">
        <v>12</v>
      </c>
      <c r="B52" s="43">
        <f>A52*'Data Entry'!C$5/25</f>
        <v>1.44</v>
      </c>
      <c r="C52" s="39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68">
        <f>krob(B52,'Data Entry'!C$8,'Data Entry'!C$14,'Data Entry'!C$18,'Data Entry'!I$8,'Data Entry'!I$9,'Data Entry'!C$20,'Data Entry'!I$10,'Data Entry'!C$26,'Data Entry'!I$13,'Data Entry'!I$14,'Data Entry'!C$28,'Data Entry'!I$15,I$7)</f>
        <v>0.010066594483527182</v>
      </c>
    </row>
    <row r="53" spans="1:4" ht="12.75">
      <c r="A53">
        <v>13</v>
      </c>
      <c r="B53" s="43">
        <f>A53*'Data Entry'!C$5/25</f>
        <v>1.56</v>
      </c>
      <c r="C53" s="39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68">
        <f>krob(B53,'Data Entry'!C$8,'Data Entry'!C$14,'Data Entry'!C$18,'Data Entry'!I$8,'Data Entry'!I$9,'Data Entry'!C$20,'Data Entry'!I$10,'Data Entry'!C$26,'Data Entry'!I$13,'Data Entry'!I$14,'Data Entry'!C$28,'Data Entry'!I$15,I$7)</f>
        <v>0.020770266980363127</v>
      </c>
    </row>
    <row r="54" spans="1:4" ht="12.75">
      <c r="A54">
        <v>14</v>
      </c>
      <c r="B54" s="43">
        <f>A54*'Data Entry'!C$5/25</f>
        <v>1.68</v>
      </c>
      <c r="C54" s="39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68">
        <f>krob(B54,'Data Entry'!C$8,'Data Entry'!C$14,'Data Entry'!C$18,'Data Entry'!I$8,'Data Entry'!I$9,'Data Entry'!C$20,'Data Entry'!I$10,'Data Entry'!C$26,'Data Entry'!I$13,'Data Entry'!I$14,'Data Entry'!C$28,'Data Entry'!I$15,I$7)</f>
        <v>0.03561271010055308</v>
      </c>
    </row>
    <row r="55" spans="1:4" ht="12.75">
      <c r="A55">
        <v>15</v>
      </c>
      <c r="B55" s="43">
        <f>A55*'Data Entry'!C$5/25</f>
        <v>1.8</v>
      </c>
      <c r="C55" s="39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68">
        <f>krob(B55,'Data Entry'!C$8,'Data Entry'!C$14,'Data Entry'!C$18,'Data Entry'!I$8,'Data Entry'!I$9,'Data Entry'!C$20,'Data Entry'!I$10,'Data Entry'!C$26,'Data Entry'!I$13,'Data Entry'!I$14,'Data Entry'!C$28,'Data Entry'!I$15,I$7)</f>
        <v>0.05364886480407344</v>
      </c>
    </row>
    <row r="56" spans="1:4" ht="12.75">
      <c r="A56">
        <v>16</v>
      </c>
      <c r="B56" s="43">
        <f>A56*'Data Entry'!C$5/25</f>
        <v>1.92</v>
      </c>
      <c r="C56" s="39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68">
        <f>krob(B56,'Data Entry'!C$8,'Data Entry'!C$14,'Data Entry'!C$18,'Data Entry'!I$8,'Data Entry'!I$9,'Data Entry'!C$20,'Data Entry'!I$10,'Data Entry'!C$26,'Data Entry'!I$13,'Data Entry'!I$14,'Data Entry'!C$28,'Data Entry'!I$15,I$7)</f>
        <v>0.07359190675541992</v>
      </c>
    </row>
    <row r="57" spans="1:4" ht="12.75">
      <c r="A57">
        <v>17</v>
      </c>
      <c r="B57" s="43">
        <f>A57*'Data Entry'!C$5/25</f>
        <v>2.04</v>
      </c>
      <c r="C57" s="39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68">
        <f>krob(B57,'Data Entry'!C$8,'Data Entry'!C$14,'Data Entry'!C$18,'Data Entry'!I$8,'Data Entry'!I$9,'Data Entry'!C$20,'Data Entry'!I$10,'Data Entry'!C$26,'Data Entry'!I$13,'Data Entry'!I$14,'Data Entry'!C$28,'Data Entry'!I$15,I$7)</f>
        <v>0.09468882438585485</v>
      </c>
    </row>
    <row r="58" spans="1:4" ht="12.75">
      <c r="A58">
        <v>18</v>
      </c>
      <c r="B58" s="43">
        <f>A58*'Data Entry'!C$5/25</f>
        <v>2.16</v>
      </c>
      <c r="C58" s="39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68">
        <f>krob(B58,'Data Entry'!C$8,'Data Entry'!C$14,'Data Entry'!C$18,'Data Entry'!I$8,'Data Entry'!I$9,'Data Entry'!C$20,'Data Entry'!I$10,'Data Entry'!C$26,'Data Entry'!I$13,'Data Entry'!I$14,'Data Entry'!C$28,'Data Entry'!I$15,I$7)</f>
        <v>0.11597676578090382</v>
      </c>
    </row>
    <row r="59" spans="1:4" ht="12.75">
      <c r="A59">
        <v>19</v>
      </c>
      <c r="B59" s="43">
        <f>A59*'Data Entry'!C$5/25</f>
        <v>2.28</v>
      </c>
      <c r="C59" s="39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68">
        <f>krob(B59,'Data Entry'!C$8,'Data Entry'!C$14,'Data Entry'!C$18,'Data Entry'!I$8,'Data Entry'!I$9,'Data Entry'!C$20,'Data Entry'!I$10,'Data Entry'!C$26,'Data Entry'!I$13,'Data Entry'!I$14,'Data Entry'!C$28,'Data Entry'!I$15,I$7)</f>
        <v>0.13700649673149964</v>
      </c>
    </row>
    <row r="60" spans="1:4" ht="12.75">
      <c r="A60">
        <v>20</v>
      </c>
      <c r="B60" s="43">
        <f>A60*'Data Entry'!C$5/25</f>
        <v>2.4</v>
      </c>
      <c r="C60" s="39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68">
        <f>krob(B60,'Data Entry'!C$8,'Data Entry'!C$14,'Data Entry'!C$18,'Data Entry'!I$8,'Data Entry'!I$9,'Data Entry'!C$20,'Data Entry'!I$10,'Data Entry'!C$26,'Data Entry'!I$13,'Data Entry'!I$14,'Data Entry'!C$28,'Data Entry'!I$15,I$7)</f>
        <v>0.15734444930718758</v>
      </c>
    </row>
    <row r="61" spans="1:4" ht="12.75">
      <c r="A61">
        <v>21</v>
      </c>
      <c r="B61" s="43">
        <f>A61*'Data Entry'!C$5/25</f>
        <v>2.52</v>
      </c>
      <c r="C61" s="39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68">
        <f>krob(B61,'Data Entry'!C$8,'Data Entry'!C$14,'Data Entry'!C$18,'Data Entry'!I$8,'Data Entry'!I$9,'Data Entry'!C$20,'Data Entry'!I$10,'Data Entry'!C$26,'Data Entry'!I$13,'Data Entry'!I$14,'Data Entry'!C$28,'Data Entry'!I$15,I$7)</f>
        <v>0.17654169011577914</v>
      </c>
    </row>
    <row r="62" spans="1:4" ht="12.75">
      <c r="A62">
        <v>22</v>
      </c>
      <c r="B62" s="43">
        <f>A62*'Data Entry'!C$5/25</f>
        <v>2.64</v>
      </c>
      <c r="C62" s="39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68">
        <f>krob(B62,'Data Entry'!C$8,'Data Entry'!C$14,'Data Entry'!C$18,'Data Entry'!I$8,'Data Entry'!I$9,'Data Entry'!C$20,'Data Entry'!I$10,'Data Entry'!C$26,'Data Entry'!I$13,'Data Entry'!I$14,'Data Entry'!C$28,'Data Entry'!I$15,I$7)</f>
        <v>0.19570812182218664</v>
      </c>
    </row>
    <row r="63" spans="1:4" ht="12.75">
      <c r="A63">
        <v>23</v>
      </c>
      <c r="B63" s="43">
        <f>A63*'Data Entry'!C$5/25</f>
        <v>2.76</v>
      </c>
      <c r="C63" s="39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68">
        <f>krob(B63,'Data Entry'!C$8,'Data Entry'!C$14,'Data Entry'!C$18,'Data Entry'!I$8,'Data Entry'!I$9,'Data Entry'!C$20,'Data Entry'!I$10,'Data Entry'!C$26,'Data Entry'!I$13,'Data Entry'!I$14,'Data Entry'!C$28,'Data Entry'!I$15,I$7)</f>
        <v>0.21309501856048343</v>
      </c>
    </row>
    <row r="64" spans="1:4" ht="12.75">
      <c r="A64">
        <v>24</v>
      </c>
      <c r="B64" s="43">
        <f>A64*'Data Entry'!C$5/25</f>
        <v>2.88</v>
      </c>
      <c r="C64" s="39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68">
        <f>krob(B64,'Data Entry'!C$8,'Data Entry'!C$14,'Data Entry'!C$18,'Data Entry'!I$8,'Data Entry'!I$9,'Data Entry'!C$20,'Data Entry'!I$10,'Data Entry'!C$26,'Data Entry'!I$13,'Data Entry'!I$14,'Data Entry'!C$28,'Data Entry'!I$15,I$7)</f>
        <v>0.22996244439297606</v>
      </c>
    </row>
    <row r="65" spans="1:4" ht="12.75">
      <c r="A65">
        <v>25</v>
      </c>
      <c r="B65" s="43">
        <f>A65*'Data Entry'!C$5/25</f>
        <v>3</v>
      </c>
      <c r="C65" s="39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68">
        <f>krob(B65,'Data Entry'!C$8,'Data Entry'!C$14,'Data Entry'!C$18,'Data Entry'!I$8,'Data Entry'!I$9,'Data Entry'!C$20,'Data Entry'!I$10,'Data Entry'!C$26,'Data Entry'!I$13,'Data Entry'!I$14,'Data Entry'!C$28,'Data Entry'!I$15,I$7)</f>
        <v>0.24550790426045144</v>
      </c>
    </row>
    <row r="67" ht="12.75">
      <c r="D67" s="69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D2" sqref="D2"/>
    </sheetView>
  </sheetViews>
  <sheetFormatPr defaultColWidth="9.140625" defaultRowHeight="12.75"/>
  <cols>
    <col min="7" max="7" width="9.140625" style="36" customWidth="1"/>
    <col min="12" max="12" width="9.140625" style="35" customWidth="1"/>
    <col min="13" max="13" width="13.00390625" style="39" customWidth="1"/>
    <col min="14" max="14" width="11.8515625" style="39" customWidth="1"/>
    <col min="15" max="16" width="10.140625" style="39" customWidth="1"/>
    <col min="17" max="17" width="13.140625" style="0" bestFit="1" customWidth="1"/>
    <col min="19" max="19" width="12.421875" style="0" bestFit="1" customWidth="1"/>
  </cols>
  <sheetData>
    <row r="1" spans="1:10" ht="16.5">
      <c r="A1" s="37" t="s">
        <v>97</v>
      </c>
      <c r="B1" s="38"/>
      <c r="C1" s="38"/>
      <c r="D1" s="38"/>
      <c r="E1" s="76"/>
      <c r="F1" s="172">
        <v>2</v>
      </c>
      <c r="G1" s="107"/>
      <c r="H1" s="95"/>
      <c r="I1" s="95"/>
      <c r="J1" s="95"/>
    </row>
    <row r="2" spans="3:19" ht="15.75">
      <c r="C2" s="77" t="s">
        <v>96</v>
      </c>
      <c r="D2" s="42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4" t="s">
        <v>24</v>
      </c>
      <c r="F2" s="70">
        <f>krob(F1,'Data Entry'!C8,'Data Entry'!C14,'Data Entry'!C18,'Data Entry'!I8,'Data Entry'!I9,'Data Entry'!C20,'Data Entry'!I10,'Data Entry'!C26,'Data Entry'!I13,'Data Entry'!I14,'Data Entry'!C28,'Data Entry'!I15,'Layer Calcs'!I7)</f>
        <v>0.08767683107996081</v>
      </c>
      <c r="L2" s="35" t="s">
        <v>0</v>
      </c>
      <c r="M2" s="39" t="s">
        <v>1</v>
      </c>
      <c r="N2" s="39" t="s">
        <v>5</v>
      </c>
      <c r="O2" s="39" t="s">
        <v>4</v>
      </c>
      <c r="P2" s="39" t="s">
        <v>1</v>
      </c>
      <c r="Q2" s="39" t="s">
        <v>6</v>
      </c>
      <c r="S2" s="39" t="s">
        <v>35</v>
      </c>
    </row>
    <row r="3" spans="1:17" ht="19.5" customHeight="1">
      <c r="A3" s="99"/>
      <c r="B3" s="104" t="s">
        <v>69</v>
      </c>
      <c r="D3" s="108"/>
      <c r="E3" s="99"/>
      <c r="F3" s="99"/>
      <c r="G3" s="109"/>
      <c r="H3" s="99"/>
      <c r="I3" s="99"/>
      <c r="J3" s="99"/>
      <c r="K3" s="75"/>
      <c r="L3" s="35" t="s">
        <v>22</v>
      </c>
      <c r="M3" s="39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39">
        <v>0</v>
      </c>
      <c r="O3" s="39">
        <f>sw(M3,F$1,'Data Entry'!C$8,'Data Entry'!C$14,'Data Entry'!C$18,'Data Entry'!I$9,'Data Entry'!C$20,'Data Entry'!C$22,'Data Entry'!C$26,'Data Entry'!I$14,'Data Entry'!C$28,'Data Entry'!C$30)</f>
        <v>0.8263130775740719</v>
      </c>
      <c r="P3" s="39">
        <f>zmax(F1,'Data Entry'!C$8,'Data Entry'!C$14,'Data Entry'!C$18,'Data Entry'!I$8,'Data Entry'!I$9,'Data Entry'!C20,0,0,'Data Entry'!C$26,'Data Entry'!I$13,'Data Entry'!I$14,'Data Entry'!C28,0,0)</f>
        <v>1.1200000000000008</v>
      </c>
      <c r="Q3" s="43">
        <v>0</v>
      </c>
    </row>
    <row r="4" spans="1:24" ht="14.25">
      <c r="A4" s="99"/>
      <c r="B4" s="99"/>
      <c r="C4" s="99"/>
      <c r="D4" s="99"/>
      <c r="E4" s="99"/>
      <c r="F4" s="99"/>
      <c r="G4" s="109"/>
      <c r="H4" s="99"/>
      <c r="I4" s="99"/>
      <c r="J4" s="99"/>
      <c r="K4" s="75"/>
      <c r="L4" s="35">
        <v>0</v>
      </c>
      <c r="M4" s="39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39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39">
        <f>sw(M4,F$1,'Data Entry'!C$8,'Data Entry'!C$14,'Data Entry'!C$18,'Data Entry'!I$9,'Data Entry'!C$20,'Data Entry'!C$22,'Data Entry'!C$26,'Data Entry'!I$14,'Data Entry'!C$28,'Data Entry'!C$30)</f>
        <v>0.8263130775740719</v>
      </c>
      <c r="P4" s="39">
        <f>elev(L4,F$1,'Data Entry'!C$8,'Data Entry'!C$14,'Data Entry'!C$18,'Data Entry'!I$8,'Data Entry'!I$9,'Data Entry'!C$20,0,0,'Data Entry'!C$26,'Data Entry'!I$13,'Data Entry'!I$14,'Data Entry'!C28,0,0)</f>
        <v>1.1200000000000008</v>
      </c>
      <c r="Q4" s="43">
        <f>kro(P4,F$1,'Data Entry'!C$8,'Data Entry'!C$14,'Data Entry'!C$18,'Data Entry'!I$8,'Data Entry'!I$9,'Data Entry'!C$20,'Data Entry'!I$10,'Data Entry'!C$26,'Data Entry'!I$13,'Data Entry'!I$14,'Data Entry'!C$28,'Data Entry'!I$15)</f>
        <v>3.436067353868785E-09</v>
      </c>
      <c r="S4" s="43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:24" ht="14.25">
      <c r="A5" s="99"/>
      <c r="B5" s="99"/>
      <c r="C5" s="99"/>
      <c r="D5" s="99"/>
      <c r="E5" s="99"/>
      <c r="F5" s="99"/>
      <c r="G5" s="109"/>
      <c r="H5" s="99"/>
      <c r="I5" s="99"/>
      <c r="J5" s="99"/>
      <c r="K5" s="75"/>
      <c r="L5" s="35">
        <v>1</v>
      </c>
      <c r="M5" s="39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39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39">
        <f>sw(M5,F$1,'Data Entry'!C$8,'Data Entry'!C$14,'Data Entry'!C$18,'Data Entry'!I$9,'Data Entry'!C$20,'Data Entry'!C$22,'Data Entry'!C$26,'Data Entry'!I$14,'Data Entry'!C$28,'Data Entry'!C$30)</f>
        <v>0.827313296762338</v>
      </c>
      <c r="P5" s="39">
        <f>elev(L5,F$1,'Data Entry'!C$8,'Data Entry'!C$14,'Data Entry'!C$18,'Data Entry'!I$8,'Data Entry'!I$9,'Data Entry'!C$20,0,0,'Data Entry'!C$26,'Data Entry'!I$13,'Data Entry'!I$14,'Data Entry'!C29,0,0)</f>
        <v>1.0926666666666673</v>
      </c>
      <c r="Q5" s="43">
        <f>kro(P5,F$1,'Data Entry'!C$8,'Data Entry'!C$14,'Data Entry'!C$18,'Data Entry'!I$8,'Data Entry'!I$9,'Data Entry'!C$20,'Data Entry'!I$10,'Data Entry'!C$26,'Data Entry'!I$13,'Data Entry'!I$14,'Data Entry'!C$28,'Data Entry'!I$15)</f>
        <v>1.0252967087638093E-07</v>
      </c>
      <c r="S5" s="43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:19" ht="14.25">
      <c r="A6" s="99"/>
      <c r="B6" s="99"/>
      <c r="C6" s="99"/>
      <c r="D6" s="99"/>
      <c r="E6" s="99"/>
      <c r="F6" s="99"/>
      <c r="G6" s="109"/>
      <c r="H6" s="99"/>
      <c r="I6" s="99"/>
      <c r="J6" s="99"/>
      <c r="K6" s="75"/>
      <c r="L6" s="35">
        <v>2</v>
      </c>
      <c r="M6" s="39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39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39">
        <f>sw(M6,F$1,'Data Entry'!C$8,'Data Entry'!C$14,'Data Entry'!C$18,'Data Entry'!I$9,'Data Entry'!C$20,'Data Entry'!C$22,'Data Entry'!C$26,'Data Entry'!I$14,'Data Entry'!C$28,'Data Entry'!C$30)</f>
        <v>0.8283234275198406</v>
      </c>
      <c r="P6" s="39">
        <f>elev(L6,F$1,'Data Entry'!C$8,'Data Entry'!C$14,'Data Entry'!C$18,'Data Entry'!I$8,'Data Entry'!I$9,'Data Entry'!C$20,0,0,'Data Entry'!C$26,'Data Entry'!I$13,'Data Entry'!I$14,'Data Entry'!C30,0,0)</f>
        <v>1.0653333333333341</v>
      </c>
      <c r="Q6" s="43">
        <f>kro(P6,F$1,'Data Entry'!C$8,'Data Entry'!C$14,'Data Entry'!C$18,'Data Entry'!I$8,'Data Entry'!I$9,'Data Entry'!C$20,'Data Entry'!I$10,'Data Entry'!C$26,'Data Entry'!I$13,'Data Entry'!I$14,'Data Entry'!C$28,'Data Entry'!I$15)</f>
        <v>5.03976032389025E-07</v>
      </c>
      <c r="S6" s="43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:19" ht="14.25">
      <c r="A7" s="99"/>
      <c r="B7" s="99"/>
      <c r="C7" s="99"/>
      <c r="D7" s="99"/>
      <c r="E7" s="99"/>
      <c r="F7" s="99"/>
      <c r="G7" s="109"/>
      <c r="H7" s="99"/>
      <c r="I7" s="99"/>
      <c r="J7" s="99"/>
      <c r="K7" s="75"/>
      <c r="L7" s="35">
        <v>3</v>
      </c>
      <c r="M7" s="39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39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39">
        <f>sw(M7,F$1,'Data Entry'!C$8,'Data Entry'!C$14,'Data Entry'!C$18,'Data Entry'!I$9,'Data Entry'!C$20,'Data Entry'!C$22,'Data Entry'!C$26,'Data Entry'!I$14,'Data Entry'!C$28,'Data Entry'!C$30)</f>
        <v>0.8293435390078978</v>
      </c>
      <c r="P7" s="39">
        <f>elev(L7,F$1,'Data Entry'!C$8,'Data Entry'!C$14,'Data Entry'!C$18,'Data Entry'!I$8,'Data Entry'!I$9,'Data Entry'!C$20,0,0,'Data Entry'!C$26,'Data Entry'!I$13,'Data Entry'!I$14,'Data Entry'!C31,0,0)</f>
        <v>1.0380000000000007</v>
      </c>
      <c r="Q7" s="43">
        <f>kro(P7,F$1,'Data Entry'!C$8,'Data Entry'!C$14,'Data Entry'!C$18,'Data Entry'!I$8,'Data Entry'!I$9,'Data Entry'!C$20,'Data Entry'!I$10,'Data Entry'!C$26,'Data Entry'!I$13,'Data Entry'!I$14,'Data Entry'!C$28,'Data Entry'!I$15)</f>
        <v>1.4594811316767169E-06</v>
      </c>
      <c r="S7" s="43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:19" ht="14.25">
      <c r="A8" s="99"/>
      <c r="B8" s="99"/>
      <c r="C8" s="99"/>
      <c r="D8" s="99"/>
      <c r="E8" s="99"/>
      <c r="F8" s="99"/>
      <c r="G8" s="109"/>
      <c r="H8" s="99"/>
      <c r="I8" s="99"/>
      <c r="J8" s="99"/>
      <c r="K8" s="75"/>
      <c r="L8" s="35">
        <v>4</v>
      </c>
      <c r="M8" s="39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39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39">
        <f>sw(M8,F$1,'Data Entry'!C$8,'Data Entry'!C$14,'Data Entry'!C$18,'Data Entry'!I$9,'Data Entry'!C$20,'Data Entry'!C$22,'Data Entry'!C$26,'Data Entry'!I$14,'Data Entry'!C$28,'Data Entry'!C$30)</f>
        <v>0.830373695885025</v>
      </c>
      <c r="P8" s="39">
        <f>elev(L8,F$1,'Data Entry'!C$8,'Data Entry'!C$14,'Data Entry'!C$18,'Data Entry'!I$8,'Data Entry'!I$9,'Data Entry'!C$20,0,0,'Data Entry'!C$26,'Data Entry'!I$13,'Data Entry'!I$14,'Data Entry'!C32,0,0)</f>
        <v>1.0106666666666673</v>
      </c>
      <c r="Q8" s="43">
        <f>kro(P8,F$1,'Data Entry'!C$8,'Data Entry'!C$14,'Data Entry'!C$18,'Data Entry'!I$8,'Data Entry'!I$9,'Data Entry'!C$20,'Data Entry'!I$10,'Data Entry'!C$26,'Data Entry'!I$13,'Data Entry'!I$14,'Data Entry'!C$28,'Data Entry'!I$15)</f>
        <v>3.266059556791895E-06</v>
      </c>
      <c r="S8" s="43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:23" ht="14.25">
      <c r="A9" s="99"/>
      <c r="B9" s="99"/>
      <c r="C9" s="99"/>
      <c r="D9" s="99"/>
      <c r="E9" s="99"/>
      <c r="F9" s="99"/>
      <c r="G9" s="109"/>
      <c r="H9" s="99"/>
      <c r="I9" s="99"/>
      <c r="J9" s="99"/>
      <c r="K9" s="75"/>
      <c r="L9" s="35">
        <v>5</v>
      </c>
      <c r="M9" s="39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39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39">
        <f>sw(M9,F$1,'Data Entry'!C$8,'Data Entry'!C$14,'Data Entry'!C$18,'Data Entry'!I$9,'Data Entry'!C$20,'Data Entry'!C$22,'Data Entry'!C$26,'Data Entry'!I$14,'Data Entry'!C$28,'Data Entry'!C$30)</f>
        <v>0.8314139578170565</v>
      </c>
      <c r="P9" s="39">
        <f>elev(L9,F$1,'Data Entry'!C$8,'Data Entry'!C$14,'Data Entry'!C$18,'Data Entry'!I$8,'Data Entry'!I$9,'Data Entry'!C$20,0,0,'Data Entry'!C$26,'Data Entry'!I$13,'Data Entry'!I$14,'Data Entry'!C33,0,0)</f>
        <v>0.9833333333333341</v>
      </c>
      <c r="Q9" s="43">
        <f>kro(P9,F$1,'Data Entry'!C$8,'Data Entry'!C$14,'Data Entry'!C$18,'Data Entry'!I$8,'Data Entry'!I$9,'Data Entry'!C$20,'Data Entry'!I$10,'Data Entry'!C$26,'Data Entry'!I$13,'Data Entry'!I$14,'Data Entry'!C$28,'Data Entry'!I$15)</f>
        <v>6.269915496972469E-06</v>
      </c>
      <c r="S9" s="43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:23" ht="14.25">
      <c r="A10" s="99"/>
      <c r="B10" s="99"/>
      <c r="C10" s="99"/>
      <c r="D10" s="99"/>
      <c r="E10" s="99"/>
      <c r="F10" s="99"/>
      <c r="G10" s="109"/>
      <c r="H10" s="99"/>
      <c r="I10" s="99"/>
      <c r="J10" s="99"/>
      <c r="K10" s="75"/>
      <c r="L10" s="35">
        <v>6</v>
      </c>
      <c r="M10" s="39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39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39">
        <f>sw(M10,F$1,'Data Entry'!C$8,'Data Entry'!C$14,'Data Entry'!C$18,'Data Entry'!I$9,'Data Entry'!C$20,'Data Entry'!C$22,'Data Entry'!C$26,'Data Entry'!I$14,'Data Entry'!C$28,'Data Entry'!C$30)</f>
        <v>0.832464378948619</v>
      </c>
      <c r="P10" s="39">
        <f>elev(L10,F$1,'Data Entry'!C$8,'Data Entry'!C$14,'Data Entry'!C$18,'Data Entry'!I$8,'Data Entry'!I$9,'Data Entry'!C$20,0,0,'Data Entry'!C$26,'Data Entry'!I$13,'Data Entry'!I$14,'Data Entry'!C34,0,0)</f>
        <v>0.9560000000000006</v>
      </c>
      <c r="Q10" s="43">
        <f>kro(P10,F$1,'Data Entry'!C$8,'Data Entry'!C$14,'Data Entry'!C$18,'Data Entry'!I$8,'Data Entry'!I$9,'Data Entry'!C$20,'Data Entry'!I$10,'Data Entry'!C$26,'Data Entry'!I$13,'Data Entry'!I$14,'Data Entry'!C$28,'Data Entry'!I$15)</f>
        <v>1.0869906204054932E-05</v>
      </c>
      <c r="S10" s="43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:23" ht="14.25">
      <c r="A11" s="99"/>
      <c r="B11" s="99"/>
      <c r="C11" s="99"/>
      <c r="D11" s="99"/>
      <c r="E11" s="99"/>
      <c r="F11" s="99"/>
      <c r="G11" s="109"/>
      <c r="H11" s="99"/>
      <c r="I11" s="99"/>
      <c r="J11" s="99"/>
      <c r="K11" s="75"/>
      <c r="L11" s="35">
        <v>7</v>
      </c>
      <c r="M11" s="39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39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39">
        <f>sw(M11,F$1,'Data Entry'!C$8,'Data Entry'!C$14,'Data Entry'!C$18,'Data Entry'!I$9,'Data Entry'!C$20,'Data Entry'!C$22,'Data Entry'!C$26,'Data Entry'!I$14,'Data Entry'!C$28,'Data Entry'!C$30)</f>
        <v>0.8335250073330762</v>
      </c>
      <c r="P11" s="39">
        <f>elev(L11,F$1,'Data Entry'!C$8,'Data Entry'!C$14,'Data Entry'!C$18,'Data Entry'!I$8,'Data Entry'!I$9,'Data Entry'!C$20,0,0,'Data Entry'!C$26,'Data Entry'!I$13,'Data Entry'!I$14,'Data Entry'!C35,0,0)</f>
        <v>0.9286666666666672</v>
      </c>
      <c r="Q11" s="43">
        <f>kro(P11,F$1,'Data Entry'!C$8,'Data Entry'!C$14,'Data Entry'!C$18,'Data Entry'!I$8,'Data Entry'!I$9,'Data Entry'!C$20,'Data Entry'!I$10,'Data Entry'!C$26,'Data Entry'!I$13,'Data Entry'!I$14,'Data Entry'!C$28,'Data Entry'!I$15)</f>
        <v>1.75203013486399E-05</v>
      </c>
      <c r="S11" s="43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:23" ht="14.25">
      <c r="A12" s="99"/>
      <c r="B12" s="99"/>
      <c r="C12" s="99"/>
      <c r="D12" s="99"/>
      <c r="E12" s="99"/>
      <c r="F12" s="99"/>
      <c r="G12" s="109"/>
      <c r="H12" s="99"/>
      <c r="I12" s="99"/>
      <c r="J12" s="99"/>
      <c r="K12" s="75"/>
      <c r="L12" s="35">
        <v>8</v>
      </c>
      <c r="M12" s="39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39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39">
        <f>sw(M12,F$1,'Data Entry'!C$8,'Data Entry'!C$14,'Data Entry'!C$18,'Data Entry'!I$9,'Data Entry'!C$20,'Data Entry'!C$22,'Data Entry'!C$26,'Data Entry'!I$14,'Data Entry'!C$28,'Data Entry'!C$30)</f>
        <v>0.8345958843178549</v>
      </c>
      <c r="P12" s="39">
        <f>elev(L12,F$1,'Data Entry'!C$8,'Data Entry'!C$14,'Data Entry'!C$18,'Data Entry'!I$8,'Data Entry'!I$9,'Data Entry'!C$20,0,0,'Data Entry'!C$26,'Data Entry'!I$13,'Data Entry'!I$14,'Data Entry'!C36,0,0)</f>
        <v>0.9013333333333339</v>
      </c>
      <c r="Q12" s="43">
        <f>kro(P12,F$1,'Data Entry'!C$8,'Data Entry'!C$14,'Data Entry'!C$18,'Data Entry'!I$8,'Data Entry'!I$9,'Data Entry'!C$20,'Data Entry'!I$10,'Data Entry'!C$26,'Data Entry'!I$13,'Data Entry'!I$14,'Data Entry'!C$28,'Data Entry'!I$15)</f>
        <v>2.6732471266016426E-05</v>
      </c>
      <c r="S12" s="43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69">
        <f>IF('Data Entry'!C14&gt;=0,'Data Entry'!C14,0)</f>
        <v>0</v>
      </c>
      <c r="W12">
        <f>W11</f>
        <v>0.05</v>
      </c>
    </row>
    <row r="13" spans="1:23" ht="14.25">
      <c r="A13" s="99"/>
      <c r="B13" s="99"/>
      <c r="C13" s="99"/>
      <c r="D13" s="99"/>
      <c r="E13" s="99"/>
      <c r="F13" s="99"/>
      <c r="G13" s="109"/>
      <c r="H13" s="99"/>
      <c r="I13" s="99"/>
      <c r="J13" s="99"/>
      <c r="K13" s="75"/>
      <c r="L13" s="35">
        <v>9</v>
      </c>
      <c r="M13" s="39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39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39">
        <f>sw(M13,F$1,'Data Entry'!C$8,'Data Entry'!C$14,'Data Entry'!C$18,'Data Entry'!I$9,'Data Entry'!C$20,'Data Entry'!C$22,'Data Entry'!C$26,'Data Entry'!I$14,'Data Entry'!C$28,'Data Entry'!C$30)</f>
        <v>0.8356770438818382</v>
      </c>
      <c r="P13" s="39">
        <f>elev(L13,F$1,'Data Entry'!C$8,'Data Entry'!C$14,'Data Entry'!C$18,'Data Entry'!I$8,'Data Entry'!I$9,'Data Entry'!C$20,0,0,'Data Entry'!C$26,'Data Entry'!I$13,'Data Entry'!I$14,'Data Entry'!C37,0,0)</f>
        <v>0.8740000000000006</v>
      </c>
      <c r="Q13" s="43">
        <f>kro(P13,F$1,'Data Entry'!C$8,'Data Entry'!C$14,'Data Entry'!C$18,'Data Entry'!I$8,'Data Entry'!I$9,'Data Entry'!C$20,'Data Entry'!I$10,'Data Entry'!C$26,'Data Entry'!I$13,'Data Entry'!I$14,'Data Entry'!C$28,'Data Entry'!I$15)</f>
        <v>3.9075042248081885E-05</v>
      </c>
      <c r="S13" s="43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:23" ht="14.25">
      <c r="A14" s="99"/>
      <c r="B14" s="99"/>
      <c r="C14" s="99"/>
      <c r="D14" s="99"/>
      <c r="E14" s="99"/>
      <c r="F14" s="99"/>
      <c r="G14" s="109"/>
      <c r="H14" s="99"/>
      <c r="I14" s="99"/>
      <c r="J14" s="99"/>
      <c r="K14" s="75"/>
      <c r="L14" s="35">
        <v>10</v>
      </c>
      <c r="M14" s="39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39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39">
        <f>sw(M14,F$1,'Data Entry'!C$8,'Data Entry'!C$14,'Data Entry'!C$18,'Data Entry'!I$9,'Data Entry'!C$20,'Data Entry'!C$22,'Data Entry'!C$26,'Data Entry'!I$14,'Data Entry'!C$28,'Data Entry'!C$30)</f>
        <v>0.8367685119212671</v>
      </c>
      <c r="P14" s="39">
        <f>elev(L14,F$1,'Data Entry'!C$8,'Data Entry'!C$14,'Data Entry'!C$18,'Data Entry'!I$8,'Data Entry'!I$9,'Data Entry'!C$20,0,0,'Data Entry'!C$26,'Data Entry'!I$13,'Data Entry'!I$14,'Data Entry'!C38,0,0)</f>
        <v>0.8466666666666672</v>
      </c>
      <c r="Q14" s="43">
        <f>kro(P14,F$1,'Data Entry'!C$8,'Data Entry'!C$14,'Data Entry'!C$18,'Data Entry'!I$8,'Data Entry'!I$9,'Data Entry'!C$20,'Data Entry'!I$10,'Data Entry'!C$26,'Data Entry'!I$13,'Data Entry'!I$14,'Data Entry'!C$28,'Data Entry'!I$15)</f>
        <v>5.517194729553133E-05</v>
      </c>
      <c r="S14" s="43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:19" ht="14.25">
      <c r="A15" s="99"/>
      <c r="B15" s="99"/>
      <c r="C15" s="99"/>
      <c r="D15" s="99"/>
      <c r="E15" s="99"/>
      <c r="F15" s="99"/>
      <c r="G15" s="109"/>
      <c r="H15" s="99"/>
      <c r="I15" s="99"/>
      <c r="J15" s="99"/>
      <c r="K15" s="75"/>
      <c r="L15" s="35">
        <v>11</v>
      </c>
      <c r="M15" s="39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39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39">
        <f>sw(M15,F$1,'Data Entry'!C$8,'Data Entry'!C$14,'Data Entry'!C$18,'Data Entry'!I$9,'Data Entry'!C$20,'Data Entry'!C$22,'Data Entry'!C$26,'Data Entry'!I$14,'Data Entry'!C$28,'Data Entry'!C$30)</f>
        <v>0.8378703054803347</v>
      </c>
      <c r="P15" s="39">
        <f>elev(L15,F$1,'Data Entry'!C$8,'Data Entry'!C$14,'Data Entry'!C$18,'Data Entry'!I$8,'Data Entry'!I$9,'Data Entry'!C$20,0,0,'Data Entry'!C$26,'Data Entry'!I$13,'Data Entry'!I$14,'Data Entry'!C39,0,0)</f>
        <v>0.8193333333333338</v>
      </c>
      <c r="Q15" s="43">
        <f>kro(P15,F$1,'Data Entry'!C$8,'Data Entry'!C$14,'Data Entry'!C$18,'Data Entry'!I$8,'Data Entry'!I$9,'Data Entry'!C$20,'Data Entry'!I$10,'Data Entry'!C$26,'Data Entry'!I$13,'Data Entry'!I$14,'Data Entry'!C$28,'Data Entry'!I$15)</f>
        <v>7.569767653608904E-05</v>
      </c>
      <c r="S15" s="43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:23" ht="14.25">
      <c r="A16" s="99"/>
      <c r="B16" s="99"/>
      <c r="C16" s="99"/>
      <c r="D16" s="99"/>
      <c r="E16" s="99"/>
      <c r="F16" s="99"/>
      <c r="G16" s="109"/>
      <c r="H16" s="99"/>
      <c r="I16" s="99"/>
      <c r="J16" s="99"/>
      <c r="K16" s="75"/>
      <c r="L16" s="35">
        <v>12</v>
      </c>
      <c r="M16" s="39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39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39">
        <f>sw(M16,F$1,'Data Entry'!C$8,'Data Entry'!C$14,'Data Entry'!C$18,'Data Entry'!I$9,'Data Entry'!C$20,'Data Entry'!C$22,'Data Entry'!C$26,'Data Entry'!I$14,'Data Entry'!C$28,'Data Entry'!C$30)</f>
        <v>0.8389824319223756</v>
      </c>
      <c r="P16" s="39">
        <f>elev(L16,F$1,'Data Entry'!C$8,'Data Entry'!C$14,'Data Entry'!C$18,'Data Entry'!I$8,'Data Entry'!I$9,'Data Entry'!C$20,0,0,'Data Entry'!C$26,'Data Entry'!I$13,'Data Entry'!I$14,'Data Entry'!C40,0,0)</f>
        <v>0.7920000000000005</v>
      </c>
      <c r="Q16" s="43">
        <f>kro(P16,F$1,'Data Entry'!C$8,'Data Entry'!C$14,'Data Entry'!C$18,'Data Entry'!I$8,'Data Entry'!I$9,'Data Entry'!C$20,'Data Entry'!I$10,'Data Entry'!C$26,'Data Entry'!I$13,'Data Entry'!I$14,'Data Entry'!C$28,'Data Entry'!I$15)</f>
        <v>0.00010136889468310807</v>
      </c>
      <c r="S16" s="43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:23" ht="14.25">
      <c r="A17" s="99"/>
      <c r="B17" s="99"/>
      <c r="C17" s="99"/>
      <c r="D17" s="99"/>
      <c r="E17" s="99"/>
      <c r="F17" s="99"/>
      <c r="G17" s="109"/>
      <c r="H17" s="99"/>
      <c r="I17" s="99"/>
      <c r="J17" s="99"/>
      <c r="K17" s="75"/>
      <c r="L17" s="35">
        <v>13</v>
      </c>
      <c r="M17" s="39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39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39">
        <f>sw(M17,F$1,'Data Entry'!C$8,'Data Entry'!C$14,'Data Entry'!C$18,'Data Entry'!I$9,'Data Entry'!C$20,'Data Entry'!C$22,'Data Entry'!C$26,'Data Entry'!I$14,'Data Entry'!C$28,'Data Entry'!C$30)</f>
        <v>0.8401048880372588</v>
      </c>
      <c r="P17" s="39">
        <f>elev(L17,F$1,'Data Entry'!C$8,'Data Entry'!C$14,'Data Entry'!C$18,'Data Entry'!I$8,'Data Entry'!I$9,'Data Entry'!C$20,0,0,'Data Entry'!C$26,'Data Entry'!I$13,'Data Entry'!I$14,'Data Entry'!C41,0,0)</f>
        <v>0.7646666666666672</v>
      </c>
      <c r="Q17" s="43">
        <f>kro(P17,F$1,'Data Entry'!C$8,'Data Entry'!C$14,'Data Entry'!C$18,'Data Entry'!I$8,'Data Entry'!I$9,'Data Entry'!C$20,'Data Entry'!I$10,'Data Entry'!C$26,'Data Entry'!I$13,'Data Entry'!I$14,'Data Entry'!C$28,'Data Entry'!I$15)</f>
        <v>0.00013293144729649512</v>
      </c>
      <c r="S17" s="43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:23" ht="14.25">
      <c r="A18" s="99"/>
      <c r="B18" s="99"/>
      <c r="C18" s="99"/>
      <c r="D18" s="99"/>
      <c r="E18" s="99"/>
      <c r="F18" s="99"/>
      <c r="G18" s="109"/>
      <c r="H18" s="99"/>
      <c r="I18" s="99"/>
      <c r="J18" s="99"/>
      <c r="K18" s="75"/>
      <c r="L18" s="35">
        <v>14</v>
      </c>
      <c r="M18" s="39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39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39">
        <f>sw(M18,F$1,'Data Entry'!C$8,'Data Entry'!C$14,'Data Entry'!C$18,'Data Entry'!I$9,'Data Entry'!C$20,'Data Entry'!C$22,'Data Entry'!C$26,'Data Entry'!I$14,'Data Entry'!C$28,'Data Entry'!C$30)</f>
        <v>0.841237659080268</v>
      </c>
      <c r="P18" s="39">
        <f>elev(L18,F$1,'Data Entry'!C$8,'Data Entry'!C$14,'Data Entry'!C$18,'Data Entry'!I$8,'Data Entry'!I$9,'Data Entry'!C$20,0,0,'Data Entry'!C$26,'Data Entry'!I$13,'Data Entry'!I$14,'Data Entry'!C42,0,0)</f>
        <v>0.7373333333333337</v>
      </c>
      <c r="Q18" s="43">
        <f>kro(P18,F$1,'Data Entry'!C$8,'Data Entry'!C$14,'Data Entry'!C$18,'Data Entry'!I$8,'Data Entry'!I$9,'Data Entry'!C$20,'Data Entry'!I$10,'Data Entry'!C$26,'Data Entry'!I$13,'Data Entry'!I$14,'Data Entry'!C$28,'Data Entry'!I$15)</f>
        <v>0.0001711416297460615</v>
      </c>
      <c r="S18" s="43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69">
        <f>IF('Data Entry'!C14&lt;0,'Data Entry'!C14,0)</f>
        <v>-0.4</v>
      </c>
      <c r="W18">
        <f>W17</f>
        <v>0.2</v>
      </c>
    </row>
    <row r="19" spans="1:23" ht="14.25">
      <c r="A19" s="99"/>
      <c r="B19" s="99"/>
      <c r="C19" s="99"/>
      <c r="D19" s="99"/>
      <c r="E19" s="99"/>
      <c r="F19" s="99"/>
      <c r="G19" s="109"/>
      <c r="H19" s="99"/>
      <c r="I19" s="99"/>
      <c r="J19" s="99"/>
      <c r="K19" s="75"/>
      <c r="L19" s="35">
        <v>15</v>
      </c>
      <c r="M19" s="39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39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39">
        <f>sw(M19,F$1,'Data Entry'!C$8,'Data Entry'!C$14,'Data Entry'!C$18,'Data Entry'!I$9,'Data Entry'!C$20,'Data Entry'!C$22,'Data Entry'!C$26,'Data Entry'!I$14,'Data Entry'!C$28,'Data Entry'!C$30)</f>
        <v>0.8423807177374125</v>
      </c>
      <c r="P19" s="39">
        <f>elev(L19,F$1,'Data Entry'!C$8,'Data Entry'!C$14,'Data Entry'!C$18,'Data Entry'!I$8,'Data Entry'!I$9,'Data Entry'!C$20,0,0,'Data Entry'!C$26,'Data Entry'!I$13,'Data Entry'!I$14,'Data Entry'!C43,0,0)</f>
        <v>0.7100000000000004</v>
      </c>
      <c r="Q19" s="43">
        <f>kro(P19,F$1,'Data Entry'!C$8,'Data Entry'!C$14,'Data Entry'!C$18,'Data Entry'!I$8,'Data Entry'!I$9,'Data Entry'!C$20,'Data Entry'!I$10,'Data Entry'!C$26,'Data Entry'!I$13,'Data Entry'!I$14,'Data Entry'!C$28,'Data Entry'!I$15)</f>
        <v>0.00021674045261401069</v>
      </c>
      <c r="S19" s="43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69">
        <f>IF('Data Entry'!C14&lt;0,'Data Entry'!C14,0)</f>
        <v>-0.4</v>
      </c>
      <c r="W19">
        <f>IF('Data Entry'!C14&lt;0,'Data Entry'!C22,'Data Entry'!C30)</f>
        <v>0.1</v>
      </c>
    </row>
    <row r="20" spans="1:23" ht="14.25">
      <c r="A20" s="99"/>
      <c r="B20" s="99"/>
      <c r="C20" s="99"/>
      <c r="D20" s="99"/>
      <c r="E20" s="99"/>
      <c r="F20" s="99"/>
      <c r="G20" s="109"/>
      <c r="H20" s="99"/>
      <c r="I20" s="99"/>
      <c r="J20" s="99"/>
      <c r="K20" s="75"/>
      <c r="L20" s="35">
        <v>16</v>
      </c>
      <c r="M20" s="39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39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39">
        <f>sw(M20,F$1,'Data Entry'!C$8,'Data Entry'!C$14,'Data Entry'!C$18,'Data Entry'!I$9,'Data Entry'!C$20,'Data Entry'!C$22,'Data Entry'!C$26,'Data Entry'!I$14,'Data Entry'!C$28,'Data Entry'!C$30)</f>
        <v>0.8435340230117405</v>
      </c>
      <c r="P20" s="39">
        <f>elev(L20,F$1,'Data Entry'!C$8,'Data Entry'!C$14,'Data Entry'!C$18,'Data Entry'!I$8,'Data Entry'!I$9,'Data Entry'!C$20,0,0,'Data Entry'!C$26,'Data Entry'!I$13,'Data Entry'!I$14,'Data Entry'!C44,0,0)</f>
        <v>0.682666666666667</v>
      </c>
      <c r="Q20" s="43">
        <f>kro(P20,F$1,'Data Entry'!C$8,'Data Entry'!C$14,'Data Entry'!C$18,'Data Entry'!I$8,'Data Entry'!I$9,'Data Entry'!C$20,'Data Entry'!I$10,'Data Entry'!C$26,'Data Entry'!I$13,'Data Entry'!I$14,'Data Entry'!C$28,'Data Entry'!I$15)</f>
        <v>0.0002704195187879302</v>
      </c>
      <c r="S20" s="43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:23" ht="14.25">
      <c r="A21" s="99"/>
      <c r="B21" s="99"/>
      <c r="C21" s="99"/>
      <c r="D21" s="99"/>
      <c r="E21" s="99"/>
      <c r="F21" s="99"/>
      <c r="G21" s="109"/>
      <c r="H21" s="99"/>
      <c r="I21" s="99"/>
      <c r="J21" s="99"/>
      <c r="K21" s="75"/>
      <c r="L21" s="35">
        <v>17</v>
      </c>
      <c r="M21" s="39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39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39">
        <f>sw(M21,F$1,'Data Entry'!C$8,'Data Entry'!C$14,'Data Entry'!C$18,'Data Entry'!I$9,'Data Entry'!C$20,'Data Entry'!C$22,'Data Entry'!C$26,'Data Entry'!I$14,'Data Entry'!C$28,'Data Entry'!C$30)</f>
        <v>0.8446975190248323</v>
      </c>
      <c r="P21" s="39">
        <f>elev(L21,F$1,'Data Entry'!C$8,'Data Entry'!C$14,'Data Entry'!C$18,'Data Entry'!I$8,'Data Entry'!I$9,'Data Entry'!C$20,0,0,'Data Entry'!C$26,'Data Entry'!I$13,'Data Entry'!I$14,'Data Entry'!C45,0,0)</f>
        <v>0.6553333333333338</v>
      </c>
      <c r="Q21" s="43">
        <f>kro(P21,F$1,'Data Entry'!C$8,'Data Entry'!C$14,'Data Entry'!C$18,'Data Entry'!I$8,'Data Entry'!I$9,'Data Entry'!C$20,'Data Entry'!I$10,'Data Entry'!C$26,'Data Entry'!I$13,'Data Entry'!I$14,'Data Entry'!C$28,'Data Entry'!I$15)</f>
        <v>0.00033277704889532776</v>
      </c>
      <c r="S21" s="43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:19" ht="14.25">
      <c r="A22" s="99"/>
      <c r="B22" s="99"/>
      <c r="C22" s="99"/>
      <c r="D22" s="99"/>
      <c r="E22" s="99"/>
      <c r="F22" s="99"/>
      <c r="G22" s="109"/>
      <c r="H22" s="99"/>
      <c r="I22" s="99"/>
      <c r="J22" s="99"/>
      <c r="K22" s="75"/>
      <c r="L22" s="35">
        <v>18</v>
      </c>
      <c r="M22" s="39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39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39">
        <f>sw(M22,F$1,'Data Entry'!C$8,'Data Entry'!C$14,'Data Entry'!C$18,'Data Entry'!I$9,'Data Entry'!C$20,'Data Entry'!C$22,'Data Entry'!C$26,'Data Entry'!I$14,'Data Entry'!C$28,'Data Entry'!C$30)</f>
        <v>0.8458711337272198</v>
      </c>
      <c r="P22" s="39">
        <f>elev(L22,F$1,'Data Entry'!C$8,'Data Entry'!C$14,'Data Entry'!C$18,'Data Entry'!I$8,'Data Entry'!I$9,'Data Entry'!C$20,0,0,'Data Entry'!C$26,'Data Entry'!I$13,'Data Entry'!I$14,'Data Entry'!C46,0,0)</f>
        <v>0.6280000000000003</v>
      </c>
      <c r="Q22" s="43">
        <f>kro(P22,F$1,'Data Entry'!C$8,'Data Entry'!C$14,'Data Entry'!C$18,'Data Entry'!I$8,'Data Entry'!I$9,'Data Entry'!C$20,'Data Entry'!I$10,'Data Entry'!C$26,'Data Entry'!I$13,'Data Entry'!I$14,'Data Entry'!C$28,'Data Entry'!I$15)</f>
        <v>0.00040426257461601966</v>
      </c>
      <c r="S22" s="43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:19" ht="14.25">
      <c r="A23" s="99"/>
      <c r="B23" s="99"/>
      <c r="C23" s="99"/>
      <c r="D23" s="99"/>
      <c r="E23" s="99"/>
      <c r="F23" s="99"/>
      <c r="G23" s="109"/>
      <c r="H23" s="99"/>
      <c r="I23" s="99"/>
      <c r="J23" s="99"/>
      <c r="K23" s="75"/>
      <c r="L23" s="35">
        <v>19</v>
      </c>
      <c r="M23" s="39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39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39">
        <f>sw(M23,F$1,'Data Entry'!C$8,'Data Entry'!C$14,'Data Entry'!C$18,'Data Entry'!I$9,'Data Entry'!C$20,'Data Entry'!C$22,'Data Entry'!C$26,'Data Entry'!I$14,'Data Entry'!C$28,'Data Entry'!C$30)</f>
        <v>0.8470547775110235</v>
      </c>
      <c r="P23" s="39">
        <f>elev(L23,F$1,'Data Entry'!C$8,'Data Entry'!C$14,'Data Entry'!C$18,'Data Entry'!I$8,'Data Entry'!I$9,'Data Entry'!C$20,0,0,'Data Entry'!C$26,'Data Entry'!I$13,'Data Entry'!I$14,'Data Entry'!C47,0,0)</f>
        <v>0.600666666666667</v>
      </c>
      <c r="Q23" s="43">
        <f>kro(P23,F$1,'Data Entry'!C$8,'Data Entry'!C$14,'Data Entry'!C$18,'Data Entry'!I$8,'Data Entry'!I$9,'Data Entry'!C$20,'Data Entry'!I$10,'Data Entry'!C$26,'Data Entry'!I$13,'Data Entry'!I$14,'Data Entry'!C$28,'Data Entry'!I$15)</f>
        <v>0.00048510888571192393</v>
      </c>
      <c r="S23" s="43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:19" ht="14.25">
      <c r="A24" s="99"/>
      <c r="B24" s="99"/>
      <c r="C24" s="99"/>
      <c r="D24" s="99"/>
      <c r="E24" s="99"/>
      <c r="F24" s="99"/>
      <c r="G24" s="109"/>
      <c r="H24" s="99"/>
      <c r="I24" s="99"/>
      <c r="J24" s="99"/>
      <c r="K24" s="75"/>
      <c r="L24" s="35">
        <v>20</v>
      </c>
      <c r="M24" s="39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39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39">
        <f>sw(M24,F$1,'Data Entry'!C$8,'Data Entry'!C$14,'Data Entry'!C$18,'Data Entry'!I$9,'Data Entry'!C$20,'Data Entry'!C$22,'Data Entry'!C$26,'Data Entry'!I$14,'Data Entry'!C$28,'Data Entry'!C$30)</f>
        <v>0.8482483417175974</v>
      </c>
      <c r="P24" s="39">
        <f>elev(L24,F$1,'Data Entry'!C$8,'Data Entry'!C$14,'Data Entry'!C$18,'Data Entry'!I$8,'Data Entry'!I$9,'Data Entry'!C$20,0,0,'Data Entry'!C$26,'Data Entry'!I$13,'Data Entry'!I$14,'Data Entry'!C48,0,0)</f>
        <v>0.5733333333333337</v>
      </c>
      <c r="Q24" s="43">
        <f>kro(P24,F$1,'Data Entry'!C$8,'Data Entry'!C$14,'Data Entry'!C$18,'Data Entry'!I$8,'Data Entry'!I$9,'Data Entry'!C$20,'Data Entry'!I$10,'Data Entry'!C$26,'Data Entry'!I$13,'Data Entry'!I$14,'Data Entry'!C$28,'Data Entry'!I$15)</f>
        <v>0.000575249980883627</v>
      </c>
      <c r="S24" s="43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:19" ht="14.25">
      <c r="A25" s="99"/>
      <c r="B25" s="99"/>
      <c r="C25" s="99"/>
      <c r="D25" s="99"/>
      <c r="E25" s="99"/>
      <c r="F25" s="99"/>
      <c r="G25" s="109"/>
      <c r="H25" s="99"/>
      <c r="I25" s="99"/>
      <c r="J25" s="99"/>
      <c r="K25" s="75"/>
      <c r="L25" s="35">
        <v>21</v>
      </c>
      <c r="M25" s="39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39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39">
        <f>sw(M25,F$1,'Data Entry'!C$8,'Data Entry'!C$14,'Data Entry'!C$18,'Data Entry'!I$9,'Data Entry'!C$20,'Data Entry'!C$22,'Data Entry'!C$26,'Data Entry'!I$14,'Data Entry'!C$28,'Data Entry'!C$30)</f>
        <v>0.8494516970324362</v>
      </c>
      <c r="P25" s="39">
        <f>elev(L25,F$1,'Data Entry'!C$8,'Data Entry'!C$14,'Data Entry'!C$18,'Data Entry'!I$8,'Data Entry'!I$9,'Data Entry'!C$20,0,0,'Data Entry'!C$26,'Data Entry'!I$13,'Data Entry'!I$14,'Data Entry'!C49,0,0)</f>
        <v>0.5460000000000003</v>
      </c>
      <c r="Q25" s="43">
        <f>kro(P25,F$1,'Data Entry'!C$8,'Data Entry'!C$14,'Data Entry'!C$18,'Data Entry'!I$8,'Data Entry'!I$9,'Data Entry'!C$20,'Data Entry'!I$10,'Data Entry'!C$26,'Data Entry'!I$13,'Data Entry'!I$14,'Data Entry'!C$28,'Data Entry'!I$15)</f>
        <v>0.0006742240244320622</v>
      </c>
      <c r="S25" s="43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:19" ht="14.25">
      <c r="A26" s="99"/>
      <c r="B26" s="99"/>
      <c r="C26" s="99"/>
      <c r="D26" s="99"/>
      <c r="E26" s="99"/>
      <c r="F26" s="99"/>
      <c r="G26" s="109"/>
      <c r="H26" s="99"/>
      <c r="I26" s="99"/>
      <c r="J26" s="99"/>
      <c r="K26" s="75"/>
      <c r="L26" s="35">
        <v>22</v>
      </c>
      <c r="M26" s="39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39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39">
        <f>sw(M26,F$1,'Data Entry'!C$8,'Data Entry'!C$14,'Data Entry'!C$18,'Data Entry'!I$9,'Data Entry'!C$20,'Data Entry'!C$22,'Data Entry'!C$26,'Data Entry'!I$14,'Data Entry'!C$28,'Data Entry'!C$30)</f>
        <v>0.8506646917590168</v>
      </c>
      <c r="P26" s="39">
        <f>elev(L26,F$1,'Data Entry'!C$8,'Data Entry'!C$14,'Data Entry'!C$18,'Data Entry'!I$8,'Data Entry'!I$9,'Data Entry'!C$20,0,0,'Data Entry'!C$26,'Data Entry'!I$13,'Data Entry'!I$14,'Data Entry'!C50,0,0)</f>
        <v>0.5186666666666668</v>
      </c>
      <c r="Q26" s="43">
        <f>kro(P26,F$1,'Data Entry'!C$8,'Data Entry'!C$14,'Data Entry'!C$18,'Data Entry'!I$8,'Data Entry'!I$9,'Data Entry'!C$20,'Data Entry'!I$10,'Data Entry'!C$26,'Data Entry'!I$13,'Data Entry'!I$14,'Data Entry'!C$28,'Data Entry'!I$15)</f>
        <v>0.0007810605757479633</v>
      </c>
      <c r="S26" s="43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:19" ht="14.25">
      <c r="A27" s="99"/>
      <c r="B27" s="99"/>
      <c r="C27" s="99"/>
      <c r="D27" s="99"/>
      <c r="E27" s="99"/>
      <c r="F27" s="99"/>
      <c r="G27" s="109"/>
      <c r="H27" s="99"/>
      <c r="I27" s="99"/>
      <c r="J27" s="99"/>
      <c r="K27" s="75"/>
      <c r="L27" s="35">
        <v>23</v>
      </c>
      <c r="M27" s="39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39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39">
        <f>sw(M27,F$1,'Data Entry'!C$8,'Data Entry'!C$14,'Data Entry'!C$18,'Data Entry'!I$9,'Data Entry'!C$20,'Data Entry'!C$22,'Data Entry'!C$26,'Data Entry'!I$14,'Data Entry'!C$28,'Data Entry'!C$30)</f>
        <v>0.851887149962612</v>
      </c>
      <c r="P27" s="39">
        <f>elev(L27,F$1,'Data Entry'!C$8,'Data Entry'!C$14,'Data Entry'!C$18,'Data Entry'!I$8,'Data Entry'!I$9,'Data Entry'!C$20,0,0,'Data Entry'!C$26,'Data Entry'!I$13,'Data Entry'!I$14,'Data Entry'!C51,0,0)</f>
        <v>0.4913333333333335</v>
      </c>
      <c r="Q27" s="43">
        <f>kro(P27,F$1,'Data Entry'!C$8,'Data Entry'!C$14,'Data Entry'!C$18,'Data Entry'!I$8,'Data Entry'!I$9,'Data Entry'!C$20,'Data Entry'!I$10,'Data Entry'!C$26,'Data Entry'!I$13,'Data Entry'!I$14,'Data Entry'!C$28,'Data Entry'!I$15)</f>
        <v>0.0008941514082437058</v>
      </c>
      <c r="S27" s="43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:23" ht="14.25">
      <c r="A28" s="99"/>
      <c r="B28" s="99"/>
      <c r="C28" s="99"/>
      <c r="D28" s="99"/>
      <c r="E28" s="99"/>
      <c r="F28" s="99"/>
      <c r="G28" s="109"/>
      <c r="H28" s="99"/>
      <c r="I28" s="99"/>
      <c r="J28" s="99"/>
      <c r="K28" s="75"/>
      <c r="L28" s="35">
        <v>24</v>
      </c>
      <c r="M28" s="39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39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39">
        <f>sw(M28,F$1,'Data Entry'!C$8,'Data Entry'!C$14,'Data Entry'!C$18,'Data Entry'!I$9,'Data Entry'!C$20,'Data Entry'!C$22,'Data Entry'!C$26,'Data Entry'!I$14,'Data Entry'!C$28,'Data Entry'!C$30)</f>
        <v>0.8531188694744203</v>
      </c>
      <c r="P28" s="39">
        <f>elev(L28,F$1,'Data Entry'!C$8,'Data Entry'!C$14,'Data Entry'!C$18,'Data Entry'!I$8,'Data Entry'!I$9,'Data Entry'!C$20,0,0,'Data Entry'!C$26,'Data Entry'!I$13,'Data Entry'!I$14,'Data Entry'!C52,0,0)</f>
        <v>0.4640000000000002</v>
      </c>
      <c r="Q28" s="43">
        <f>kro(P28,F$1,'Data Entry'!C$8,'Data Entry'!C$14,'Data Entry'!C$18,'Data Entry'!I$8,'Data Entry'!I$9,'Data Entry'!C$20,'Data Entry'!I$10,'Data Entry'!C$26,'Data Entry'!I$13,'Data Entry'!I$14,'Data Entry'!C$28,'Data Entry'!I$15)</f>
        <v>0.0010111034635592992</v>
      </c>
      <c r="S28" s="43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:23" ht="14.25">
      <c r="A29" s="99"/>
      <c r="B29" s="99"/>
      <c r="C29" s="99"/>
      <c r="D29" s="99"/>
      <c r="E29" s="99"/>
      <c r="F29" s="99"/>
      <c r="G29" s="109"/>
      <c r="H29" s="99"/>
      <c r="I29" s="99"/>
      <c r="J29" s="99"/>
      <c r="K29" s="75"/>
      <c r="L29" s="35">
        <v>25</v>
      </c>
      <c r="M29" s="39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39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39">
        <f>sw(M29,F$1,'Data Entry'!C$8,'Data Entry'!C$14,'Data Entry'!C$18,'Data Entry'!I$9,'Data Entry'!C$20,'Data Entry'!C$22,'Data Entry'!C$26,'Data Entry'!I$14,'Data Entry'!C$28,'Data Entry'!C$30)</f>
        <v>0.854359619745598</v>
      </c>
      <c r="P29" s="39">
        <f>elev(L29,F$1,'Data Entry'!C$8,'Data Entry'!C$14,'Data Entry'!C$18,'Data Entry'!I$8,'Data Entry'!I$9,'Data Entry'!C$20,0,0,'Data Entry'!C$26,'Data Entry'!I$13,'Data Entry'!I$14,'Data Entry'!C53,0,0)</f>
        <v>0.43666666666666687</v>
      </c>
      <c r="Q29" s="43">
        <f>kro(P29,F$1,'Data Entry'!C$8,'Data Entry'!C$14,'Data Entry'!C$18,'Data Entry'!I$8,'Data Entry'!I$9,'Data Entry'!C$20,'Data Entry'!I$10,'Data Entry'!C$26,'Data Entry'!I$13,'Data Entry'!I$14,'Data Entry'!C$28,'Data Entry'!I$15)</f>
        <v>0.0011285693106726088</v>
      </c>
      <c r="S29" s="43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:23" ht="14.25">
      <c r="A30" s="95"/>
      <c r="B30" s="95"/>
      <c r="C30" s="95"/>
      <c r="D30" s="95"/>
      <c r="E30" s="95"/>
      <c r="F30" s="95"/>
      <c r="G30" s="107"/>
      <c r="H30" s="95"/>
      <c r="I30" s="95"/>
      <c r="J30" s="95"/>
      <c r="L30" s="35">
        <v>26</v>
      </c>
      <c r="M30" s="39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39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39">
        <f>sw(M30,F$1,'Data Entry'!C$8,'Data Entry'!C$14,'Data Entry'!C$18,'Data Entry'!I$9,'Data Entry'!C$20,'Data Entry'!C$22,'Data Entry'!C$26,'Data Entry'!I$14,'Data Entry'!C$28,'Data Entry'!C$30)</f>
        <v>0.8556091395399417</v>
      </c>
      <c r="P30" s="39">
        <f>elev(L30,F$1,'Data Entry'!C$8,'Data Entry'!C$14,'Data Entry'!C$18,'Data Entry'!I$8,'Data Entry'!I$9,'Data Entry'!C$20,0,0,'Data Entry'!C$26,'Data Entry'!I$13,'Data Entry'!I$14,'Data Entry'!C54,0,0)</f>
        <v>0.40933333333333355</v>
      </c>
      <c r="Q30" s="43">
        <f>kro(P30,F$1,'Data Entry'!C$8,'Data Entry'!C$14,'Data Entry'!C$18,'Data Entry'!I$8,'Data Entry'!I$9,'Data Entry'!C$20,'Data Entry'!I$10,'Data Entry'!C$26,'Data Entry'!I$13,'Data Entry'!I$14,'Data Entry'!C$28,'Data Entry'!I$15)</f>
        <v>0.0012420404633490237</v>
      </c>
      <c r="S30" s="43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:23" ht="14.25">
      <c r="A31" s="95"/>
      <c r="B31" s="95"/>
      <c r="C31" s="95"/>
      <c r="D31" s="95"/>
      <c r="E31" s="95"/>
      <c r="F31" s="95"/>
      <c r="G31" s="107"/>
      <c r="H31" s="95"/>
      <c r="I31" s="95"/>
      <c r="J31" s="95"/>
      <c r="L31" s="35">
        <v>27</v>
      </c>
      <c r="M31" s="39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39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39">
        <f>sw(M31,F$1,'Data Entry'!C$8,'Data Entry'!C$14,'Data Entry'!C$18,'Data Entry'!I$9,'Data Entry'!C$20,'Data Entry'!C$22,'Data Entry'!C$26,'Data Entry'!I$14,'Data Entry'!C$28,'Data Entry'!C$30)</f>
        <v>0.8568671344530385</v>
      </c>
      <c r="P31" s="39">
        <f>elev(L31,F$1,'Data Entry'!C$8,'Data Entry'!C$14,'Data Entry'!C$18,'Data Entry'!I$8,'Data Entry'!I$9,'Data Entry'!C$20,0,0,'Data Entry'!C$26,'Data Entry'!I$13,'Data Entry'!I$14,'Data Entry'!C55,0,0)</f>
        <v>0.3820000000000001</v>
      </c>
      <c r="Q31" s="43">
        <f>kro(P31,F$1,'Data Entry'!C$8,'Data Entry'!C$14,'Data Entry'!C$18,'Data Entry'!I$8,'Data Entry'!I$9,'Data Entry'!C$20,'Data Entry'!I$10,'Data Entry'!C$26,'Data Entry'!I$13,'Data Entry'!I$14,'Data Entry'!C$28,'Data Entry'!I$15)</f>
        <v>0.0013455579075975618</v>
      </c>
      <c r="S31" s="43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5">
        <v>28</v>
      </c>
      <c r="M32" s="39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39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39">
        <f>sw(M32,F$1,'Data Entry'!C$8,'Data Entry'!C$14,'Data Entry'!C$18,'Data Entry'!I$9,'Data Entry'!C$20,'Data Entry'!C$22,'Data Entry'!C$26,'Data Entry'!I$14,'Data Entry'!C$28,'Data Entry'!C$30)</f>
        <v>0.8581332742446686</v>
      </c>
      <c r="P32" s="39">
        <f>elev(L32,F$1,'Data Entry'!C$8,'Data Entry'!C$14,'Data Entry'!C$18,'Data Entry'!I$8,'Data Entry'!I$9,'Data Entry'!C$20,0,0,'Data Entry'!C$26,'Data Entry'!I$13,'Data Entry'!I$14,'Data Entry'!C56,0,0)</f>
        <v>0.3546666666666667</v>
      </c>
      <c r="Q32" s="43">
        <f>kro(P32,F$1,'Data Entry'!C$8,'Data Entry'!C$14,'Data Entry'!C$18,'Data Entry'!I$8,'Data Entry'!I$9,'Data Entry'!C$20,'Data Entry'!I$10,'Data Entry'!C$26,'Data Entry'!I$13,'Data Entry'!I$14,'Data Entry'!C$28,'Data Entry'!I$15)</f>
        <v>0.0014311863981041637</v>
      </c>
      <c r="S32" s="43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5">
        <v>29</v>
      </c>
      <c r="M33" s="39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39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39">
        <f>sw(M33,F$1,'Data Entry'!C$8,'Data Entry'!C$14,'Data Entry'!C$18,'Data Entry'!I$9,'Data Entry'!C$20,'Data Entry'!C$22,'Data Entry'!C$26,'Data Entry'!I$14,'Data Entry'!C$28,'Data Entry'!C$30)</f>
        <v>0.8594071899700696</v>
      </c>
      <c r="P33" s="39">
        <f>elev(L33,F$1,'Data Entry'!C$8,'Data Entry'!C$14,'Data Entry'!C$18,'Data Entry'!I$8,'Data Entry'!I$9,'Data Entry'!C$20,0,0,'Data Entry'!C$26,'Data Entry'!I$13,'Data Entry'!I$14,'Data Entry'!C57,0,0)</f>
        <v>0.32733333333333337</v>
      </c>
      <c r="Q33" s="43">
        <f>kro(P33,F$1,'Data Entry'!C$8,'Data Entry'!C$14,'Data Entry'!C$18,'Data Entry'!I$8,'Data Entry'!I$9,'Data Entry'!C$20,'Data Entry'!I$10,'Data Entry'!C$26,'Data Entry'!I$13,'Data Entry'!I$14,'Data Entry'!C$28,'Data Entry'!I$15)</f>
        <v>0.0014875982921054086</v>
      </c>
      <c r="S33" s="43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5">
        <v>30</v>
      </c>
      <c r="M34" s="39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39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39">
        <f>sw(M34,F$1,'Data Entry'!C$8,'Data Entry'!C$14,'Data Entry'!C$18,'Data Entry'!I$9,'Data Entry'!C$20,'Data Entry'!C$22,'Data Entry'!C$26,'Data Entry'!I$14,'Data Entry'!C$28,'Data Entry'!C$30)</f>
        <v>0.8606884708943539</v>
      </c>
      <c r="P34" s="39">
        <f>elev(L34,F$1,'Data Entry'!C$8,'Data Entry'!C$14,'Data Entry'!C$18,'Data Entry'!I$8,'Data Entry'!I$9,'Data Entry'!C$20,0,0,'Data Entry'!C$26,'Data Entry'!I$13,'Data Entry'!I$14,'Data Entry'!C58,0,0)</f>
        <v>0.30000000000000004</v>
      </c>
      <c r="Q34" s="43">
        <f>kro(P34,F$1,'Data Entry'!C$8,'Data Entry'!C$14,'Data Entry'!C$18,'Data Entry'!I$8,'Data Entry'!I$9,'Data Entry'!C$20,'Data Entry'!I$10,'Data Entry'!C$26,'Data Entry'!I$13,'Data Entry'!I$14,'Data Entry'!C$28,'Data Entry'!I$15)</f>
        <v>0.0014911579583440208</v>
      </c>
      <c r="S34" s="43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5">
        <v>31</v>
      </c>
      <c r="M35" s="39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39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39">
        <f>sw(M35,F$1,'Data Entry'!C$8,'Data Entry'!C$14,'Data Entry'!C$18,'Data Entry'!I$9,'Data Entry'!C$20,'Data Entry'!C$22,'Data Entry'!C$26,'Data Entry'!I$14,'Data Entry'!C$28,'Data Entry'!C$30)</f>
        <v>0.8614740756891053</v>
      </c>
      <c r="P35" s="39">
        <f>elev(L35,F$1,'Data Entry'!C$8,'Data Entry'!C$14,'Data Entry'!C$18,'Data Entry'!I$8,'Data Entry'!I$9,'Data Entry'!C$20,0,0,'Data Entry'!C$26,'Data Entry'!I$13,'Data Entry'!I$14,'Data Entry'!C59,0,0)</f>
        <v>0.265</v>
      </c>
      <c r="Q35" s="43">
        <f>kro(P35,F$1,'Data Entry'!C$8,'Data Entry'!C$14,'Data Entry'!C$18,'Data Entry'!I$8,'Data Entry'!I$9,'Data Entry'!C$20,'Data Entry'!I$10,'Data Entry'!C$26,'Data Entry'!I$13,'Data Entry'!I$14,'Data Entry'!C$28,'Data Entry'!I$15)</f>
        <v>0.0014117574345239227</v>
      </c>
      <c r="S35" s="43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5">
        <v>32</v>
      </c>
      <c r="M36" s="39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39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39">
        <f>sw(M36,F$1,'Data Entry'!C$8,'Data Entry'!C$14,'Data Entry'!C$18,'Data Entry'!I$9,'Data Entry'!C$20,'Data Entry'!C$22,'Data Entry'!C$26,'Data Entry'!I$14,'Data Entry'!C$28,'Data Entry'!C$30)</f>
        <v>0.8622621438355715</v>
      </c>
      <c r="P36" s="39">
        <f>elev(L36,F$1,'Data Entry'!C$8,'Data Entry'!C$14,'Data Entry'!C$18,'Data Entry'!I$8,'Data Entry'!I$9,'Data Entry'!C$20,0,0,'Data Entry'!C$26,'Data Entry'!I$13,'Data Entry'!I$14,'Data Entry'!C60,0,0)</f>
        <v>0.23000000000000004</v>
      </c>
      <c r="Q36" s="43">
        <f>kro(P36,F$1,'Data Entry'!C$8,'Data Entry'!C$14,'Data Entry'!C$18,'Data Entry'!I$8,'Data Entry'!I$9,'Data Entry'!C$20,'Data Entry'!I$10,'Data Entry'!C$26,'Data Entry'!I$13,'Data Entry'!I$14,'Data Entry'!C$28,'Data Entry'!I$15)</f>
        <v>0.0013346870972965501</v>
      </c>
      <c r="S36" s="43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5">
        <v>33</v>
      </c>
      <c r="M37" s="39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39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39">
        <f>sw(M37,F$1,'Data Entry'!C$8,'Data Entry'!C$14,'Data Entry'!C$18,'Data Entry'!I$9,'Data Entry'!C$20,'Data Entry'!C$22,'Data Entry'!C$26,'Data Entry'!I$14,'Data Entry'!C$28,'Data Entry'!C$30)</f>
        <v>0.8630525557664928</v>
      </c>
      <c r="P37" s="39">
        <f>elev(L37,F$1,'Data Entry'!C$8,'Data Entry'!C$14,'Data Entry'!C$18,'Data Entry'!I$8,'Data Entry'!I$9,'Data Entry'!C$20,0,0,'Data Entry'!C$26,'Data Entry'!I$13,'Data Entry'!I$14,'Data Entry'!C61,0,0)</f>
        <v>0.19500000000000003</v>
      </c>
      <c r="Q37" s="43">
        <f>kro(P37,F$1,'Data Entry'!C$8,'Data Entry'!C$14,'Data Entry'!C$18,'Data Entry'!I$8,'Data Entry'!I$9,'Data Entry'!C$20,'Data Entry'!I$10,'Data Entry'!C$26,'Data Entry'!I$13,'Data Entry'!I$14,'Data Entry'!C$28,'Data Entry'!I$15)</f>
        <v>0.001259961763277587</v>
      </c>
      <c r="S37" s="43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5">
        <v>34</v>
      </c>
      <c r="M38" s="39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39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39">
        <f>sw(M38,F$1,'Data Entry'!C$8,'Data Entry'!C$14,'Data Entry'!C$18,'Data Entry'!I$9,'Data Entry'!C$20,'Data Entry'!C$22,'Data Entry'!C$26,'Data Entry'!I$14,'Data Entry'!C$28,'Data Entry'!C$30)</f>
        <v>0.8638451845001818</v>
      </c>
      <c r="P38" s="39">
        <f>elev(L38,F$1,'Data Entry'!C$8,'Data Entry'!C$14,'Data Entry'!C$18,'Data Entry'!I$8,'Data Entry'!I$9,'Data Entry'!C$20,0,0,'Data Entry'!C$26,'Data Entry'!I$13,'Data Entry'!I$14,'Data Entry'!C62,0,0)</f>
        <v>0.16000000000000003</v>
      </c>
      <c r="Q38" s="43">
        <f>kro(P38,F$1,'Data Entry'!C$8,'Data Entry'!C$14,'Data Entry'!C$18,'Data Entry'!I$8,'Data Entry'!I$9,'Data Entry'!C$20,'Data Entry'!I$10,'Data Entry'!C$26,'Data Entry'!I$13,'Data Entry'!I$14,'Data Entry'!C$28,'Data Entry'!I$15)</f>
        <v>0.001187594074885652</v>
      </c>
      <c r="S38" s="43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5">
        <v>35</v>
      </c>
      <c r="M39" s="39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39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39">
        <f>sw(M39,F$1,'Data Entry'!C$8,'Data Entry'!C$14,'Data Entry'!C$18,'Data Entry'!I$9,'Data Entry'!C$20,'Data Entry'!C$22,'Data Entry'!C$26,'Data Entry'!I$14,'Data Entry'!C$28,'Data Entry'!C$30)</f>
        <v>0.8646398952887546</v>
      </c>
      <c r="P39" s="39">
        <f>elev(L39,F$1,'Data Entry'!C$8,'Data Entry'!C$14,'Data Entry'!C$18,'Data Entry'!I$8,'Data Entry'!I$9,'Data Entry'!C$20,0,0,'Data Entry'!C$26,'Data Entry'!I$13,'Data Entry'!I$14,'Data Entry'!C63,0,0)</f>
        <v>0.12500000000000003</v>
      </c>
      <c r="Q39" s="43">
        <f>kro(P39,F$1,'Data Entry'!C$8,'Data Entry'!C$14,'Data Entry'!C$18,'Data Entry'!I$8,'Data Entry'!I$9,'Data Entry'!C$20,'Data Entry'!I$10,'Data Entry'!C$26,'Data Entry'!I$13,'Data Entry'!I$14,'Data Entry'!C$28,'Data Entry'!I$15)</f>
        <v>0.0011175943803330766</v>
      </c>
      <c r="S39" s="43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5">
        <v>36</v>
      </c>
      <c r="M40" s="39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39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39">
        <f>sw(M40,F$1,'Data Entry'!C$8,'Data Entry'!C$14,'Data Entry'!C$18,'Data Entry'!I$9,'Data Entry'!C$20,'Data Entry'!C$22,'Data Entry'!C$26,'Data Entry'!I$14,'Data Entry'!C$28,'Data Entry'!C$30)</f>
        <v>0.8654365452498644</v>
      </c>
      <c r="P40" s="39">
        <f>elev(L40,F$1,'Data Entry'!C$8,'Data Entry'!C$14,'Data Entry'!C$18,'Data Entry'!I$8,'Data Entry'!I$9,'Data Entry'!C$20,0,0,'Data Entry'!C$26,'Data Entry'!I$13,'Data Entry'!I$14,'Data Entry'!C64,0,0)</f>
        <v>0.09000000000000002</v>
      </c>
      <c r="Q40" s="43">
        <f>kro(P40,F$1,'Data Entry'!C$8,'Data Entry'!C$14,'Data Entry'!C$18,'Data Entry'!I$8,'Data Entry'!I$9,'Data Entry'!C$20,'Data Entry'!I$10,'Data Entry'!C$26,'Data Entry'!I$13,'Data Entry'!I$14,'Data Entry'!C$28,'Data Entry'!I$15)</f>
        <v>0.0010499706134632094</v>
      </c>
      <c r="S40" s="43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5">
        <v>37</v>
      </c>
      <c r="M41" s="39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39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39">
        <f>sw(M41,F$1,'Data Entry'!C$8,'Data Entry'!C$14,'Data Entry'!C$18,'Data Entry'!I$9,'Data Entry'!C$20,'Data Entry'!C$22,'Data Entry'!C$26,'Data Entry'!I$14,'Data Entry'!C$28,'Data Entry'!C$30)</f>
        <v>0.8662349829810398</v>
      </c>
      <c r="P41" s="39">
        <f>elev(L41,F$1,'Data Entry'!C$8,'Data Entry'!C$14,'Data Entry'!C$18,'Data Entry'!I$8,'Data Entry'!I$9,'Data Entry'!C$20,0,0,'Data Entry'!C$26,'Data Entry'!I$13,'Data Entry'!I$14,'Data Entry'!C65,0,0)</f>
        <v>0.05500000000000002</v>
      </c>
      <c r="Q41" s="43">
        <f>kro(P41,F$1,'Data Entry'!C$8,'Data Entry'!C$14,'Data Entry'!C$18,'Data Entry'!I$8,'Data Entry'!I$9,'Data Entry'!C$20,'Data Entry'!I$10,'Data Entry'!C$26,'Data Entry'!I$13,'Data Entry'!I$14,'Data Entry'!C$28,'Data Entry'!I$15)</f>
        <v>0.00098472817401661</v>
      </c>
      <c r="S41" s="43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5">
        <v>38</v>
      </c>
      <c r="M42" s="39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39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39">
        <f>sw(M42,F$1,'Data Entry'!C$8,'Data Entry'!C$14,'Data Entry'!C$18,'Data Entry'!I$9,'Data Entry'!C$20,'Data Entry'!C$22,'Data Entry'!C$26,'Data Entry'!I$14,'Data Entry'!C$28,'Data Entry'!C$30)</f>
        <v>0.867035048155659</v>
      </c>
      <c r="P42" s="39">
        <f>elev(L42,F$1,'Data Entry'!C$8,'Data Entry'!C$14,'Data Entry'!C$18,'Data Entry'!I$8,'Data Entry'!I$9,'Data Entry'!C$20,0,0,'Data Entry'!C$26,'Data Entry'!I$13,'Data Entry'!I$14,'Data Entry'!C66,0,0)</f>
        <v>0.020000000000000018</v>
      </c>
      <c r="Q42" s="43">
        <f>kro(P42,F$1,'Data Entry'!C$8,'Data Entry'!C$14,'Data Entry'!C$18,'Data Entry'!I$8,'Data Entry'!I$9,'Data Entry'!C$20,'Data Entry'!I$10,'Data Entry'!C$26,'Data Entry'!I$13,'Data Entry'!I$14,'Data Entry'!C$28,'Data Entry'!I$15)</f>
        <v>0.0009218698089710604</v>
      </c>
      <c r="S42" s="43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5">
        <v>39</v>
      </c>
      <c r="M43" s="39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39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39">
        <f>sw(M43,F$1,'Data Entry'!C$8,'Data Entry'!C$14,'Data Entry'!C$18,'Data Entry'!I$9,'Data Entry'!C$20,'Data Entry'!C$22,'Data Entry'!C$26,'Data Entry'!I$14,'Data Entry'!C$28,'Data Entry'!C$30)</f>
        <v>0.8678365710995034</v>
      </c>
      <c r="P43" s="39">
        <f>elev(L43,F$1,'Data Entry'!C$8,'Data Entry'!C$14,'Data Entry'!C$18,'Data Entry'!I$8,'Data Entry'!I$9,'Data Entry'!C$20,0,0,'Data Entry'!C$26,'Data Entry'!I$13,'Data Entry'!I$14,'Data Entry'!C67,0,0)</f>
        <v>-0.015000000000000013</v>
      </c>
      <c r="Q43" s="43">
        <f>kro(P43,F$1,'Data Entry'!C$8,'Data Entry'!C$14,'Data Entry'!C$18,'Data Entry'!I$8,'Data Entry'!I$9,'Data Entry'!C$20,'Data Entry'!I$10,'Data Entry'!C$26,'Data Entry'!I$13,'Data Entry'!I$14,'Data Entry'!C$28,'Data Entry'!I$15)</f>
        <v>0.0008613954956656505</v>
      </c>
      <c r="S43" s="43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5">
        <v>40</v>
      </c>
      <c r="M44" s="39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39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39">
        <f>sw(M44,F$1,'Data Entry'!C$8,'Data Entry'!C$14,'Data Entry'!C$18,'Data Entry'!I$9,'Data Entry'!C$20,'Data Entry'!C$22,'Data Entry'!C$26,'Data Entry'!I$14,'Data Entry'!C$28,'Data Entry'!C$30)</f>
        <v>0.8686393723467472</v>
      </c>
      <c r="P44" s="39">
        <f>elev(L44,F$1,'Data Entry'!C$8,'Data Entry'!C$14,'Data Entry'!C$18,'Data Entry'!I$8,'Data Entry'!I$9,'Data Entry'!C$20,0,0,'Data Entry'!C$26,'Data Entry'!I$13,'Data Entry'!I$14,'Data Entry'!C68,0,0)</f>
        <v>-0.04999999999999999</v>
      </c>
      <c r="Q44" s="43">
        <f>kro(P44,F$1,'Data Entry'!C$8,'Data Entry'!C$14,'Data Entry'!C$18,'Data Entry'!I$8,'Data Entry'!I$9,'Data Entry'!C$20,'Data Entry'!I$10,'Data Entry'!C$26,'Data Entry'!I$13,'Data Entry'!I$14,'Data Entry'!C$28,'Data Entry'!I$15)</f>
        <v>0.0008033023274870529</v>
      </c>
      <c r="S44" s="43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5">
        <v>41</v>
      </c>
      <c r="M45" s="39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39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39">
        <f>sw(M45,F$1,'Data Entry'!C$8,'Data Entry'!C$14,'Data Entry'!C$18,'Data Entry'!I$9,'Data Entry'!C$20,'Data Entry'!C$22,'Data Entry'!C$26,'Data Entry'!I$14,'Data Entry'!C$28,'Data Entry'!C$30)</f>
        <v>0.8694432621741248</v>
      </c>
      <c r="P45" s="39">
        <f>elev(L45,F$1,'Data Entry'!C$8,'Data Entry'!C$14,'Data Entry'!C$18,'Data Entry'!I$8,'Data Entry'!I$9,'Data Entry'!C$20,0,0,'Data Entry'!C$26,'Data Entry'!I$13,'Data Entry'!I$14,'Data Entry'!C69,0,0)</f>
        <v>-0.08500000000000002</v>
      </c>
      <c r="Q45" s="43">
        <f>kro(P45,F$1,'Data Entry'!C$8,'Data Entry'!C$14,'Data Entry'!C$18,'Data Entry'!I$8,'Data Entry'!I$9,'Data Entry'!C$20,'Data Entry'!I$10,'Data Entry'!C$26,'Data Entry'!I$13,'Data Entry'!I$14,'Data Entry'!C$28,'Data Entry'!I$15)</f>
        <v>0.0007475844029662044</v>
      </c>
      <c r="S45" s="43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5">
        <v>42</v>
      </c>
      <c r="M46" s="39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39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39">
        <f>sw(M46,F$1,'Data Entry'!C$8,'Data Entry'!C$14,'Data Entry'!C$18,'Data Entry'!I$9,'Data Entry'!C$20,'Data Entry'!C$22,'Data Entry'!C$26,'Data Entry'!I$14,'Data Entry'!C$28,'Data Entry'!C$30)</f>
        <v>0.8702480401119015</v>
      </c>
      <c r="P46" s="39">
        <f>elev(L46,F$1,'Data Entry'!C$8,'Data Entry'!C$14,'Data Entry'!C$18,'Data Entry'!I$8,'Data Entry'!I$9,'Data Entry'!C$20,0,0,'Data Entry'!C$26,'Data Entry'!I$13,'Data Entry'!I$14,'Data Entry'!C70,0,0)</f>
        <v>-0.12</v>
      </c>
      <c r="Q46" s="43">
        <f>kro(P46,F$1,'Data Entry'!C$8,'Data Entry'!C$14,'Data Entry'!C$18,'Data Entry'!I$8,'Data Entry'!I$9,'Data Entry'!C$20,'Data Entry'!I$10,'Data Entry'!C$26,'Data Entry'!I$13,'Data Entry'!I$14,'Data Entry'!C$28,'Data Entry'!I$15)</f>
        <v>0.0006942327192055432</v>
      </c>
      <c r="S46" s="43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5">
        <v>43</v>
      </c>
      <c r="M47" s="39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39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39">
        <f>sw(M47,F$1,'Data Entry'!C$8,'Data Entry'!C$14,'Data Entry'!C$18,'Data Entry'!I$9,'Data Entry'!C$20,'Data Entry'!C$22,'Data Entry'!C$26,'Data Entry'!I$14,'Data Entry'!C$28,'Data Entry'!C$30)</f>
        <v>0.8710534944301239</v>
      </c>
      <c r="P47" s="39">
        <f>elev(L47,F$1,'Data Entry'!C$8,'Data Entry'!C$14,'Data Entry'!C$18,'Data Entry'!I$8,'Data Entry'!I$9,'Data Entry'!C$20,0,0,'Data Entry'!C$26,'Data Entry'!I$13,'Data Entry'!I$14,'Data Entry'!C71,0,0)</f>
        <v>-0.15500000000000003</v>
      </c>
      <c r="Q47" s="43">
        <f>kro(P47,F$1,'Data Entry'!C$8,'Data Entry'!C$14,'Data Entry'!C$18,'Data Entry'!I$8,'Data Entry'!I$9,'Data Entry'!C$20,'Data Entry'!I$10,'Data Entry'!C$26,'Data Entry'!I$13,'Data Entry'!I$14,'Data Entry'!C$28,'Data Entry'!I$15)</f>
        <v>0.0006432350706300666</v>
      </c>
      <c r="S47" s="43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5">
        <v>44</v>
      </c>
      <c r="M48" s="39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39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39">
        <f>sw(M48,F$1,'Data Entry'!C$8,'Data Entry'!C$14,'Data Entry'!C$18,'Data Entry'!I$9,'Data Entry'!C$20,'Data Entry'!C$22,'Data Entry'!C$26,'Data Entry'!I$14,'Data Entry'!C$28,'Data Entry'!C$30)</f>
        <v>0.8718594015984731</v>
      </c>
      <c r="P48" s="39">
        <f>elev(L48,F$1,'Data Entry'!C$8,'Data Entry'!C$14,'Data Entry'!C$18,'Data Entry'!I$8,'Data Entry'!I$9,'Data Entry'!C$20,0,0,'Data Entry'!C$26,'Data Entry'!I$13,'Data Entry'!I$14,'Data Entry'!C72,0,0)</f>
        <v>-0.19</v>
      </c>
      <c r="Q48" s="43">
        <f>kro(P48,F$1,'Data Entry'!C$8,'Data Entry'!C$14,'Data Entry'!C$18,'Data Entry'!I$8,'Data Entry'!I$9,'Data Entry'!C$20,'Data Entry'!I$10,'Data Entry'!C$26,'Data Entry'!I$13,'Data Entry'!I$14,'Data Entry'!C$28,'Data Entry'!I$15)</f>
        <v>0.0005945759541293558</v>
      </c>
      <c r="S48" s="43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5">
        <v>45</v>
      </c>
      <c r="M49" s="39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39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39">
        <f>sw(M49,F$1,'Data Entry'!C$8,'Data Entry'!C$14,'Data Entry'!C$18,'Data Entry'!I$9,'Data Entry'!C$20,'Data Entry'!C$22,'Data Entry'!C$26,'Data Entry'!I$14,'Data Entry'!C$28,'Data Entry'!C$30)</f>
        <v>0.8726655257178433</v>
      </c>
      <c r="P49" s="39">
        <f>elev(L49,F$1,'Data Entry'!C$8,'Data Entry'!C$14,'Data Entry'!C$18,'Data Entry'!I$8,'Data Entry'!I$9,'Data Entry'!C$20,0,0,'Data Entry'!C$26,'Data Entry'!I$13,'Data Entry'!I$14,'Data Entry'!C73,0,0)</f>
        <v>-0.2250000000000001</v>
      </c>
      <c r="Q49" s="43">
        <f>kro(P49,F$1,'Data Entry'!C$8,'Data Entry'!C$14,'Data Entry'!C$18,'Data Entry'!I$8,'Data Entry'!I$9,'Data Entry'!C$20,'Data Entry'!I$10,'Data Entry'!C$26,'Data Entry'!I$13,'Data Entry'!I$14,'Data Entry'!C$28,'Data Entry'!I$15)</f>
        <v>0.0005482364817311652</v>
      </c>
      <c r="S49" s="43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5">
        <v>46</v>
      </c>
      <c r="M50" s="39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39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39">
        <f>sw(M50,F$1,'Data Entry'!C$8,'Data Entry'!C$14,'Data Entry'!C$18,'Data Entry'!I$9,'Data Entry'!C$20,'Data Entry'!C$22,'Data Entry'!C$26,'Data Entry'!I$14,'Data Entry'!C$28,'Data Entry'!C$30)</f>
        <v>0.8734716179215576</v>
      </c>
      <c r="P50" s="39">
        <f>elev(L50,F$1,'Data Entry'!C$8,'Data Entry'!C$14,'Data Entry'!C$18,'Data Entry'!I$8,'Data Entry'!I$9,'Data Entry'!C$20,0,0,'Data Entry'!C$26,'Data Entry'!I$13,'Data Entry'!I$14,'Data Entry'!C74,0,0)</f>
        <v>-0.26</v>
      </c>
      <c r="Q50" s="43">
        <f>kro(P50,F$1,'Data Entry'!C$8,'Data Entry'!C$14,'Data Entry'!C$18,'Data Entry'!I$8,'Data Entry'!I$9,'Data Entry'!C$20,'Data Entry'!I$10,'Data Entry'!C$26,'Data Entry'!I$13,'Data Entry'!I$14,'Data Entry'!C$28,'Data Entry'!I$15)</f>
        <v>0.0005041943020199966</v>
      </c>
      <c r="S50" s="43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5">
        <v>47</v>
      </c>
      <c r="M51" s="39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39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39">
        <f>sw(M51,F$1,'Data Entry'!C$8,'Data Entry'!C$14,'Data Entry'!C$18,'Data Entry'!I$9,'Data Entry'!C$20,'Data Entry'!C$22,'Data Entry'!C$26,'Data Entry'!I$14,'Data Entry'!C$28,'Data Entry'!C$30)</f>
        <v>0.8742774157438674</v>
      </c>
      <c r="P51" s="39">
        <f>elev(L51,F$1,'Data Entry'!C$8,'Data Entry'!C$14,'Data Entry'!C$18,'Data Entry'!I$8,'Data Entry'!I$9,'Data Entry'!C$20,0,0,'Data Entry'!C$26,'Data Entry'!I$13,'Data Entry'!I$14,'Data Entry'!C75,0,0)</f>
        <v>-0.29499999999999993</v>
      </c>
      <c r="Q51" s="43">
        <f>kro(P51,F$1,'Data Entry'!C$8,'Data Entry'!C$14,'Data Entry'!C$18,'Data Entry'!I$8,'Data Entry'!I$9,'Data Entry'!C$20,'Data Entry'!I$10,'Data Entry'!C$26,'Data Entry'!I$13,'Data Entry'!I$14,'Data Entry'!C$28,'Data Entry'!I$15)</f>
        <v>0.0004624235315843478</v>
      </c>
      <c r="S51" s="43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5">
        <v>48</v>
      </c>
      <c r="M52" s="39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39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39">
        <f>sw(M52,F$1,'Data Entry'!C$8,'Data Entry'!C$14,'Data Entry'!C$18,'Data Entry'!I$9,'Data Entry'!C$20,'Data Entry'!C$22,'Data Entry'!C$26,'Data Entry'!I$14,'Data Entry'!C$28,'Data Entry'!C$30)</f>
        <v>0.8750826424530873</v>
      </c>
      <c r="P52" s="39">
        <f>elev(L52,F$1,'Data Entry'!C$8,'Data Entry'!C$14,'Data Entry'!C$18,'Data Entry'!I$8,'Data Entry'!I$9,'Data Entry'!C$20,0,0,'Data Entry'!C$26,'Data Entry'!I$13,'Data Entry'!I$14,'Data Entry'!C76,0,0)</f>
        <v>-0.33000000000000007</v>
      </c>
      <c r="Q52" s="43">
        <f>kro(P52,F$1,'Data Entry'!C$8,'Data Entry'!C$14,'Data Entry'!C$18,'Data Entry'!I$8,'Data Entry'!I$9,'Data Entry'!C$20,'Data Entry'!I$10,'Data Entry'!C$26,'Data Entry'!I$13,'Data Entry'!I$14,'Data Entry'!C$28,'Data Entry'!I$15)</f>
        <v>0.0004228946978435521</v>
      </c>
      <c r="S52" s="43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5">
        <v>49</v>
      </c>
      <c r="M53" s="39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39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39">
        <f>sw(M53,F$1,'Data Entry'!C$8,'Data Entry'!C$14,'Data Entry'!C$18,'Data Entry'!I$9,'Data Entry'!C$20,'Data Entry'!C$22,'Data Entry'!C$26,'Data Entry'!I$14,'Data Entry'!C$28,'Data Entry'!C$30)</f>
        <v>0.8758870063463551</v>
      </c>
      <c r="P53" s="39">
        <f>elev(L53,F$1,'Data Entry'!C$8,'Data Entry'!C$14,'Data Entry'!C$18,'Data Entry'!I$8,'Data Entry'!I$9,'Data Entry'!C$20,0,0,'Data Entry'!C$26,'Data Entry'!I$13,'Data Entry'!I$14,'Data Entry'!C77,0,0)</f>
        <v>-0.365</v>
      </c>
      <c r="Q53" s="43">
        <f>kro(P53,F$1,'Data Entry'!C$8,'Data Entry'!C$14,'Data Entry'!C$18,'Data Entry'!I$8,'Data Entry'!I$9,'Data Entry'!C$20,'Data Entry'!I$10,'Data Entry'!C$26,'Data Entry'!I$13,'Data Entry'!I$14,'Data Entry'!C$28,'Data Entry'!I$15)</f>
        <v>0.0003855746946676131</v>
      </c>
      <c r="S53" s="43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5">
        <v>50</v>
      </c>
      <c r="M54" s="39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39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39">
        <f>sw(M54,F$1,'Data Entry'!C$8,'Data Entry'!C$14,'Data Entry'!C$18,'Data Entry'!I$9,'Data Entry'!C$20,'Data Entry'!C$22,'Data Entry'!C$26,'Data Entry'!I$14,'Data Entry'!C$28,'Data Entry'!C$30)</f>
        <v>0.8766902000025925</v>
      </c>
      <c r="P54" s="39">
        <f>elev(L54,F$1,'Data Entry'!C$8,'Data Entry'!C$14,'Data Entry'!C$18,'Data Entry'!I$8,'Data Entry'!I$9,'Data Entry'!C$20,0,0,'Data Entry'!C$26,'Data Entry'!I$13,'Data Entry'!I$14,'Data Entry'!C78,0,0)</f>
        <v>-0.4</v>
      </c>
      <c r="Q54" s="43">
        <f>kro(P54,F$1,'Data Entry'!C$8,'Data Entry'!C$14,'Data Entry'!C$18,'Data Entry'!I$8,'Data Entry'!I$9,'Data Entry'!C$20,'Data Entry'!I$10,'Data Entry'!C$26,'Data Entry'!I$13,'Data Entry'!I$14,'Data Entry'!C$28,'Data Entry'!I$15)</f>
        <v>0.0003504267522593494</v>
      </c>
      <c r="S54" s="43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5">
        <v>51</v>
      </c>
      <c r="M55" s="39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39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39">
        <f>sw(M55,F$1,'Data Entry'!C$8,'Data Entry'!C$14,'Data Entry'!C$18,'Data Entry'!I$9,'Data Entry'!C$20,'Data Entry'!C$22,'Data Entry'!C$26,'Data Entry'!I$14,'Data Entry'!C$28,'Data Entry'!C$30)</f>
        <v>0.25226495519663644</v>
      </c>
      <c r="P55" s="39">
        <f>elev(L55,F$1,'Data Entry'!C$8,'Data Entry'!C$14,'Data Entry'!C$18,'Data Entry'!I$8,'Data Entry'!I$9,'Data Entry'!C$20,0,0,'Data Entry'!C$26,'Data Entry'!I$13,'Data Entry'!I$14,'Data Entry'!C79,0,0)</f>
        <v>-0.465</v>
      </c>
      <c r="Q55" s="43">
        <f>kro(P55,F$1,'Data Entry'!C$8,'Data Entry'!C$14,'Data Entry'!C$18,'Data Entry'!I$8,'Data Entry'!I$9,'Data Entry'!C$20,'Data Entry'!I$10,'Data Entry'!C$26,'Data Entry'!I$13,'Data Entry'!I$14,'Data Entry'!C$28,'Data Entry'!I$15)</f>
        <v>0.47595768938855154</v>
      </c>
      <c r="S55" s="43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5">
        <v>52</v>
      </c>
      <c r="M56" s="39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39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39">
        <f>sw(M56,F$1,'Data Entry'!C$8,'Data Entry'!C$14,'Data Entry'!C$18,'Data Entry'!I$9,'Data Entry'!C$20,'Data Entry'!C$22,'Data Entry'!C$26,'Data Entry'!I$14,'Data Entry'!C$28,'Data Entry'!C$30)</f>
        <v>0.2749503026390347</v>
      </c>
      <c r="P56" s="39">
        <f>elev(L56,F$1,'Data Entry'!C$8,'Data Entry'!C$14,'Data Entry'!C$18,'Data Entry'!I$8,'Data Entry'!I$9,'Data Entry'!C$20,0,0,'Data Entry'!C$26,'Data Entry'!I$13,'Data Entry'!I$14,'Data Entry'!C80,0,0)</f>
        <v>-0.53</v>
      </c>
      <c r="Q56" s="43">
        <f>kro(P56,F$1,'Data Entry'!C$8,'Data Entry'!C$14,'Data Entry'!C$18,'Data Entry'!I$8,'Data Entry'!I$9,'Data Entry'!C$20,'Data Entry'!I$10,'Data Entry'!C$26,'Data Entry'!I$13,'Data Entry'!I$14,'Data Entry'!C$28,'Data Entry'!I$15)</f>
        <v>0.43111280442087996</v>
      </c>
      <c r="S56" s="43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5">
        <v>53</v>
      </c>
      <c r="M57" s="39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39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39">
        <f>sw(M57,F$1,'Data Entry'!C$8,'Data Entry'!C$14,'Data Entry'!C$18,'Data Entry'!I$9,'Data Entry'!C$20,'Data Entry'!C$22,'Data Entry'!C$26,'Data Entry'!I$14,'Data Entry'!C$28,'Data Entry'!C$30)</f>
        <v>0.3015915671385728</v>
      </c>
      <c r="P57" s="39">
        <f>elev(L57,F$1,'Data Entry'!C$8,'Data Entry'!C$14,'Data Entry'!C$18,'Data Entry'!I$8,'Data Entry'!I$9,'Data Entry'!C$20,0,0,'Data Entry'!C$26,'Data Entry'!I$13,'Data Entry'!I$14,'Data Entry'!C81,0,0)</f>
        <v>-0.595</v>
      </c>
      <c r="Q57" s="43">
        <f>kro(P57,F$1,'Data Entry'!C$8,'Data Entry'!C$14,'Data Entry'!C$18,'Data Entry'!I$8,'Data Entry'!I$9,'Data Entry'!C$20,'Data Entry'!I$10,'Data Entry'!C$26,'Data Entry'!I$13,'Data Entry'!I$14,'Data Entry'!C$28,'Data Entry'!I$15)</f>
        <v>0.38076574845635375</v>
      </c>
      <c r="S57" s="43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5">
        <v>54</v>
      </c>
      <c r="M58" s="39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39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39">
        <f>sw(M58,F$1,'Data Entry'!C$8,'Data Entry'!C$14,'Data Entry'!C$18,'Data Entry'!I$9,'Data Entry'!C$20,'Data Entry'!C$22,'Data Entry'!C$26,'Data Entry'!I$14,'Data Entry'!C$28,'Data Entry'!C$30)</f>
        <v>0.3327492101149959</v>
      </c>
      <c r="P58" s="39">
        <f>elev(L58,F$1,'Data Entry'!C$8,'Data Entry'!C$14,'Data Entry'!C$18,'Data Entry'!I$8,'Data Entry'!I$9,'Data Entry'!C$20,0,0,'Data Entry'!C$26,'Data Entry'!I$13,'Data Entry'!I$14,'Data Entry'!C82,0,0)</f>
        <v>-0.6599999999999999</v>
      </c>
      <c r="Q58" s="43">
        <f>kro(P58,F$1,'Data Entry'!C$8,'Data Entry'!C$14,'Data Entry'!C$18,'Data Entry'!I$8,'Data Entry'!I$9,'Data Entry'!C$20,'Data Entry'!I$10,'Data Entry'!C$26,'Data Entry'!I$13,'Data Entry'!I$14,'Data Entry'!C$28,'Data Entry'!I$15)</f>
        <v>0.3253705960525074</v>
      </c>
      <c r="S58" s="43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5">
        <v>55</v>
      </c>
      <c r="M59" s="39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39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39">
        <f>sw(M59,F$1,'Data Entry'!C$8,'Data Entry'!C$14,'Data Entry'!C$18,'Data Entry'!I$9,'Data Entry'!C$20,'Data Entry'!C$22,'Data Entry'!C$26,'Data Entry'!I$14,'Data Entry'!C$28,'Data Entry'!C$30)</f>
        <v>0.3689011803918215</v>
      </c>
      <c r="P59" s="39">
        <f>elev(L59,F$1,'Data Entry'!C$8,'Data Entry'!C$14,'Data Entry'!C$18,'Data Entry'!I$8,'Data Entry'!I$9,'Data Entry'!C$20,0,0,'Data Entry'!C$26,'Data Entry'!I$13,'Data Entry'!I$14,'Data Entry'!C83,0,0)</f>
        <v>-0.725</v>
      </c>
      <c r="Q59" s="43">
        <f>kro(P59,F$1,'Data Entry'!C$8,'Data Entry'!C$14,'Data Entry'!C$18,'Data Entry'!I$8,'Data Entry'!I$9,'Data Entry'!C$20,'Data Entry'!I$10,'Data Entry'!C$26,'Data Entry'!I$13,'Data Entry'!I$14,'Data Entry'!C$28,'Data Entry'!I$15)</f>
        <v>0.2662253523097213</v>
      </c>
      <c r="S59" s="43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5">
        <v>56</v>
      </c>
      <c r="M60" s="39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39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39">
        <f>sw(M60,F$1,'Data Entry'!C$8,'Data Entry'!C$14,'Data Entry'!C$18,'Data Entry'!I$9,'Data Entry'!C$20,'Data Entry'!C$22,'Data Entry'!C$26,'Data Entry'!I$14,'Data Entry'!C$28,'Data Entry'!C$30)</f>
        <v>0.4103035273786365</v>
      </c>
      <c r="P60" s="39">
        <f>elev(L60,F$1,'Data Entry'!C$8,'Data Entry'!C$14,'Data Entry'!C$18,'Data Entry'!I$8,'Data Entry'!I$9,'Data Entry'!C$20,0,0,'Data Entry'!C$26,'Data Entry'!I$13,'Data Entry'!I$14,'Data Entry'!C84,0,0)</f>
        <v>-0.79</v>
      </c>
      <c r="Q60" s="43">
        <f>kro(P60,F$1,'Data Entry'!C$8,'Data Entry'!C$14,'Data Entry'!C$18,'Data Entry'!I$8,'Data Entry'!I$9,'Data Entry'!C$20,'Data Entry'!I$10,'Data Entry'!C$26,'Data Entry'!I$13,'Data Entry'!I$14,'Data Entry'!C$28,'Data Entry'!I$15)</f>
        <v>0.20575876930174838</v>
      </c>
      <c r="S60" s="43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5">
        <v>57</v>
      </c>
      <c r="M61" s="39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39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39">
        <f>sw(M61,F$1,'Data Entry'!C$8,'Data Entry'!C$14,'Data Entry'!C$18,'Data Entry'!I$9,'Data Entry'!C$20,'Data Entry'!C$22,'Data Entry'!C$26,'Data Entry'!I$14,'Data Entry'!C$28,'Data Entry'!C$30)</f>
        <v>0.4567873806408179</v>
      </c>
      <c r="P61" s="39">
        <f>elev(L61,F$1,'Data Entry'!C$8,'Data Entry'!C$14,'Data Entry'!C$18,'Data Entry'!I$8,'Data Entry'!I$9,'Data Entry'!C$20,0,0,'Data Entry'!C$26,'Data Entry'!I$13,'Data Entry'!I$14,'Data Entry'!C85,0,0)</f>
        <v>-0.855</v>
      </c>
      <c r="Q61" s="43">
        <f>kro(P61,F$1,'Data Entry'!C$8,'Data Entry'!C$14,'Data Entry'!C$18,'Data Entry'!I$8,'Data Entry'!I$9,'Data Entry'!C$20,'Data Entry'!I$10,'Data Entry'!C$26,'Data Entry'!I$13,'Data Entry'!I$14,'Data Entry'!C$28,'Data Entry'!I$15)</f>
        <v>0.14760105836677528</v>
      </c>
      <c r="S61" s="43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5">
        <v>58</v>
      </c>
      <c r="M62" s="39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39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39">
        <f>sw(M62,F$1,'Data Entry'!C$8,'Data Entry'!C$14,'Data Entry'!C$18,'Data Entry'!I$9,'Data Entry'!C$20,'Data Entry'!C$22,'Data Entry'!C$26,'Data Entry'!I$14,'Data Entry'!C$28,'Data Entry'!C$30)</f>
        <v>0.5075141651028563</v>
      </c>
      <c r="P62" s="39">
        <f>elev(L62,F$1,'Data Entry'!C$8,'Data Entry'!C$14,'Data Entry'!C$18,'Data Entry'!I$8,'Data Entry'!I$9,'Data Entry'!C$20,0,0,'Data Entry'!C$26,'Data Entry'!I$13,'Data Entry'!I$14,'Data Entry'!C86,0,0)</f>
        <v>-0.9199999999999999</v>
      </c>
      <c r="Q62" s="43">
        <f>kro(P62,F$1,'Data Entry'!C$8,'Data Entry'!C$14,'Data Entry'!C$18,'Data Entry'!I$8,'Data Entry'!I$9,'Data Entry'!C$20,'Data Entry'!I$10,'Data Entry'!C$26,'Data Entry'!I$13,'Data Entry'!I$14,'Data Entry'!C$28,'Data Entry'!I$15)</f>
        <v>0.09614241337742353</v>
      </c>
      <c r="S62" s="43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5">
        <v>59</v>
      </c>
      <c r="M63" s="39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39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39">
        <f>sw(M63,F$1,'Data Entry'!C$8,'Data Entry'!C$14,'Data Entry'!C$18,'Data Entry'!I$9,'Data Entry'!C$20,'Data Entry'!C$22,'Data Entry'!C$26,'Data Entry'!I$14,'Data Entry'!C$28,'Data Entry'!C$30)</f>
        <v>0.5607675979523568</v>
      </c>
      <c r="P63" s="39">
        <f>elev(L63,F$1,'Data Entry'!C$8,'Data Entry'!C$14,'Data Entry'!C$18,'Data Entry'!I$8,'Data Entry'!I$9,'Data Entry'!C$20,0,0,'Data Entry'!C$26,'Data Entry'!I$13,'Data Entry'!I$14,'Data Entry'!C87,0,0)</f>
        <v>-0.985</v>
      </c>
      <c r="Q63" s="43">
        <f>kro(P63,F$1,'Data Entry'!C$8,'Data Entry'!C$14,'Data Entry'!C$18,'Data Entry'!I$8,'Data Entry'!I$9,'Data Entry'!C$20,'Data Entry'!I$10,'Data Entry'!C$26,'Data Entry'!I$13,'Data Entry'!I$14,'Data Entry'!C$28,'Data Entry'!I$15)</f>
        <v>0.05538251161627763</v>
      </c>
      <c r="S63" s="43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5">
        <v>60</v>
      </c>
      <c r="M64" s="39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39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39">
        <f>sw(M64,F$1,'Data Entry'!C$8,'Data Entry'!C$14,'Data Entry'!C$18,'Data Entry'!I$9,'Data Entry'!C$20,'Data Entry'!C$22,'Data Entry'!C$26,'Data Entry'!I$14,'Data Entry'!C$28,'Data Entry'!C$30)</f>
        <v>0.6139272374159795</v>
      </c>
      <c r="P64" s="39">
        <f>elev(L64,F$1,'Data Entry'!C$8,'Data Entry'!C$14,'Data Entry'!C$18,'Data Entry'!I$8,'Data Entry'!I$9,'Data Entry'!C$20,0,0,'Data Entry'!C$26,'Data Entry'!I$13,'Data Entry'!I$14,'Data Entry'!C88,0,0)</f>
        <v>-1.0499999999999998</v>
      </c>
      <c r="Q64" s="43">
        <f>kro(P64,F$1,'Data Entry'!C$8,'Data Entry'!C$14,'Data Entry'!C$18,'Data Entry'!I$8,'Data Entry'!I$9,'Data Entry'!C$20,'Data Entry'!I$10,'Data Entry'!C$26,'Data Entry'!I$13,'Data Entry'!I$14,'Data Entry'!C$28,'Data Entry'!I$15)</f>
        <v>0.027371316990753014</v>
      </c>
      <c r="S64" s="43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5">
        <v>61</v>
      </c>
      <c r="M65" s="39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39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39">
        <f>sw(M65,F$1,'Data Entry'!C$8,'Data Entry'!C$14,'Data Entry'!C$18,'Data Entry'!I$9,'Data Entry'!C$20,'Data Entry'!C$22,'Data Entry'!C$26,'Data Entry'!I$14,'Data Entry'!C$28,'Data Entry'!C$30)</f>
        <v>0.6637790911247119</v>
      </c>
      <c r="P65" s="39">
        <f>elev(L65,F$1,'Data Entry'!C$8,'Data Entry'!C$14,'Data Entry'!C$18,'Data Entry'!I$8,'Data Entry'!I$9,'Data Entry'!C$20,0,0,'Data Entry'!C$26,'Data Entry'!I$13,'Data Entry'!I$14,'Data Entry'!C89,0,0)</f>
        <v>-1.1149999999999998</v>
      </c>
      <c r="Q65" s="43">
        <f>kro(P65,F$1,'Data Entry'!C$8,'Data Entry'!C$14,'Data Entry'!C$18,'Data Entry'!I$8,'Data Entry'!I$9,'Data Entry'!C$20,'Data Entry'!I$10,'Data Entry'!C$26,'Data Entry'!I$13,'Data Entry'!I$14,'Data Entry'!C$28,'Data Entry'!I$15)</f>
        <v>0.011225286046788657</v>
      </c>
      <c r="S65" s="43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5">
        <v>62</v>
      </c>
      <c r="M66" s="39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39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39">
        <f>sw(M66,F$1,'Data Entry'!C$8,'Data Entry'!C$14,'Data Entry'!C$18,'Data Entry'!I$9,'Data Entry'!C$20,'Data Entry'!C$22,'Data Entry'!C$26,'Data Entry'!I$14,'Data Entry'!C$28,'Data Entry'!C$30)</f>
        <v>0.7071904172152211</v>
      </c>
      <c r="P66" s="39">
        <f>elev(L66,F$1,'Data Entry'!C$8,'Data Entry'!C$14,'Data Entry'!C$18,'Data Entry'!I$8,'Data Entry'!I$9,'Data Entry'!C$20,0,0,'Data Entry'!C$26,'Data Entry'!I$13,'Data Entry'!I$14,'Data Entry'!C90,0,0)</f>
        <v>-1.18</v>
      </c>
      <c r="Q66" s="43">
        <f>kro(P66,F$1,'Data Entry'!C$8,'Data Entry'!C$14,'Data Entry'!C$18,'Data Entry'!I$8,'Data Entry'!I$9,'Data Entry'!C$20,'Data Entry'!I$10,'Data Entry'!C$26,'Data Entry'!I$13,'Data Entry'!I$14,'Data Entry'!C$28,'Data Entry'!I$15)</f>
        <v>0.003684693736482479</v>
      </c>
      <c r="S66" s="43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5">
        <v>63</v>
      </c>
      <c r="M67" s="39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39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39">
        <f>sw(M67,F$1,'Data Entry'!C$8,'Data Entry'!C$14,'Data Entry'!C$18,'Data Entry'!I$9,'Data Entry'!C$20,'Data Entry'!C$22,'Data Entry'!C$26,'Data Entry'!I$14,'Data Entry'!C$28,'Data Entry'!C$30)</f>
        <v>0.741924901175722</v>
      </c>
      <c r="P67" s="39">
        <f>elev(L67,F$1,'Data Entry'!C$8,'Data Entry'!C$14,'Data Entry'!C$18,'Data Entry'!I$8,'Data Entry'!I$9,'Data Entry'!C$20,0,0,'Data Entry'!C$26,'Data Entry'!I$13,'Data Entry'!I$14,'Data Entry'!C91,0,0)</f>
        <v>-1.245</v>
      </c>
      <c r="Q67" s="43">
        <f>kro(P67,F$1,'Data Entry'!C$8,'Data Entry'!C$14,'Data Entry'!C$18,'Data Entry'!I$8,'Data Entry'!I$9,'Data Entry'!C$20,'Data Entry'!I$10,'Data Entry'!C$26,'Data Entry'!I$13,'Data Entry'!I$14,'Data Entry'!C$28,'Data Entry'!I$15)</f>
        <v>0.0009292976906860314</v>
      </c>
      <c r="S67" s="43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5">
        <v>64</v>
      </c>
      <c r="M68" s="39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39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39">
        <f>sw(M68,F$1,'Data Entry'!C$8,'Data Entry'!C$14,'Data Entry'!C$18,'Data Entry'!I$9,'Data Entry'!C$20,'Data Entry'!C$22,'Data Entry'!C$26,'Data Entry'!I$14,'Data Entry'!C$28,'Data Entry'!C$30)</f>
        <v>0.7672021985378318</v>
      </c>
      <c r="P68" s="39">
        <f>elev(L68,F$1,'Data Entry'!C$8,'Data Entry'!C$14,'Data Entry'!C$18,'Data Entry'!I$8,'Data Entry'!I$9,'Data Entry'!C$20,0,0,'Data Entry'!C$26,'Data Entry'!I$13,'Data Entry'!I$14,'Data Entry'!C92,0,0)</f>
        <v>-1.3099999999999998</v>
      </c>
      <c r="Q68" s="43">
        <f>kro(P68,F$1,'Data Entry'!C$8,'Data Entry'!C$14,'Data Entry'!C$18,'Data Entry'!I$8,'Data Entry'!I$9,'Data Entry'!C$20,'Data Entry'!I$10,'Data Entry'!C$26,'Data Entry'!I$13,'Data Entry'!I$14,'Data Entry'!C$28,'Data Entry'!I$15)</f>
        <v>0.0001708701750467478</v>
      </c>
      <c r="S68" s="43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5">
        <v>65</v>
      </c>
      <c r="M69" s="39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39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39">
        <f>sw(M69,F$1,'Data Entry'!C$8,'Data Entry'!C$14,'Data Entry'!C$18,'Data Entry'!I$9,'Data Entry'!C$20,'Data Entry'!C$22,'Data Entry'!C$26,'Data Entry'!I$14,'Data Entry'!C$28,'Data Entry'!C$30)</f>
        <v>0.7837243427045594</v>
      </c>
      <c r="P69" s="39">
        <f>elev(L69,F$1,'Data Entry'!C$8,'Data Entry'!C$14,'Data Entry'!C$18,'Data Entry'!I$8,'Data Entry'!I$9,'Data Entry'!C$20,0,0,'Data Entry'!C$26,'Data Entry'!I$13,'Data Entry'!I$14,'Data Entry'!C93,0,0)</f>
        <v>-1.375</v>
      </c>
      <c r="Q69" s="43">
        <f>kro(P69,F$1,'Data Entry'!C$8,'Data Entry'!C$14,'Data Entry'!C$18,'Data Entry'!I$8,'Data Entry'!I$9,'Data Entry'!C$20,'Data Entry'!I$10,'Data Entry'!C$26,'Data Entry'!I$13,'Data Entry'!I$14,'Data Entry'!C$28,'Data Entry'!I$15)</f>
        <v>2.11597340383655E-05</v>
      </c>
      <c r="S69" s="43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5">
        <v>66</v>
      </c>
      <c r="M70" s="39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39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39">
        <f>sw(M70,F$1,'Data Entry'!C$8,'Data Entry'!C$14,'Data Entry'!C$18,'Data Entry'!I$9,'Data Entry'!C$20,'Data Entry'!C$22,'Data Entry'!C$26,'Data Entry'!I$14,'Data Entry'!C$28,'Data Entry'!C$30)</f>
        <v>0.7932251900293718</v>
      </c>
      <c r="P70" s="39">
        <f>elev(L70,F$1,'Data Entry'!C$8,'Data Entry'!C$14,'Data Entry'!C$18,'Data Entry'!I$8,'Data Entry'!I$9,'Data Entry'!C$20,0,0,'Data Entry'!C$26,'Data Entry'!I$13,'Data Entry'!I$14,'Data Entry'!C94,0,0)</f>
        <v>-1.44</v>
      </c>
      <c r="Q70" s="43">
        <f>kro(P70,F$1,'Data Entry'!C$8,'Data Entry'!C$14,'Data Entry'!C$18,'Data Entry'!I$8,'Data Entry'!I$9,'Data Entry'!C$20,'Data Entry'!I$10,'Data Entry'!C$26,'Data Entry'!I$13,'Data Entry'!I$14,'Data Entry'!C$28,'Data Entry'!I$15)</f>
        <v>1.5376931121152163E-06</v>
      </c>
      <c r="S70" s="43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5">
        <v>67</v>
      </c>
      <c r="M71" s="39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39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39">
        <f>sw(M71,F$1,'Data Entry'!C$8,'Data Entry'!C$14,'Data Entry'!C$18,'Data Entry'!I$9,'Data Entry'!C$20,'Data Entry'!C$22,'Data Entry'!C$26,'Data Entry'!I$14,'Data Entry'!C$28,'Data Entry'!C$30)</f>
        <v>0.7978397452866</v>
      </c>
      <c r="P71" s="39">
        <f>elev(L71,F$1,'Data Entry'!C$8,'Data Entry'!C$14,'Data Entry'!C$18,'Data Entry'!I$8,'Data Entry'!I$9,'Data Entry'!C$20,0,0,'Data Entry'!C$26,'Data Entry'!I$13,'Data Entry'!I$14,'Data Entry'!C95,0,0)</f>
        <v>-1.505</v>
      </c>
      <c r="Q71" s="43">
        <f>kro(P71,F$1,'Data Entry'!C$8,'Data Entry'!C$14,'Data Entry'!C$18,'Data Entry'!I$8,'Data Entry'!I$9,'Data Entry'!C$20,'Data Entry'!I$10,'Data Entry'!C$26,'Data Entry'!I$13,'Data Entry'!I$14,'Data Entry'!C$28,'Data Entry'!I$15)</f>
        <v>5.0035738839895465E-08</v>
      </c>
      <c r="S71" s="43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5">
        <v>68</v>
      </c>
      <c r="M72" s="39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39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39">
        <f>sw(M72,F$1,'Data Entry'!C$8,'Data Entry'!C$14,'Data Entry'!C$18,'Data Entry'!I$9,'Data Entry'!C$20,'Data Entry'!C$22,'Data Entry'!C$26,'Data Entry'!I$14,'Data Entry'!C$28,'Data Entry'!C$30)</f>
        <v>0.7995720468188345</v>
      </c>
      <c r="P72" s="39">
        <f>elev(L72,F$1,'Data Entry'!C$8,'Data Entry'!C$14,'Data Entry'!C$18,'Data Entry'!I$8,'Data Entry'!I$9,'Data Entry'!C$20,0,0,'Data Entry'!C$26,'Data Entry'!I$13,'Data Entry'!I$14,'Data Entry'!C96,0,0)</f>
        <v>-1.5699999999999998</v>
      </c>
      <c r="Q72" s="43">
        <f>kro(P72,F$1,'Data Entry'!C$8,'Data Entry'!C$14,'Data Entry'!C$18,'Data Entry'!I$8,'Data Entry'!I$9,'Data Entry'!C$20,'Data Entry'!I$10,'Data Entry'!C$26,'Data Entry'!I$13,'Data Entry'!I$14,'Data Entry'!C$28,'Data Entry'!I$15)</f>
        <v>3.8953699415488925E-10</v>
      </c>
      <c r="S72" s="43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5">
        <v>69</v>
      </c>
      <c r="M73" s="39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39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39">
        <f>sw(M73,F$1,'Data Entry'!C$8,'Data Entry'!C$14,'Data Entry'!C$18,'Data Entry'!I$9,'Data Entry'!C$20,'Data Entry'!C$22,'Data Entry'!C$26,'Data Entry'!I$14,'Data Entry'!C$28,'Data Entry'!C$30)</f>
        <v>0.7999732350297072</v>
      </c>
      <c r="P73" s="39">
        <f>elev(L73,F$1,'Data Entry'!C$8,'Data Entry'!C$14,'Data Entry'!C$18,'Data Entry'!I$8,'Data Entry'!I$9,'Data Entry'!C$20,0,0,'Data Entry'!C$26,'Data Entry'!I$13,'Data Entry'!I$14,'Data Entry'!C97,0,0)</f>
        <v>-1.6349999999999998</v>
      </c>
      <c r="Q73" s="43">
        <f>kro(P73,F$1,'Data Entry'!C$8,'Data Entry'!C$14,'Data Entry'!C$18,'Data Entry'!I$8,'Data Entry'!I$9,'Data Entry'!C$20,'Data Entry'!I$10,'Data Entry'!C$26,'Data Entry'!I$13,'Data Entry'!I$14,'Data Entry'!C$28,'Data Entry'!I$15)</f>
        <v>9.532302347620961E-14</v>
      </c>
      <c r="S73" s="43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5">
        <v>70</v>
      </c>
      <c r="M74" s="39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39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39">
        <f>sw(M74,F$1,'Data Entry'!C$8,'Data Entry'!C$14,'Data Entry'!C$18,'Data Entry'!I$9,'Data Entry'!C$20,'Data Entry'!C$22,'Data Entry'!C$26,'Data Entry'!I$14,'Data Entry'!C$28,'Data Entry'!C$30)</f>
        <v>0.7999999999999999</v>
      </c>
      <c r="P74" s="39">
        <f>elev(L74,F$1,'Data Entry'!C$8,'Data Entry'!C$14,'Data Entry'!C$18,'Data Entry'!I$8,'Data Entry'!I$9,'Data Entry'!C$20,0,0,'Data Entry'!C$26,'Data Entry'!I$13,'Data Entry'!I$14,'Data Entry'!C98,0,0)</f>
        <v>-1.6999999999999997</v>
      </c>
      <c r="Q74" s="43">
        <f>kro(P74,F$1,'Data Entry'!C$8,'Data Entry'!C$14,'Data Entry'!C$18,'Data Entry'!I$8,'Data Entry'!I$9,'Data Entry'!C$20,'Data Entry'!I$10,'Data Entry'!C$26,'Data Entry'!I$13,'Data Entry'!I$14,'Data Entry'!C$28,'Data Entry'!I$15)</f>
        <v>0</v>
      </c>
      <c r="S74" s="43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39">
        <f>-F1*'Data Entry'!C8</f>
        <v>-1.7</v>
      </c>
      <c r="N75" s="3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3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5" customWidth="1"/>
    <col min="4" max="4" width="3.7109375" style="35" customWidth="1"/>
    <col min="5" max="5" width="12.7109375" style="3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5" max="15" width="4.140625" style="0" customWidth="1"/>
    <col min="16" max="16" width="9.140625" style="35" customWidth="1"/>
  </cols>
  <sheetData>
    <row r="1" spans="1:17" ht="12.75">
      <c r="A1" s="95"/>
      <c r="B1" s="93"/>
      <c r="C1" s="93"/>
      <c r="D1" s="93"/>
      <c r="E1" s="93"/>
      <c r="F1" s="95"/>
      <c r="G1" s="95"/>
      <c r="H1" s="95"/>
      <c r="I1" s="95"/>
      <c r="J1" s="95"/>
      <c r="K1" s="95"/>
      <c r="L1" s="95"/>
      <c r="M1" s="95"/>
      <c r="N1" s="95"/>
      <c r="O1" s="99"/>
      <c r="P1" s="93"/>
      <c r="Q1" s="95"/>
    </row>
    <row r="2" spans="1:17" ht="15.75">
      <c r="A2" s="100"/>
      <c r="B2" s="101" t="s">
        <v>27</v>
      </c>
      <c r="C2" s="93"/>
      <c r="D2" s="93"/>
      <c r="E2" s="93"/>
      <c r="F2" s="95"/>
      <c r="G2" s="95"/>
      <c r="H2" s="95"/>
      <c r="I2" s="95"/>
      <c r="J2" s="95"/>
      <c r="K2" s="95"/>
      <c r="L2" s="95"/>
      <c r="M2" s="95"/>
      <c r="N2" s="95"/>
      <c r="O2" s="99"/>
      <c r="P2" s="93"/>
      <c r="Q2" s="95"/>
    </row>
    <row r="3" spans="1:17" ht="12.75">
      <c r="A3" s="95"/>
      <c r="B3" s="93"/>
      <c r="C3" s="93"/>
      <c r="D3" s="93"/>
      <c r="E3" s="93"/>
      <c r="F3" s="95"/>
      <c r="G3" s="95"/>
      <c r="H3" s="95"/>
      <c r="I3" s="95"/>
      <c r="J3" s="95"/>
      <c r="K3" s="148" t="s">
        <v>31</v>
      </c>
      <c r="L3" s="149"/>
      <c r="M3" s="95"/>
      <c r="N3" s="95"/>
      <c r="O3" s="99"/>
      <c r="P3" s="93"/>
      <c r="Q3" s="95"/>
    </row>
    <row r="4" spans="1:17" ht="15.75">
      <c r="A4" s="95"/>
      <c r="B4" s="84" t="s">
        <v>98</v>
      </c>
      <c r="C4" s="173">
        <v>30</v>
      </c>
      <c r="D4" s="93"/>
      <c r="E4" s="144" t="s">
        <v>28</v>
      </c>
      <c r="F4" s="89"/>
      <c r="G4" s="95"/>
      <c r="H4" s="144" t="s">
        <v>29</v>
      </c>
      <c r="I4" s="89"/>
      <c r="J4" s="95"/>
      <c r="K4" s="150" t="s">
        <v>111</v>
      </c>
      <c r="L4" s="151"/>
      <c r="M4" s="95"/>
      <c r="N4" s="95"/>
      <c r="O4" s="99"/>
      <c r="P4" s="93"/>
      <c r="Q4" s="95"/>
    </row>
    <row r="5" spans="1:17" ht="15.75">
      <c r="A5" s="95"/>
      <c r="B5" s="91" t="s">
        <v>99</v>
      </c>
      <c r="C5" s="174">
        <v>20</v>
      </c>
      <c r="D5" s="93"/>
      <c r="E5" s="91" t="s">
        <v>104</v>
      </c>
      <c r="F5" s="174">
        <v>0</v>
      </c>
      <c r="G5" s="95"/>
      <c r="H5" s="91" t="s">
        <v>108</v>
      </c>
      <c r="I5" s="169">
        <v>0</v>
      </c>
      <c r="J5" s="95"/>
      <c r="K5" s="152" t="s">
        <v>112</v>
      </c>
      <c r="L5" s="153"/>
      <c r="M5" s="102" t="s">
        <v>22</v>
      </c>
      <c r="N5" s="95"/>
      <c r="O5" s="99"/>
      <c r="P5" s="93"/>
      <c r="Q5" s="95"/>
    </row>
    <row r="6" spans="1:17" ht="15.75">
      <c r="A6" s="95"/>
      <c r="B6" s="143" t="s">
        <v>100</v>
      </c>
      <c r="C6" s="175">
        <v>2</v>
      </c>
      <c r="D6" s="93"/>
      <c r="E6" s="85" t="s">
        <v>105</v>
      </c>
      <c r="F6" s="175">
        <v>10</v>
      </c>
      <c r="G6" s="95"/>
      <c r="H6" s="91" t="s">
        <v>109</v>
      </c>
      <c r="I6" s="174">
        <v>10</v>
      </c>
      <c r="J6" s="95"/>
      <c r="M6" s="103" t="s">
        <v>22</v>
      </c>
      <c r="N6" s="95"/>
      <c r="O6" s="99"/>
      <c r="P6" s="93"/>
      <c r="Q6" s="95"/>
    </row>
    <row r="7" spans="1:17" ht="15.75">
      <c r="A7" s="95"/>
      <c r="B7" s="84" t="s">
        <v>101</v>
      </c>
      <c r="C7" s="173">
        <v>5</v>
      </c>
      <c r="D7" s="93"/>
      <c r="E7" s="145" t="s">
        <v>106</v>
      </c>
      <c r="F7" s="176">
        <v>200</v>
      </c>
      <c r="G7" s="95"/>
      <c r="H7" s="146" t="s">
        <v>30</v>
      </c>
      <c r="I7" s="175">
        <v>0.9</v>
      </c>
      <c r="J7" s="95"/>
      <c r="K7" s="154" t="s">
        <v>113</v>
      </c>
      <c r="L7" s="155"/>
      <c r="M7" s="95"/>
      <c r="N7" s="95"/>
      <c r="O7" s="99"/>
      <c r="P7" s="93"/>
      <c r="Q7" s="95"/>
    </row>
    <row r="8" spans="1:17" ht="15.75">
      <c r="A8" s="95"/>
      <c r="B8" s="91" t="s">
        <v>102</v>
      </c>
      <c r="C8" s="174">
        <v>5</v>
      </c>
      <c r="D8" s="93"/>
      <c r="E8" s="83" t="s">
        <v>107</v>
      </c>
      <c r="F8" s="161">
        <f>swell(1440*F5/7.48,F6,C7,C8,'Data Entry'!C14,F7,C9)</f>
        <v>0</v>
      </c>
      <c r="G8" s="95"/>
      <c r="H8" s="147" t="s">
        <v>110</v>
      </c>
      <c r="I8" s="162">
        <f>qair(I9,I6,I7,C7,C8,C9,C5,'Data Entry'!C14)</f>
        <v>0</v>
      </c>
      <c r="J8" s="95"/>
      <c r="K8" s="156" t="s">
        <v>114</v>
      </c>
      <c r="L8" s="157"/>
      <c r="M8" s="95"/>
      <c r="N8" s="95"/>
      <c r="O8" s="99"/>
      <c r="P8" s="93" t="s">
        <v>33</v>
      </c>
      <c r="Q8" s="95" t="s">
        <v>25</v>
      </c>
    </row>
    <row r="9" spans="1:17" ht="15.75">
      <c r="A9" s="95"/>
      <c r="B9" s="85" t="s">
        <v>103</v>
      </c>
      <c r="C9" s="175">
        <v>0.33</v>
      </c>
      <c r="D9" s="93"/>
      <c r="E9" s="93"/>
      <c r="F9" s="95"/>
      <c r="G9" s="95"/>
      <c r="H9" s="83" t="s">
        <v>131</v>
      </c>
      <c r="I9" s="161">
        <f>-33.89*I5</f>
        <v>0</v>
      </c>
      <c r="J9" s="95"/>
      <c r="K9" s="158" t="s">
        <v>115</v>
      </c>
      <c r="L9" s="159">
        <f>F8*((C5^2*LN(F7/C5)-C9^2*LN(F7/C9))/((C5^2-C9^2)*LN(F7/C9))+1/(2*LN(F7/C9)))+I9*((C5^2*LN(C5/C5)-C9^2*LN(C5/C9))/((C5^2-C9^2)*LN(C5/C9))+1/(2*LN(C5/C9)))</f>
        <v>0</v>
      </c>
      <c r="M9" s="95"/>
      <c r="N9" s="95"/>
      <c r="O9" s="99"/>
      <c r="P9" s="92">
        <f>IF(C33&lt;C4,C33,)</f>
        <v>6.240730892133939</v>
      </c>
      <c r="Q9" s="95">
        <f>IF(C33&lt;C4,'Layer Calcs'!B6,0)</f>
        <v>1.8</v>
      </c>
    </row>
    <row r="10" spans="1:17" ht="15.75">
      <c r="A10" s="95"/>
      <c r="B10" s="104" t="s">
        <v>69</v>
      </c>
      <c r="C10" s="93"/>
      <c r="D10" s="93"/>
      <c r="E10" s="93"/>
      <c r="F10" s="95"/>
      <c r="G10" s="95"/>
      <c r="H10" s="95"/>
      <c r="I10" s="95"/>
      <c r="J10" s="95"/>
      <c r="K10" s="95"/>
      <c r="L10" s="95"/>
      <c r="M10" s="95"/>
      <c r="N10" s="95"/>
      <c r="O10" s="99"/>
      <c r="P10" s="92">
        <f>IF(C34&lt;C4,C34,P9)</f>
        <v>19.154637190990663</v>
      </c>
      <c r="Q10" s="95">
        <f>IF(P10&gt;P9,'Layer Calcs'!B5,Q9)</f>
        <v>1.44</v>
      </c>
    </row>
    <row r="11" spans="1:17" ht="12.75">
      <c r="A11" s="95"/>
      <c r="B11" s="93"/>
      <c r="C11" s="93"/>
      <c r="D11" s="93"/>
      <c r="E11" s="93"/>
      <c r="F11" s="95"/>
      <c r="G11" s="95"/>
      <c r="H11" s="95"/>
      <c r="I11" s="95"/>
      <c r="J11" s="95"/>
      <c r="K11" s="95"/>
      <c r="L11" s="95"/>
      <c r="M11" s="95"/>
      <c r="N11" s="95"/>
      <c r="O11" s="99"/>
      <c r="P11" s="92">
        <f>IF(C35&lt;C4,C35,0)</f>
        <v>0</v>
      </c>
      <c r="Q11" s="95">
        <f>IF('Data Entry'!C14&gt;0,'Data Entry'!C14/(1-'Data Entry'!C8),-'Data Entry'!C14/'Data Entry'!C8)</f>
        <v>0.4705882352941177</v>
      </c>
    </row>
    <row r="12" spans="1:17" ht="12.75">
      <c r="A12" s="95"/>
      <c r="B12" s="93"/>
      <c r="C12" s="93"/>
      <c r="D12" s="93"/>
      <c r="E12" s="93"/>
      <c r="F12" s="95"/>
      <c r="G12" s="95"/>
      <c r="H12" s="95"/>
      <c r="I12" s="95"/>
      <c r="J12" s="95"/>
      <c r="K12" s="95"/>
      <c r="L12" s="95"/>
      <c r="M12" s="95"/>
      <c r="N12" s="95"/>
      <c r="O12" s="99"/>
      <c r="P12" s="93"/>
      <c r="Q12" s="95"/>
    </row>
    <row r="13" spans="1:17" ht="12.75">
      <c r="A13" s="95"/>
      <c r="B13" s="93"/>
      <c r="C13" s="93"/>
      <c r="D13" s="93"/>
      <c r="E13" s="93"/>
      <c r="F13" s="95"/>
      <c r="G13" s="95"/>
      <c r="H13" s="95"/>
      <c r="I13" s="95"/>
      <c r="J13" s="95"/>
      <c r="K13" s="95"/>
      <c r="L13" s="95"/>
      <c r="M13" s="95"/>
      <c r="N13" s="95"/>
      <c r="O13" s="99"/>
      <c r="P13" s="93" t="s">
        <v>33</v>
      </c>
      <c r="Q13" s="95" t="s">
        <v>34</v>
      </c>
    </row>
    <row r="14" spans="1:17" ht="12.75">
      <c r="A14" s="95"/>
      <c r="B14" s="93"/>
      <c r="C14" s="93"/>
      <c r="D14" s="93"/>
      <c r="E14" s="93"/>
      <c r="F14" s="95"/>
      <c r="G14" s="95"/>
      <c r="H14" s="95"/>
      <c r="I14" s="95"/>
      <c r="J14" s="95"/>
      <c r="K14" s="95"/>
      <c r="L14" s="95"/>
      <c r="M14" s="95"/>
      <c r="N14" s="95"/>
      <c r="O14" s="99"/>
      <c r="P14" s="93">
        <v>0</v>
      </c>
      <c r="Q14" s="95">
        <f>7.48*PI()*C5^2*'Layer Calcs'!C7</f>
        <v>5490.457895223649</v>
      </c>
    </row>
    <row r="15" spans="1:17" ht="12.75">
      <c r="A15" s="95"/>
      <c r="B15" s="93"/>
      <c r="C15" s="93"/>
      <c r="D15" s="93"/>
      <c r="E15" s="93"/>
      <c r="F15" s="95"/>
      <c r="G15" s="95"/>
      <c r="H15" s="95"/>
      <c r="I15" s="95"/>
      <c r="J15" s="95"/>
      <c r="K15" s="95"/>
      <c r="L15" s="95"/>
      <c r="M15" s="95"/>
      <c r="N15" s="95"/>
      <c r="O15" s="99"/>
      <c r="P15" s="93">
        <f>C4</f>
        <v>30</v>
      </c>
      <c r="Q15" s="95">
        <f>Q14</f>
        <v>5490.457895223649</v>
      </c>
    </row>
    <row r="16" spans="1:17" ht="12.75">
      <c r="A16" s="95"/>
      <c r="B16" s="93"/>
      <c r="C16" s="93"/>
      <c r="D16" s="93"/>
      <c r="E16" s="93"/>
      <c r="F16" s="95"/>
      <c r="G16" s="95"/>
      <c r="H16" s="95"/>
      <c r="I16" s="95"/>
      <c r="J16" s="95"/>
      <c r="K16" s="95"/>
      <c r="L16" s="95"/>
      <c r="M16" s="95"/>
      <c r="N16" s="95"/>
      <c r="O16" s="99"/>
      <c r="P16" s="93"/>
      <c r="Q16" s="95"/>
    </row>
    <row r="17" spans="1:17" ht="12.75">
      <c r="A17" s="95"/>
      <c r="B17" s="93"/>
      <c r="C17" s="93"/>
      <c r="D17" s="93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9"/>
      <c r="P17" s="93"/>
      <c r="Q17" s="95"/>
    </row>
    <row r="18" spans="1:17" ht="12.75">
      <c r="A18" s="95"/>
      <c r="B18" s="93"/>
      <c r="C18" s="93"/>
      <c r="D18" s="93"/>
      <c r="E18" s="93"/>
      <c r="F18" s="95"/>
      <c r="G18" s="95"/>
      <c r="H18" s="95"/>
      <c r="I18" s="95"/>
      <c r="J18" s="95"/>
      <c r="K18" s="95"/>
      <c r="L18" s="95"/>
      <c r="M18" s="95"/>
      <c r="N18" s="95"/>
      <c r="O18" s="99"/>
      <c r="P18" s="93"/>
      <c r="Q18" s="95"/>
    </row>
    <row r="19" spans="1:17" ht="12.75">
      <c r="A19" s="95"/>
      <c r="B19" s="93"/>
      <c r="C19" s="93"/>
      <c r="D19" s="93"/>
      <c r="E19" s="93"/>
      <c r="F19" s="95"/>
      <c r="G19" s="95"/>
      <c r="H19" s="95"/>
      <c r="I19" s="95"/>
      <c r="J19" s="95"/>
      <c r="K19" s="95"/>
      <c r="L19" s="95"/>
      <c r="M19" s="95"/>
      <c r="N19" s="95"/>
      <c r="O19" s="99"/>
      <c r="P19" s="93"/>
      <c r="Q19" s="95"/>
    </row>
    <row r="20" spans="1:17" ht="12.75">
      <c r="A20" s="95"/>
      <c r="B20" s="93"/>
      <c r="C20" s="93"/>
      <c r="D20" s="93"/>
      <c r="E20" s="93"/>
      <c r="F20" s="95"/>
      <c r="G20" s="95"/>
      <c r="H20" s="95"/>
      <c r="I20" s="95"/>
      <c r="J20" s="95"/>
      <c r="K20" s="95"/>
      <c r="L20" s="95"/>
      <c r="M20" s="95"/>
      <c r="N20" s="95"/>
      <c r="O20" s="99"/>
      <c r="P20" s="93"/>
      <c r="Q20" s="95"/>
    </row>
    <row r="21" spans="1:17" ht="12.75">
      <c r="A21" s="95"/>
      <c r="B21" s="93"/>
      <c r="C21" s="93"/>
      <c r="D21" s="93"/>
      <c r="E21" s="93"/>
      <c r="F21" s="95"/>
      <c r="G21" s="95"/>
      <c r="H21" s="95"/>
      <c r="I21" s="95"/>
      <c r="J21" s="95"/>
      <c r="K21" s="95"/>
      <c r="L21" s="95"/>
      <c r="M21" s="95"/>
      <c r="N21" s="95"/>
      <c r="O21" s="99"/>
      <c r="P21" s="93"/>
      <c r="Q21" s="95"/>
    </row>
    <row r="22" spans="1:17" ht="12.75">
      <c r="A22" s="95"/>
      <c r="B22" s="93"/>
      <c r="C22" s="93"/>
      <c r="D22" s="93"/>
      <c r="E22" s="93"/>
      <c r="F22" s="95"/>
      <c r="G22" s="95"/>
      <c r="H22" s="95"/>
      <c r="I22" s="95"/>
      <c r="J22" s="95"/>
      <c r="K22" s="95"/>
      <c r="L22" s="95"/>
      <c r="M22" s="95"/>
      <c r="N22" s="95"/>
      <c r="O22" s="99"/>
      <c r="P22" s="93"/>
      <c r="Q22" s="95"/>
    </row>
    <row r="23" spans="1:17" ht="12.75">
      <c r="A23" s="95"/>
      <c r="B23" s="93"/>
      <c r="C23" s="93"/>
      <c r="D23" s="93"/>
      <c r="E23" s="93"/>
      <c r="F23" s="95"/>
      <c r="G23" s="95"/>
      <c r="H23" s="95"/>
      <c r="I23" s="95"/>
      <c r="J23" s="95"/>
      <c r="K23" s="95"/>
      <c r="L23" s="95"/>
      <c r="M23" s="95"/>
      <c r="N23" s="95"/>
      <c r="O23" s="99"/>
      <c r="P23" s="93"/>
      <c r="Q23" s="95"/>
    </row>
    <row r="24" spans="1:17" ht="12.75">
      <c r="A24" s="95"/>
      <c r="B24" s="93"/>
      <c r="C24" s="93"/>
      <c r="D24" s="93"/>
      <c r="E24" s="93"/>
      <c r="F24" s="95"/>
      <c r="G24" s="95"/>
      <c r="H24" s="95"/>
      <c r="I24" s="95"/>
      <c r="J24" s="95"/>
      <c r="K24" s="95"/>
      <c r="L24" s="95"/>
      <c r="M24" s="95"/>
      <c r="N24" s="95"/>
      <c r="O24" s="99"/>
      <c r="P24" s="93"/>
      <c r="Q24" s="95"/>
    </row>
    <row r="25" spans="1:17" ht="12.75">
      <c r="A25" s="95"/>
      <c r="B25" s="93"/>
      <c r="C25" s="93"/>
      <c r="D25" s="93"/>
      <c r="E25" s="93"/>
      <c r="F25" s="95"/>
      <c r="G25" s="95"/>
      <c r="H25" s="95"/>
      <c r="I25" s="95"/>
      <c r="J25" s="95"/>
      <c r="K25" s="95"/>
      <c r="L25" s="95"/>
      <c r="M25" s="95"/>
      <c r="N25" s="95"/>
      <c r="O25" s="99"/>
      <c r="P25" s="93"/>
      <c r="Q25" s="95"/>
    </row>
    <row r="26" spans="1:17" ht="12.75">
      <c r="A26" s="95"/>
      <c r="B26" s="93"/>
      <c r="C26" s="93"/>
      <c r="D26" s="93"/>
      <c r="E26" s="93"/>
      <c r="F26" s="95"/>
      <c r="G26" s="95"/>
      <c r="H26" s="95"/>
      <c r="I26" s="95"/>
      <c r="J26" s="95"/>
      <c r="K26" s="95"/>
      <c r="L26" s="95"/>
      <c r="M26" s="95"/>
      <c r="N26" s="95"/>
      <c r="O26" s="99"/>
      <c r="P26" s="93"/>
      <c r="Q26" s="95"/>
    </row>
    <row r="27" spans="1:17" ht="12.75">
      <c r="A27" s="95"/>
      <c r="B27" s="93"/>
      <c r="C27" s="93"/>
      <c r="D27" s="93"/>
      <c r="E27" s="93"/>
      <c r="F27" s="95"/>
      <c r="G27" s="95"/>
      <c r="H27" s="95"/>
      <c r="I27" s="95"/>
      <c r="J27" s="95"/>
      <c r="K27" s="95"/>
      <c r="L27" s="95"/>
      <c r="M27" s="95"/>
      <c r="N27" s="95"/>
      <c r="O27" s="99"/>
      <c r="P27" s="93"/>
      <c r="Q27" s="95"/>
    </row>
    <row r="28" spans="1:17" ht="12.75">
      <c r="A28" s="95"/>
      <c r="B28" s="93"/>
      <c r="C28" s="93"/>
      <c r="D28" s="93"/>
      <c r="E28" s="93"/>
      <c r="F28" s="95"/>
      <c r="G28" s="95"/>
      <c r="H28" s="95"/>
      <c r="I28" s="95"/>
      <c r="J28" s="95"/>
      <c r="K28" s="95"/>
      <c r="L28" s="95"/>
      <c r="M28" s="95"/>
      <c r="N28" s="95"/>
      <c r="O28" s="99"/>
      <c r="P28" s="93"/>
      <c r="Q28" s="95"/>
    </row>
    <row r="29" spans="1:17" ht="12.75">
      <c r="A29" s="95"/>
      <c r="B29" s="105"/>
      <c r="C29" s="106"/>
      <c r="D29" s="93"/>
      <c r="E29" s="93"/>
      <c r="F29" s="95"/>
      <c r="G29" s="95"/>
      <c r="H29" s="95"/>
      <c r="I29" s="95"/>
      <c r="J29" s="95"/>
      <c r="K29" s="95"/>
      <c r="L29" s="95"/>
      <c r="M29" s="95"/>
      <c r="N29" s="95"/>
      <c r="O29" s="99"/>
      <c r="P29" s="93"/>
      <c r="Q29" s="95"/>
    </row>
    <row r="30" spans="1:17" ht="15.75">
      <c r="A30" s="95"/>
      <c r="B30" s="93" t="s">
        <v>116</v>
      </c>
      <c r="C30" s="160">
        <f>('Data Entry'!C8*(1440*F5/7.48)/(PI()*C5^2*C6*F6))</f>
        <v>0</v>
      </c>
      <c r="D30" s="93"/>
      <c r="E30" s="93"/>
      <c r="F30" s="95"/>
      <c r="G30" s="95"/>
      <c r="H30" s="95"/>
      <c r="I30" s="95"/>
      <c r="J30" s="95"/>
      <c r="K30" s="95"/>
      <c r="L30" s="95"/>
      <c r="M30" s="95"/>
      <c r="N30" s="95"/>
      <c r="O30" s="99"/>
      <c r="P30" s="93"/>
      <c r="Q30" s="95"/>
    </row>
    <row r="31" spans="1:17" ht="15.75">
      <c r="A31" s="95"/>
      <c r="B31" s="93" t="s">
        <v>117</v>
      </c>
      <c r="C31" s="160">
        <f>'Data Entry'!C8*0.018*(1440*I8)/(PI()*C5^2*C6*I7*I6)</f>
        <v>0</v>
      </c>
      <c r="D31" s="93"/>
      <c r="E31" s="93"/>
      <c r="F31" s="95"/>
      <c r="G31" s="95"/>
      <c r="H31" s="95"/>
      <c r="I31" s="95"/>
      <c r="J31" s="95"/>
      <c r="K31" s="95"/>
      <c r="L31" s="95"/>
      <c r="M31" s="95"/>
      <c r="N31" s="95"/>
      <c r="O31" s="99"/>
      <c r="P31" s="93"/>
      <c r="Q31" s="95"/>
    </row>
    <row r="32" spans="1:17" ht="15.75">
      <c r="A32" s="95"/>
      <c r="B32" s="93" t="s">
        <v>132</v>
      </c>
      <c r="C32" s="160">
        <f>(1-'Data Entry'!C8)*'Data Entry'!C8/(C5^2*C6*LN(C5/C9))</f>
        <v>3.883032796740026E-05</v>
      </c>
      <c r="D32" s="93"/>
      <c r="E32" s="93"/>
      <c r="F32" s="95"/>
      <c r="G32" s="95"/>
      <c r="H32" s="95"/>
      <c r="I32" s="95"/>
      <c r="J32" s="95"/>
      <c r="K32" s="95"/>
      <c r="L32" s="95"/>
      <c r="M32" s="95"/>
      <c r="N32" s="95"/>
      <c r="O32" s="99"/>
      <c r="P32" s="93"/>
      <c r="Q32" s="95"/>
    </row>
    <row r="33" spans="1:17" ht="15.75">
      <c r="A33" s="95"/>
      <c r="B33" s="93" t="s">
        <v>118</v>
      </c>
      <c r="C33" s="92">
        <f>tt2('Layer Calcs'!B6,'Layer Calcs'!B7,'Layer Calcs'!F7,'Layer Calcs'!G7,'Layer Calcs'!H7,Well!C30,Well!C31,Well!C32,'Data Entry'!C8,'Data Entry'!C14,'Data Entry'!C17,'Data Entry'!C21,'Data Entry'!C22,'Data Entry'!C25,'Data Entry'!C29,'Data Entry'!C30,C7,C8)</f>
        <v>6.240730892133939</v>
      </c>
      <c r="D33" s="93"/>
      <c r="E33" s="93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3"/>
      <c r="Q33" s="95"/>
    </row>
    <row r="34" spans="1:17" ht="15.75">
      <c r="A34" s="95"/>
      <c r="B34" s="93" t="s">
        <v>119</v>
      </c>
      <c r="C34" s="92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19.154637190990663</v>
      </c>
      <c r="D34" s="93"/>
      <c r="E34" s="93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3"/>
      <c r="Q34" s="95"/>
    </row>
    <row r="35" spans="1:17" ht="15.75">
      <c r="A35" s="95"/>
      <c r="B35" s="93" t="s">
        <v>120</v>
      </c>
      <c r="C35" s="92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224.42678438819016</v>
      </c>
      <c r="D35" s="93"/>
      <c r="E35" s="93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3"/>
      <c r="Q35" s="95"/>
    </row>
    <row r="36" spans="1:17" ht="12.75">
      <c r="A36" s="95"/>
      <c r="B36" s="93"/>
      <c r="C36" s="93"/>
      <c r="D36" s="93"/>
      <c r="E36" s="93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3"/>
      <c r="Q36" s="95"/>
    </row>
    <row r="37" spans="1:17" ht="15.75">
      <c r="A37" s="95"/>
      <c r="B37" s="93" t="s">
        <v>32</v>
      </c>
      <c r="C37" s="93" t="s">
        <v>121</v>
      </c>
      <c r="D37" s="93"/>
      <c r="E37" s="93" t="s">
        <v>122</v>
      </c>
      <c r="F37" s="93" t="s">
        <v>123</v>
      </c>
      <c r="G37" s="95"/>
      <c r="H37" s="93" t="s">
        <v>124</v>
      </c>
      <c r="I37" s="93" t="s">
        <v>125</v>
      </c>
      <c r="J37" s="95"/>
      <c r="K37" s="95"/>
      <c r="L37" s="95"/>
      <c r="M37" s="95"/>
      <c r="N37" s="95"/>
      <c r="O37" s="95"/>
      <c r="P37" s="93"/>
      <c r="Q37" s="95"/>
    </row>
    <row r="38" spans="1:17" ht="12.75">
      <c r="A38" s="95"/>
      <c r="B38" s="93">
        <v>0</v>
      </c>
      <c r="C38" s="96">
        <f>tmrec(B38,C$34,C$33,C$35,C$4)</f>
        <v>0</v>
      </c>
      <c r="D38" s="93"/>
      <c r="E38" s="97">
        <f aca="true" t="shared" si="0" ref="E38:E78">C38*365</f>
        <v>0</v>
      </c>
      <c r="F38" s="98">
        <f>bot(E38,365*C$35,365*C$33,365*C$34,'Layer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2.999853515625</v>
      </c>
      <c r="G38" s="95"/>
      <c r="H38" s="9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0.30498453225327743</v>
      </c>
      <c r="I38" s="97">
        <f>IF((C$30+C$31)&gt;0,('Data Entry'!C$8*F38/C$6)*1440*((F$5/7.48)/F$6+0.018*I$8/(I$7*I$6)),PI()*(1-'Data Entry'!C$8)*'Data Entry'!C$8*hycon(F38,'Data Entry'!C$8,'Data Entry'!C$14,Well!C$7,Well!C$8)*F38^2/(C$6*LN(C$5/C$9)))*kro_b(F38,'Layer Calcs'!B$5,'Layer Calcs'!B$6,'Layer Calcs'!G$6,'Layer Calcs'!G$7,'Layer Calcs'!H$5,'Layer Calcs'!H$6,'Layer Calcs'!H$7)*7.48</f>
        <v>4.0315928763946</v>
      </c>
      <c r="J38" s="95"/>
      <c r="K38" s="95"/>
      <c r="L38" s="95">
        <v>0</v>
      </c>
      <c r="M38" s="95"/>
      <c r="N38" s="95"/>
      <c r="O38" s="95"/>
      <c r="P38" s="93"/>
      <c r="Q38" s="95"/>
    </row>
    <row r="39" spans="1:17" ht="12.75">
      <c r="A39" s="95"/>
      <c r="B39" s="93">
        <v>1</v>
      </c>
      <c r="C39" s="96">
        <f>tmrec(B39,C$34,C$33,C$35,C$4)</f>
        <v>0.6240730892133939</v>
      </c>
      <c r="D39" s="93"/>
      <c r="E39" s="97">
        <f>C39*365</f>
        <v>227.78667756288877</v>
      </c>
      <c r="F39" s="98">
        <f>bot(E39,365*C$35,365*C$33,365*C$34,'Layer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2.6566406250000005</v>
      </c>
      <c r="G39" s="95"/>
      <c r="H39" s="9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714.8837436012478</v>
      </c>
      <c r="I39" s="97">
        <f>IF((C$30+C$31)&gt;0,('Data Entry'!C$8*F39/C$6)*1440*((F$5/7.48)/F$6+0.018*I$8/(I$7*I$6)),PI()*(1-'Data Entry'!C$8)*'Data Entry'!C$8*hycon(F39,'Data Entry'!C$8,'Data Entry'!C$14,Well!C$7,Well!C$8)*F39^2/(C$6*LN(C$5/C$9)))*kro_b(F39,'Layer Calcs'!B$5,'Layer Calcs'!B$6,'Layer Calcs'!G$6,'Layer Calcs'!G$7,'Layer Calcs'!H$5,'Layer Calcs'!H$6,'Layer Calcs'!H$7)*7.48</f>
        <v>2.4550791957957685</v>
      </c>
      <c r="J39" s="95"/>
      <c r="K39" s="95"/>
      <c r="L39" s="163">
        <f>L38+(E39-E38)*(I38+I39)/2</f>
        <v>738.7887398821115</v>
      </c>
      <c r="M39" s="95"/>
      <c r="N39" s="95"/>
      <c r="O39" s="95"/>
      <c r="P39" s="93"/>
      <c r="Q39" s="95"/>
    </row>
    <row r="40" spans="1:17" ht="12.75">
      <c r="A40" s="95"/>
      <c r="B40" s="93">
        <v>2</v>
      </c>
      <c r="C40" s="96">
        <f>tmrec(B40,C$34,C$33,C$35,C$4)</f>
        <v>1.2481461784267878</v>
      </c>
      <c r="D40" s="93"/>
      <c r="E40" s="97">
        <f>C40*365</f>
        <v>455.57335512577754</v>
      </c>
      <c r="F40" s="98">
        <f>bot(E40,365*C$35,365*C$33,365*C$34,'Layer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2.43486328125</v>
      </c>
      <c r="G40" s="95"/>
      <c r="H40" s="9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1176.6303254324307</v>
      </c>
      <c r="I40" s="97">
        <f>IF((C$30+C$31)&gt;0,('Data Entry'!C$8*F40/C$6)*1440*((F$5/7.48)/F$6+0.018*I$8/(I$7*I$6)),PI()*(1-'Data Entry'!C$8)*'Data Entry'!C$8*hycon(F40,'Data Entry'!C$8,'Data Entry'!C$14,Well!C$7,Well!C$8)*F40^2/(C$6*LN(C$5/C$9)))*kro_b(F40,'Layer Calcs'!B$5,'Layer Calcs'!B$6,'Layer Calcs'!G$6,'Layer Calcs'!G$7,'Layer Calcs'!H$5,'Layer Calcs'!H$6,'Layer Calcs'!H$7)*7.48</f>
        <v>1.6786502654922029</v>
      </c>
      <c r="J40" s="95"/>
      <c r="K40" s="95"/>
      <c r="L40" s="163">
        <f aca="true" t="shared" si="1" ref="L40:L78">L39+(E40-E39)*(I39+I40)/2</f>
        <v>1209.59298984742</v>
      </c>
      <c r="M40" s="95"/>
      <c r="N40" s="95"/>
      <c r="O40" s="95"/>
      <c r="P40" s="93"/>
      <c r="Q40" s="95"/>
    </row>
    <row r="41" spans="1:17" ht="12.75">
      <c r="A41" s="95"/>
      <c r="B41" s="93">
        <v>3</v>
      </c>
      <c r="C41" s="96">
        <f aca="true" t="shared" si="2" ref="C41:C78">tmrec(B41,C$34,C$33,C$35,C$4)</f>
        <v>1.8722192676401819</v>
      </c>
      <c r="D41" s="93"/>
      <c r="E41" s="97">
        <f t="shared" si="0"/>
        <v>683.3600326886664</v>
      </c>
      <c r="F41" s="98">
        <f>bot(E41,365*C$35,365*C$33,365*C$34,'Layer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2.2776855468750004</v>
      </c>
      <c r="G41" s="95"/>
      <c r="H41" s="9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1503.8787285399987</v>
      </c>
      <c r="I41" s="97">
        <f>IF((C$30+C$31)&gt;0,('Data Entry'!C$8*F41/C$6)*1440*((F$5/7.48)/F$6+0.018*I$8/(I$7*I$6)),PI()*(1-'Data Entry'!C$8)*'Data Entry'!C$8*hycon(F41,'Data Entry'!C$8,'Data Entry'!C$14,Well!C$7,Well!C$8)*F41^2/(C$6*LN(C$5/C$9)))*kro_b(F41,'Layer Calcs'!B$5,'Layer Calcs'!B$6,'Layer Calcs'!G$6,'Layer Calcs'!G$7,'Layer Calcs'!H$5,'Layer Calcs'!H$6,'Layer Calcs'!H$7)*7.48</f>
        <v>1.2310008943787185</v>
      </c>
      <c r="J41" s="95"/>
      <c r="K41" s="95"/>
      <c r="L41" s="163">
        <f t="shared" si="1"/>
        <v>1540.9828751344216</v>
      </c>
      <c r="M41" s="95"/>
      <c r="N41" s="95"/>
      <c r="O41" s="95"/>
      <c r="P41" s="93"/>
      <c r="Q41" s="95"/>
    </row>
    <row r="42" spans="1:17" ht="12.75">
      <c r="A42" s="95"/>
      <c r="B42" s="93">
        <v>4</v>
      </c>
      <c r="C42" s="96">
        <f t="shared" si="2"/>
        <v>2.4962923568535755</v>
      </c>
      <c r="D42" s="93"/>
      <c r="E42" s="97">
        <f t="shared" si="0"/>
        <v>911.1467102515551</v>
      </c>
      <c r="F42" s="98">
        <f>bot(E42,365*C$35,365*C$33,365*C$34,'Layer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2.1596191406250003</v>
      </c>
      <c r="G42" s="95"/>
      <c r="H42" s="9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1749.6962615359912</v>
      </c>
      <c r="I42" s="97">
        <f>IF((C$30+C$31)&gt;0,('Data Entry'!C$8*F42/C$6)*1440*((F$5/7.48)/F$6+0.018*I$8/(I$7*I$6)),PI()*(1-'Data Entry'!C$8)*'Data Entry'!C$8*hycon(F42,'Data Entry'!C$8,'Data Entry'!C$14,Well!C$7,Well!C$8)*F42^2/(C$6*LN(C$5/C$9)))*kro_b(F42,'Layer Calcs'!B$5,'Layer Calcs'!B$6,'Layer Calcs'!G$6,'Layer Calcs'!G$7,'Layer Calcs'!H$5,'Layer Calcs'!H$6,'Layer Calcs'!H$7)*7.48</f>
        <v>0.9460181380194522</v>
      </c>
      <c r="J42" s="95"/>
      <c r="K42" s="95"/>
      <c r="L42" s="163">
        <f t="shared" si="1"/>
        <v>1788.9308413249987</v>
      </c>
      <c r="M42" s="95"/>
      <c r="N42" s="95"/>
      <c r="O42" s="95"/>
      <c r="P42" s="93"/>
      <c r="Q42" s="95"/>
    </row>
    <row r="43" spans="1:17" ht="12.75">
      <c r="A43" s="95"/>
      <c r="B43" s="93">
        <v>5</v>
      </c>
      <c r="C43" s="96">
        <f t="shared" si="2"/>
        <v>3.1203654460669696</v>
      </c>
      <c r="D43" s="93"/>
      <c r="E43" s="97">
        <f t="shared" si="0"/>
        <v>1138.933387814444</v>
      </c>
      <c r="F43" s="98">
        <f>bot(E43,365*C$35,365*C$33,365*C$34,'Layer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2.0674072265625005</v>
      </c>
      <c r="G43" s="95"/>
      <c r="H43" s="9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1941.6840245893127</v>
      </c>
      <c r="I43" s="97">
        <f>IF((C$30+C$31)&gt;0,('Data Entry'!C$8*F43/C$6)*1440*((F$5/7.48)/F$6+0.018*I$8/(I$7*I$6)),PI()*(1-'Data Entry'!C$8)*'Data Entry'!C$8*hycon(F43,'Data Entry'!C$8,'Data Entry'!C$14,Well!C$7,Well!C$8)*F43^2/(C$6*LN(C$5/C$9)))*kro_b(F43,'Layer Calcs'!B$5,'Layer Calcs'!B$6,'Layer Calcs'!G$6,'Layer Calcs'!G$7,'Layer Calcs'!H$5,'Layer Calcs'!H$6,'Layer Calcs'!H$7)*7.48</f>
        <v>0.7519576375690795</v>
      </c>
      <c r="J43" s="95"/>
      <c r="K43" s="95"/>
      <c r="L43" s="163">
        <f t="shared" si="1"/>
        <v>1982.3189715767892</v>
      </c>
      <c r="M43" s="95"/>
      <c r="N43" s="95"/>
      <c r="O43" s="95"/>
      <c r="P43" s="93"/>
      <c r="Q43" s="95"/>
    </row>
    <row r="44" spans="1:17" ht="12.75">
      <c r="A44" s="95"/>
      <c r="B44" s="93">
        <v>6</v>
      </c>
      <c r="C44" s="96">
        <f t="shared" si="2"/>
        <v>3.7444385352803637</v>
      </c>
      <c r="D44" s="93"/>
      <c r="E44" s="97">
        <f t="shared" si="0"/>
        <v>1366.7200653773327</v>
      </c>
      <c r="F44" s="98">
        <f>bot(E44,365*C$35,365*C$33,365*C$34,'Layer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1.9931396484375006</v>
      </c>
      <c r="G44" s="95"/>
      <c r="H44" s="9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2096.3111824416305</v>
      </c>
      <c r="I44" s="97">
        <f>IF((C$30+C$31)&gt;0,('Data Entry'!C$8*F44/C$6)*1440*((F$5/7.48)/F$6+0.018*I$8/(I$7*I$6)),PI()*(1-'Data Entry'!C$8)*'Data Entry'!C$8*hycon(F44,'Data Entry'!C$8,'Data Entry'!C$14,Well!C$7,Well!C$8)*F44^2/(C$6*LN(C$5/C$9)))*kro_b(F44,'Layer Calcs'!B$5,'Layer Calcs'!B$6,'Layer Calcs'!G$6,'Layer Calcs'!G$7,'Layer Calcs'!H$5,'Layer Calcs'!H$6,'Layer Calcs'!H$7)*7.48</f>
        <v>0.6128176313677819</v>
      </c>
      <c r="J44" s="95"/>
      <c r="K44" s="95"/>
      <c r="L44" s="163">
        <f t="shared" si="1"/>
        <v>2137.757783642352</v>
      </c>
      <c r="M44" s="95"/>
      <c r="N44" s="95"/>
      <c r="O44" s="95"/>
      <c r="P44" s="93"/>
      <c r="Q44" s="95"/>
    </row>
    <row r="45" spans="1:17" ht="12.75">
      <c r="A45" s="95"/>
      <c r="B45" s="93">
        <v>7</v>
      </c>
      <c r="C45" s="96">
        <f t="shared" si="2"/>
        <v>4.368511624493758</v>
      </c>
      <c r="D45" s="93"/>
      <c r="E45" s="97">
        <f t="shared" si="0"/>
        <v>1594.5067429402216</v>
      </c>
      <c r="F45" s="98">
        <f>bot(E45,365*C$35,365*C$33,365*C$34,'Layer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1.9319824218750004</v>
      </c>
      <c r="G45" s="95"/>
      <c r="H45" s="9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2223.642224657297</v>
      </c>
      <c r="I45" s="97">
        <f>IF((C$30+C$31)&gt;0,('Data Entry'!C$8*F45/C$6)*1440*((F$5/7.48)/F$6+0.018*I$8/(I$7*I$6)),PI()*(1-'Data Entry'!C$8)*'Data Entry'!C$8*hycon(F45,'Data Entry'!C$8,'Data Entry'!C$14,Well!C$7,Well!C$8)*F45^2/(C$6*LN(C$5/C$9)))*kro_b(F45,'Layer Calcs'!B$5,'Layer Calcs'!B$6,'Layer Calcs'!G$6,'Layer Calcs'!G$7,'Layer Calcs'!H$5,'Layer Calcs'!H$6,'Layer Calcs'!H$7)*7.48</f>
        <v>0.5091822446028134</v>
      </c>
      <c r="J45" s="95"/>
      <c r="K45" s="95"/>
      <c r="L45" s="163">
        <f t="shared" si="1"/>
        <v>2265.54609562901</v>
      </c>
      <c r="M45" s="95"/>
      <c r="N45" s="95"/>
      <c r="O45" s="95"/>
      <c r="P45" s="93"/>
      <c r="Q45" s="95"/>
    </row>
    <row r="46" spans="1:17" ht="12.75">
      <c r="A46" s="95"/>
      <c r="B46" s="93">
        <v>8</v>
      </c>
      <c r="C46" s="96">
        <f t="shared" si="2"/>
        <v>4.992584713707151</v>
      </c>
      <c r="D46" s="93"/>
      <c r="E46" s="97">
        <f t="shared" si="0"/>
        <v>1822.2934205031102</v>
      </c>
      <c r="F46" s="98">
        <f>bot(E46,365*C$35,365*C$33,365*C$34,'Layer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1.88082275390625</v>
      </c>
      <c r="G46" s="95"/>
      <c r="H46" s="9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2330.15807254669</v>
      </c>
      <c r="I46" s="97">
        <f>IF((C$30+C$31)&gt;0,('Data Entry'!C$8*F46/C$6)*1440*((F$5/7.48)/F$6+0.018*I$8/(I$7*I$6)),PI()*(1-'Data Entry'!C$8)*'Data Entry'!C$8*hycon(F46,'Data Entry'!C$8,'Data Entry'!C$14,Well!C$7,Well!C$8)*F46^2/(C$6*LN(C$5/C$9)))*kro_b(F46,'Layer Calcs'!B$5,'Layer Calcs'!B$6,'Layer Calcs'!G$6,'Layer Calcs'!G$7,'Layer Calcs'!H$5,'Layer Calcs'!H$6,'Layer Calcs'!H$7)*7.48</f>
        <v>0.42976735199906085</v>
      </c>
      <c r="J46" s="95"/>
      <c r="K46" s="95"/>
      <c r="L46" s="163">
        <f t="shared" si="1"/>
        <v>2372.4862001334877</v>
      </c>
      <c r="M46" s="95"/>
      <c r="N46" s="95"/>
      <c r="O46" s="95"/>
      <c r="P46" s="93"/>
      <c r="Q46" s="95"/>
    </row>
    <row r="47" spans="1:17" ht="12.75">
      <c r="A47" s="95"/>
      <c r="B47" s="93">
        <v>9</v>
      </c>
      <c r="C47" s="96">
        <f t="shared" si="2"/>
        <v>5.616657802920545</v>
      </c>
      <c r="D47" s="93"/>
      <c r="E47" s="97">
        <f t="shared" si="0"/>
        <v>2050.080098065999</v>
      </c>
      <c r="F47" s="98">
        <f>bot(E47,365*C$35,365*C$33,365*C$34,'Layer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1.8373535156249998</v>
      </c>
      <c r="G47" s="95"/>
      <c r="H47" s="9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2420.6622324927957</v>
      </c>
      <c r="I47" s="97">
        <f>IF((C$30+C$31)&gt;0,('Data Entry'!C$8*F47/C$6)*1440*((F$5/7.48)/F$6+0.018*I$8/(I$7*I$6)),PI()*(1-'Data Entry'!C$8)*'Data Entry'!C$8*hycon(F47,'Data Entry'!C$8,'Data Entry'!C$14,Well!C$7,Well!C$8)*F47^2/(C$6*LN(C$5/C$9)))*kro_b(F47,'Layer Calcs'!B$5,'Layer Calcs'!B$6,'Layer Calcs'!G$6,'Layer Calcs'!G$7,'Layer Calcs'!H$5,'Layer Calcs'!H$6,'Layer Calcs'!H$7)*7.48</f>
        <v>0.36731403077416924</v>
      </c>
      <c r="J47" s="95"/>
      <c r="K47" s="95"/>
      <c r="L47" s="163">
        <f t="shared" si="1"/>
        <v>2463.2684600980615</v>
      </c>
      <c r="M47" s="95"/>
      <c r="N47" s="95"/>
      <c r="O47" s="95"/>
      <c r="P47" s="93"/>
      <c r="Q47" s="95"/>
    </row>
    <row r="48" spans="1:17" ht="12.75">
      <c r="A48" s="95"/>
      <c r="B48" s="93">
        <v>10</v>
      </c>
      <c r="C48" s="96">
        <f t="shared" si="2"/>
        <v>6.240730892133939</v>
      </c>
      <c r="D48" s="93"/>
      <c r="E48" s="97">
        <f t="shared" si="0"/>
        <v>2277.866775628888</v>
      </c>
      <c r="F48" s="98">
        <f>bot(E48,365*C$35,365*C$33,365*C$34,'Layer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1.7999890136718752</v>
      </c>
      <c r="G48" s="95"/>
      <c r="H48" s="9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2498.4499832954466</v>
      </c>
      <c r="I48" s="97">
        <f>IF((C$30+C$31)&gt;0,('Data Entry'!C$8*F48/C$6)*1440*((F$5/7.48)/F$6+0.018*I$8/(I$7*I$6)),PI()*(1-'Data Entry'!C$8)*'Data Entry'!C$8*hycon(F48,'Data Entry'!C$8,'Data Entry'!C$14,Well!C$7,Well!C$8)*F48^2/(C$6*LN(C$5/C$9)))*kro_b(F48,'Layer Calcs'!B$5,'Layer Calcs'!B$6,'Layer Calcs'!G$6,'Layer Calcs'!G$7,'Layer Calcs'!H$5,'Layer Calcs'!H$6,'Layer Calcs'!H$7)*7.48</f>
        <v>0.31720644565981804</v>
      </c>
      <c r="J48" s="95"/>
      <c r="K48" s="95"/>
      <c r="L48" s="163">
        <f t="shared" si="1"/>
        <v>2541.230782623393</v>
      </c>
      <c r="M48" s="95"/>
      <c r="N48" s="95"/>
      <c r="O48" s="95"/>
      <c r="P48" s="93"/>
      <c r="Q48" s="95"/>
    </row>
    <row r="49" spans="1:17" ht="12.75">
      <c r="A49" s="95"/>
      <c r="B49" s="93">
        <v>11</v>
      </c>
      <c r="C49" s="96">
        <f>tmrec(B49,C$34,C$33,C$35,C$4)</f>
        <v>7.532121522019612</v>
      </c>
      <c r="D49" s="93"/>
      <c r="E49" s="97">
        <f>C49*365</f>
        <v>2749.2243555371583</v>
      </c>
      <c r="F49" s="98">
        <f>bot(E49,365*C$35,365*C$33,365*C$34,'Layer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1.7156030273437501</v>
      </c>
      <c r="G49" s="95"/>
      <c r="H49" s="9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2626.684878281404</v>
      </c>
      <c r="I49" s="97">
        <f>IF((C$30+C$31)&gt;0,('Data Entry'!C$8*F49/C$6)*1440*((F$5/7.48)/F$6+0.018*I$8/(I$7*I$6)),PI()*(1-'Data Entry'!C$8)*'Data Entry'!C$8*hycon(F49,'Data Entry'!C$8,'Data Entry'!C$14,Well!C$7,Well!C$8)*F49^2/(C$6*LN(C$5/C$9)))*kro_b(F49,'Layer Calcs'!B$5,'Layer Calcs'!B$6,'Layer Calcs'!G$6,'Layer Calcs'!G$7,'Layer Calcs'!H$5,'Layer Calcs'!H$6,'Layer Calcs'!H$7)*7.48</f>
        <v>0.2332878190807586</v>
      </c>
      <c r="J49" s="95"/>
      <c r="K49" s="95"/>
      <c r="L49" s="163">
        <f t="shared" si="1"/>
        <v>2670.970604814144</v>
      </c>
      <c r="M49" s="95"/>
      <c r="N49" s="95"/>
      <c r="O49" s="95"/>
      <c r="P49" s="93"/>
      <c r="Q49" s="95"/>
    </row>
    <row r="50" spans="1:17" ht="12.75">
      <c r="A50" s="95"/>
      <c r="B50" s="93">
        <v>12</v>
      </c>
      <c r="C50" s="96">
        <f>tmrec(B50,C$34,C$33,C$35,C$4)</f>
        <v>8.823512151905284</v>
      </c>
      <c r="D50" s="93"/>
      <c r="E50" s="97">
        <f>C50*365</f>
        <v>3220.581935445429</v>
      </c>
      <c r="F50" s="98">
        <f>bot(E50,365*C$35,365*C$33,365*C$34,'Layer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1.65234375</v>
      </c>
      <c r="G50" s="95"/>
      <c r="H50" s="9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2722.815138056061</v>
      </c>
      <c r="I50" s="97">
        <f>IF((C$30+C$31)&gt;0,('Data Entry'!C$8*F50/C$6)*1440*((F$5/7.48)/F$6+0.018*I$8/(I$7*I$6)),PI()*(1-'Data Entry'!C$8)*'Data Entry'!C$8*hycon(F50,'Data Entry'!C$8,'Data Entry'!C$14,Well!C$7,Well!C$8)*F50^2/(C$6*LN(C$5/C$9)))*kro_b(F50,'Layer Calcs'!B$5,'Layer Calcs'!B$6,'Layer Calcs'!G$6,'Layer Calcs'!G$7,'Layer Calcs'!H$5,'Layer Calcs'!H$6,'Layer Calcs'!H$7)*7.48</f>
        <v>0.1782430594322759</v>
      </c>
      <c r="J50" s="95"/>
      <c r="K50" s="95"/>
      <c r="L50" s="163">
        <f t="shared" si="1"/>
        <v>2767.959704290858</v>
      </c>
      <c r="M50" s="95"/>
      <c r="N50" s="95"/>
      <c r="O50" s="95"/>
      <c r="P50" s="93"/>
      <c r="Q50" s="95"/>
    </row>
    <row r="51" spans="1:17" ht="12.75">
      <c r="A51" s="95"/>
      <c r="B51" s="93">
        <v>13</v>
      </c>
      <c r="C51" s="96">
        <f t="shared" si="2"/>
        <v>10.114902781790956</v>
      </c>
      <c r="D51" s="93"/>
      <c r="E51" s="97">
        <f t="shared" si="0"/>
        <v>3691.939515353699</v>
      </c>
      <c r="F51" s="98">
        <f>bot(E51,365*C$35,365*C$33,365*C$34,'Layer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1.6033227539062502</v>
      </c>
      <c r="G51" s="95"/>
      <c r="H51" s="9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2797.308576596269</v>
      </c>
      <c r="I51" s="97">
        <f>IF((C$30+C$31)&gt;0,('Data Entry'!C$8*F51/C$6)*1440*((F$5/7.48)/F$6+0.018*I$8/(I$7*I$6)),PI()*(1-'Data Entry'!C$8)*'Data Entry'!C$8*hycon(F51,'Data Entry'!C$8,'Data Entry'!C$14,Well!C$7,Well!C$8)*F51^2/(C$6*LN(C$5/C$9)))*kro_b(F51,'Layer Calcs'!B$5,'Layer Calcs'!B$6,'Layer Calcs'!G$6,'Layer Calcs'!G$7,'Layer Calcs'!H$5,'Layer Calcs'!H$6,'Layer Calcs'!H$7)*7.48</f>
        <v>0.139982930097683</v>
      </c>
      <c r="J51" s="95"/>
      <c r="K51" s="95"/>
      <c r="L51" s="163">
        <f t="shared" si="1"/>
        <v>2842.9588204352362</v>
      </c>
      <c r="M51" s="95"/>
      <c r="N51" s="95"/>
      <c r="O51" s="95"/>
      <c r="P51" s="93"/>
      <c r="Q51" s="95"/>
    </row>
    <row r="52" spans="1:17" ht="12.75">
      <c r="A52" s="95"/>
      <c r="B52" s="93">
        <v>14</v>
      </c>
      <c r="C52" s="96">
        <f t="shared" si="2"/>
        <v>11.406293411676629</v>
      </c>
      <c r="D52" s="93"/>
      <c r="E52" s="97">
        <f t="shared" si="0"/>
        <v>4163.29709526197</v>
      </c>
      <c r="F52" s="98">
        <f>bot(E52,365*C$35,365*C$33,365*C$34,'Layer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1.5644201660156254</v>
      </c>
      <c r="G52" s="95"/>
      <c r="H52" s="9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2856.425848194404</v>
      </c>
      <c r="I52" s="97">
        <f>IF((C$30+C$31)&gt;0,('Data Entry'!C$8*F52/C$6)*1440*((F$5/7.48)/F$6+0.018*I$8/(I$7*I$6)),PI()*(1-'Data Entry'!C$8)*'Data Entry'!C$8*hycon(F52,'Data Entry'!C$8,'Data Entry'!C$14,Well!C$7,Well!C$8)*F52^2/(C$6*LN(C$5/C$9)))*kro_b(F52,'Layer Calcs'!B$5,'Layer Calcs'!B$6,'Layer Calcs'!G$6,'Layer Calcs'!G$7,'Layer Calcs'!H$5,'Layer Calcs'!H$6,'Layer Calcs'!H$7)*7.48</f>
        <v>0.11223719752626535</v>
      </c>
      <c r="J52" s="95"/>
      <c r="K52" s="95"/>
      <c r="L52" s="163">
        <f t="shared" si="1"/>
        <v>2902.401754915726</v>
      </c>
      <c r="M52" s="95"/>
      <c r="N52" s="95"/>
      <c r="O52" s="95"/>
      <c r="P52" s="93"/>
      <c r="Q52" s="95"/>
    </row>
    <row r="53" spans="1:17" ht="12.75">
      <c r="A53" s="95"/>
      <c r="B53" s="93">
        <v>15</v>
      </c>
      <c r="C53" s="96">
        <f t="shared" si="2"/>
        <v>12.697684041562301</v>
      </c>
      <c r="D53" s="93"/>
      <c r="E53" s="97">
        <f t="shared" si="0"/>
        <v>4634.65467517024</v>
      </c>
      <c r="F53" s="98">
        <f>bot(E53,365*C$35,365*C$33,365*C$34,'Layer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1.5329772949218752</v>
      </c>
      <c r="G53" s="95"/>
      <c r="H53" s="9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2904.207161753812</v>
      </c>
      <c r="I53" s="97">
        <f>IF((C$30+C$31)&gt;0,('Data Entry'!C$8*F53/C$6)*1440*((F$5/7.48)/F$6+0.018*I$8/(I$7*I$6)),PI()*(1-'Data Entry'!C$8)*'Data Entry'!C$8*hycon(F53,'Data Entry'!C$8,'Data Entry'!C$14,Well!C$7,Well!C$8)*F53^2/(C$6*LN(C$5/C$9)))*kro_b(F53,'Layer Calcs'!B$5,'Layer Calcs'!B$6,'Layer Calcs'!G$6,'Layer Calcs'!G$7,'Layer Calcs'!H$5,'Layer Calcs'!H$6,'Layer Calcs'!H$7)*7.48</f>
        <v>0.09144587252055122</v>
      </c>
      <c r="J53" s="95"/>
      <c r="K53" s="95"/>
      <c r="L53" s="163">
        <f t="shared" si="1"/>
        <v>2950.4055343985033</v>
      </c>
      <c r="M53" s="95"/>
      <c r="N53" s="95"/>
      <c r="O53" s="95"/>
      <c r="P53" s="93"/>
      <c r="Q53" s="95"/>
    </row>
    <row r="54" spans="1:17" ht="12.75">
      <c r="A54" s="95"/>
      <c r="B54" s="93">
        <v>16</v>
      </c>
      <c r="C54" s="96">
        <f t="shared" si="2"/>
        <v>13.989074671447973</v>
      </c>
      <c r="D54" s="93"/>
      <c r="E54" s="97">
        <f t="shared" si="0"/>
        <v>5106.01225507851</v>
      </c>
      <c r="F54" s="98">
        <f>bot(E54,365*C$35,365*C$33,365*C$34,'Layer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1.5071923828124998</v>
      </c>
      <c r="G54" s="95"/>
      <c r="H54" s="9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2943.3905100850247</v>
      </c>
      <c r="I54" s="97">
        <f>IF((C$30+C$31)&gt;0,('Data Entry'!C$8*F54/C$6)*1440*((F$5/7.48)/F$6+0.018*I$8/(I$7*I$6)),PI()*(1-'Data Entry'!C$8)*'Data Entry'!C$8*hycon(F54,'Data Entry'!C$8,'Data Entry'!C$14,Well!C$7,Well!C$8)*F54^2/(C$6*LN(C$5/C$9)))*kro_b(F54,'Layer Calcs'!B$5,'Layer Calcs'!B$6,'Layer Calcs'!G$6,'Layer Calcs'!G$7,'Layer Calcs'!H$5,'Layer Calcs'!H$6,'Layer Calcs'!H$7)*7.48</f>
        <v>0.07545462388653545</v>
      </c>
      <c r="J54" s="95"/>
      <c r="K54" s="95"/>
      <c r="L54" s="163">
        <f t="shared" si="1"/>
        <v>2989.74044143447</v>
      </c>
      <c r="M54" s="95"/>
      <c r="N54" s="95"/>
      <c r="O54" s="95"/>
      <c r="P54" s="93"/>
      <c r="Q54" s="95"/>
    </row>
    <row r="55" spans="1:17" ht="12.75">
      <c r="A55" s="95"/>
      <c r="B55" s="93">
        <v>17</v>
      </c>
      <c r="C55" s="96">
        <f t="shared" si="2"/>
        <v>15.280465301333646</v>
      </c>
      <c r="D55" s="93"/>
      <c r="E55" s="97">
        <f t="shared" si="0"/>
        <v>5577.369834986781</v>
      </c>
      <c r="F55" s="98">
        <f>bot(E55,365*C$35,365*C$33,365*C$34,'Layer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1.4858129882812499</v>
      </c>
      <c r="G55" s="95"/>
      <c r="H55" s="9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2975.879132092924</v>
      </c>
      <c r="I55" s="97">
        <f>IF((C$30+C$31)&gt;0,('Data Entry'!C$8*F55/C$6)*1440*((F$5/7.48)/F$6+0.018*I$8/(I$7*I$6)),PI()*(1-'Data Entry'!C$8)*'Data Entry'!C$8*hycon(F55,'Data Entry'!C$8,'Data Entry'!C$14,Well!C$7,Well!C$8)*F55^2/(C$6*LN(C$5/C$9)))*kro_b(F55,'Layer Calcs'!B$5,'Layer Calcs'!B$6,'Layer Calcs'!G$6,'Layer Calcs'!G$7,'Layer Calcs'!H$5,'Layer Calcs'!H$6,'Layer Calcs'!H$7)*7.48</f>
        <v>0.06290159041060134</v>
      </c>
      <c r="J55" s="95"/>
      <c r="K55" s="95"/>
      <c r="L55" s="163">
        <f t="shared" si="1"/>
        <v>3022.3480666026544</v>
      </c>
      <c r="M55" s="95"/>
      <c r="N55" s="95"/>
      <c r="O55" s="95"/>
      <c r="P55" s="93"/>
      <c r="Q55" s="95"/>
    </row>
    <row r="56" spans="1:17" ht="12.75">
      <c r="A56" s="95"/>
      <c r="B56" s="93">
        <v>18</v>
      </c>
      <c r="C56" s="96">
        <f t="shared" si="2"/>
        <v>16.571855931219318</v>
      </c>
      <c r="D56" s="93"/>
      <c r="E56" s="97">
        <f t="shared" si="0"/>
        <v>6048.727414895051</v>
      </c>
      <c r="F56" s="98">
        <f>bot(E56,365*C$35,365*C$33,365*C$34,'Layer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1.4679162597656248</v>
      </c>
      <c r="G56" s="95"/>
      <c r="H56" s="9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3003.075414339002</v>
      </c>
      <c r="I56" s="97">
        <f>IF((C$30+C$31)&gt;0,('Data Entry'!C$8*F56/C$6)*1440*((F$5/7.48)/F$6+0.018*I$8/(I$7*I$6)),PI()*(1-'Data Entry'!C$8)*'Data Entry'!C$8*hycon(F56,'Data Entry'!C$8,'Data Entry'!C$14,Well!C$7,Well!C$8)*F56^2/(C$6*LN(C$5/C$9)))*kro_b(F56,'Layer Calcs'!B$5,'Layer Calcs'!B$6,'Layer Calcs'!G$6,'Layer Calcs'!G$7,'Layer Calcs'!H$5,'Layer Calcs'!H$6,'Layer Calcs'!H$7)*7.48</f>
        <v>0.05287547652115917</v>
      </c>
      <c r="J56" s="95"/>
      <c r="K56" s="95"/>
      <c r="L56" s="163">
        <f t="shared" si="1"/>
        <v>3049.6342656415704</v>
      </c>
      <c r="M56" s="95"/>
      <c r="N56" s="95"/>
      <c r="O56" s="95"/>
      <c r="P56" s="93"/>
      <c r="Q56" s="95"/>
    </row>
    <row r="57" spans="1:17" ht="12.75">
      <c r="A57" s="95"/>
      <c r="B57" s="93">
        <v>19</v>
      </c>
      <c r="C57" s="96">
        <f t="shared" si="2"/>
        <v>17.86324656110499</v>
      </c>
      <c r="D57" s="93"/>
      <c r="E57" s="97">
        <f t="shared" si="0"/>
        <v>6520.084994803321</v>
      </c>
      <c r="F57" s="98">
        <f>bot(E57,365*C$35,365*C$33,365*C$34,'Layer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1.4528155517578127</v>
      </c>
      <c r="G57" s="95"/>
      <c r="H57" s="9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3026.02279920532</v>
      </c>
      <c r="I57" s="97">
        <f>IF((C$30+C$31)&gt;0,('Data Entry'!C$8*F57/C$6)*1440*((F$5/7.48)/F$6+0.018*I$8/(I$7*I$6)),PI()*(1-'Data Entry'!C$8)*'Data Entry'!C$8*hycon(F57,'Data Entry'!C$8,'Data Entry'!C$14,Well!C$7,Well!C$8)*F57^2/(C$6*LN(C$5/C$9)))*kro_b(F57,'Layer Calcs'!B$5,'Layer Calcs'!B$6,'Layer Calcs'!G$6,'Layer Calcs'!G$7,'Layer Calcs'!H$5,'Layer Calcs'!H$6,'Layer Calcs'!H$7)*7.48</f>
        <v>0.04475148365853846</v>
      </c>
      <c r="J57" s="95"/>
      <c r="K57" s="95"/>
      <c r="L57" s="163">
        <f t="shared" si="1"/>
        <v>3072.6428694836222</v>
      </c>
      <c r="M57" s="95"/>
      <c r="N57" s="95"/>
      <c r="O57" s="95"/>
      <c r="P57" s="93"/>
      <c r="Q57" s="95"/>
    </row>
    <row r="58" spans="1:17" ht="12.75">
      <c r="A58" s="95"/>
      <c r="B58" s="93">
        <v>20</v>
      </c>
      <c r="C58" s="96">
        <f t="shared" si="2"/>
        <v>19.154637190990663</v>
      </c>
      <c r="D58" s="93"/>
      <c r="E58" s="97">
        <f t="shared" si="0"/>
        <v>6991.442574711592</v>
      </c>
      <c r="F58" s="98">
        <f>bot(E58,365*C$35,365*C$33,365*C$34,'Layer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1.44</v>
      </c>
      <c r="G58" s="95"/>
      <c r="H58" s="9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3045.4976078241357</v>
      </c>
      <c r="I58" s="97">
        <f>IF((C$30+C$31)&gt;0,('Data Entry'!C$8*F58/C$6)*1440*((F$5/7.48)/F$6+0.018*I$8/(I$7*I$6)),PI()*(1-'Data Entry'!C$8)*'Data Entry'!C$8*hycon(F58,'Data Entry'!C$8,'Data Entry'!C$14,Well!C$7,Well!C$8)*F58^2/(C$6*LN(C$5/C$9)))*kro_b(F58,'Layer Calcs'!B$5,'Layer Calcs'!B$6,'Layer Calcs'!G$6,'Layer Calcs'!G$7,'Layer Calcs'!H$5,'Layer Calcs'!H$6,'Layer Calcs'!H$7)*7.48</f>
        <v>0.03809430750724172</v>
      </c>
      <c r="J58" s="95"/>
      <c r="K58" s="95"/>
      <c r="L58" s="163">
        <f t="shared" si="1"/>
        <v>3092.1678652983665</v>
      </c>
      <c r="M58" s="95"/>
      <c r="N58" s="95"/>
      <c r="O58" s="95"/>
      <c r="P58" s="93"/>
      <c r="Q58" s="95"/>
    </row>
    <row r="59" spans="1:17" ht="12.75">
      <c r="A59" s="95"/>
      <c r="B59" s="93">
        <v>21</v>
      </c>
      <c r="C59" s="96">
        <f t="shared" si="2"/>
        <v>20.239173471891597</v>
      </c>
      <c r="D59" s="93"/>
      <c r="E59" s="97">
        <f t="shared" si="0"/>
        <v>7387.298317240433</v>
      </c>
      <c r="F59" s="98">
        <f>bot(E59,365*C$35,365*C$33,365*C$34,'Layer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1.4092014466003395</v>
      </c>
      <c r="G59" s="95"/>
      <c r="H59" s="9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3060.0954122446524</v>
      </c>
      <c r="I59" s="97">
        <f>IF((C$30+C$31)&gt;0,('Data Entry'!C$8*F59/C$6)*1440*((F$5/7.48)/F$6+0.018*I$8/(I$7*I$6)),PI()*(1-'Data Entry'!C$8)*'Data Entry'!C$8*hycon(F59,'Data Entry'!C$8,'Data Entry'!C$14,Well!C$7,Well!C$8)*F59^2/(C$6*LN(C$5/C$9)))*kro_b(F59,'Layer Calcs'!B$5,'Layer Calcs'!B$6,'Layer Calcs'!G$6,'Layer Calcs'!G$7,'Layer Calcs'!H$5,'Layer Calcs'!H$6,'Layer Calcs'!H$7)*7.48</f>
        <v>0.0357019426410617</v>
      </c>
      <c r="J59" s="95"/>
      <c r="K59" s="95"/>
      <c r="L59" s="163">
        <f t="shared" si="1"/>
        <v>3106.774199997517</v>
      </c>
      <c r="M59" s="95"/>
      <c r="N59" s="95"/>
      <c r="O59" s="95"/>
      <c r="P59" s="93"/>
      <c r="Q59" s="95"/>
    </row>
    <row r="60" spans="1:17" ht="12.75">
      <c r="A60" s="95"/>
      <c r="B60" s="93">
        <v>22</v>
      </c>
      <c r="C60" s="96">
        <f t="shared" si="2"/>
        <v>21.32370975279253</v>
      </c>
      <c r="D60" s="93"/>
      <c r="E60" s="97">
        <f t="shared" si="0"/>
        <v>7783.154059769274</v>
      </c>
      <c r="F60" s="98">
        <f>bot(E60,365*C$35,365*C$33,365*C$34,'Layer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1.3802981100264766</v>
      </c>
      <c r="G60" s="95"/>
      <c r="H60" s="9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3073.7949275735214</v>
      </c>
      <c r="I60" s="97">
        <f>IF((C$30+C$31)&gt;0,('Data Entry'!C$8*F60/C$6)*1440*((F$5/7.48)/F$6+0.018*I$8/(I$7*I$6)),PI()*(1-'Data Entry'!C$8)*'Data Entry'!C$8*hycon(F60,'Data Entry'!C$8,'Data Entry'!C$14,Well!C$7,Well!C$8)*F60^2/(C$6*LN(C$5/C$9)))*kro_b(F60,'Layer Calcs'!B$5,'Layer Calcs'!B$6,'Layer Calcs'!G$6,'Layer Calcs'!G$7,'Layer Calcs'!H$5,'Layer Calcs'!H$6,'Layer Calcs'!H$7)*7.48</f>
        <v>0.03354990439350919</v>
      </c>
      <c r="J60" s="95"/>
      <c r="K60" s="95"/>
      <c r="L60" s="163">
        <f t="shared" si="1"/>
        <v>3120.481070662199</v>
      </c>
      <c r="M60" s="95"/>
      <c r="N60" s="95"/>
      <c r="O60" s="95"/>
      <c r="P60" s="93"/>
      <c r="Q60" s="95"/>
    </row>
    <row r="61" spans="1:17" ht="12.75">
      <c r="A61" s="95"/>
      <c r="B61" s="93">
        <v>23</v>
      </c>
      <c r="C61" s="96">
        <f t="shared" si="2"/>
        <v>22.408246033693462</v>
      </c>
      <c r="D61" s="93"/>
      <c r="E61" s="97">
        <f t="shared" si="0"/>
        <v>8179.009802298114</v>
      </c>
      <c r="F61" s="98">
        <f>bot(E61,365*C$35,365*C$33,365*C$34,'Layer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1.353103264793518</v>
      </c>
      <c r="G61" s="95"/>
      <c r="H61" s="9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3086.6846573866537</v>
      </c>
      <c r="I61" s="97">
        <f>IF((C$30+C$31)&gt;0,('Data Entry'!C$8*F61/C$6)*1440*((F$5/7.48)/F$6+0.018*I$8/(I$7*I$6)),PI()*(1-'Data Entry'!C$8)*'Data Entry'!C$8*hycon(F61,'Data Entry'!C$8,'Data Entry'!C$14,Well!C$7,Well!C$8)*F61^2/(C$6*LN(C$5/C$9)))*kro_b(F61,'Layer Calcs'!B$5,'Layer Calcs'!B$6,'Layer Calcs'!G$6,'Layer Calcs'!G$7,'Layer Calcs'!H$5,'Layer Calcs'!H$6,'Layer Calcs'!H$7)*7.48</f>
        <v>0.031605701397065165</v>
      </c>
      <c r="J61" s="95"/>
      <c r="K61" s="95"/>
      <c r="L61" s="163">
        <f t="shared" si="1"/>
        <v>3133.377181017271</v>
      </c>
      <c r="M61" s="95"/>
      <c r="N61" s="95"/>
      <c r="O61" s="95"/>
      <c r="P61" s="93"/>
      <c r="Q61" s="95"/>
    </row>
    <row r="62" spans="1:17" ht="12.75">
      <c r="A62" s="95"/>
      <c r="B62" s="93">
        <v>24</v>
      </c>
      <c r="C62" s="96">
        <f t="shared" si="2"/>
        <v>23.492782314594397</v>
      </c>
      <c r="D62" s="93"/>
      <c r="E62" s="97">
        <f t="shared" si="0"/>
        <v>8574.865544826955</v>
      </c>
      <c r="F62" s="98">
        <f>bot(E62,365*C$35,365*C$33,365*C$34,'Layer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1.3274549662250312</v>
      </c>
      <c r="G62" s="95"/>
      <c r="H62" s="9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3098.8413597279373</v>
      </c>
      <c r="I62" s="97">
        <f>IF((C$30+C$31)&gt;0,('Data Entry'!C$8*F62/C$6)*1440*((F$5/7.48)/F$6+0.018*I$8/(I$7*I$6)),PI()*(1-'Data Entry'!C$8)*'Data Entry'!C$8*hycon(F62,'Data Entry'!C$8,'Data Entry'!C$14,Well!C$7,Well!C$8)*F62^2/(C$6*LN(C$5/C$9)))*kro_b(F62,'Layer Calcs'!B$5,'Layer Calcs'!B$6,'Layer Calcs'!G$6,'Layer Calcs'!G$7,'Layer Calcs'!H$5,'Layer Calcs'!H$6,'Layer Calcs'!H$7)*7.48</f>
        <v>0.029842279715211563</v>
      </c>
      <c r="J62" s="95"/>
      <c r="K62" s="95"/>
      <c r="L62" s="163">
        <f t="shared" si="1"/>
        <v>3145.53944911232</v>
      </c>
      <c r="M62" s="95"/>
      <c r="N62" s="95"/>
      <c r="O62" s="95"/>
      <c r="P62" s="93"/>
      <c r="Q62" s="95"/>
    </row>
    <row r="63" spans="1:17" ht="12.75">
      <c r="A63" s="95"/>
      <c r="B63" s="93">
        <v>25</v>
      </c>
      <c r="C63" s="96">
        <f t="shared" si="2"/>
        <v>24.57731859549533</v>
      </c>
      <c r="D63" s="93"/>
      <c r="E63" s="97">
        <f t="shared" si="0"/>
        <v>8970.721287355796</v>
      </c>
      <c r="F63" s="98">
        <f>bot(E63,365*C$35,365*C$33,365*C$34,'Layer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1.3032119763414323</v>
      </c>
      <c r="G63" s="95"/>
      <c r="H63" s="9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3110.331978144231</v>
      </c>
      <c r="I63" s="97">
        <f>IF((C$30+C$31)&gt;0,('Data Entry'!C$8*F63/C$6)*1440*((F$5/7.48)/F$6+0.018*I$8/(I$7*I$6)),PI()*(1-'Data Entry'!C$8)*'Data Entry'!C$8*hycon(F63,'Data Entry'!C$8,'Data Entry'!C$14,Well!C$7,Well!C$8)*F63^2/(C$6*LN(C$5/C$9)))*kro_b(F63,'Layer Calcs'!B$5,'Layer Calcs'!B$6,'Layer Calcs'!G$6,'Layer Calcs'!G$7,'Layer Calcs'!H$5,'Layer Calcs'!H$6,'Layer Calcs'!H$7)*7.48</f>
        <v>0.028236950610630356</v>
      </c>
      <c r="J63" s="95"/>
      <c r="K63" s="95"/>
      <c r="L63" s="163">
        <f t="shared" si="1"/>
        <v>3157.03494753539</v>
      </c>
      <c r="M63" s="95"/>
      <c r="N63" s="95"/>
      <c r="O63" s="95"/>
      <c r="P63" s="93"/>
      <c r="Q63" s="95"/>
    </row>
    <row r="64" spans="1:17" ht="12.75">
      <c r="A64" s="95"/>
      <c r="B64" s="93">
        <v>26</v>
      </c>
      <c r="C64" s="96">
        <f>tmrec(B64,C$34,C$33,C$35,C$4)</f>
        <v>25.661854876396266</v>
      </c>
      <c r="D64" s="93"/>
      <c r="E64" s="97">
        <f>C64*365</f>
        <v>9366.577029884636</v>
      </c>
      <c r="F64" s="98">
        <f>bot(E64,365*C$35,365*C$33,365*C$34,'Layer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1.2802504795883858</v>
      </c>
      <c r="G64" s="95"/>
      <c r="H64" s="9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3121.215198354405</v>
      </c>
      <c r="I64" s="97">
        <f>IF((C$30+C$31)&gt;0,('Data Entry'!C$8*F64/C$6)*1440*((F$5/7.48)/F$6+0.018*I$8/(I$7*I$6)),PI()*(1-'Data Entry'!C$8)*'Data Entry'!C$8*hycon(F64,'Data Entry'!C$8,'Data Entry'!C$14,Well!C$7,Well!C$8)*F64^2/(C$6*LN(C$5/C$9)))*kro_b(F64,'Layer Calcs'!B$5,'Layer Calcs'!B$6,'Layer Calcs'!G$6,'Layer Calcs'!G$7,'Layer Calcs'!H$5,'Layer Calcs'!H$6,'Layer Calcs'!H$7)*7.48</f>
        <v>0.026770559533980033</v>
      </c>
      <c r="J64" s="95"/>
      <c r="K64" s="95"/>
      <c r="L64" s="163">
        <f t="shared" si="1"/>
        <v>3167.922466921869</v>
      </c>
      <c r="M64" s="95"/>
      <c r="N64" s="95"/>
      <c r="O64" s="95"/>
      <c r="P64" s="93"/>
      <c r="Q64" s="95"/>
    </row>
    <row r="65" spans="1:17" ht="12.75">
      <c r="A65" s="95"/>
      <c r="B65" s="93">
        <v>27</v>
      </c>
      <c r="C65" s="96">
        <f>tmrec(B65,C$34,C$33,C$35,C$4)</f>
        <v>26.746391157297197</v>
      </c>
      <c r="D65" s="93"/>
      <c r="E65" s="97">
        <f>C65*365</f>
        <v>9762.432772413476</v>
      </c>
      <c r="F65" s="98">
        <f>bot(E65,365*C$35,365*C$33,365*C$34,'Layer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1.258461413592846</v>
      </c>
      <c r="G65" s="95"/>
      <c r="H65" s="9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3131.542713409451</v>
      </c>
      <c r="I65" s="97">
        <f>IF((C$30+C$31)&gt;0,('Data Entry'!C$8*F65/C$6)*1440*((F$5/7.48)/F$6+0.018*I$8/(I$7*I$6)),PI()*(1-'Data Entry'!C$8)*'Data Entry'!C$8*hycon(F65,'Data Entry'!C$8,'Data Entry'!C$14,Well!C$7,Well!C$8)*F65^2/(C$6*LN(C$5/C$9)))*kro_b(F65,'Layer Calcs'!B$5,'Layer Calcs'!B$6,'Layer Calcs'!G$6,'Layer Calcs'!G$7,'Layer Calcs'!H$5,'Layer Calcs'!H$6,'Layer Calcs'!H$7)*7.48</f>
        <v>0.025426835814384152</v>
      </c>
      <c r="J65" s="95"/>
      <c r="K65" s="95"/>
      <c r="L65" s="163">
        <f t="shared" si="1"/>
        <v>3178.2537862687177</v>
      </c>
      <c r="M65" s="95"/>
      <c r="N65" s="95"/>
      <c r="O65" s="95"/>
      <c r="P65" s="93"/>
      <c r="Q65" s="95"/>
    </row>
    <row r="66" spans="1:17" ht="12.75">
      <c r="A66" s="95"/>
      <c r="B66" s="93">
        <v>28</v>
      </c>
      <c r="C66" s="96">
        <f t="shared" si="2"/>
        <v>27.83092743819813</v>
      </c>
      <c r="D66" s="93"/>
      <c r="E66" s="97">
        <f t="shared" si="0"/>
        <v>10158.288514942318</v>
      </c>
      <c r="F66" s="98">
        <f>bot(E66,365*C$35,365*C$33,365*C$34,'Layer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1.2377482833092175</v>
      </c>
      <c r="G66" s="95"/>
      <c r="H66" s="9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3141.3602597368194</v>
      </c>
      <c r="I66" s="97">
        <f>IF((C$30+C$31)&gt;0,('Data Entry'!C$8*F66/C$6)*1440*((F$5/7.48)/F$6+0.018*I$8/(I$7*I$6)),PI()*(1-'Data Entry'!C$8)*'Data Entry'!C$8*hycon(F66,'Data Entry'!C$8,'Data Entry'!C$14,Well!C$7,Well!C$8)*F66^2/(C$6*LN(C$5/C$9)))*kro_b(F66,'Layer Calcs'!B$5,'Layer Calcs'!B$6,'Layer Calcs'!G$6,'Layer Calcs'!G$7,'Layer Calcs'!H$5,'Layer Calcs'!H$6,'Layer Calcs'!H$7)*7.48</f>
        <v>0.02419187918283203</v>
      </c>
      <c r="J66" s="95"/>
      <c r="K66" s="95"/>
      <c r="L66" s="163">
        <f t="shared" si="1"/>
        <v>3188.074712902993</v>
      </c>
      <c r="M66" s="95"/>
      <c r="N66" s="95"/>
      <c r="O66" s="95"/>
      <c r="P66" s="93"/>
      <c r="Q66" s="95"/>
    </row>
    <row r="67" spans="1:17" ht="12.75">
      <c r="A67" s="95"/>
      <c r="B67" s="93">
        <v>29</v>
      </c>
      <c r="C67" s="96">
        <f t="shared" si="2"/>
        <v>28.915463719099066</v>
      </c>
      <c r="D67" s="93"/>
      <c r="E67" s="97">
        <f t="shared" si="0"/>
        <v>10554.144257471158</v>
      </c>
      <c r="F67" s="98">
        <f>bot(E67,365*C$35,365*C$33,365*C$34,'Layer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1.2180253583927587</v>
      </c>
      <c r="G67" s="95"/>
      <c r="H67" s="9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3150.708471543877</v>
      </c>
      <c r="I67" s="97">
        <f>IF((C$30+C$31)&gt;0,('Data Entry'!C$8*F67/C$6)*1440*((F$5/7.48)/F$6+0.018*I$8/(I$7*I$6)),PI()*(1-'Data Entry'!C$8)*'Data Entry'!C$8*hycon(F67,'Data Entry'!C$8,'Data Entry'!C$14,Well!C$7,Well!C$8)*F67^2/(C$6*LN(C$5/C$9)))*kro_b(F67,'Layer Calcs'!B$5,'Layer Calcs'!B$6,'Layer Calcs'!G$6,'Layer Calcs'!G$7,'Layer Calcs'!H$5,'Layer Calcs'!H$6,'Layer Calcs'!H$7)*7.48</f>
        <v>0.02305375095076033</v>
      </c>
      <c r="J67" s="95"/>
      <c r="K67" s="95"/>
      <c r="L67" s="163">
        <f t="shared" si="1"/>
        <v>3197.425939901881</v>
      </c>
      <c r="M67" s="95"/>
      <c r="N67" s="95"/>
      <c r="O67" s="95"/>
      <c r="P67" s="93"/>
      <c r="Q67" s="95"/>
    </row>
    <row r="68" spans="1:17" ht="12.75">
      <c r="A68" s="95"/>
      <c r="B68" s="93">
        <v>30</v>
      </c>
      <c r="C68" s="96">
        <f t="shared" si="2"/>
        <v>30</v>
      </c>
      <c r="D68" s="93"/>
      <c r="E68" s="97">
        <f t="shared" si="0"/>
        <v>10950</v>
      </c>
      <c r="F68" s="98">
        <f>bot(E68,365*C$35,365*C$33,365*C$34,'Layer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8" s="95"/>
      <c r="H68" s="9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8" s="97">
        <f>IF((C$30+C$31)&gt;0,('Data Entry'!C$8*F68/C$6)*1440*((F$5/7.48)/F$6+0.018*I$8/(I$7*I$6)),PI()*(1-'Data Entry'!C$8)*'Data Entry'!C$8*hycon(F68,'Data Entry'!C$8,'Data Entry'!C$14,Well!C$7,Well!C$8)*F68^2/(C$6*LN(C$5/C$9)))*kro_b(F68,'Layer Calcs'!B$5,'Layer Calcs'!B$6,'Layer Calcs'!G$6,'Layer Calcs'!G$7,'Layer Calcs'!H$5,'Layer Calcs'!H$6,'Layer Calcs'!H$7)*7.48</f>
        <v>0.022002145980911436</v>
      </c>
      <c r="J68" s="95"/>
      <c r="K68" s="95"/>
      <c r="L68" s="163">
        <f t="shared" si="1"/>
        <v>3206.343757669476</v>
      </c>
      <c r="M68" s="95"/>
      <c r="N68" s="95"/>
      <c r="O68" s="95"/>
      <c r="P68" s="93"/>
      <c r="Q68" s="95"/>
    </row>
    <row r="69" spans="1:17" ht="12.75">
      <c r="A69" s="95"/>
      <c r="B69" s="93">
        <v>31</v>
      </c>
      <c r="C69" s="96">
        <f t="shared" si="2"/>
        <v>30</v>
      </c>
      <c r="D69" s="93"/>
      <c r="E69" s="97">
        <f t="shared" si="0"/>
        <v>10950</v>
      </c>
      <c r="F69" s="98">
        <f>bot(E69,365*C$35,365*C$33,365*C$34,'Layer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9" s="95"/>
      <c r="H69" s="9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9" s="97">
        <f>IF((C$30+C$31)&gt;0,('Data Entry'!C$8*F69/C$6)*1440*((F$5/7.48)/F$6+0.018*I$8/(I$7*I$6)),PI()*(1-'Data Entry'!C$8)*'Data Entry'!C$8*hycon(F69,'Data Entry'!C$8,'Data Entry'!C$14,Well!C$7,Well!C$8)*F69^2/(C$6*LN(C$5/C$9)))*kro_b(F69,'Layer Calcs'!B$5,'Layer Calcs'!B$6,'Layer Calcs'!G$6,'Layer Calcs'!G$7,'Layer Calcs'!H$5,'Layer Calcs'!H$6,'Layer Calcs'!H$7)*7.48</f>
        <v>0.022002145980911436</v>
      </c>
      <c r="J69" s="95"/>
      <c r="K69" s="95"/>
      <c r="L69" s="163">
        <f t="shared" si="1"/>
        <v>3206.343757669476</v>
      </c>
      <c r="M69" s="95"/>
      <c r="N69" s="95"/>
      <c r="O69" s="95"/>
      <c r="P69" s="93"/>
      <c r="Q69" s="95"/>
    </row>
    <row r="70" spans="1:17" ht="12.75">
      <c r="A70" s="95"/>
      <c r="B70" s="93">
        <v>32</v>
      </c>
      <c r="C70" s="96">
        <f t="shared" si="2"/>
        <v>30</v>
      </c>
      <c r="D70" s="93"/>
      <c r="E70" s="97">
        <f t="shared" si="0"/>
        <v>10950</v>
      </c>
      <c r="F70" s="98">
        <f>bot(E70,365*C$35,365*C$33,365*C$34,'Layer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0" s="95"/>
      <c r="H70" s="9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0" s="97">
        <f>IF((C$30+C$31)&gt;0,('Data Entry'!C$8*F70/C$6)*1440*((F$5/7.48)/F$6+0.018*I$8/(I$7*I$6)),PI()*(1-'Data Entry'!C$8)*'Data Entry'!C$8*hycon(F70,'Data Entry'!C$8,'Data Entry'!C$14,Well!C$7,Well!C$8)*F70^2/(C$6*LN(C$5/C$9)))*kro_b(F70,'Layer Calcs'!B$5,'Layer Calcs'!B$6,'Layer Calcs'!G$6,'Layer Calcs'!G$7,'Layer Calcs'!H$5,'Layer Calcs'!H$6,'Layer Calcs'!H$7)*7.48</f>
        <v>0.022002145980911436</v>
      </c>
      <c r="J70" s="95"/>
      <c r="K70" s="95"/>
      <c r="L70" s="163">
        <f t="shared" si="1"/>
        <v>3206.343757669476</v>
      </c>
      <c r="M70" s="95"/>
      <c r="N70" s="95"/>
      <c r="O70" s="95"/>
      <c r="P70" s="93"/>
      <c r="Q70" s="95"/>
    </row>
    <row r="71" spans="1:17" ht="12.75">
      <c r="A71" s="95"/>
      <c r="B71" s="93">
        <v>33</v>
      </c>
      <c r="C71" s="96">
        <f t="shared" si="2"/>
        <v>30</v>
      </c>
      <c r="D71" s="93"/>
      <c r="E71" s="97">
        <f t="shared" si="0"/>
        <v>10950</v>
      </c>
      <c r="F71" s="98">
        <f>bot(E71,365*C$35,365*C$33,365*C$34,'Layer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1" s="95"/>
      <c r="H71" s="9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1" s="97">
        <f>IF((C$30+C$31)&gt;0,('Data Entry'!C$8*F71/C$6)*1440*((F$5/7.48)/F$6+0.018*I$8/(I$7*I$6)),PI()*(1-'Data Entry'!C$8)*'Data Entry'!C$8*hycon(F71,'Data Entry'!C$8,'Data Entry'!C$14,Well!C$7,Well!C$8)*F71^2/(C$6*LN(C$5/C$9)))*kro_b(F71,'Layer Calcs'!B$5,'Layer Calcs'!B$6,'Layer Calcs'!G$6,'Layer Calcs'!G$7,'Layer Calcs'!H$5,'Layer Calcs'!H$6,'Layer Calcs'!H$7)*7.48</f>
        <v>0.022002145980911436</v>
      </c>
      <c r="J71" s="95"/>
      <c r="K71" s="95"/>
      <c r="L71" s="163">
        <f t="shared" si="1"/>
        <v>3206.343757669476</v>
      </c>
      <c r="M71" s="95"/>
      <c r="N71" s="95"/>
      <c r="O71" s="95"/>
      <c r="P71" s="93"/>
      <c r="Q71" s="95"/>
    </row>
    <row r="72" spans="1:17" ht="12.75">
      <c r="A72" s="95"/>
      <c r="B72" s="93">
        <v>34</v>
      </c>
      <c r="C72" s="96">
        <f t="shared" si="2"/>
        <v>30</v>
      </c>
      <c r="D72" s="93"/>
      <c r="E72" s="97">
        <f t="shared" si="0"/>
        <v>10950</v>
      </c>
      <c r="F72" s="98">
        <f>bot(E72,365*C$35,365*C$33,365*C$34,'Layer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2" s="95"/>
      <c r="H72" s="9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2" s="97">
        <f>IF((C$30+C$31)&gt;0,('Data Entry'!C$8*F72/C$6)*1440*((F$5/7.48)/F$6+0.018*I$8/(I$7*I$6)),PI()*(1-'Data Entry'!C$8)*'Data Entry'!C$8*hycon(F72,'Data Entry'!C$8,'Data Entry'!C$14,Well!C$7,Well!C$8)*F72^2/(C$6*LN(C$5/C$9)))*kro_b(F72,'Layer Calcs'!B$5,'Layer Calcs'!B$6,'Layer Calcs'!G$6,'Layer Calcs'!G$7,'Layer Calcs'!H$5,'Layer Calcs'!H$6,'Layer Calcs'!H$7)*7.48</f>
        <v>0.022002145980911436</v>
      </c>
      <c r="J72" s="95"/>
      <c r="K72" s="95"/>
      <c r="L72" s="163">
        <f t="shared" si="1"/>
        <v>3206.343757669476</v>
      </c>
      <c r="M72" s="95"/>
      <c r="N72" s="95"/>
      <c r="O72" s="95"/>
      <c r="P72" s="93"/>
      <c r="Q72" s="95"/>
    </row>
    <row r="73" spans="1:17" ht="12.75">
      <c r="A73" s="95"/>
      <c r="B73" s="93">
        <v>35</v>
      </c>
      <c r="C73" s="96">
        <f t="shared" si="2"/>
        <v>30</v>
      </c>
      <c r="D73" s="93"/>
      <c r="E73" s="97">
        <f t="shared" si="0"/>
        <v>10950</v>
      </c>
      <c r="F73" s="98">
        <f>bot(E73,365*C$35,365*C$33,365*C$34,'Layer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3" s="95"/>
      <c r="H73" s="9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3" s="97">
        <f>IF((C$30+C$31)&gt;0,('Data Entry'!C$8*F73/C$6)*1440*((F$5/7.48)/F$6+0.018*I$8/(I$7*I$6)),PI()*(1-'Data Entry'!C$8)*'Data Entry'!C$8*hycon(F73,'Data Entry'!C$8,'Data Entry'!C$14,Well!C$7,Well!C$8)*F73^2/(C$6*LN(C$5/C$9)))*kro_b(F73,'Layer Calcs'!B$5,'Layer Calcs'!B$6,'Layer Calcs'!G$6,'Layer Calcs'!G$7,'Layer Calcs'!H$5,'Layer Calcs'!H$6,'Layer Calcs'!H$7)*7.48</f>
        <v>0.022002145980911436</v>
      </c>
      <c r="J73" s="95"/>
      <c r="K73" s="95"/>
      <c r="L73" s="163">
        <f t="shared" si="1"/>
        <v>3206.343757669476</v>
      </c>
      <c r="M73" s="95"/>
      <c r="N73" s="95"/>
      <c r="O73" s="95"/>
      <c r="P73" s="93"/>
      <c r="Q73" s="95"/>
    </row>
    <row r="74" spans="1:17" ht="12.75">
      <c r="A74" s="95"/>
      <c r="B74" s="93">
        <v>36</v>
      </c>
      <c r="C74" s="96">
        <f t="shared" si="2"/>
        <v>30</v>
      </c>
      <c r="D74" s="93"/>
      <c r="E74" s="97">
        <f t="shared" si="0"/>
        <v>10950</v>
      </c>
      <c r="F74" s="98">
        <f>bot(E74,365*C$35,365*C$33,365*C$34,'Layer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4" s="95"/>
      <c r="H74" s="9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4" s="97">
        <f>IF((C$30+C$31)&gt;0,('Data Entry'!C$8*F74/C$6)*1440*((F$5/7.48)/F$6+0.018*I$8/(I$7*I$6)),PI()*(1-'Data Entry'!C$8)*'Data Entry'!C$8*hycon(F74,'Data Entry'!C$8,'Data Entry'!C$14,Well!C$7,Well!C$8)*F74^2/(C$6*LN(C$5/C$9)))*kro_b(F74,'Layer Calcs'!B$5,'Layer Calcs'!B$6,'Layer Calcs'!G$6,'Layer Calcs'!G$7,'Layer Calcs'!H$5,'Layer Calcs'!H$6,'Layer Calcs'!H$7)*7.48</f>
        <v>0.022002145980911436</v>
      </c>
      <c r="J74" s="95"/>
      <c r="K74" s="95"/>
      <c r="L74" s="163">
        <f t="shared" si="1"/>
        <v>3206.343757669476</v>
      </c>
      <c r="M74" s="95"/>
      <c r="N74" s="95"/>
      <c r="O74" s="95"/>
      <c r="P74" s="93"/>
      <c r="Q74" s="95"/>
    </row>
    <row r="75" spans="1:17" ht="12.75">
      <c r="A75" s="95"/>
      <c r="B75" s="93">
        <v>37</v>
      </c>
      <c r="C75" s="96">
        <f t="shared" si="2"/>
        <v>30</v>
      </c>
      <c r="D75" s="93"/>
      <c r="E75" s="97">
        <f t="shared" si="0"/>
        <v>10950</v>
      </c>
      <c r="F75" s="98">
        <f>bot(E75,365*C$35,365*C$33,365*C$34,'Layer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5" s="95"/>
      <c r="H75" s="9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5" s="97">
        <f>IF((C$30+C$31)&gt;0,('Data Entry'!C$8*F75/C$6)*1440*((F$5/7.48)/F$6+0.018*I$8/(I$7*I$6)),PI()*(1-'Data Entry'!C$8)*'Data Entry'!C$8*hycon(F75,'Data Entry'!C$8,'Data Entry'!C$14,Well!C$7,Well!C$8)*F75^2/(C$6*LN(C$5/C$9)))*kro_b(F75,'Layer Calcs'!B$5,'Layer Calcs'!B$6,'Layer Calcs'!G$6,'Layer Calcs'!G$7,'Layer Calcs'!H$5,'Layer Calcs'!H$6,'Layer Calcs'!H$7)*7.48</f>
        <v>0.022002145980911436</v>
      </c>
      <c r="J75" s="95"/>
      <c r="K75" s="95"/>
      <c r="L75" s="163">
        <f t="shared" si="1"/>
        <v>3206.343757669476</v>
      </c>
      <c r="M75" s="95"/>
      <c r="N75" s="95"/>
      <c r="O75" s="95"/>
      <c r="P75" s="93"/>
      <c r="Q75" s="95"/>
    </row>
    <row r="76" spans="1:17" ht="12.75">
      <c r="A76" s="95"/>
      <c r="B76" s="93">
        <v>38</v>
      </c>
      <c r="C76" s="96">
        <f t="shared" si="2"/>
        <v>30</v>
      </c>
      <c r="D76" s="93"/>
      <c r="E76" s="97">
        <f t="shared" si="0"/>
        <v>10950</v>
      </c>
      <c r="F76" s="98">
        <f>bot(E76,365*C$35,365*C$33,365*C$34,'Layer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6" s="95"/>
      <c r="H76" s="9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6" s="97">
        <f>IF((C$30+C$31)&gt;0,('Data Entry'!C$8*F76/C$6)*1440*((F$5/7.48)/F$6+0.018*I$8/(I$7*I$6)),PI()*(1-'Data Entry'!C$8)*'Data Entry'!C$8*hycon(F76,'Data Entry'!C$8,'Data Entry'!C$14,Well!C$7,Well!C$8)*F76^2/(C$6*LN(C$5/C$9)))*kro_b(F76,'Layer Calcs'!B$5,'Layer Calcs'!B$6,'Layer Calcs'!G$6,'Layer Calcs'!G$7,'Layer Calcs'!H$5,'Layer Calcs'!H$6,'Layer Calcs'!H$7)*7.48</f>
        <v>0.022002145980911436</v>
      </c>
      <c r="J76" s="95"/>
      <c r="K76" s="95"/>
      <c r="L76" s="163">
        <f t="shared" si="1"/>
        <v>3206.343757669476</v>
      </c>
      <c r="M76" s="95"/>
      <c r="N76" s="95"/>
      <c r="O76" s="95"/>
      <c r="P76" s="93"/>
      <c r="Q76" s="95"/>
    </row>
    <row r="77" spans="1:17" ht="12.75">
      <c r="A77" s="95"/>
      <c r="B77" s="93">
        <v>39</v>
      </c>
      <c r="C77" s="96">
        <f t="shared" si="2"/>
        <v>30</v>
      </c>
      <c r="D77" s="93"/>
      <c r="E77" s="97">
        <f t="shared" si="0"/>
        <v>10950</v>
      </c>
      <c r="F77" s="98">
        <f>bot(E77,365*C$35,365*C$33,365*C$34,'Layer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7" s="95"/>
      <c r="H77" s="9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7" s="97">
        <f>IF((C$30+C$31)&gt;0,('Data Entry'!C$8*F77/C$6)*1440*((F$5/7.48)/F$6+0.018*I$8/(I$7*I$6)),PI()*(1-'Data Entry'!C$8)*'Data Entry'!C$8*hycon(F77,'Data Entry'!C$8,'Data Entry'!C$14,Well!C$7,Well!C$8)*F77^2/(C$6*LN(C$5/C$9)))*kro_b(F77,'Layer Calcs'!B$5,'Layer Calcs'!B$6,'Layer Calcs'!G$6,'Layer Calcs'!G$7,'Layer Calcs'!H$5,'Layer Calcs'!H$6,'Layer Calcs'!H$7)*7.48</f>
        <v>0.022002145980911436</v>
      </c>
      <c r="J77" s="95"/>
      <c r="K77" s="95"/>
      <c r="L77" s="163">
        <f t="shared" si="1"/>
        <v>3206.343757669476</v>
      </c>
      <c r="M77" s="95"/>
      <c r="N77" s="95"/>
      <c r="O77" s="95"/>
      <c r="P77" s="93"/>
      <c r="Q77" s="95"/>
    </row>
    <row r="78" spans="1:17" ht="12.75">
      <c r="A78" s="95"/>
      <c r="B78" s="93">
        <v>40</v>
      </c>
      <c r="C78" s="96">
        <f t="shared" si="2"/>
        <v>30</v>
      </c>
      <c r="D78" s="93"/>
      <c r="E78" s="97">
        <f t="shared" si="0"/>
        <v>10950</v>
      </c>
      <c r="F78" s="98">
        <f>bot(E78,365*C$35,365*C$33,365*C$34,'Layer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8" s="95"/>
      <c r="H78" s="9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8" s="97">
        <f>IF((C$30+C$31)&gt;0,('Data Entry'!C$8*F78/C$6)*1440*((F$5/7.48)/F$6+0.018*I$8/(I$7*I$6)),PI()*(1-'Data Entry'!C$8)*'Data Entry'!C$8*hycon(F78,'Data Entry'!C$8,'Data Entry'!C$14,Well!C$7,Well!C$8)*F78^2/(C$6*LN(C$5/C$9)))*kro_b(F78,'Layer Calcs'!B$5,'Layer Calcs'!B$6,'Layer Calcs'!G$6,'Layer Calcs'!G$7,'Layer Calcs'!H$5,'Layer Calcs'!H$6,'Layer Calcs'!H$7)*7.48</f>
        <v>0.022002145980911436</v>
      </c>
      <c r="J78" s="95"/>
      <c r="K78" s="95"/>
      <c r="L78" s="163">
        <f t="shared" si="1"/>
        <v>3206.343757669476</v>
      </c>
      <c r="M78" s="95"/>
      <c r="N78" s="95"/>
      <c r="O78" s="95"/>
      <c r="P78" s="93"/>
      <c r="Q78" s="95"/>
    </row>
    <row r="79" spans="1:17" ht="12.75">
      <c r="A79" s="95"/>
      <c r="B79" s="93"/>
      <c r="C79" s="92"/>
      <c r="D79" s="93"/>
      <c r="E79" s="93"/>
      <c r="F79" s="93"/>
      <c r="G79" s="95"/>
      <c r="H79" s="93"/>
      <c r="I79" s="97"/>
      <c r="J79" s="95"/>
      <c r="K79" s="95"/>
      <c r="L79" s="95"/>
      <c r="M79" s="95"/>
      <c r="N79" s="95"/>
      <c r="O79" s="95"/>
      <c r="P79" s="93"/>
      <c r="Q79" s="95"/>
    </row>
    <row r="80" spans="1:17" ht="12.75">
      <c r="A80" s="95"/>
      <c r="B80" s="93"/>
      <c r="C80" s="92"/>
      <c r="D80" s="93"/>
      <c r="E80" s="93"/>
      <c r="F80" s="93"/>
      <c r="G80" s="95"/>
      <c r="H80" s="93"/>
      <c r="I80" s="97"/>
      <c r="J80" s="95"/>
      <c r="K80" s="95"/>
      <c r="L80" s="95"/>
      <c r="M80" s="95"/>
      <c r="N80" s="95"/>
      <c r="O80" s="95"/>
      <c r="P80" s="93"/>
      <c r="Q80" s="95"/>
    </row>
    <row r="81" spans="1:17" ht="12.75">
      <c r="A81" s="95"/>
      <c r="B81" s="93"/>
      <c r="C81" s="93"/>
      <c r="D81" s="93"/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3"/>
      <c r="Q81" s="95"/>
    </row>
    <row r="82" spans="1:17" ht="12.75">
      <c r="A82" s="95"/>
      <c r="B82" s="93"/>
      <c r="C82" s="93"/>
      <c r="D82" s="93"/>
      <c r="E82" s="93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3"/>
      <c r="Q82" s="95"/>
    </row>
    <row r="83" spans="1:17" ht="12.75">
      <c r="A83" s="95"/>
      <c r="B83" s="93"/>
      <c r="C83" s="93"/>
      <c r="D83" s="93"/>
      <c r="E83" s="93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3"/>
      <c r="Q83" s="9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4"/>
  <sheetViews>
    <sheetView zoomScale="90" zoomScaleNormal="90" workbookViewId="0" topLeftCell="A2">
      <selection activeCell="D7" sqref="D7"/>
    </sheetView>
  </sheetViews>
  <sheetFormatPr defaultColWidth="9.140625" defaultRowHeight="12.75"/>
  <cols>
    <col min="1" max="1" width="3.28125" style="0" customWidth="1"/>
    <col min="2" max="7" width="12.7109375" style="0" customWidth="1"/>
    <col min="13" max="13" width="3.57421875" style="0" customWidth="1"/>
    <col min="16" max="16" width="9.28125" style="0" bestFit="1" customWidth="1"/>
  </cols>
  <sheetData>
    <row r="1" ht="15.75">
      <c r="B1" s="140" t="s">
        <v>74</v>
      </c>
    </row>
    <row r="3" spans="4:5" ht="15.75">
      <c r="D3" s="84" t="s">
        <v>98</v>
      </c>
      <c r="E3" s="173">
        <v>30</v>
      </c>
    </row>
    <row r="4" spans="2:5" ht="15.75">
      <c r="B4" s="104" t="s">
        <v>75</v>
      </c>
      <c r="D4" s="90" t="s">
        <v>100</v>
      </c>
      <c r="E4" s="174">
        <v>2</v>
      </c>
    </row>
    <row r="5" spans="2:5" ht="15.75">
      <c r="B5" s="141" t="s">
        <v>76</v>
      </c>
      <c r="D5" s="91" t="s">
        <v>104</v>
      </c>
      <c r="E5" s="174">
        <v>0.1</v>
      </c>
    </row>
    <row r="6" spans="4:5" ht="15.75">
      <c r="D6" s="91" t="s">
        <v>72</v>
      </c>
      <c r="E6" s="174">
        <v>0.001</v>
      </c>
    </row>
    <row r="7" spans="4:16" ht="15.75">
      <c r="D7" s="91" t="s">
        <v>101</v>
      </c>
      <c r="E7" s="174">
        <v>10</v>
      </c>
      <c r="O7" s="94" t="s">
        <v>73</v>
      </c>
      <c r="P7" s="35"/>
    </row>
    <row r="8" spans="4:16" ht="15.75">
      <c r="D8" s="91" t="s">
        <v>102</v>
      </c>
      <c r="E8" s="174">
        <v>1</v>
      </c>
      <c r="O8" s="35"/>
      <c r="P8" s="35"/>
    </row>
    <row r="9" spans="4:16" ht="15.75">
      <c r="D9" s="91" t="s">
        <v>126</v>
      </c>
      <c r="E9" s="174">
        <v>75</v>
      </c>
      <c r="O9" s="35">
        <v>0</v>
      </c>
      <c r="P9" s="88">
        <f>7.48*(E9*E10)*'Layer Calcs'!C7</f>
        <v>32768.756769853775</v>
      </c>
    </row>
    <row r="10" spans="4:16" ht="15.75">
      <c r="D10" s="91" t="s">
        <v>127</v>
      </c>
      <c r="E10" s="174">
        <v>100</v>
      </c>
      <c r="O10" s="35">
        <f>E3</f>
        <v>30</v>
      </c>
      <c r="P10" s="88">
        <f>P9</f>
        <v>32768.756769853775</v>
      </c>
    </row>
    <row r="11" spans="4:16" ht="15.75">
      <c r="D11" s="85" t="s">
        <v>128</v>
      </c>
      <c r="E11" s="175">
        <v>5</v>
      </c>
      <c r="O11" s="35"/>
      <c r="P11" s="35"/>
    </row>
    <row r="12" spans="2:16" ht="16.5" customHeight="1">
      <c r="B12" s="35"/>
      <c r="C12" s="35"/>
      <c r="O12" s="35"/>
      <c r="P12" s="35"/>
    </row>
    <row r="13" spans="2:16" ht="12.75">
      <c r="B13" s="35"/>
      <c r="C13" s="35"/>
      <c r="O13" s="35" t="s">
        <v>33</v>
      </c>
      <c r="P13" s="35" t="s">
        <v>25</v>
      </c>
    </row>
    <row r="14" spans="15:16" ht="12.75">
      <c r="O14" s="88">
        <f>IF(C29&lt;E3,C29,)</f>
        <v>20.832503449604594</v>
      </c>
      <c r="P14" s="35">
        <f>IF(C29&lt;E3,'Layer Calcs'!B6,0)</f>
        <v>1.8</v>
      </c>
    </row>
    <row r="15" spans="15:16" ht="12.75">
      <c r="O15" s="88">
        <f>IF(C30&lt;E3,C30,O14)</f>
        <v>20.832503449604594</v>
      </c>
      <c r="P15" s="35">
        <f>IF(O15&gt;O14,'Layer Calcs'!B5,Trench!P14)</f>
        <v>1.8</v>
      </c>
    </row>
    <row r="16" spans="15:16" ht="12.75">
      <c r="O16" s="43">
        <f>IF(C31&lt;E3,C31,0)</f>
        <v>0</v>
      </c>
      <c r="P16" s="35">
        <f>IF('Data Entry'!C14&gt;0,'Data Entry'!C14/(1-'Data Entry'!C8),-'Data Entry'!C14/'Data Entry'!C8)</f>
        <v>0.4705882352941177</v>
      </c>
    </row>
    <row r="27" spans="2:3" ht="15.75">
      <c r="B27" s="35" t="s">
        <v>129</v>
      </c>
      <c r="C27" s="35">
        <f>'Data Entry'!C8*E6/(E4*E10)</f>
        <v>4.25E-06</v>
      </c>
    </row>
    <row r="28" spans="2:3" ht="15.75">
      <c r="B28" s="35" t="s">
        <v>130</v>
      </c>
      <c r="C28" s="126">
        <f>'Data Entry'!C8*E5/(2*E4*E10*E9*E11)</f>
        <v>5.666666666666667E-07</v>
      </c>
    </row>
    <row r="29" spans="2:3" ht="15.75">
      <c r="B29" s="93" t="s">
        <v>118</v>
      </c>
      <c r="C29" s="9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20.832503449604594</v>
      </c>
    </row>
    <row r="30" spans="2:4" ht="15.75">
      <c r="B30" s="93" t="s">
        <v>119</v>
      </c>
      <c r="C30" s="92">
        <f>tt1_trench('Layer Calcs'!B5,'Layer Calcs'!B6,'Layer Calcs'!F6,'Layer Calcs'!G6,'Layer Calcs'!H6,C29,'Data Entry'!C8,'Data Entry'!C14,'Data Entry'!C17,'Data Entry'!C21,'Data Entry'!C22,'Data Entry'!C25,'Data Entry'!C29,'Data Entry'!C30,E7,E8,1440*E5/7.48,E10,E9,E11,E6,E4)</f>
        <v>51.242071871974076</v>
      </c>
      <c r="D30" s="95"/>
    </row>
    <row r="31" spans="2:4" ht="15.75">
      <c r="B31" s="93" t="s">
        <v>120</v>
      </c>
      <c r="C31" s="9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256.60183999982235</v>
      </c>
      <c r="D31" s="95"/>
    </row>
    <row r="32" spans="4:7" ht="12.75">
      <c r="D32" s="95"/>
      <c r="E32" s="95"/>
      <c r="F32" s="95"/>
      <c r="G32" s="95"/>
    </row>
    <row r="33" spans="2:7" ht="15.75">
      <c r="B33" s="93" t="s">
        <v>32</v>
      </c>
      <c r="C33" s="93" t="s">
        <v>121</v>
      </c>
      <c r="D33" s="93" t="s">
        <v>122</v>
      </c>
      <c r="E33" s="93" t="s">
        <v>123</v>
      </c>
      <c r="F33" s="93" t="s">
        <v>124</v>
      </c>
      <c r="G33" s="93" t="s">
        <v>125</v>
      </c>
    </row>
    <row r="34" spans="2:9" ht="12.75">
      <c r="B34" s="93">
        <v>0</v>
      </c>
      <c r="C34" s="96">
        <f aca="true" t="shared" si="0" ref="C34:C74">tmrec(B34,C$30,C$29,C$31,E$3)</f>
        <v>0</v>
      </c>
      <c r="D34" s="97">
        <f>C34*365</f>
        <v>0</v>
      </c>
      <c r="E34" s="98">
        <f>bo_trench(D34,365*C$31,365*C$29,365*C$30,'Layer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3</v>
      </c>
      <c r="F34" s="9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4" s="98">
        <f>7.48*E$9*E34*(hycon(E34,'Data Entry'!C$8,'Data Entry'!C$14,Well!C$7,Well!C$8)*'Data Entry'!C$8/E$4)*(E$6+(1440*E$5/7.48)/(2*hycon(E34,'Data Entry'!C$8,'Data Entry'!C$14,Well!C$7,Well!C$8)*E$9*E$11))*kro_b(E34,'Layer Calcs'!B$5,'Layer Calcs'!B$6,'Layer Calcs'!G$6,'Layer Calcs'!G$7,'Layer Calcs'!H$5,'Layer Calcs'!H$6,'Layer Calcs'!H$7)</f>
        <v>5.385553453321361</v>
      </c>
      <c r="I34">
        <v>0</v>
      </c>
    </row>
    <row r="35" spans="2:9" ht="12.75">
      <c r="B35" s="93">
        <v>1</v>
      </c>
      <c r="C35" s="96">
        <f t="shared" si="0"/>
        <v>2.0832503449604594</v>
      </c>
      <c r="D35" s="97">
        <f aca="true" t="shared" si="1" ref="D35:D74">C35*365</f>
        <v>760.3863759105676</v>
      </c>
      <c r="E35" s="98">
        <f>bo_trench(D35,365*C$31,365*C$29,365*C$30,'Layer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2.725450608748794</v>
      </c>
      <c r="F35" s="9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3411.6022806637457</v>
      </c>
      <c r="G35" s="98">
        <f>7.48*E$9*E35*(hycon(E35,'Data Entry'!C$8,'Data Entry'!C$14,Well!C$7,Well!C$8)*'Data Entry'!C$8/E$4)*(E$6+(1440*E$5/7.48)/(2*hycon(E35,'Data Entry'!C$8,'Data Entry'!C$14,Well!C$7,Well!C$8)*E$9*E$11))*kro_b(E35,'Layer Calcs'!B$5,'Layer Calcs'!B$6,'Layer Calcs'!G$6,'Layer Calcs'!G$7,'Layer Calcs'!H$5,'Layer Calcs'!H$6,'Layer Calcs'!H$7)</f>
        <v>4.017897415160326</v>
      </c>
      <c r="I35" s="164">
        <f>I34+(D35-D34)*(G35+G34)/2</f>
        <v>3575.127963468935</v>
      </c>
    </row>
    <row r="36" spans="2:9" ht="12.75">
      <c r="B36" s="93">
        <v>2</v>
      </c>
      <c r="C36" s="96">
        <f t="shared" si="0"/>
        <v>4.166500689920919</v>
      </c>
      <c r="D36" s="97">
        <f t="shared" si="1"/>
        <v>1520.7727518211352</v>
      </c>
      <c r="E36" s="98">
        <f>bo_trench(D36,365*C$31,365*C$29,365*C$30,'Layer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2.517215475920385</v>
      </c>
      <c r="F36" s="9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5999.1711360676345</v>
      </c>
      <c r="G36" s="98">
        <f>7.48*E$9*E36*(hycon(E36,'Data Entry'!C$8,'Data Entry'!C$14,Well!C$7,Well!C$8)*'Data Entry'!C$8/E$4)*(E$6+(1440*E$5/7.48)/(2*hycon(E36,'Data Entry'!C$8,'Data Entry'!C$14,Well!C$7,Well!C$8)*E$9*E$11))*kro_b(E36,'Layer Calcs'!B$5,'Layer Calcs'!B$6,'Layer Calcs'!G$6,'Layer Calcs'!G$7,'Layer Calcs'!H$5,'Layer Calcs'!H$6,'Layer Calcs'!H$7)</f>
        <v>3.098113891674306</v>
      </c>
      <c r="I36" s="164">
        <f aca="true" t="shared" si="2" ref="I36:I74">I35+(D36-D35)*(G36+G35)/2</f>
        <v>6280.586987740239</v>
      </c>
    </row>
    <row r="37" spans="2:9" ht="12.75">
      <c r="B37" s="93">
        <v>3</v>
      </c>
      <c r="C37" s="96">
        <f t="shared" si="0"/>
        <v>6.2497510348813785</v>
      </c>
      <c r="D37" s="97">
        <f t="shared" si="1"/>
        <v>2281.159127731703</v>
      </c>
      <c r="E37" s="98">
        <f>bo_trench(D37,365*C$31,365*C$29,365*C$30,'Layer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2.3545981317281774</v>
      </c>
      <c r="F37" s="9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8019.884785416072</v>
      </c>
      <c r="G37" s="98">
        <f>7.48*E$9*E37*(hycon(E37,'Data Entry'!C$8,'Data Entry'!C$14,Well!C$7,Well!C$8)*'Data Entry'!C$8/E$4)*(E$6+(1440*E$5/7.48)/(2*hycon(E37,'Data Entry'!C$8,'Data Entry'!C$14,Well!C$7,Well!C$8)*E$9*E$11))*kro_b(E37,'Layer Calcs'!B$5,'Layer Calcs'!B$6,'Layer Calcs'!G$6,'Layer Calcs'!G$7,'Layer Calcs'!H$5,'Layer Calcs'!H$6,'Layer Calcs'!H$7)</f>
        <v>2.450329923782065</v>
      </c>
      <c r="I37" s="164">
        <f t="shared" si="2"/>
        <v>8390.067530129376</v>
      </c>
    </row>
    <row r="38" spans="2:9" ht="12.75">
      <c r="B38" s="93">
        <v>4</v>
      </c>
      <c r="C38" s="96">
        <f t="shared" si="0"/>
        <v>8.333001379841837</v>
      </c>
      <c r="D38" s="97">
        <f t="shared" si="1"/>
        <v>3041.5455036422704</v>
      </c>
      <c r="E38" s="98">
        <f>bo_trench(D38,365*C$31,365*C$29,365*C$30,'Layer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2.224686038360393</v>
      </c>
      <c r="F38" s="9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9634.196847808556</v>
      </c>
      <c r="G38" s="98">
        <f>7.48*E$9*E38*(hycon(E38,'Data Entry'!C$8,'Data Entry'!C$14,Well!C$7,Well!C$8)*'Data Entry'!C$8/E$4)*(E$6+(1440*E$5/7.48)/(2*hycon(E38,'Data Entry'!C$8,'Data Entry'!C$14,Well!C$7,Well!C$8)*E$9*E$11))*kro_b(E38,'Layer Calcs'!B$5,'Layer Calcs'!B$6,'Layer Calcs'!G$6,'Layer Calcs'!G$7,'Layer Calcs'!H$5,'Layer Calcs'!H$6,'Layer Calcs'!H$7)</f>
        <v>1.977255593741439</v>
      </c>
      <c r="I38" s="164">
        <f t="shared" si="2"/>
        <v>10073.405382981282</v>
      </c>
    </row>
    <row r="39" spans="2:9" ht="12.75">
      <c r="B39" s="93">
        <v>5</v>
      </c>
      <c r="C39" s="96">
        <f t="shared" si="0"/>
        <v>10.416251724802297</v>
      </c>
      <c r="D39" s="97">
        <f t="shared" si="1"/>
        <v>3801.9318795528384</v>
      </c>
      <c r="E39" s="98">
        <f>bo_trench(D39,365*C$31,365*C$29,365*C$30,'Layer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2.1190045187531292</v>
      </c>
      <c r="F39" s="9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10947.415251510143</v>
      </c>
      <c r="G39" s="98">
        <f>7.48*E$9*E39*(hycon(E39,'Data Entry'!C$8,'Data Entry'!C$14,Well!C$7,Well!C$8)*'Data Entry'!C$8/E$4)*(E$6+(1440*E$5/7.48)/(2*hycon(E39,'Data Entry'!C$8,'Data Entry'!C$14,Well!C$7,Well!C$8)*E$9*E$11))*kro_b(E39,'Layer Calcs'!B$5,'Layer Calcs'!B$6,'Layer Calcs'!G$6,'Layer Calcs'!G$7,'Layer Calcs'!H$5,'Layer Calcs'!H$6,'Layer Calcs'!H$7)</f>
        <v>1.6215244469608605</v>
      </c>
      <c r="I39" s="164">
        <f t="shared" si="2"/>
        <v>11441.637039405736</v>
      </c>
    </row>
    <row r="40" spans="2:9" ht="12.75">
      <c r="B40" s="93">
        <v>6</v>
      </c>
      <c r="C40" s="96">
        <f t="shared" si="0"/>
        <v>12.499502069762757</v>
      </c>
      <c r="D40" s="97">
        <f t="shared" si="1"/>
        <v>4562.318255463406</v>
      </c>
      <c r="E40" s="98">
        <f>bo_trench(D40,365*C$31,365*C$29,365*C$30,'Layer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2.031760201197067</v>
      </c>
      <c r="F40" s="9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12031.529521051096</v>
      </c>
      <c r="G40" s="98">
        <f>7.48*E$9*E40*(hycon(E40,'Data Entry'!C$8,'Data Entry'!C$14,Well!C$7,Well!C$8)*'Data Entry'!C$8/E$4)*(E$6+(1440*E$5/7.48)/(2*hycon(E40,'Data Entry'!C$8,'Data Entry'!C$14,Well!C$7,Well!C$8)*E$9*E$11))*kro_b(E40,'Layer Calcs'!B$5,'Layer Calcs'!B$6,'Layer Calcs'!G$6,'Layer Calcs'!G$7,'Layer Calcs'!H$5,'Layer Calcs'!H$6,'Layer Calcs'!H$7)</f>
        <v>1.3475317718873074</v>
      </c>
      <c r="I40" s="164">
        <f t="shared" si="2"/>
        <v>12570.451988468081</v>
      </c>
    </row>
    <row r="41" spans="2:9" ht="12.75">
      <c r="B41" s="93">
        <v>7</v>
      </c>
      <c r="C41" s="96">
        <f t="shared" si="0"/>
        <v>14.582752414723217</v>
      </c>
      <c r="D41" s="97">
        <f t="shared" si="1"/>
        <v>5322.704631373974</v>
      </c>
      <c r="E41" s="98">
        <f>bo_trench(D41,365*C$31,365*C$29,365*C$30,'Layer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1.9588576826593413</v>
      </c>
      <c r="F41" s="9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12937.429903404767</v>
      </c>
      <c r="G41" s="98">
        <f>7.48*E$9*E41*(hycon(E41,'Data Entry'!C$8,'Data Entry'!C$14,Well!C$7,Well!C$8)*'Data Entry'!C$8/E$4)*(E$6+(1440*E$5/7.48)/(2*hycon(E41,'Data Entry'!C$8,'Data Entry'!C$14,Well!C$7,Well!C$8)*E$9*E$11))*kro_b(E41,'Layer Calcs'!B$5,'Layer Calcs'!B$6,'Layer Calcs'!G$6,'Layer Calcs'!G$7,'Layer Calcs'!H$5,'Layer Calcs'!H$6,'Layer Calcs'!H$7)</f>
        <v>1.1322289756105737</v>
      </c>
      <c r="I41" s="164">
        <f t="shared" si="2"/>
        <v>13513.240132425679</v>
      </c>
    </row>
    <row r="42" spans="2:9" ht="12.75">
      <c r="B42" s="93">
        <v>8</v>
      </c>
      <c r="C42" s="96">
        <f t="shared" si="0"/>
        <v>16.666002759683675</v>
      </c>
      <c r="D42" s="97">
        <f t="shared" si="1"/>
        <v>6083.091007284541</v>
      </c>
      <c r="E42" s="98">
        <f>bo_trench(D42,365*C$31,365*C$29,365*C$30,'Layer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1.8973194632880523</v>
      </c>
      <c r="F42" s="9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13702.115370738336</v>
      </c>
      <c r="G42" s="98">
        <f>7.48*E$9*E42*(hycon(E42,'Data Entry'!C$8,'Data Entry'!C$14,Well!C$7,Well!C$8)*'Data Entry'!C$8/E$4)*(E$6+(1440*E$5/7.48)/(2*hycon(E42,'Data Entry'!C$8,'Data Entry'!C$14,Well!C$7,Well!C$8)*E$9*E$11))*kro_b(E42,'Layer Calcs'!B$5,'Layer Calcs'!B$6,'Layer Calcs'!G$6,'Layer Calcs'!G$7,'Layer Calcs'!H$5,'Layer Calcs'!H$6,'Layer Calcs'!H$7)</f>
        <v>0.9601604235288866</v>
      </c>
      <c r="I42" s="164">
        <f t="shared" si="2"/>
        <v>14308.75232852835</v>
      </c>
    </row>
    <row r="43" spans="2:9" ht="12.75">
      <c r="B43" s="93">
        <v>9</v>
      </c>
      <c r="C43" s="96">
        <f t="shared" si="0"/>
        <v>18.749253104644133</v>
      </c>
      <c r="D43" s="97">
        <f t="shared" si="1"/>
        <v>6843.477383195109</v>
      </c>
      <c r="E43" s="98">
        <f>bo_trench(D43,365*C$31,365*C$29,365*C$30,'Layer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1.8449285494745464</v>
      </c>
      <c r="F43" s="9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14353.134701859979</v>
      </c>
      <c r="G43" s="98">
        <f>7.48*E$9*E43*(hycon(E43,'Data Entry'!C$8,'Data Entry'!C$14,Well!C$7,Well!C$8)*'Data Entry'!C$8/E$4)*(E$6+(1440*E$5/7.48)/(2*hycon(E43,'Data Entry'!C$8,'Data Entry'!C$14,Well!C$7,Well!C$8)*E$9*E$11))*kro_b(E43,'Layer Calcs'!B$5,'Layer Calcs'!B$6,'Layer Calcs'!G$6,'Layer Calcs'!G$7,'Layer Calcs'!H$5,'Layer Calcs'!H$6,'Layer Calcs'!H$7)</f>
        <v>0.8206469521214445</v>
      </c>
      <c r="I43" s="164">
        <f t="shared" si="2"/>
        <v>14985.803161811133</v>
      </c>
    </row>
    <row r="44" spans="2:9" ht="12.75">
      <c r="B44" s="93">
        <v>10</v>
      </c>
      <c r="C44" s="96">
        <f t="shared" si="0"/>
        <v>20.832503449604594</v>
      </c>
      <c r="D44" s="97">
        <f t="shared" si="1"/>
        <v>7603.863759105677</v>
      </c>
      <c r="E44" s="98">
        <f>bo_trench(D44,365*C$31,365*C$29,365*C$30,'Layer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</v>
      </c>
      <c r="F44" s="9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14911.425292692253</v>
      </c>
      <c r="G44" s="98">
        <f>7.48*E$9*E44*(hycon(E44,'Data Entry'!C$8,'Data Entry'!C$14,Well!C$7,Well!C$8)*'Data Entry'!C$8/E$4)*(E$6+(1440*E$5/7.48)/(2*hycon(E44,'Data Entry'!C$8,'Data Entry'!C$14,Well!C$7,Well!C$8)*E$9*E$11))*kro_b(E44,'Layer Calcs'!B$5,'Layer Calcs'!B$6,'Layer Calcs'!G$6,'Layer Calcs'!G$7,'Layer Calcs'!H$5,'Layer Calcs'!H$6,'Layer Calcs'!H$7)</f>
        <v>0.7061169699998738</v>
      </c>
      <c r="I44" s="164">
        <f t="shared" si="2"/>
        <v>15566.26840461755</v>
      </c>
    </row>
    <row r="45" spans="2:9" ht="12.75">
      <c r="B45" s="93">
        <v>11</v>
      </c>
      <c r="C45" s="96">
        <f t="shared" si="0"/>
        <v>21.749253104644136</v>
      </c>
      <c r="D45" s="97">
        <f t="shared" si="1"/>
        <v>7938.47738319511</v>
      </c>
      <c r="E45" s="98">
        <f>bo_trench(D45,365*C$31,365*C$29,365*C$30,'Layer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1.7752002057535956</v>
      </c>
      <c r="F45" s="9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15136.349069117525</v>
      </c>
      <c r="G45" s="98">
        <f>7.48*E$9*E45*(hycon(E45,'Data Entry'!C$8,'Data Entry'!C$14,Well!C$7,Well!C$8)*'Data Entry'!C$8/E$4)*(E$6+(1440*E$5/7.48)/(2*hycon(E45,'Data Entry'!C$8,'Data Entry'!C$14,Well!C$7,Well!C$8)*E$9*E$11))*kro_b(E45,'Layer Calcs'!B$5,'Layer Calcs'!B$6,'Layer Calcs'!G$6,'Layer Calcs'!G$7,'Layer Calcs'!H$5,'Layer Calcs'!H$6,'Layer Calcs'!H$7)</f>
        <v>0.657416895173219</v>
      </c>
      <c r="I45" s="164">
        <f t="shared" si="2"/>
        <v>15794.396908714669</v>
      </c>
    </row>
    <row r="46" spans="2:9" ht="12.75">
      <c r="B46" s="93">
        <v>12</v>
      </c>
      <c r="C46" s="96">
        <f t="shared" si="0"/>
        <v>22.666002759683675</v>
      </c>
      <c r="D46" s="97">
        <f t="shared" si="1"/>
        <v>8273.091007284542</v>
      </c>
      <c r="E46" s="98">
        <f>bo_trench(D46,365*C$31,365*C$29,365*C$30,'Layer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1.7520930084679978</v>
      </c>
      <c r="F46" s="9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15345.921698004717</v>
      </c>
      <c r="G46" s="98">
        <f>7.48*E$9*E46*(hycon(E46,'Data Entry'!C$8,'Data Entry'!C$14,Well!C$7,Well!C$8)*'Data Entry'!C$8/E$4)*(E$6+(1440*E$5/7.48)/(2*hycon(E46,'Data Entry'!C$8,'Data Entry'!C$14,Well!C$7,Well!C$8)*E$9*E$11))*kro_b(E46,'Layer Calcs'!B$5,'Layer Calcs'!B$6,'Layer Calcs'!G$6,'Layer Calcs'!G$7,'Layer Calcs'!H$5,'Layer Calcs'!H$6,'Layer Calcs'!H$7)</f>
        <v>0.6130205567409241</v>
      </c>
      <c r="I46" s="164">
        <f t="shared" si="2"/>
        <v>16006.949748696636</v>
      </c>
    </row>
    <row r="47" spans="2:9" ht="12.75">
      <c r="B47" s="93">
        <v>13</v>
      </c>
      <c r="C47" s="96">
        <f t="shared" si="0"/>
        <v>23.582752414723217</v>
      </c>
      <c r="D47" s="97">
        <f t="shared" si="1"/>
        <v>8607.704631373974</v>
      </c>
      <c r="E47" s="98">
        <f>bo_trench(D47,365*C$31,365*C$29,365*C$30,'Layer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1.730530772120194</v>
      </c>
      <c r="F47" s="9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15541.482176423828</v>
      </c>
      <c r="G47" s="98">
        <f>7.48*E$9*E47*(hycon(E47,'Data Entry'!C$8,'Data Entry'!C$14,Well!C$7,Well!C$8)*'Data Entry'!C$8/E$4)*(E$6+(1440*E$5/7.48)/(2*hycon(E47,'Data Entry'!C$8,'Data Entry'!C$14,Well!C$7,Well!C$8)*E$9*E$11))*kro_b(E47,'Layer Calcs'!B$5,'Layer Calcs'!B$6,'Layer Calcs'!G$6,'Layer Calcs'!G$7,'Layer Calcs'!H$5,'Layer Calcs'!H$6,'Layer Calcs'!H$7)</f>
        <v>0.5724452032597356</v>
      </c>
      <c r="I47" s="164">
        <f t="shared" si="2"/>
        <v>16205.286245790512</v>
      </c>
    </row>
    <row r="48" spans="2:9" ht="12.75">
      <c r="B48" s="93">
        <v>14</v>
      </c>
      <c r="C48" s="96">
        <f t="shared" si="0"/>
        <v>24.499502069762755</v>
      </c>
      <c r="D48" s="97">
        <f t="shared" si="1"/>
        <v>8942.318255463406</v>
      </c>
      <c r="E48" s="98">
        <f>bo_trench(D48,365*C$31,365*C$29,365*C$30,'Layer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1.7103821962134333</v>
      </c>
      <c r="F48" s="9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15724.221345044021</v>
      </c>
      <c r="G48" s="98">
        <f>7.48*E$9*E48*(hycon(E48,'Data Entry'!C$8,'Data Entry'!C$14,Well!C$7,Well!C$8)*'Data Entry'!C$8/E$4)*(E$6+(1440*E$5/7.48)/(2*hycon(E48,'Data Entry'!C$8,'Data Entry'!C$14,Well!C$7,Well!C$8)*E$9*E$11))*kro_b(E48,'Layer Calcs'!B$5,'Layer Calcs'!B$6,'Layer Calcs'!G$6,'Layer Calcs'!G$7,'Layer Calcs'!H$5,'Layer Calcs'!H$6,'Layer Calcs'!H$7)</f>
        <v>0.5352739960111071</v>
      </c>
      <c r="I48" s="164">
        <f t="shared" si="2"/>
        <v>16390.615213661244</v>
      </c>
    </row>
    <row r="49" spans="2:9" ht="12.75">
      <c r="B49" s="93">
        <v>15</v>
      </c>
      <c r="C49" s="96">
        <f t="shared" si="0"/>
        <v>25.416251724802297</v>
      </c>
      <c r="D49" s="97">
        <f t="shared" si="1"/>
        <v>9276.931879552838</v>
      </c>
      <c r="E49" s="98">
        <f>bo_trench(D49,365*C$31,365*C$29,365*C$30,'Layer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1.691530114796688</v>
      </c>
      <c r="F49" s="9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15895.201850107924</v>
      </c>
      <c r="G49" s="98">
        <f>7.48*E$9*E49*(hycon(E49,'Data Entry'!C$8,'Data Entry'!C$14,Well!C$7,Well!C$8)*'Data Entry'!C$8/E$4)*(E$6+(1440*E$5/7.48)/(2*hycon(E49,'Data Entry'!C$8,'Data Entry'!C$14,Well!C$7,Well!C$8)*E$9*E$11))*kro_b(E49,'Layer Calcs'!B$5,'Layer Calcs'!B$6,'Layer Calcs'!G$6,'Layer Calcs'!G$7,'Layer Calcs'!H$5,'Layer Calcs'!H$6,'Layer Calcs'!H$7)</f>
        <v>0.5011454854257973</v>
      </c>
      <c r="I49" s="164">
        <f t="shared" si="2"/>
        <v>16564.01525304149</v>
      </c>
    </row>
    <row r="50" spans="2:9" ht="12.75">
      <c r="B50" s="93">
        <v>16</v>
      </c>
      <c r="C50" s="96">
        <f t="shared" si="0"/>
        <v>26.33300137984184</v>
      </c>
      <c r="D50" s="97">
        <f t="shared" si="1"/>
        <v>9611.545503642272</v>
      </c>
      <c r="E50" s="98">
        <f>bo_trench(D50,365*C$31,365*C$29,365*C$30,'Layer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1.6738696424278454</v>
      </c>
      <c r="F50" s="9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16055.374958771117</v>
      </c>
      <c r="G50" s="98">
        <f>7.48*E$9*E50*(hycon(E50,'Data Entry'!C$8,'Data Entry'!C$14,Well!C$7,Well!C$8)*'Data Entry'!C$8/E$4)*(E$6+(1440*E$5/7.48)/(2*hycon(E50,'Data Entry'!C$8,'Data Entry'!C$14,Well!C$7,Well!C$8)*E$9*E$11))*kro_b(E50,'Layer Calcs'!B$5,'Layer Calcs'!B$6,'Layer Calcs'!G$6,'Layer Calcs'!G$7,'Layer Calcs'!H$5,'Layer Calcs'!H$6,'Layer Calcs'!H$7)</f>
        <v>0.4697449969783497</v>
      </c>
      <c r="I50" s="164">
        <f t="shared" si="2"/>
        <v>16726.451844497085</v>
      </c>
    </row>
    <row r="51" spans="2:9" ht="12.75">
      <c r="B51" s="93">
        <v>17</v>
      </c>
      <c r="C51" s="96">
        <f t="shared" si="0"/>
        <v>27.249751034881378</v>
      </c>
      <c r="D51" s="97">
        <f t="shared" si="1"/>
        <v>9946.159127731702</v>
      </c>
      <c r="E51" s="98">
        <f>bo_trench(D51,365*C$31,365*C$29,365*C$30,'Layer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1.6573066049034757</v>
      </c>
      <c r="F51" s="9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16205.594791727792</v>
      </c>
      <c r="G51" s="98">
        <f>7.48*E$9*E51*(hycon(E51,'Data Entry'!C$8,'Data Entry'!C$14,Well!C$7,Well!C$8)*'Data Entry'!C$8/E$4)*(E$6+(1440*E$5/7.48)/(2*hycon(E51,'Data Entry'!C$8,'Data Entry'!C$14,Well!C$7,Well!C$8)*E$9*E$11))*kro_b(E51,'Layer Calcs'!B$5,'Layer Calcs'!B$6,'Layer Calcs'!G$6,'Layer Calcs'!G$7,'Layer Calcs'!H$5,'Layer Calcs'!H$6,'Layer Calcs'!H$7)</f>
        <v>0.4407975406355539</v>
      </c>
      <c r="I51" s="164">
        <f t="shared" si="2"/>
        <v>16878.791813696374</v>
      </c>
    </row>
    <row r="52" spans="2:9" ht="12.75">
      <c r="B52" s="93">
        <v>18</v>
      </c>
      <c r="C52" s="96">
        <f t="shared" si="0"/>
        <v>28.16650068992092</v>
      </c>
      <c r="D52" s="97">
        <f t="shared" si="1"/>
        <v>10280.772751821136</v>
      </c>
      <c r="E52" s="98">
        <f>bo_trench(D52,365*C$31,365*C$29,365*C$30,'Layer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1.6417562049942274</v>
      </c>
      <c r="F52" s="9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16346.63042443343</v>
      </c>
      <c r="G52" s="98">
        <f>7.48*E$9*E52*(hycon(E52,'Data Entry'!C$8,'Data Entry'!C$14,Well!C$7,Well!C$8)*'Data Entry'!C$8/E$4)*(E$6+(1440*E$5/7.48)/(2*hycon(E52,'Data Entry'!C$8,'Data Entry'!C$14,Well!C$7,Well!C$8)*E$9*E$11))*kro_b(E52,'Layer Calcs'!B$5,'Layer Calcs'!B$6,'Layer Calcs'!G$6,'Layer Calcs'!G$7,'Layer Calcs'!H$5,'Layer Calcs'!H$6,'Layer Calcs'!H$7)</f>
        <v>0.41406194352092</v>
      </c>
      <c r="I52" s="164">
        <f t="shared" si="2"/>
        <v>17021.815628736786</v>
      </c>
    </row>
    <row r="53" spans="2:9" ht="12.75">
      <c r="B53" s="93">
        <v>19</v>
      </c>
      <c r="C53" s="96">
        <f t="shared" si="0"/>
        <v>29.08325034496046</v>
      </c>
      <c r="D53" s="97">
        <f t="shared" si="1"/>
        <v>10615.386375910568</v>
      </c>
      <c r="E53" s="98">
        <f>bo_trench(D53,365*C$31,365*C$29,365*C$30,'Layer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1.6271418831197713</v>
      </c>
      <c r="F53" s="9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16479.176220307272</v>
      </c>
      <c r="G53" s="98">
        <f>7.48*E$9*E53*(hycon(E53,'Data Entry'!C$8,'Data Entry'!C$14,Well!C$7,Well!C$8)*'Data Entry'!C$8/E$4)*(E$6+(1440*E$5/7.48)/(2*hycon(E53,'Data Entry'!C$8,'Data Entry'!C$14,Well!C$7,Well!C$8)*E$9*E$11))*kro_b(E53,'Layer Calcs'!B$5,'Layer Calcs'!B$6,'Layer Calcs'!G$6,'Layer Calcs'!G$7,'Layer Calcs'!H$5,'Layer Calcs'!H$6,'Layer Calcs'!H$7)</f>
        <v>0.3893259704574211</v>
      </c>
      <c r="I53" s="164">
        <f t="shared" si="2"/>
        <v>17156.22789945976</v>
      </c>
    </row>
    <row r="54" spans="2:9" ht="12.75">
      <c r="B54" s="93">
        <v>20</v>
      </c>
      <c r="C54" s="96">
        <f t="shared" si="0"/>
        <v>30</v>
      </c>
      <c r="D54" s="97">
        <f t="shared" si="1"/>
        <v>10950</v>
      </c>
      <c r="E54" s="98">
        <f>bo_trench(D54,365*C$31,365*C$29,365*C$30,'Layer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4" s="9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4" s="98">
        <f>7.48*E$9*E54*(hycon(E54,'Data Entry'!C$8,'Data Entry'!C$14,Well!C$7,Well!C$8)*'Data Entry'!C$8/E$4)*(E$6+(1440*E$5/7.48)/(2*hycon(E54,'Data Entry'!C$8,'Data Entry'!C$14,Well!C$7,Well!C$8)*E$9*E$11))*kro_b(E54,'Layer Calcs'!B$5,'Layer Calcs'!B$6,'Layer Calcs'!G$6,'Layer Calcs'!G$7,'Layer Calcs'!H$5,'Layer Calcs'!H$6,'Layer Calcs'!H$7)</f>
        <v>0.36640224678801575</v>
      </c>
      <c r="I54" s="164">
        <f t="shared" si="2"/>
        <v>17282.666378259328</v>
      </c>
    </row>
    <row r="55" spans="2:9" ht="12.75">
      <c r="B55" s="93">
        <v>21</v>
      </c>
      <c r="C55" s="96">
        <f t="shared" si="0"/>
        <v>30</v>
      </c>
      <c r="D55" s="97">
        <f t="shared" si="1"/>
        <v>10950</v>
      </c>
      <c r="E55" s="98">
        <f>bo_trench(D55,365*C$31,365*C$29,365*C$30,'Layer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5" s="9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5" s="98">
        <f>7.48*E$9*E55*(hycon(E55,'Data Entry'!C$8,'Data Entry'!C$14,Well!C$7,Well!C$8)*'Data Entry'!C$8/E$4)*(E$6+(1440*E$5/7.48)/(2*hycon(E55,'Data Entry'!C$8,'Data Entry'!C$14,Well!C$7,Well!C$8)*E$9*E$11))*kro_b(E55,'Layer Calcs'!B$5,'Layer Calcs'!B$6,'Layer Calcs'!G$6,'Layer Calcs'!G$7,'Layer Calcs'!H$5,'Layer Calcs'!H$6,'Layer Calcs'!H$7)</f>
        <v>0.36640224678801575</v>
      </c>
      <c r="I55" s="164">
        <f t="shared" si="2"/>
        <v>17282.666378259328</v>
      </c>
    </row>
    <row r="56" spans="2:9" ht="12.75">
      <c r="B56" s="93">
        <v>22</v>
      </c>
      <c r="C56" s="96">
        <f t="shared" si="0"/>
        <v>30</v>
      </c>
      <c r="D56" s="97">
        <f t="shared" si="1"/>
        <v>10950</v>
      </c>
      <c r="E56" s="98">
        <f>bo_trench(D56,365*C$31,365*C$29,365*C$30,'Layer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6" s="9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6" s="98">
        <f>7.48*E$9*E56*(hycon(E56,'Data Entry'!C$8,'Data Entry'!C$14,Well!C$7,Well!C$8)*'Data Entry'!C$8/E$4)*(E$6+(1440*E$5/7.48)/(2*hycon(E56,'Data Entry'!C$8,'Data Entry'!C$14,Well!C$7,Well!C$8)*E$9*E$11))*kro_b(E56,'Layer Calcs'!B$5,'Layer Calcs'!B$6,'Layer Calcs'!G$6,'Layer Calcs'!G$7,'Layer Calcs'!H$5,'Layer Calcs'!H$6,'Layer Calcs'!H$7)</f>
        <v>0.36640224678801575</v>
      </c>
      <c r="I56" s="164">
        <f t="shared" si="2"/>
        <v>17282.666378259328</v>
      </c>
    </row>
    <row r="57" spans="2:9" ht="12.75">
      <c r="B57" s="93">
        <v>23</v>
      </c>
      <c r="C57" s="96">
        <f t="shared" si="0"/>
        <v>30</v>
      </c>
      <c r="D57" s="97">
        <f t="shared" si="1"/>
        <v>10950</v>
      </c>
      <c r="E57" s="98">
        <f>bo_trench(D57,365*C$31,365*C$29,365*C$30,'Layer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7" s="9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7" s="98">
        <f>7.48*E$9*E57*(hycon(E57,'Data Entry'!C$8,'Data Entry'!C$14,Well!C$7,Well!C$8)*'Data Entry'!C$8/E$4)*(E$6+(1440*E$5/7.48)/(2*hycon(E57,'Data Entry'!C$8,'Data Entry'!C$14,Well!C$7,Well!C$8)*E$9*E$11))*kro_b(E57,'Layer Calcs'!B$5,'Layer Calcs'!B$6,'Layer Calcs'!G$6,'Layer Calcs'!G$7,'Layer Calcs'!H$5,'Layer Calcs'!H$6,'Layer Calcs'!H$7)</f>
        <v>0.36640224678801575</v>
      </c>
      <c r="I57" s="164">
        <f t="shared" si="2"/>
        <v>17282.666378259328</v>
      </c>
    </row>
    <row r="58" spans="2:9" ht="12.75">
      <c r="B58" s="93">
        <v>24</v>
      </c>
      <c r="C58" s="96">
        <f t="shared" si="0"/>
        <v>30</v>
      </c>
      <c r="D58" s="97">
        <f t="shared" si="1"/>
        <v>10950</v>
      </c>
      <c r="E58" s="98">
        <f>bo_trench(D58,365*C$31,365*C$29,365*C$30,'Layer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8" s="9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8" s="98">
        <f>7.48*E$9*E58*(hycon(E58,'Data Entry'!C$8,'Data Entry'!C$14,Well!C$7,Well!C$8)*'Data Entry'!C$8/E$4)*(E$6+(1440*E$5/7.48)/(2*hycon(E58,'Data Entry'!C$8,'Data Entry'!C$14,Well!C$7,Well!C$8)*E$9*E$11))*kro_b(E58,'Layer Calcs'!B$5,'Layer Calcs'!B$6,'Layer Calcs'!G$6,'Layer Calcs'!G$7,'Layer Calcs'!H$5,'Layer Calcs'!H$6,'Layer Calcs'!H$7)</f>
        <v>0.36640224678801575</v>
      </c>
      <c r="I58" s="164">
        <f t="shared" si="2"/>
        <v>17282.666378259328</v>
      </c>
    </row>
    <row r="59" spans="2:9" ht="12.75">
      <c r="B59" s="93">
        <v>25</v>
      </c>
      <c r="C59" s="96">
        <f t="shared" si="0"/>
        <v>30</v>
      </c>
      <c r="D59" s="97">
        <f t="shared" si="1"/>
        <v>10950</v>
      </c>
      <c r="E59" s="98">
        <f>bo_trench(D59,365*C$31,365*C$29,365*C$30,'Layer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9" s="9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9" s="98">
        <f>7.48*E$9*E59*(hycon(E59,'Data Entry'!C$8,'Data Entry'!C$14,Well!C$7,Well!C$8)*'Data Entry'!C$8/E$4)*(E$6+(1440*E$5/7.48)/(2*hycon(E59,'Data Entry'!C$8,'Data Entry'!C$14,Well!C$7,Well!C$8)*E$9*E$11))*kro_b(E59,'Layer Calcs'!B$5,'Layer Calcs'!B$6,'Layer Calcs'!G$6,'Layer Calcs'!G$7,'Layer Calcs'!H$5,'Layer Calcs'!H$6,'Layer Calcs'!H$7)</f>
        <v>0.36640224678801575</v>
      </c>
      <c r="I59" s="164">
        <f t="shared" si="2"/>
        <v>17282.666378259328</v>
      </c>
    </row>
    <row r="60" spans="2:9" ht="12.75">
      <c r="B60" s="93">
        <v>26</v>
      </c>
      <c r="C60" s="96">
        <f t="shared" si="0"/>
        <v>30</v>
      </c>
      <c r="D60" s="97">
        <f t="shared" si="1"/>
        <v>10950</v>
      </c>
      <c r="E60" s="98">
        <f>bo_trench(D60,365*C$31,365*C$29,365*C$30,'Layer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0" s="9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0" s="98">
        <f>7.48*E$9*E60*(hycon(E60,'Data Entry'!C$8,'Data Entry'!C$14,Well!C$7,Well!C$8)*'Data Entry'!C$8/E$4)*(E$6+(1440*E$5/7.48)/(2*hycon(E60,'Data Entry'!C$8,'Data Entry'!C$14,Well!C$7,Well!C$8)*E$9*E$11))*kro_b(E60,'Layer Calcs'!B$5,'Layer Calcs'!B$6,'Layer Calcs'!G$6,'Layer Calcs'!G$7,'Layer Calcs'!H$5,'Layer Calcs'!H$6,'Layer Calcs'!H$7)</f>
        <v>0.36640224678801575</v>
      </c>
      <c r="I60" s="164">
        <f t="shared" si="2"/>
        <v>17282.666378259328</v>
      </c>
    </row>
    <row r="61" spans="2:9" ht="12.75">
      <c r="B61" s="93">
        <v>27</v>
      </c>
      <c r="C61" s="96">
        <f t="shared" si="0"/>
        <v>30</v>
      </c>
      <c r="D61" s="97">
        <f t="shared" si="1"/>
        <v>10950</v>
      </c>
      <c r="E61" s="98">
        <f>bo_trench(D61,365*C$31,365*C$29,365*C$30,'Layer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1" s="9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1" s="98">
        <f>7.48*E$9*E61*(hycon(E61,'Data Entry'!C$8,'Data Entry'!C$14,Well!C$7,Well!C$8)*'Data Entry'!C$8/E$4)*(E$6+(1440*E$5/7.48)/(2*hycon(E61,'Data Entry'!C$8,'Data Entry'!C$14,Well!C$7,Well!C$8)*E$9*E$11))*kro_b(E61,'Layer Calcs'!B$5,'Layer Calcs'!B$6,'Layer Calcs'!G$6,'Layer Calcs'!G$7,'Layer Calcs'!H$5,'Layer Calcs'!H$6,'Layer Calcs'!H$7)</f>
        <v>0.36640224678801575</v>
      </c>
      <c r="I61" s="164">
        <f t="shared" si="2"/>
        <v>17282.666378259328</v>
      </c>
    </row>
    <row r="62" spans="2:9" ht="12.75">
      <c r="B62" s="93">
        <v>28</v>
      </c>
      <c r="C62" s="96">
        <f t="shared" si="0"/>
        <v>30</v>
      </c>
      <c r="D62" s="97">
        <f t="shared" si="1"/>
        <v>10950</v>
      </c>
      <c r="E62" s="98">
        <f>bo_trench(D62,365*C$31,365*C$29,365*C$30,'Layer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2" s="9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2" s="98">
        <f>7.48*E$9*E62*(hycon(E62,'Data Entry'!C$8,'Data Entry'!C$14,Well!C$7,Well!C$8)*'Data Entry'!C$8/E$4)*(E$6+(1440*E$5/7.48)/(2*hycon(E62,'Data Entry'!C$8,'Data Entry'!C$14,Well!C$7,Well!C$8)*E$9*E$11))*kro_b(E62,'Layer Calcs'!B$5,'Layer Calcs'!B$6,'Layer Calcs'!G$6,'Layer Calcs'!G$7,'Layer Calcs'!H$5,'Layer Calcs'!H$6,'Layer Calcs'!H$7)</f>
        <v>0.36640224678801575</v>
      </c>
      <c r="I62" s="164">
        <f t="shared" si="2"/>
        <v>17282.666378259328</v>
      </c>
    </row>
    <row r="63" spans="2:9" ht="12.75">
      <c r="B63" s="93">
        <v>29</v>
      </c>
      <c r="C63" s="96">
        <f t="shared" si="0"/>
        <v>30</v>
      </c>
      <c r="D63" s="97">
        <f t="shared" si="1"/>
        <v>10950</v>
      </c>
      <c r="E63" s="98">
        <f>bo_trench(D63,365*C$31,365*C$29,365*C$30,'Layer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3" s="9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3" s="98">
        <f>7.48*E$9*E63*(hycon(E63,'Data Entry'!C$8,'Data Entry'!C$14,Well!C$7,Well!C$8)*'Data Entry'!C$8/E$4)*(E$6+(1440*E$5/7.48)/(2*hycon(E63,'Data Entry'!C$8,'Data Entry'!C$14,Well!C$7,Well!C$8)*E$9*E$11))*kro_b(E63,'Layer Calcs'!B$5,'Layer Calcs'!B$6,'Layer Calcs'!G$6,'Layer Calcs'!G$7,'Layer Calcs'!H$5,'Layer Calcs'!H$6,'Layer Calcs'!H$7)</f>
        <v>0.36640224678801575</v>
      </c>
      <c r="I63" s="164">
        <f t="shared" si="2"/>
        <v>17282.666378259328</v>
      </c>
    </row>
    <row r="64" spans="2:9" ht="12.75">
      <c r="B64" s="93">
        <v>30</v>
      </c>
      <c r="C64" s="96">
        <f t="shared" si="0"/>
        <v>30</v>
      </c>
      <c r="D64" s="97">
        <f t="shared" si="1"/>
        <v>10950</v>
      </c>
      <c r="E64" s="98">
        <f>bo_trench(D64,365*C$31,365*C$29,365*C$30,'Layer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4" s="9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4" s="98">
        <f>7.48*E$9*E64*(hycon(E64,'Data Entry'!C$8,'Data Entry'!C$14,Well!C$7,Well!C$8)*'Data Entry'!C$8/E$4)*(E$6+(1440*E$5/7.48)/(2*hycon(E64,'Data Entry'!C$8,'Data Entry'!C$14,Well!C$7,Well!C$8)*E$9*E$11))*kro_b(E64,'Layer Calcs'!B$5,'Layer Calcs'!B$6,'Layer Calcs'!G$6,'Layer Calcs'!G$7,'Layer Calcs'!H$5,'Layer Calcs'!H$6,'Layer Calcs'!H$7)</f>
        <v>0.36640224678801575</v>
      </c>
      <c r="I64" s="164">
        <f t="shared" si="2"/>
        <v>17282.666378259328</v>
      </c>
    </row>
    <row r="65" spans="2:9" ht="12.75">
      <c r="B65" s="93">
        <v>31</v>
      </c>
      <c r="C65" s="96">
        <f t="shared" si="0"/>
        <v>30</v>
      </c>
      <c r="D65" s="97">
        <f t="shared" si="1"/>
        <v>10950</v>
      </c>
      <c r="E65" s="98">
        <f>bo_trench(D65,365*C$31,365*C$29,365*C$30,'Layer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5" s="9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5" s="98">
        <f>7.48*E$9*E65*(hycon(E65,'Data Entry'!C$8,'Data Entry'!C$14,Well!C$7,Well!C$8)*'Data Entry'!C$8/E$4)*(E$6+(1440*E$5/7.48)/(2*hycon(E65,'Data Entry'!C$8,'Data Entry'!C$14,Well!C$7,Well!C$8)*E$9*E$11))*kro_b(E65,'Layer Calcs'!B$5,'Layer Calcs'!B$6,'Layer Calcs'!G$6,'Layer Calcs'!G$7,'Layer Calcs'!H$5,'Layer Calcs'!H$6,'Layer Calcs'!H$7)</f>
        <v>0.36640224678801575</v>
      </c>
      <c r="I65" s="164">
        <f t="shared" si="2"/>
        <v>17282.666378259328</v>
      </c>
    </row>
    <row r="66" spans="2:9" ht="12.75">
      <c r="B66" s="93">
        <v>32</v>
      </c>
      <c r="C66" s="96">
        <f t="shared" si="0"/>
        <v>30</v>
      </c>
      <c r="D66" s="97">
        <f t="shared" si="1"/>
        <v>10950</v>
      </c>
      <c r="E66" s="98">
        <f>bo_trench(D66,365*C$31,365*C$29,365*C$30,'Layer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6" s="9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6" s="98">
        <f>7.48*E$9*E66*(hycon(E66,'Data Entry'!C$8,'Data Entry'!C$14,Well!C$7,Well!C$8)*'Data Entry'!C$8/E$4)*(E$6+(1440*E$5/7.48)/(2*hycon(E66,'Data Entry'!C$8,'Data Entry'!C$14,Well!C$7,Well!C$8)*E$9*E$11))*kro_b(E66,'Layer Calcs'!B$5,'Layer Calcs'!B$6,'Layer Calcs'!G$6,'Layer Calcs'!G$7,'Layer Calcs'!H$5,'Layer Calcs'!H$6,'Layer Calcs'!H$7)</f>
        <v>0.36640224678801575</v>
      </c>
      <c r="I66" s="164">
        <f t="shared" si="2"/>
        <v>17282.666378259328</v>
      </c>
    </row>
    <row r="67" spans="2:9" ht="12.75">
      <c r="B67" s="93">
        <v>33</v>
      </c>
      <c r="C67" s="96">
        <f t="shared" si="0"/>
        <v>30</v>
      </c>
      <c r="D67" s="97">
        <f t="shared" si="1"/>
        <v>10950</v>
      </c>
      <c r="E67" s="98">
        <f>bo_trench(D67,365*C$31,365*C$29,365*C$30,'Layer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7" s="9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7" s="98">
        <f>7.48*E$9*E67*(hycon(E67,'Data Entry'!C$8,'Data Entry'!C$14,Well!C$7,Well!C$8)*'Data Entry'!C$8/E$4)*(E$6+(1440*E$5/7.48)/(2*hycon(E67,'Data Entry'!C$8,'Data Entry'!C$14,Well!C$7,Well!C$8)*E$9*E$11))*kro_b(E67,'Layer Calcs'!B$5,'Layer Calcs'!B$6,'Layer Calcs'!G$6,'Layer Calcs'!G$7,'Layer Calcs'!H$5,'Layer Calcs'!H$6,'Layer Calcs'!H$7)</f>
        <v>0.36640224678801575</v>
      </c>
      <c r="I67" s="164">
        <f t="shared" si="2"/>
        <v>17282.666378259328</v>
      </c>
    </row>
    <row r="68" spans="2:9" ht="12.75">
      <c r="B68" s="93">
        <v>34</v>
      </c>
      <c r="C68" s="96">
        <f t="shared" si="0"/>
        <v>30</v>
      </c>
      <c r="D68" s="97">
        <f t="shared" si="1"/>
        <v>10950</v>
      </c>
      <c r="E68" s="98">
        <f>bo_trench(D68,365*C$31,365*C$29,365*C$30,'Layer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8" s="9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8" s="98">
        <f>7.48*E$9*E68*(hycon(E68,'Data Entry'!C$8,'Data Entry'!C$14,Well!C$7,Well!C$8)*'Data Entry'!C$8/E$4)*(E$6+(1440*E$5/7.48)/(2*hycon(E68,'Data Entry'!C$8,'Data Entry'!C$14,Well!C$7,Well!C$8)*E$9*E$11))*kro_b(E68,'Layer Calcs'!B$5,'Layer Calcs'!B$6,'Layer Calcs'!G$6,'Layer Calcs'!G$7,'Layer Calcs'!H$5,'Layer Calcs'!H$6,'Layer Calcs'!H$7)</f>
        <v>0.36640224678801575</v>
      </c>
      <c r="I68" s="164">
        <f t="shared" si="2"/>
        <v>17282.666378259328</v>
      </c>
    </row>
    <row r="69" spans="2:9" ht="12.75">
      <c r="B69" s="93">
        <v>35</v>
      </c>
      <c r="C69" s="96">
        <f t="shared" si="0"/>
        <v>30</v>
      </c>
      <c r="D69" s="97">
        <f t="shared" si="1"/>
        <v>10950</v>
      </c>
      <c r="E69" s="98">
        <f>bo_trench(D69,365*C$31,365*C$29,365*C$30,'Layer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9" s="9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9" s="98">
        <f>7.48*E$9*E69*(hycon(E69,'Data Entry'!C$8,'Data Entry'!C$14,Well!C$7,Well!C$8)*'Data Entry'!C$8/E$4)*(E$6+(1440*E$5/7.48)/(2*hycon(E69,'Data Entry'!C$8,'Data Entry'!C$14,Well!C$7,Well!C$8)*E$9*E$11))*kro_b(E69,'Layer Calcs'!B$5,'Layer Calcs'!B$6,'Layer Calcs'!G$6,'Layer Calcs'!G$7,'Layer Calcs'!H$5,'Layer Calcs'!H$6,'Layer Calcs'!H$7)</f>
        <v>0.36640224678801575</v>
      </c>
      <c r="I69" s="164">
        <f t="shared" si="2"/>
        <v>17282.666378259328</v>
      </c>
    </row>
    <row r="70" spans="2:9" ht="12.75">
      <c r="B70" s="93">
        <v>36</v>
      </c>
      <c r="C70" s="96">
        <f t="shared" si="0"/>
        <v>30</v>
      </c>
      <c r="D70" s="97">
        <f t="shared" si="1"/>
        <v>10950</v>
      </c>
      <c r="E70" s="98">
        <f>bo_trench(D70,365*C$31,365*C$29,365*C$30,'Layer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0" s="9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0" s="98">
        <f>7.48*E$9*E70*(hycon(E70,'Data Entry'!C$8,'Data Entry'!C$14,Well!C$7,Well!C$8)*'Data Entry'!C$8/E$4)*(E$6+(1440*E$5/7.48)/(2*hycon(E70,'Data Entry'!C$8,'Data Entry'!C$14,Well!C$7,Well!C$8)*E$9*E$11))*kro_b(E70,'Layer Calcs'!B$5,'Layer Calcs'!B$6,'Layer Calcs'!G$6,'Layer Calcs'!G$7,'Layer Calcs'!H$5,'Layer Calcs'!H$6,'Layer Calcs'!H$7)</f>
        <v>0.36640224678801575</v>
      </c>
      <c r="I70" s="164">
        <f t="shared" si="2"/>
        <v>17282.666378259328</v>
      </c>
    </row>
    <row r="71" spans="2:9" ht="12.75">
      <c r="B71" s="93">
        <v>37</v>
      </c>
      <c r="C71" s="96">
        <f t="shared" si="0"/>
        <v>30</v>
      </c>
      <c r="D71" s="97">
        <f t="shared" si="1"/>
        <v>10950</v>
      </c>
      <c r="E71" s="98">
        <f>bo_trench(D71,365*C$31,365*C$29,365*C$30,'Layer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1" s="9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1" s="98">
        <f>7.48*E$9*E71*(hycon(E71,'Data Entry'!C$8,'Data Entry'!C$14,Well!C$7,Well!C$8)*'Data Entry'!C$8/E$4)*(E$6+(1440*E$5/7.48)/(2*hycon(E71,'Data Entry'!C$8,'Data Entry'!C$14,Well!C$7,Well!C$8)*E$9*E$11))*kro_b(E71,'Layer Calcs'!B$5,'Layer Calcs'!B$6,'Layer Calcs'!G$6,'Layer Calcs'!G$7,'Layer Calcs'!H$5,'Layer Calcs'!H$6,'Layer Calcs'!H$7)</f>
        <v>0.36640224678801575</v>
      </c>
      <c r="I71" s="164">
        <f t="shared" si="2"/>
        <v>17282.666378259328</v>
      </c>
    </row>
    <row r="72" spans="2:9" ht="12.75">
      <c r="B72" s="93">
        <v>38</v>
      </c>
      <c r="C72" s="96">
        <f t="shared" si="0"/>
        <v>30</v>
      </c>
      <c r="D72" s="97">
        <f t="shared" si="1"/>
        <v>10950</v>
      </c>
      <c r="E72" s="98">
        <f>bo_trench(D72,365*C$31,365*C$29,365*C$30,'Layer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2" s="9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2" s="98">
        <f>7.48*E$9*E72*(hycon(E72,'Data Entry'!C$8,'Data Entry'!C$14,Well!C$7,Well!C$8)*'Data Entry'!C$8/E$4)*(E$6+(1440*E$5/7.48)/(2*hycon(E72,'Data Entry'!C$8,'Data Entry'!C$14,Well!C$7,Well!C$8)*E$9*E$11))*kro_b(E72,'Layer Calcs'!B$5,'Layer Calcs'!B$6,'Layer Calcs'!G$6,'Layer Calcs'!G$7,'Layer Calcs'!H$5,'Layer Calcs'!H$6,'Layer Calcs'!H$7)</f>
        <v>0.36640224678801575</v>
      </c>
      <c r="I72" s="164">
        <f t="shared" si="2"/>
        <v>17282.666378259328</v>
      </c>
    </row>
    <row r="73" spans="2:9" ht="12.75">
      <c r="B73" s="93">
        <v>39</v>
      </c>
      <c r="C73" s="96">
        <f t="shared" si="0"/>
        <v>30</v>
      </c>
      <c r="D73" s="97">
        <f t="shared" si="1"/>
        <v>10950</v>
      </c>
      <c r="E73" s="98">
        <f>bo_trench(D73,365*C$31,365*C$29,365*C$30,'Layer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3" s="9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3" s="98">
        <f>7.48*E$9*E73*(hycon(E73,'Data Entry'!C$8,'Data Entry'!C$14,Well!C$7,Well!C$8)*'Data Entry'!C$8/E$4)*(E$6+(1440*E$5/7.48)/(2*hycon(E73,'Data Entry'!C$8,'Data Entry'!C$14,Well!C$7,Well!C$8)*E$9*E$11))*kro_b(E73,'Layer Calcs'!B$5,'Layer Calcs'!B$6,'Layer Calcs'!G$6,'Layer Calcs'!G$7,'Layer Calcs'!H$5,'Layer Calcs'!H$6,'Layer Calcs'!H$7)</f>
        <v>0.36640224678801575</v>
      </c>
      <c r="I73" s="164">
        <f t="shared" si="2"/>
        <v>17282.666378259328</v>
      </c>
    </row>
    <row r="74" spans="2:9" ht="12.75">
      <c r="B74" s="93">
        <v>40</v>
      </c>
      <c r="C74" s="96">
        <f t="shared" si="0"/>
        <v>30</v>
      </c>
      <c r="D74" s="97">
        <f t="shared" si="1"/>
        <v>10950</v>
      </c>
      <c r="E74" s="98">
        <f>bo_trench(D74,365*C$31,365*C$29,365*C$30,'Layer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4" s="97">
        <f>7.48*E$9*E$10*vorecov(E74,'Layer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4" s="98">
        <f>7.48*E$9*E74*(hycon(E74,'Data Entry'!C$8,'Data Entry'!C$14,Well!C$7,Well!C$8)*'Data Entry'!C$8/E$4)*(E$6+(1440*E$5/7.48)/(2*hycon(E74,'Data Entry'!C$8,'Data Entry'!C$14,Well!C$7,Well!C$8)*E$9*E$11))*kro_b(E74,'Layer Calcs'!B$5,'Layer Calcs'!B$6,'Layer Calcs'!G$6,'Layer Calcs'!G$7,'Layer Calcs'!H$5,'Layer Calcs'!H$6,'Layer Calcs'!H$7)</f>
        <v>0.36640224678801575</v>
      </c>
      <c r="I74" s="164">
        <f t="shared" si="2"/>
        <v>17282.666378259328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A18" sqref="A18:IV18"/>
    </sheetView>
  </sheetViews>
  <sheetFormatPr defaultColWidth="9.140625" defaultRowHeight="12.75"/>
  <cols>
    <col min="1" max="2" width="9.140625" style="178" customWidth="1"/>
    <col min="3" max="3" width="5.7109375" style="178" customWidth="1"/>
    <col min="4" max="4" width="7.140625" style="178" customWidth="1"/>
    <col min="5" max="5" width="6.00390625" style="178" customWidth="1"/>
    <col min="6" max="6" width="7.140625" style="178" customWidth="1"/>
    <col min="7" max="7" width="6.00390625" style="178" customWidth="1"/>
    <col min="8" max="8" width="7.28125" style="178" customWidth="1"/>
    <col min="9" max="9" width="5.57421875" style="178" customWidth="1"/>
    <col min="10" max="10" width="7.28125" style="178" customWidth="1"/>
    <col min="11" max="11" width="9.28125" style="178" customWidth="1"/>
    <col min="12" max="12" width="6.00390625" style="178" customWidth="1"/>
    <col min="13" max="13" width="8.421875" style="178" customWidth="1"/>
    <col min="14" max="16384" width="9.140625" style="178" customWidth="1"/>
  </cols>
  <sheetData>
    <row r="1" spans="1:13" ht="15.75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>
      <c r="A2" s="202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179" customFormat="1" ht="34.5" customHeight="1">
      <c r="A3" s="199" t="s">
        <v>137</v>
      </c>
      <c r="B3" s="199" t="s">
        <v>138</v>
      </c>
      <c r="C3" s="196" t="s">
        <v>155</v>
      </c>
      <c r="D3" s="198"/>
      <c r="E3" s="196" t="s">
        <v>156</v>
      </c>
      <c r="F3" s="198"/>
      <c r="G3" s="196" t="s">
        <v>139</v>
      </c>
      <c r="H3" s="198"/>
      <c r="I3" s="196" t="s">
        <v>157</v>
      </c>
      <c r="J3" s="198"/>
      <c r="K3" s="196" t="s">
        <v>158</v>
      </c>
      <c r="L3" s="197"/>
      <c r="M3" s="198"/>
    </row>
    <row r="4" spans="1:13" ht="15" customHeight="1">
      <c r="A4" s="200"/>
      <c r="B4" s="200"/>
      <c r="C4" s="180" t="s">
        <v>140</v>
      </c>
      <c r="D4" s="181" t="s">
        <v>141</v>
      </c>
      <c r="E4" s="181" t="s">
        <v>140</v>
      </c>
      <c r="F4" s="181" t="s">
        <v>141</v>
      </c>
      <c r="G4" s="181" t="s">
        <v>140</v>
      </c>
      <c r="H4" s="181" t="s">
        <v>141</v>
      </c>
      <c r="I4" s="181" t="s">
        <v>140</v>
      </c>
      <c r="J4" s="181" t="s">
        <v>141</v>
      </c>
      <c r="K4" s="182" t="s">
        <v>142</v>
      </c>
      <c r="L4" s="183" t="s">
        <v>140</v>
      </c>
      <c r="M4" s="183" t="s">
        <v>141</v>
      </c>
    </row>
    <row r="5" spans="1:20" ht="21.75" customHeight="1">
      <c r="A5" s="184" t="s">
        <v>143</v>
      </c>
      <c r="B5" s="185">
        <v>400</v>
      </c>
      <c r="C5" s="186">
        <v>0.38</v>
      </c>
      <c r="D5" s="186">
        <v>0.09</v>
      </c>
      <c r="E5" s="186">
        <v>0.068</v>
      </c>
      <c r="F5" s="186">
        <v>0.034</v>
      </c>
      <c r="G5" s="187">
        <v>1.09</v>
      </c>
      <c r="H5" s="187">
        <v>0.09</v>
      </c>
      <c r="I5" s="188">
        <f aca="true" t="shared" si="0" ref="I5:I16">P5/3.28</f>
        <v>0.24390243902439027</v>
      </c>
      <c r="J5" s="188">
        <f aca="true" t="shared" si="1" ref="J5:J16">Q5/3.28</f>
        <v>0.36585365853658536</v>
      </c>
      <c r="K5" s="187">
        <v>114</v>
      </c>
      <c r="L5" s="188">
        <f aca="true" t="shared" si="2" ref="L5:L16">3.28*S5</f>
        <v>0.15744</v>
      </c>
      <c r="M5" s="188">
        <f aca="true" t="shared" si="3" ref="M5:M16">3.28*T5</f>
        <v>0.328</v>
      </c>
      <c r="P5" s="189">
        <v>0.8</v>
      </c>
      <c r="Q5" s="189">
        <v>1.2</v>
      </c>
      <c r="S5" s="189">
        <v>0.048</v>
      </c>
      <c r="T5" s="189">
        <v>0.1</v>
      </c>
    </row>
    <row r="6" spans="1:20" ht="21.75" customHeight="1">
      <c r="A6" s="184" t="s">
        <v>144</v>
      </c>
      <c r="B6" s="186">
        <v>364</v>
      </c>
      <c r="C6" s="186">
        <v>0.41</v>
      </c>
      <c r="D6" s="186">
        <v>0.09</v>
      </c>
      <c r="E6" s="186">
        <v>0.095</v>
      </c>
      <c r="F6" s="190">
        <v>0.01</v>
      </c>
      <c r="G6" s="187">
        <v>1.31</v>
      </c>
      <c r="H6" s="187">
        <v>0.09</v>
      </c>
      <c r="I6" s="188">
        <f t="shared" si="0"/>
        <v>0.5792682926829268</v>
      </c>
      <c r="J6" s="188">
        <f t="shared" si="1"/>
        <v>0.4573170731707317</v>
      </c>
      <c r="K6" s="187">
        <v>345</v>
      </c>
      <c r="L6" s="188">
        <f t="shared" si="2"/>
        <v>0.20335999999999999</v>
      </c>
      <c r="M6" s="188">
        <f t="shared" si="3"/>
        <v>0.5576</v>
      </c>
      <c r="P6" s="189">
        <v>1.9</v>
      </c>
      <c r="Q6" s="189">
        <v>1.5</v>
      </c>
      <c r="S6" s="189">
        <v>0.062</v>
      </c>
      <c r="T6" s="189">
        <v>0.17</v>
      </c>
    </row>
    <row r="7" spans="1:20" ht="18.75" customHeight="1">
      <c r="A7" s="184" t="s">
        <v>145</v>
      </c>
      <c r="B7" s="186">
        <v>735</v>
      </c>
      <c r="C7" s="186">
        <v>0.43</v>
      </c>
      <c r="D7" s="188">
        <v>0.1</v>
      </c>
      <c r="E7" s="186">
        <v>0.078</v>
      </c>
      <c r="F7" s="186">
        <v>0.013</v>
      </c>
      <c r="G7" s="187">
        <v>1.56</v>
      </c>
      <c r="H7" s="187">
        <v>0.11</v>
      </c>
      <c r="I7" s="191">
        <f t="shared" si="0"/>
        <v>1.0975609756097562</v>
      </c>
      <c r="J7" s="188">
        <f t="shared" si="1"/>
        <v>0.6402439024390244</v>
      </c>
      <c r="K7" s="187">
        <v>735</v>
      </c>
      <c r="L7" s="186">
        <f t="shared" si="2"/>
        <v>0.82</v>
      </c>
      <c r="M7" s="188">
        <f t="shared" si="3"/>
        <v>1.4431999999999998</v>
      </c>
      <c r="P7" s="189">
        <v>3.6</v>
      </c>
      <c r="Q7" s="189">
        <v>2.1</v>
      </c>
      <c r="S7" s="189">
        <v>0.25</v>
      </c>
      <c r="T7" s="189">
        <v>0.44</v>
      </c>
    </row>
    <row r="8" spans="1:20" ht="20.25" customHeight="1">
      <c r="A8" s="184" t="s">
        <v>146</v>
      </c>
      <c r="B8" s="186">
        <v>315</v>
      </c>
      <c r="C8" s="186">
        <v>0.41</v>
      </c>
      <c r="D8" s="188">
        <v>0.09</v>
      </c>
      <c r="E8" s="186">
        <v>0.057</v>
      </c>
      <c r="F8" s="186">
        <v>0.015</v>
      </c>
      <c r="G8" s="187">
        <v>2.28</v>
      </c>
      <c r="H8" s="187">
        <v>0.27</v>
      </c>
      <c r="I8" s="191">
        <f t="shared" si="0"/>
        <v>3.780487804878049</v>
      </c>
      <c r="J8" s="191">
        <f t="shared" si="1"/>
        <v>1.3109756097560976</v>
      </c>
      <c r="K8" s="187">
        <v>315</v>
      </c>
      <c r="L8" s="192">
        <f t="shared" si="2"/>
        <v>11.479999999999999</v>
      </c>
      <c r="M8" s="191">
        <f t="shared" si="3"/>
        <v>8.856</v>
      </c>
      <c r="P8" s="189">
        <v>12.4</v>
      </c>
      <c r="Q8" s="189">
        <v>4.3</v>
      </c>
      <c r="S8" s="189">
        <v>3.5</v>
      </c>
      <c r="T8" s="189">
        <v>2.7</v>
      </c>
    </row>
    <row r="9" spans="1:20" ht="18.75" customHeight="1">
      <c r="A9" s="184" t="s">
        <v>147</v>
      </c>
      <c r="B9" s="186">
        <v>82</v>
      </c>
      <c r="C9" s="186">
        <v>0.46</v>
      </c>
      <c r="D9" s="186">
        <v>0.11</v>
      </c>
      <c r="E9" s="186">
        <v>0.034</v>
      </c>
      <c r="F9" s="190">
        <v>0.01</v>
      </c>
      <c r="G9" s="187">
        <v>1.37</v>
      </c>
      <c r="H9" s="187">
        <v>0.05</v>
      </c>
      <c r="I9" s="188">
        <f t="shared" si="0"/>
        <v>0.48780487804878053</v>
      </c>
      <c r="J9" s="188">
        <f t="shared" si="1"/>
        <v>0.21341463414634146</v>
      </c>
      <c r="K9" s="187">
        <v>88</v>
      </c>
      <c r="L9" s="188">
        <f t="shared" si="2"/>
        <v>0.19679999999999997</v>
      </c>
      <c r="M9" s="188">
        <f t="shared" si="3"/>
        <v>0.25911999999999996</v>
      </c>
      <c r="P9" s="189">
        <v>1.6</v>
      </c>
      <c r="Q9" s="189">
        <v>0.7</v>
      </c>
      <c r="S9" s="189">
        <v>0.06</v>
      </c>
      <c r="T9" s="189">
        <v>0.079</v>
      </c>
    </row>
    <row r="10" spans="1:20" ht="21.75" customHeight="1">
      <c r="A10" s="184" t="s">
        <v>148</v>
      </c>
      <c r="B10" s="186">
        <v>1093</v>
      </c>
      <c r="C10" s="186">
        <v>0.45</v>
      </c>
      <c r="D10" s="186">
        <v>0.08</v>
      </c>
      <c r="E10" s="186">
        <v>0.067</v>
      </c>
      <c r="F10" s="186">
        <v>0.015</v>
      </c>
      <c r="G10" s="187">
        <v>1.41</v>
      </c>
      <c r="H10" s="187">
        <v>0.12</v>
      </c>
      <c r="I10" s="188">
        <f t="shared" si="0"/>
        <v>0.6097560975609756</v>
      </c>
      <c r="J10" s="188">
        <f t="shared" si="1"/>
        <v>0.36585365853658536</v>
      </c>
      <c r="K10" s="187">
        <v>1093</v>
      </c>
      <c r="L10" s="188">
        <f t="shared" si="2"/>
        <v>0.36079999999999995</v>
      </c>
      <c r="M10" s="188">
        <f t="shared" si="3"/>
        <v>0.9839999999999999</v>
      </c>
      <c r="P10" s="189">
        <v>2</v>
      </c>
      <c r="Q10" s="189">
        <v>1.2</v>
      </c>
      <c r="S10" s="189">
        <v>0.11</v>
      </c>
      <c r="T10" s="189">
        <v>0.3</v>
      </c>
    </row>
    <row r="11" spans="1:20" ht="23.25" customHeight="1">
      <c r="A11" s="184" t="s">
        <v>149</v>
      </c>
      <c r="B11" s="186">
        <v>374</v>
      </c>
      <c r="C11" s="186">
        <v>0.36</v>
      </c>
      <c r="D11" s="186">
        <v>0.07</v>
      </c>
      <c r="E11" s="190">
        <v>0.07</v>
      </c>
      <c r="F11" s="186">
        <v>0.023</v>
      </c>
      <c r="G11" s="187">
        <v>1.09</v>
      </c>
      <c r="H11" s="187">
        <v>0.06</v>
      </c>
      <c r="I11" s="188">
        <f t="shared" si="0"/>
        <v>0.1524390243902439</v>
      </c>
      <c r="J11" s="188">
        <f t="shared" si="1"/>
        <v>0.1524390243902439</v>
      </c>
      <c r="K11" s="187">
        <v>126</v>
      </c>
      <c r="L11" s="190">
        <f t="shared" si="2"/>
        <v>0.015743999999999998</v>
      </c>
      <c r="M11" s="190">
        <f t="shared" si="3"/>
        <v>0.08528</v>
      </c>
      <c r="P11" s="189">
        <v>0.5</v>
      </c>
      <c r="Q11" s="189">
        <v>0.5</v>
      </c>
      <c r="S11" s="189">
        <v>0.0048</v>
      </c>
      <c r="T11" s="189">
        <v>0.026</v>
      </c>
    </row>
    <row r="12" spans="1:20" ht="33.75" customHeight="1">
      <c r="A12" s="184" t="s">
        <v>150</v>
      </c>
      <c r="B12" s="186">
        <v>641</v>
      </c>
      <c r="C12" s="186">
        <v>0.43</v>
      </c>
      <c r="D12" s="186">
        <v>0.07</v>
      </c>
      <c r="E12" s="186">
        <v>0.089</v>
      </c>
      <c r="F12" s="186">
        <v>0.009</v>
      </c>
      <c r="G12" s="187">
        <v>1.23</v>
      </c>
      <c r="H12" s="187">
        <v>0.06</v>
      </c>
      <c r="I12" s="188">
        <f t="shared" si="0"/>
        <v>0.3048780487804878</v>
      </c>
      <c r="J12" s="188">
        <f t="shared" si="1"/>
        <v>0.18292682926829268</v>
      </c>
      <c r="K12" s="187">
        <v>592</v>
      </c>
      <c r="L12" s="190">
        <f t="shared" si="2"/>
        <v>0.055760000000000004</v>
      </c>
      <c r="M12" s="188">
        <f t="shared" si="3"/>
        <v>0.15088</v>
      </c>
      <c r="P12" s="189">
        <v>1</v>
      </c>
      <c r="Q12" s="189">
        <v>0.6</v>
      </c>
      <c r="S12" s="189">
        <v>0.017</v>
      </c>
      <c r="T12" s="189">
        <v>0.046</v>
      </c>
    </row>
    <row r="13" spans="1:20" ht="20.25" customHeight="1">
      <c r="A13" s="184" t="s">
        <v>151</v>
      </c>
      <c r="B13" s="186">
        <v>246</v>
      </c>
      <c r="C13" s="186">
        <v>0.43</v>
      </c>
      <c r="D13" s="186">
        <v>0.06</v>
      </c>
      <c r="E13" s="186">
        <v>0.045</v>
      </c>
      <c r="F13" s="190">
        <v>0.01</v>
      </c>
      <c r="G13" s="187">
        <v>2.68</v>
      </c>
      <c r="H13" s="187">
        <v>0.29</v>
      </c>
      <c r="I13" s="191">
        <f t="shared" si="0"/>
        <v>4.420731707317073</v>
      </c>
      <c r="J13" s="188">
        <f t="shared" si="1"/>
        <v>0.8841463414634146</v>
      </c>
      <c r="K13" s="187">
        <v>246</v>
      </c>
      <c r="L13" s="192">
        <f t="shared" si="2"/>
        <v>23.287999999999997</v>
      </c>
      <c r="M13" s="192">
        <f t="shared" si="3"/>
        <v>12.136</v>
      </c>
      <c r="P13" s="189">
        <v>14.5</v>
      </c>
      <c r="Q13" s="189">
        <v>2.9</v>
      </c>
      <c r="S13" s="189">
        <v>7.1</v>
      </c>
      <c r="T13" s="189">
        <v>3.7</v>
      </c>
    </row>
    <row r="14" spans="1:20" ht="21.75" customHeight="1">
      <c r="A14" s="184" t="s">
        <v>152</v>
      </c>
      <c r="B14" s="186">
        <v>46</v>
      </c>
      <c r="C14" s="186">
        <v>0.38</v>
      </c>
      <c r="D14" s="186">
        <v>0.05</v>
      </c>
      <c r="E14" s="190">
        <v>0.1</v>
      </c>
      <c r="F14" s="186">
        <v>0.013</v>
      </c>
      <c r="G14" s="187">
        <v>1.23</v>
      </c>
      <c r="H14" s="193">
        <v>0.1</v>
      </c>
      <c r="I14" s="188">
        <f t="shared" si="0"/>
        <v>0.8231707317073171</v>
      </c>
      <c r="J14" s="188">
        <f t="shared" si="1"/>
        <v>0.5182926829268293</v>
      </c>
      <c r="K14" s="187">
        <v>46</v>
      </c>
      <c r="L14" s="190">
        <f t="shared" si="2"/>
        <v>0.09512</v>
      </c>
      <c r="M14" s="188">
        <f t="shared" si="3"/>
        <v>0.21976</v>
      </c>
      <c r="P14" s="189">
        <v>2.7</v>
      </c>
      <c r="Q14" s="189">
        <v>1.7</v>
      </c>
      <c r="S14" s="189">
        <v>0.029</v>
      </c>
      <c r="T14" s="189">
        <v>0.067</v>
      </c>
    </row>
    <row r="15" spans="1:20" ht="32.25" customHeight="1">
      <c r="A15" s="184" t="s">
        <v>153</v>
      </c>
      <c r="B15" s="186">
        <v>214</v>
      </c>
      <c r="C15" s="186">
        <v>0.39</v>
      </c>
      <c r="D15" s="186">
        <v>0.07</v>
      </c>
      <c r="E15" s="190">
        <v>0.1</v>
      </c>
      <c r="F15" s="186">
        <v>0.006</v>
      </c>
      <c r="G15" s="187">
        <v>1.48</v>
      </c>
      <c r="H15" s="187">
        <v>0.13</v>
      </c>
      <c r="I15" s="191">
        <f t="shared" si="0"/>
        <v>1.7987804878048783</v>
      </c>
      <c r="J15" s="191">
        <f t="shared" si="1"/>
        <v>1.1585365853658536</v>
      </c>
      <c r="K15" s="187">
        <v>214</v>
      </c>
      <c r="L15" s="191">
        <f t="shared" si="2"/>
        <v>1.0168</v>
      </c>
      <c r="M15" s="191">
        <f t="shared" si="3"/>
        <v>2.1648</v>
      </c>
      <c r="P15" s="189">
        <v>5.9</v>
      </c>
      <c r="Q15" s="189">
        <v>3.8</v>
      </c>
      <c r="S15" s="189">
        <v>0.31</v>
      </c>
      <c r="T15" s="189">
        <v>0.66</v>
      </c>
    </row>
    <row r="16" spans="1:20" ht="20.25" customHeight="1">
      <c r="A16" s="184" t="s">
        <v>154</v>
      </c>
      <c r="B16" s="186">
        <v>1183</v>
      </c>
      <c r="C16" s="186">
        <v>0.41</v>
      </c>
      <c r="D16" s="186">
        <v>0.09</v>
      </c>
      <c r="E16" s="186">
        <v>0.065</v>
      </c>
      <c r="F16" s="186">
        <v>0.017</v>
      </c>
      <c r="G16" s="187">
        <v>1.89</v>
      </c>
      <c r="H16" s="187">
        <v>0.17</v>
      </c>
      <c r="I16" s="191">
        <f t="shared" si="0"/>
        <v>2.2865853658536586</v>
      </c>
      <c r="J16" s="191">
        <f t="shared" si="1"/>
        <v>1.128048780487805</v>
      </c>
      <c r="K16" s="187">
        <v>1183</v>
      </c>
      <c r="L16" s="191">
        <f t="shared" si="2"/>
        <v>3.608</v>
      </c>
      <c r="M16" s="191">
        <f t="shared" si="3"/>
        <v>4.592</v>
      </c>
      <c r="P16" s="189">
        <v>7.5</v>
      </c>
      <c r="Q16" s="189">
        <v>3.7</v>
      </c>
      <c r="S16" s="189">
        <v>1.1</v>
      </c>
      <c r="T16" s="189">
        <v>1.4</v>
      </c>
    </row>
    <row r="18" spans="1:13" ht="26.25" customHeight="1">
      <c r="A18" s="195" t="s">
        <v>159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2002-05-01T02:53:21Z</cp:lastPrinted>
  <dcterms:created xsi:type="dcterms:W3CDTF">1997-06-21T19:21:32Z</dcterms:created>
  <dcterms:modified xsi:type="dcterms:W3CDTF">2004-10-21T16:19:04Z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2578529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