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35" yWindow="65521" windowWidth="7680" windowHeight="8715" activeTab="0"/>
  </bookViews>
  <sheets>
    <sheet name="Data Entry" sheetId="1" r:id="rId1"/>
    <sheet name="Work Chart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'Work Chart'!$B$3:$Q$37</definedName>
    <definedName name="solver_adj" localSheetId="1" hidden="1">'Work Chart'!$B$5:$D$6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'Work Chart'!$B$5</definedName>
    <definedName name="solver_lhs2" localSheetId="1" hidden="1">'Work Chart'!$D$5</definedName>
    <definedName name="solver_lhs3" localSheetId="1" hidden="1">'Work Chart'!$B$6</definedName>
    <definedName name="solver_lhs4" localSheetId="1" hidden="1">'Work Chart'!$C$5</definedName>
    <definedName name="solver_lhs5" localSheetId="1" hidden="1">'Work Chart'!$D$5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'Work Chart'!$I$4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1" localSheetId="1" hidden="1">0.1*'Work Chart'!$B$7</definedName>
    <definedName name="solver_rhs2" localSheetId="1" hidden="1">0.000001</definedName>
    <definedName name="solver_rhs3" localSheetId="1" hidden="1">0.8*'Work Chart'!$B$7</definedName>
    <definedName name="solver_rhs4" localSheetId="1" hidden="1">0.000001</definedName>
    <definedName name="solver_rhs5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<sst xmlns="http://schemas.openxmlformats.org/spreadsheetml/2006/main" count="174" uniqueCount="145">
  <si>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</si>
  <si>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</si>
  <si>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</si>
  <si>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</si>
  <si>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</si>
  <si>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</si>
  <si>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</si>
  <si>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</si>
  <si>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</si>
  <si>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</si>
  <si>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</si>
  <si>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</si>
  <si>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</si>
  <si>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</si>
  <si>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</si>
  <si>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</si>
  <si>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</si>
  <si>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</si>
  <si>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</si>
  <si>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</si>
  <si>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</si>
  <si>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</si>
  <si>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</si>
  <si>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</si>
  <si>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</si>
  <si>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</si>
  <si>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</si>
  <si>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</si>
  <si>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</si>
  <si>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</si>
  <si>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</si>
  <si>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</si>
  <si>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</si>
  <si>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</si>
  <si>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</si>
  <si>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</si>
  <si>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</si>
  <si>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</si>
  <si>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</si>
  <si>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</si>
  <si>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</si>
  <si>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</si>
  <si>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</si>
  <si>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</si>
  <si>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</si>
  <si>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</si>
  <si>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</si>
  <si>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</si>
  <si>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</si>
  <si>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pore-size distribution index</t>
  </si>
  <si>
    <t>van Genuchten-Mualem Model of LNAPL Distribution and Relative Permeability</t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</si>
  <si>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</si>
  <si>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</si>
  <si>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</si>
  <si>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</si>
  <si>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</si>
  <si>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</si>
  <si>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t>Press Ctrl+Shift+S to calculate sheet</t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</si>
  <si>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</si>
  <si>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</si>
  <si>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</si>
  <si>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</si>
  <si>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</si>
  <si>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</si>
  <si>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Ctrl+Shift+S</t>
  </si>
  <si>
    <t>to calculate sheet</t>
  </si>
  <si>
    <t>Trench Recovery System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</si>
  <si>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</si>
  <si>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LNAPL Thickness [feet]</t>
  </si>
  <si>
    <t>air/water surface tension [dyne/cm]</t>
  </si>
  <si>
    <t>LNAPL density [gm/cc]</t>
  </si>
  <si>
    <t>air/LNAPL surface tension [dyne/cm]</t>
  </si>
  <si>
    <t>LNAPL/water surface tension [dyne/cm]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</si>
  <si>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</si>
  <si>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</si>
  <si>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</si>
  <si>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</si>
  <si>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</si>
  <si>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t>B-C displacement pressure head [ft]</t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</si>
  <si>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</si>
  <si>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</si>
  <si>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</si>
  <si>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</si>
  <si>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</si>
  <si>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</si>
  <si>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</si>
  <si>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</si>
  <si>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</si>
  <si>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</si>
  <si>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</si>
  <si>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</si>
  <si>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</si>
  <si>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</si>
  <si>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</si>
  <si>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</si>
  <si>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</si>
  <si>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</si>
  <si>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</si>
  <si>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</si>
  <si>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</si>
  <si>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</si>
  <si>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</si>
  <si>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t>Time [d]</t>
  </si>
  <si>
    <t>Time [yr]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</si>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</sst>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bscript"/>
      <sz val="12"/>
      <name val="Tahoma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b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u val="single"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3" fillId="4" borderId="10" xfId="0" applyNumberFormat="1" applyFont="1" applyFill="1" applyBorder="1" applyAlignment="1">
      <alignment horizontal="center" vertical="center"/>
    </xf>
    <xf numFmtId="11" fontId="15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3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5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1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3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1" fontId="15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1" fontId="35" fillId="4" borderId="8" xfId="0" applyNumberFormat="1" applyFont="1" applyFill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/>
    </xf>
    <xf numFmtId="164" fontId="15" fillId="4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0" xfId="0" applyFill="1" applyBorder="1" applyAlignment="1">
      <alignment/>
    </xf>
    <xf numFmtId="0" fontId="37" fillId="0" borderId="0" xfId="0" applyFont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19" fillId="0" borderId="0" xfId="0" applyFont="1" applyAlignment="1">
      <alignment horizontal="left"/>
    </xf>
    <xf numFmtId="164" fontId="0" fillId="2" borderId="6" xfId="0" applyNumberForma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0" fontId="45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5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/>
      <protection/>
    </xf>
    <xf numFmtId="0" fontId="33" fillId="0" borderId="19" xfId="21" applyFont="1" applyBorder="1" applyAlignment="1">
      <alignment horizontal="center" vertical="center"/>
      <protection/>
    </xf>
    <xf numFmtId="0" fontId="33" fillId="0" borderId="19" xfId="21" applyFont="1" applyFill="1" applyBorder="1" applyAlignment="1">
      <alignment horizontal="center" vertical="center"/>
      <protection/>
    </xf>
    <xf numFmtId="2" fontId="33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33" fillId="0" borderId="19" xfId="21" applyNumberFormat="1" applyFont="1" applyBorder="1" applyAlignment="1">
      <alignment horizontal="center" vertical="center"/>
      <protection/>
    </xf>
    <xf numFmtId="165" fontId="33" fillId="0" borderId="19" xfId="21" applyNumberFormat="1" applyFont="1" applyBorder="1" applyAlignment="1">
      <alignment horizontal="center" vertical="center"/>
      <protection/>
    </xf>
    <xf numFmtId="1" fontId="33" fillId="0" borderId="19" xfId="21" applyNumberFormat="1" applyFont="1" applyBorder="1" applyAlignment="1">
      <alignment horizontal="center" vertical="center"/>
      <protection/>
    </xf>
    <xf numFmtId="2" fontId="33" fillId="0" borderId="19" xfId="2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3" fillId="0" borderId="0" xfId="21" applyFont="1" applyAlignment="1">
      <alignment horizontal="left" vertical="top" wrapText="1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2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Permeaiblity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94"/>
          <c:w val="0.91275"/>
          <c:h val="0.883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Charts'!$Q$2:$Q$53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'Distribution Charts'!$P$2:$P$53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Charts'!$U$3:$U$4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max"/>
        <c:crossBetween val="midCat"/>
        <c:dispUnits/>
      </c:val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7083518"/>
        <c:axId val="66880751"/>
      </c:scatterChart>
      <c:val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880751"/>
        <c:crosses val="autoZero"/>
        <c:crossBetween val="midCat"/>
        <c:dispUnits/>
      </c:valAx>
      <c:valAx>
        <c:axId val="66880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7083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175"/>
          <c:w val="0.87675"/>
          <c:h val="0.86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631721"/>
        <c:crosses val="autoZero"/>
        <c:crossBetween val="midCat"/>
        <c:dispUnits/>
      </c:valAx>
      <c:valAx>
        <c:axId val="486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055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63"/>
          <c:w val="0.92825"/>
          <c:h val="0.93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35032306"/>
        <c:axId val="46855299"/>
      </c:scatterChart>
      <c:val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855299"/>
        <c:crosses val="max"/>
        <c:crossBetween val="midCat"/>
        <c:dispUnits/>
      </c:valAx>
      <c:valAx>
        <c:axId val="468552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503230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"/>
          <c:w val="0.896"/>
          <c:h val="0.91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Trench!$E$30:$E$70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Trench!$P$17:$P$18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182845"/>
        <c:crosses val="autoZero"/>
        <c:crossBetween val="midCat"/>
        <c:dispUnits/>
      </c:valAx>
      <c:valAx>
        <c:axId val="3718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90445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9095"/>
          <c:h val="0.938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Trench!$F$30:$F$70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6210150"/>
        <c:axId val="59020439"/>
      </c:scatterChart>
      <c:val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020439"/>
        <c:crosses val="autoZero"/>
        <c:crossBetween val="midCat"/>
        <c:dispUnits/>
      </c:val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2101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108"/>
          <c:w val="0.9025"/>
          <c:h val="0.8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Trench!$G$30:$G$70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61421904"/>
        <c:axId val="15926225"/>
      </c:scatterChart>
      <c:val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26225"/>
        <c:crosses val="max"/>
        <c:crossBetween val="midCat"/>
        <c:dispUnits/>
      </c:valAx>
      <c:valAx>
        <c:axId val="159262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4219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57300"/>
        <a:ext cx="6019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8</xdr:col>
      <xdr:colOff>123825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904875"/>
        <a:ext cx="5000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0</xdr:row>
      <xdr:rowOff>47625</xdr:rowOff>
    </xdr:from>
    <xdr:to>
      <xdr:col>8</xdr:col>
      <xdr:colOff>76200</xdr:colOff>
      <xdr:row>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052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123825</xdr:rowOff>
    </xdr:from>
    <xdr:to>
      <xdr:col>6</xdr:col>
      <xdr:colOff>209550</xdr:colOff>
      <xdr:row>1</xdr:row>
      <xdr:rowOff>28575</xdr:rowOff>
    </xdr:to>
    <xdr:sp>
      <xdr:nvSpPr>
        <xdr:cNvPr id="3" name="Line 4"/>
        <xdr:cNvSpPr>
          <a:spLocks/>
        </xdr:cNvSpPr>
      </xdr:nvSpPr>
      <xdr:spPr>
        <a:xfrm flipH="1" flipV="1">
          <a:off x="3562350" y="123825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5</xdr:col>
      <xdr:colOff>104775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57175" y="18954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10</xdr:row>
      <xdr:rowOff>9525</xdr:rowOff>
    </xdr:from>
    <xdr:to>
      <xdr:col>9</xdr:col>
      <xdr:colOff>171450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3152775" y="18954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10</xdr:row>
      <xdr:rowOff>9525</xdr:rowOff>
    </xdr:from>
    <xdr:to>
      <xdr:col>14</xdr:col>
      <xdr:colOff>19050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6010275" y="18954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38100</xdr:rowOff>
    </xdr:from>
    <xdr:to>
      <xdr:col>4</xdr:col>
      <xdr:colOff>314325</xdr:colOff>
      <xdr:row>23</xdr:row>
      <xdr:rowOff>171450</xdr:rowOff>
    </xdr:to>
    <xdr:graphicFrame>
      <xdr:nvGraphicFramePr>
        <xdr:cNvPr id="1" name="Chart 2"/>
        <xdr:cNvGraphicFramePr/>
      </xdr:nvGraphicFramePr>
      <xdr:xfrm>
        <a:off x="323850" y="2162175"/>
        <a:ext cx="2828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11</xdr:row>
      <xdr:rowOff>38100</xdr:rowOff>
    </xdr:from>
    <xdr:to>
      <xdr:col>7</xdr:col>
      <xdr:colOff>466725</xdr:colOff>
      <xdr:row>23</xdr:row>
      <xdr:rowOff>161925</xdr:rowOff>
    </xdr:to>
    <xdr:graphicFrame>
      <xdr:nvGraphicFramePr>
        <xdr:cNvPr id="2" name="Chart 3"/>
        <xdr:cNvGraphicFramePr/>
      </xdr:nvGraphicFramePr>
      <xdr:xfrm>
        <a:off x="3181350" y="2162175"/>
        <a:ext cx="2667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11</xdr:row>
      <xdr:rowOff>28575</xdr:rowOff>
    </xdr:from>
    <xdr:to>
      <xdr:col>12</xdr:col>
      <xdr:colOff>266700</xdr:colOff>
      <xdr:row>23</xdr:row>
      <xdr:rowOff>161925</xdr:rowOff>
    </xdr:to>
    <xdr:graphicFrame>
      <xdr:nvGraphicFramePr>
        <xdr:cNvPr id="3" name="Chart 4"/>
        <xdr:cNvGraphicFramePr/>
      </xdr:nvGraphicFramePr>
      <xdr:xfrm>
        <a:off x="5876925" y="2152650"/>
        <a:ext cx="28194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0</xdr:row>
      <xdr:rowOff>0</xdr:rowOff>
    </xdr:from>
    <xdr:to>
      <xdr:col>9</xdr:col>
      <xdr:colOff>133350</xdr:colOff>
      <xdr:row>10</xdr:row>
      <xdr:rowOff>123825</xdr:rowOff>
    </xdr:to>
    <xdr:grpSp>
      <xdr:nvGrpSpPr>
        <xdr:cNvPr id="4" name="Group 5"/>
        <xdr:cNvGrpSpPr>
          <a:grpSpLocks/>
        </xdr:cNvGrpSpPr>
      </xdr:nvGrpSpPr>
      <xdr:grpSpPr>
        <a:xfrm>
          <a:off x="4105275" y="0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7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1">
      <selection activeCell="G5" sqref="G5"/>
    </sheetView>
  </sheetViews>
  <sheetFormatPr defaultColWidth="9.140625" defaultRowHeight="18" customHeight="1"/>
  <cols>
    <col min="1" max="1" width="3.7109375" style="5" customWidth="1"/>
    <col min="2" max="2" width="14.140625" style="5" customWidth="1"/>
    <col min="3" max="3" width="15.28125" style="5" customWidth="1"/>
    <col min="4" max="5" width="14.00390625" style="5" customWidth="1"/>
    <col min="6" max="6" width="5.28125" style="5" customWidth="1"/>
    <col min="7" max="8" width="12.7109375" style="5" customWidth="1"/>
    <col min="9" max="9" width="19.00390625" style="5" customWidth="1"/>
    <col min="10" max="10" width="13.8515625" style="5" customWidth="1"/>
    <col min="11" max="16384" width="12.7109375" style="5" customWidth="1"/>
  </cols>
  <sheetData>
    <row r="1" spans="1:13" s="1" customFormat="1" ht="18" customHeight="1">
      <c r="A1" s="63"/>
      <c r="B1" s="64" t="s">
        <v>50</v>
      </c>
      <c r="C1" s="65"/>
      <c r="D1" s="65"/>
      <c r="E1" s="65"/>
      <c r="F1" s="65"/>
      <c r="G1" s="65"/>
      <c r="H1" s="66"/>
      <c r="I1" s="66"/>
      <c r="J1" s="67"/>
      <c r="K1" s="57"/>
      <c r="L1" s="57"/>
      <c r="M1" s="57"/>
    </row>
    <row r="2" spans="1:13" s="1" customFormat="1" ht="18" customHeight="1">
      <c r="A2" s="45"/>
      <c r="B2" s="22" t="s">
        <v>23</v>
      </c>
      <c r="C2" s="23"/>
      <c r="D2" s="24"/>
      <c r="E2" s="24"/>
      <c r="F2" s="24"/>
      <c r="G2" s="24"/>
      <c r="H2" s="32"/>
      <c r="I2" s="32"/>
      <c r="J2" s="68"/>
      <c r="K2" s="57"/>
      <c r="L2" s="57"/>
      <c r="M2" s="57"/>
    </row>
    <row r="3" spans="1:13" s="1" customFormat="1" ht="18" customHeight="1">
      <c r="A3" s="45"/>
      <c r="B3" s="27"/>
      <c r="C3" s="24"/>
      <c r="D3" s="24"/>
      <c r="E3" s="24"/>
      <c r="F3" s="24"/>
      <c r="G3" s="24"/>
      <c r="H3" s="32"/>
      <c r="I3" s="32"/>
      <c r="J3" s="68"/>
      <c r="K3" s="57"/>
      <c r="L3" s="57"/>
      <c r="M3" s="57"/>
    </row>
    <row r="4" spans="1:13" s="1" customFormat="1" ht="18" customHeight="1">
      <c r="A4" s="45"/>
      <c r="B4" s="28" t="s">
        <v>26</v>
      </c>
      <c r="C4" s="18"/>
      <c r="D4" s="24"/>
      <c r="E4" s="24"/>
      <c r="F4" s="24"/>
      <c r="G4" s="49" t="s">
        <v>30</v>
      </c>
      <c r="H4" s="50"/>
      <c r="I4" s="32"/>
      <c r="J4" s="68"/>
      <c r="K4" s="57"/>
      <c r="L4" s="57"/>
      <c r="M4" s="57"/>
    </row>
    <row r="5" spans="1:13" s="1" customFormat="1" ht="18" customHeight="1">
      <c r="A5" s="45"/>
      <c r="B5" s="29" t="s">
        <v>68</v>
      </c>
      <c r="C5" s="30"/>
      <c r="D5" s="24"/>
      <c r="E5" s="24"/>
      <c r="F5" s="24"/>
      <c r="G5" s="80" t="s">
        <v>2</v>
      </c>
      <c r="H5" s="81">
        <f>1-1/C10</f>
        <v>0.75</v>
      </c>
      <c r="I5" s="55" t="s">
        <v>31</v>
      </c>
      <c r="J5" s="68"/>
      <c r="K5" s="57"/>
      <c r="L5" s="57"/>
      <c r="M5" s="57"/>
    </row>
    <row r="6" spans="1:13" s="1" customFormat="1" ht="18" customHeight="1">
      <c r="A6" s="45"/>
      <c r="B6" s="31" t="s">
        <v>27</v>
      </c>
      <c r="C6" s="175">
        <v>3</v>
      </c>
      <c r="D6" s="24"/>
      <c r="E6" s="24"/>
      <c r="F6" s="24"/>
      <c r="G6" s="53" t="s">
        <v>17</v>
      </c>
      <c r="H6" s="54">
        <f>C11*C17*C18/C19</f>
        <v>3.9</v>
      </c>
      <c r="I6" s="55" t="s">
        <v>73</v>
      </c>
      <c r="J6" s="68"/>
      <c r="K6" s="57"/>
      <c r="L6" s="57"/>
      <c r="M6" s="57"/>
    </row>
    <row r="7" spans="1:13" s="1" customFormat="1" ht="18" customHeight="1">
      <c r="A7" s="45"/>
      <c r="B7" s="27"/>
      <c r="C7" s="24"/>
      <c r="D7" s="24"/>
      <c r="E7" s="24"/>
      <c r="F7" s="24"/>
      <c r="G7" s="53" t="s">
        <v>18</v>
      </c>
      <c r="H7" s="54">
        <f>C11*(1-C17)*C18/C20</f>
        <v>1.3</v>
      </c>
      <c r="I7" s="55" t="s">
        <v>74</v>
      </c>
      <c r="J7" s="68"/>
      <c r="K7" s="57"/>
      <c r="L7" s="57"/>
      <c r="M7" s="57"/>
    </row>
    <row r="8" spans="1:13" s="1" customFormat="1" ht="18" customHeight="1">
      <c r="A8" s="45"/>
      <c r="B8" s="37" t="s">
        <v>9</v>
      </c>
      <c r="C8" s="38"/>
      <c r="D8" s="32"/>
      <c r="E8" s="32"/>
      <c r="F8" s="32"/>
      <c r="G8" s="51" t="s">
        <v>20</v>
      </c>
      <c r="H8" s="52">
        <f>(1-C17)*C6</f>
        <v>0.75</v>
      </c>
      <c r="I8" s="55" t="s">
        <v>75</v>
      </c>
      <c r="J8" s="68"/>
      <c r="K8" s="57"/>
      <c r="L8" s="57"/>
      <c r="M8" s="57"/>
    </row>
    <row r="9" spans="1:13" s="1" customFormat="1" ht="18" customHeight="1">
      <c r="A9" s="45"/>
      <c r="B9" s="126" t="s">
        <v>28</v>
      </c>
      <c r="C9" s="176">
        <v>0.4</v>
      </c>
      <c r="D9" s="35" t="s">
        <v>11</v>
      </c>
      <c r="E9" s="32"/>
      <c r="F9" s="32"/>
      <c r="G9" s="51" t="s">
        <v>19</v>
      </c>
      <c r="H9" s="52">
        <f>-C17*C6</f>
        <v>-2.25</v>
      </c>
      <c r="I9" s="55" t="s">
        <v>76</v>
      </c>
      <c r="J9" s="68"/>
      <c r="K9" s="58"/>
      <c r="L9" s="57"/>
      <c r="M9" s="57"/>
    </row>
    <row r="10" spans="1:13" s="2" customFormat="1" ht="18" customHeight="1">
      <c r="A10" s="46"/>
      <c r="B10" s="39" t="s">
        <v>3</v>
      </c>
      <c r="C10" s="177">
        <v>4</v>
      </c>
      <c r="D10" s="36" t="s">
        <v>29</v>
      </c>
      <c r="E10" s="33"/>
      <c r="F10" s="33"/>
      <c r="G10" s="125" t="s">
        <v>52</v>
      </c>
      <c r="H10" s="52">
        <f>zm(C6,C17,C10,C11*C17*C18/C19,C11*(1-C17)*C18/C20,C12,C13,C14)</f>
        <v>2.079999999999999</v>
      </c>
      <c r="I10" s="55" t="s">
        <v>77</v>
      </c>
      <c r="J10" s="69"/>
      <c r="K10" s="58"/>
      <c r="L10" s="41"/>
      <c r="M10" s="41"/>
    </row>
    <row r="11" spans="1:13" s="2" customFormat="1" ht="18" customHeight="1">
      <c r="A11" s="46"/>
      <c r="B11" s="40" t="s">
        <v>15</v>
      </c>
      <c r="C11" s="178">
        <v>2</v>
      </c>
      <c r="D11" s="36" t="s">
        <v>67</v>
      </c>
      <c r="E11" s="33"/>
      <c r="F11" s="33"/>
      <c r="G11" s="124" t="s">
        <v>51</v>
      </c>
      <c r="H11" s="153">
        <f>H5*(1-0.5^(1/H5))/(1-H5)</f>
        <v>1.8094492110238505</v>
      </c>
      <c r="I11" s="55" t="s">
        <v>49</v>
      </c>
      <c r="J11" s="69"/>
      <c r="K11" s="59"/>
      <c r="L11" s="60"/>
      <c r="M11" s="41"/>
    </row>
    <row r="12" spans="1:13" s="2" customFormat="1" ht="18" customHeight="1">
      <c r="A12" s="46"/>
      <c r="B12" s="39" t="s">
        <v>13</v>
      </c>
      <c r="C12" s="177">
        <v>0.15</v>
      </c>
      <c r="D12" s="25" t="s">
        <v>12</v>
      </c>
      <c r="E12" s="34"/>
      <c r="F12" s="34"/>
      <c r="G12" s="122" t="s">
        <v>48</v>
      </c>
      <c r="H12" s="123">
        <f>((0.72-0.35*EXP(-(C10^4)))^(1/H11))*(((0.72-0.35*EXP(-(C10^4)))^(-1/H5)-1)^(1-H5))/C11</f>
        <v>0.35903641314881884</v>
      </c>
      <c r="I12" s="55" t="s">
        <v>78</v>
      </c>
      <c r="J12" s="69"/>
      <c r="K12" s="59"/>
      <c r="L12" s="60"/>
      <c r="M12" s="41"/>
    </row>
    <row r="13" spans="1:13" s="3" customFormat="1" ht="18" customHeight="1">
      <c r="A13" s="47"/>
      <c r="B13" s="39" t="s">
        <v>16</v>
      </c>
      <c r="C13" s="177">
        <v>0.05</v>
      </c>
      <c r="D13" s="25" t="s">
        <v>25</v>
      </c>
      <c r="E13" s="34"/>
      <c r="F13" s="34"/>
      <c r="G13" s="133"/>
      <c r="H13" s="133"/>
      <c r="J13" s="70"/>
      <c r="K13" s="61"/>
      <c r="L13" s="61"/>
      <c r="M13" s="61"/>
    </row>
    <row r="14" spans="1:13" s="2" customFormat="1" ht="18" customHeight="1">
      <c r="A14" s="46"/>
      <c r="B14" s="119" t="s">
        <v>14</v>
      </c>
      <c r="C14" s="179">
        <v>0.15</v>
      </c>
      <c r="D14" s="25" t="s">
        <v>24</v>
      </c>
      <c r="E14" s="34"/>
      <c r="F14" s="34"/>
      <c r="G14" s="43"/>
      <c r="H14" s="43"/>
      <c r="I14" s="43"/>
      <c r="J14" s="69"/>
      <c r="K14" s="41"/>
      <c r="L14" s="41"/>
      <c r="M14" s="41"/>
    </row>
    <row r="15" spans="1:13" ht="18" customHeight="1">
      <c r="A15" s="48"/>
      <c r="B15" s="120"/>
      <c r="C15" s="120"/>
      <c r="D15" s="120"/>
      <c r="E15" s="44"/>
      <c r="F15" s="11"/>
      <c r="G15" s="131" t="s">
        <v>143</v>
      </c>
      <c r="H15" s="11"/>
      <c r="I15" s="44"/>
      <c r="J15" s="71"/>
      <c r="K15" s="62"/>
      <c r="L15" s="62"/>
      <c r="M15" s="62"/>
    </row>
    <row r="16" spans="1:13" s="2" customFormat="1" ht="18" customHeight="1">
      <c r="A16" s="46"/>
      <c r="B16" s="28" t="s">
        <v>10</v>
      </c>
      <c r="C16" s="21"/>
      <c r="D16" s="26"/>
      <c r="E16" s="43"/>
      <c r="F16" s="43"/>
      <c r="G16" s="131" t="s">
        <v>57</v>
      </c>
      <c r="H16" s="43"/>
      <c r="I16" s="43"/>
      <c r="J16" s="69"/>
      <c r="K16" s="41"/>
      <c r="L16" s="41"/>
      <c r="M16" s="41"/>
    </row>
    <row r="17" spans="1:13" s="2" customFormat="1" ht="18" customHeight="1">
      <c r="A17" s="46"/>
      <c r="B17" s="127" t="s">
        <v>53</v>
      </c>
      <c r="C17" s="42">
        <v>0.75</v>
      </c>
      <c r="D17" s="25" t="s">
        <v>70</v>
      </c>
      <c r="E17" s="43"/>
      <c r="F17" s="43"/>
      <c r="G17" s="43"/>
      <c r="H17" s="43"/>
      <c r="I17" s="43"/>
      <c r="J17" s="69"/>
      <c r="K17" s="41"/>
      <c r="L17" s="41"/>
      <c r="M17" s="41"/>
    </row>
    <row r="18" spans="1:13" s="2" customFormat="1" ht="18" customHeight="1">
      <c r="A18" s="46"/>
      <c r="B18" s="128" t="s">
        <v>54</v>
      </c>
      <c r="C18" s="19">
        <v>65</v>
      </c>
      <c r="D18" s="25" t="s">
        <v>69</v>
      </c>
      <c r="E18" s="43"/>
      <c r="F18" s="43"/>
      <c r="G18" s="43"/>
      <c r="H18" s="43"/>
      <c r="I18" s="43"/>
      <c r="J18" s="69"/>
      <c r="K18" s="41"/>
      <c r="L18" s="41"/>
      <c r="M18" s="41"/>
    </row>
    <row r="19" spans="1:13" ht="18" customHeight="1">
      <c r="A19" s="48"/>
      <c r="B19" s="128" t="s">
        <v>55</v>
      </c>
      <c r="C19" s="19">
        <v>25</v>
      </c>
      <c r="D19" s="25" t="s">
        <v>71</v>
      </c>
      <c r="F19" s="44"/>
      <c r="G19" s="44"/>
      <c r="H19" s="44"/>
      <c r="I19" s="44"/>
      <c r="J19" s="71"/>
      <c r="K19" s="62"/>
      <c r="L19" s="62"/>
      <c r="M19" s="62"/>
    </row>
    <row r="20" spans="1:13" s="11" customFormat="1" ht="18" customHeight="1">
      <c r="A20" s="48"/>
      <c r="B20" s="129" t="s">
        <v>56</v>
      </c>
      <c r="C20" s="20">
        <v>25</v>
      </c>
      <c r="D20" s="25" t="s">
        <v>72</v>
      </c>
      <c r="E20" s="44"/>
      <c r="F20" s="44"/>
      <c r="G20" s="43"/>
      <c r="H20" s="33"/>
      <c r="I20" s="56"/>
      <c r="J20" s="71"/>
      <c r="K20" s="62"/>
      <c r="L20" s="62"/>
      <c r="M20" s="62"/>
    </row>
    <row r="21" spans="1:13" ht="18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62"/>
      <c r="L21" s="62"/>
      <c r="M21" s="62"/>
    </row>
    <row r="22" spans="1:14" s="4" customFormat="1" ht="18" customHeight="1">
      <c r="A22" s="10"/>
      <c r="B22" s="1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144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/>
      <c r="B24"/>
      <c r="C24"/>
      <c r="D24"/>
      <c r="E24"/>
      <c r="F24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/>
      <c r="B25"/>
      <c r="C25"/>
      <c r="D25"/>
      <c r="E25"/>
      <c r="F25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/>
      <c r="B26"/>
      <c r="C26"/>
      <c r="D26"/>
      <c r="E26"/>
      <c r="F26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7"/>
  <sheetViews>
    <sheetView workbookViewId="0" topLeftCell="A1">
      <selection activeCell="E3" sqref="E3"/>
    </sheetView>
  </sheetViews>
  <sheetFormatPr defaultColWidth="9.140625" defaultRowHeight="12.75"/>
  <cols>
    <col min="2" max="2" width="9.140625" style="84" customWidth="1"/>
    <col min="3" max="3" width="11.28125" style="0" customWidth="1"/>
    <col min="4" max="4" width="9.57421875" style="0" bestFit="1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2.75">
      <c r="A1" s="86"/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 ht="15">
      <c r="A2" s="86"/>
      <c r="B2" s="17" t="s">
        <v>22</v>
      </c>
      <c r="C2" s="15"/>
      <c r="D2" s="15"/>
      <c r="E2" s="16"/>
      <c r="F2" s="131" t="s">
        <v>57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86"/>
      <c r="B3" s="108" t="s">
        <v>114</v>
      </c>
      <c r="C3" s="109" t="s">
        <v>115</v>
      </c>
      <c r="D3" s="111" t="s">
        <v>8</v>
      </c>
      <c r="E3" s="12" t="s">
        <v>116</v>
      </c>
      <c r="F3" s="12" t="s">
        <v>21</v>
      </c>
      <c r="G3" s="174" t="s">
        <v>117</v>
      </c>
      <c r="H3" s="101" t="s">
        <v>37</v>
      </c>
      <c r="I3" s="86"/>
      <c r="J3" s="90"/>
      <c r="K3" s="90"/>
      <c r="L3" s="90"/>
      <c r="M3" s="90"/>
      <c r="N3" s="90"/>
      <c r="O3" s="90"/>
      <c r="P3" s="90"/>
      <c r="Q3" s="90"/>
      <c r="R3" s="90"/>
    </row>
    <row r="4" spans="1:18" ht="12.75">
      <c r="A4" s="86"/>
      <c r="B4" s="105">
        <v>0</v>
      </c>
      <c r="C4" s="110">
        <v>0</v>
      </c>
      <c r="D4" s="83">
        <v>0</v>
      </c>
      <c r="E4" s="107"/>
      <c r="F4" s="14"/>
      <c r="G4" s="13"/>
      <c r="H4" s="14"/>
      <c r="I4" s="86"/>
      <c r="J4" s="98"/>
      <c r="K4" s="90"/>
      <c r="L4" s="90"/>
      <c r="M4" s="90"/>
      <c r="N4" s="90"/>
      <c r="O4" s="90"/>
      <c r="P4" s="90"/>
      <c r="Q4" s="90"/>
      <c r="R4" s="90"/>
    </row>
    <row r="5" spans="1:18" ht="12.75">
      <c r="A5" s="86"/>
      <c r="B5" s="104">
        <f>B42</f>
        <v>0.24</v>
      </c>
      <c r="C5" s="103">
        <f>C42</f>
        <v>0.025337765117238023</v>
      </c>
      <c r="D5" s="180">
        <f>D42</f>
        <v>7.807732974779955E-05</v>
      </c>
      <c r="E5" s="102">
        <f>IF(B5&gt;0,B5-C5/F5,)</f>
        <v>0</v>
      </c>
      <c r="F5" s="100">
        <f>IF(C5&gt;0,(C5-C4)/(B5-B4),)</f>
        <v>0.1055740213218251</v>
      </c>
      <c r="G5" s="99">
        <f>B5-D5/H5</f>
        <v>0</v>
      </c>
      <c r="H5" s="100">
        <f>(D5-D4)/(B5-B4)</f>
        <v>0.00032532220728249815</v>
      </c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2.75">
      <c r="A6" s="86"/>
      <c r="B6" s="104">
        <f>B49</f>
        <v>1.08</v>
      </c>
      <c r="C6" s="103">
        <f>C49</f>
        <v>0.21911309287921144</v>
      </c>
      <c r="D6" s="180">
        <f>D49</f>
        <v>0.2313749581353537</v>
      </c>
      <c r="E6" s="102">
        <f>IF(B6&gt;0,B6-C6/F6,)</f>
        <v>0.13016288634730588</v>
      </c>
      <c r="F6" s="100">
        <f>IF(C6&gt;0,(C6-C5)/(B6-B5),)</f>
        <v>0.2306849140023493</v>
      </c>
      <c r="G6" s="99">
        <f>B6-D6/H6</f>
        <v>0.23971644685929305</v>
      </c>
      <c r="H6" s="100">
        <f>(D6-D5)/(B6-B5)</f>
        <v>0.2753534295304832</v>
      </c>
      <c r="I6" s="181">
        <v>0.0001</v>
      </c>
      <c r="J6" s="134" t="s">
        <v>58</v>
      </c>
      <c r="K6" s="90"/>
      <c r="L6" s="90"/>
      <c r="M6" s="90"/>
      <c r="N6" s="90"/>
      <c r="O6" s="90"/>
      <c r="P6" s="90"/>
      <c r="Q6" s="90"/>
      <c r="R6" s="90"/>
    </row>
    <row r="7" spans="1:18" ht="12.75">
      <c r="A7" s="86"/>
      <c r="B7" s="105">
        <f>B65</f>
        <v>3</v>
      </c>
      <c r="C7" s="106">
        <f>C65</f>
        <v>0.8736696610645742</v>
      </c>
      <c r="D7" s="83">
        <f>D65</f>
        <v>0.6344322672910182</v>
      </c>
      <c r="E7" s="102">
        <f>IF(B7&gt;0,B7-C7/F7,)</f>
        <v>0.43727917375515624</v>
      </c>
      <c r="F7" s="100">
        <f>IF(C7&gt;0,(C7-C6)/(B7-B6),)</f>
        <v>0.3409148792632098</v>
      </c>
      <c r="G7" s="99">
        <f>B7-D7/H7</f>
        <v>-0.02217557039341367</v>
      </c>
      <c r="H7" s="100">
        <f>(D7-D6)/(B7-B6)</f>
        <v>0.2099256818519086</v>
      </c>
      <c r="I7" s="182">
        <v>0.0001</v>
      </c>
      <c r="J7" s="135" t="s">
        <v>59</v>
      </c>
      <c r="K7" s="90"/>
      <c r="L7" s="90"/>
      <c r="M7" s="90"/>
      <c r="N7" s="90"/>
      <c r="O7" s="90"/>
      <c r="P7" s="90"/>
      <c r="Q7" s="90"/>
      <c r="R7" s="90"/>
    </row>
    <row r="8" spans="1:18" ht="12.75">
      <c r="A8" s="86"/>
      <c r="B8" s="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0"/>
    </row>
    <row r="9" spans="1:18" ht="12.75">
      <c r="A9" s="86"/>
      <c r="B9" s="91"/>
      <c r="C9" s="92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0"/>
    </row>
    <row r="10" spans="1:18" ht="12.75">
      <c r="A10" s="86"/>
      <c r="B10" s="93"/>
      <c r="C10" s="9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90"/>
    </row>
    <row r="11" spans="1:18" ht="12.75">
      <c r="A11" s="86"/>
      <c r="B11" s="93"/>
      <c r="C11" s="94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90"/>
    </row>
    <row r="12" spans="1:18" ht="12.75">
      <c r="A12" s="86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15.75">
      <c r="A13" s="86"/>
      <c r="B13" s="89"/>
      <c r="C13" s="90"/>
      <c r="D13" s="90"/>
      <c r="E13" s="90"/>
      <c r="F13" s="90"/>
      <c r="G13" s="90"/>
      <c r="H13" s="90"/>
      <c r="I13" s="90"/>
      <c r="J13" s="95"/>
      <c r="K13" s="96"/>
      <c r="L13" s="90"/>
      <c r="M13" s="90"/>
      <c r="N13" s="90"/>
      <c r="O13" s="90"/>
      <c r="P13" s="90"/>
      <c r="Q13" s="90"/>
      <c r="R13" s="90"/>
    </row>
    <row r="14" spans="1:18" ht="12.75">
      <c r="A14" s="86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2.75">
      <c r="A15" s="86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2.75">
      <c r="A16" s="86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12.75">
      <c r="A17" s="86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86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12.75">
      <c r="A19" s="86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86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12.75">
      <c r="A21" s="90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2.75">
      <c r="A22" s="90"/>
      <c r="B22" s="89"/>
      <c r="C22" s="97"/>
      <c r="D22" s="98"/>
      <c r="E22" s="98"/>
      <c r="F22" s="98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2.75">
      <c r="A23" s="90"/>
      <c r="B23" s="89"/>
      <c r="C23" s="97"/>
      <c r="D23" s="98"/>
      <c r="E23" s="98"/>
      <c r="F23" s="98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12.75">
      <c r="A24" s="90"/>
      <c r="B24" s="89"/>
      <c r="C24" s="97"/>
      <c r="D24" s="97"/>
      <c r="E24" s="97"/>
      <c r="F24" s="97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12.75">
      <c r="A25" s="90"/>
      <c r="B25" s="89"/>
      <c r="C25" s="97"/>
      <c r="D25" s="97"/>
      <c r="E25" s="97"/>
      <c r="F25" s="97"/>
      <c r="G25" s="90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90"/>
      <c r="B26" s="89"/>
      <c r="C26" s="97"/>
      <c r="D26" s="97"/>
      <c r="E26" s="97"/>
      <c r="F26" s="97"/>
      <c r="G26" s="90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90"/>
      <c r="B27" s="89"/>
      <c r="C27" s="90"/>
      <c r="D27" s="90"/>
      <c r="E27" s="90"/>
      <c r="F27" s="90"/>
      <c r="G27" s="9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90"/>
      <c r="B28" s="89"/>
      <c r="C28" s="90"/>
      <c r="D28" s="90"/>
      <c r="E28" s="90"/>
      <c r="F28" s="90"/>
      <c r="G28" s="90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90"/>
      <c r="B29" s="89"/>
      <c r="C29" s="90"/>
      <c r="D29" s="90"/>
      <c r="E29" s="90"/>
      <c r="F29" s="90"/>
      <c r="G29" s="90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90"/>
      <c r="B30" s="89"/>
      <c r="C30" s="90"/>
      <c r="D30" s="90"/>
      <c r="E30" s="90"/>
      <c r="F30" s="90"/>
      <c r="G30" s="90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90"/>
      <c r="B31" s="89"/>
      <c r="C31" s="90"/>
      <c r="D31" s="90"/>
      <c r="E31" s="90"/>
      <c r="F31" s="90"/>
      <c r="G31" s="9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90"/>
      <c r="B32" s="89"/>
      <c r="C32" s="90"/>
      <c r="D32" s="90"/>
      <c r="E32" s="90"/>
      <c r="F32" s="90"/>
      <c r="G32" s="9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90"/>
      <c r="B33" s="89"/>
      <c r="C33" s="90"/>
      <c r="D33" s="90"/>
      <c r="E33" s="90"/>
      <c r="F33" s="90"/>
      <c r="G33" s="90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90"/>
      <c r="B34" s="89"/>
      <c r="C34" s="90"/>
      <c r="D34" s="90"/>
      <c r="E34" s="90"/>
      <c r="F34" s="90"/>
      <c r="G34" s="9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90"/>
      <c r="B35" s="89"/>
      <c r="C35" s="90"/>
      <c r="D35" s="90"/>
      <c r="E35" s="90"/>
      <c r="F35" s="90"/>
      <c r="G35" s="90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9" spans="2:4" ht="12.75">
      <c r="B39" s="84" t="s">
        <v>34</v>
      </c>
      <c r="C39" s="75" t="s">
        <v>35</v>
      </c>
      <c r="D39" s="75" t="s">
        <v>36</v>
      </c>
    </row>
    <row r="40" spans="1:4" ht="12.75">
      <c r="A40">
        <v>0</v>
      </c>
      <c r="B40" s="79">
        <f>A40*'Data Entry'!C$6/25</f>
        <v>0</v>
      </c>
      <c r="C40" s="79">
        <v>0</v>
      </c>
      <c r="D40" s="79">
        <v>0</v>
      </c>
    </row>
    <row r="41" spans="1:4" ht="12.75">
      <c r="A41">
        <v>1</v>
      </c>
      <c r="B41" s="79">
        <f>A41*'Data Entry'!C$6/25</f>
        <v>0.12</v>
      </c>
      <c r="C41" s="79">
        <f>vo(B41,'Data Entry'!C$17,'Data Entry'!C$10,'Data Entry'!H$6,'Data Entry'!H$7,'Data Entry'!C$12,'Data Entry'!C$13,'Data Entry'!C$14,'Data Entry'!C$9,I$6)</f>
        <v>0.016528934477592454</v>
      </c>
      <c r="D41" s="79">
        <f>krob(B41,'Data Entry'!C$17,'Data Entry'!C$10,'Data Entry'!H$6,'Data Entry'!H$7,'Data Entry'!C$12,I$7)</f>
        <v>6.361353964731864E-08</v>
      </c>
    </row>
    <row r="42" spans="1:4" ht="12.75">
      <c r="A42">
        <v>2</v>
      </c>
      <c r="B42" s="79">
        <f>A42*'Data Entry'!C$6/25</f>
        <v>0.24</v>
      </c>
      <c r="C42" s="79">
        <f>vo(B42,'Data Entry'!C$17,'Data Entry'!C$10,'Data Entry'!H$6,'Data Entry'!H$7,'Data Entry'!C$12,'Data Entry'!C$13,'Data Entry'!C$14,'Data Entry'!C$9,I$6)</f>
        <v>0.025337765117238023</v>
      </c>
      <c r="D42" s="79">
        <f>krob(B42,'Data Entry'!C$17,'Data Entry'!C$10,'Data Entry'!H$6,'Data Entry'!H$7,'Data Entry'!C$12,I$7)</f>
        <v>7.807732974779955E-05</v>
      </c>
    </row>
    <row r="43" spans="1:4" ht="12.75">
      <c r="A43">
        <v>3</v>
      </c>
      <c r="B43" s="79">
        <f>A43*'Data Entry'!C$6/25</f>
        <v>0.36</v>
      </c>
      <c r="C43" s="79">
        <f>vo(B43,'Data Entry'!C$17,'Data Entry'!C$10,'Data Entry'!H$6,'Data Entry'!H$7,'Data Entry'!C$12,'Data Entry'!C$13,'Data Entry'!C$14,'Data Entry'!C$9,I$6)</f>
        <v>0.03737209670788793</v>
      </c>
      <c r="D43" s="79">
        <f>krob(B43,'Data Entry'!C$17,'Data Entry'!C$10,'Data Entry'!H$6,'Data Entry'!H$7,'Data Entry'!C$12,I$7)</f>
        <v>0.0016513646866774445</v>
      </c>
    </row>
    <row r="44" spans="1:4" ht="12.75">
      <c r="A44">
        <v>4</v>
      </c>
      <c r="B44" s="79">
        <f>A44*'Data Entry'!C$6/25</f>
        <v>0.48</v>
      </c>
      <c r="C44" s="79">
        <f>vo(B44,'Data Entry'!C$17,'Data Entry'!C$10,'Data Entry'!H$6,'Data Entry'!H$7,'Data Entry'!C$12,'Data Entry'!C$13,'Data Entry'!C$14,'Data Entry'!C$9,I$6)</f>
        <v>0.05524323943389815</v>
      </c>
      <c r="D44" s="79">
        <f>krob(B44,'Data Entry'!C$17,'Data Entry'!C$10,'Data Entry'!H$6,'Data Entry'!H$7,'Data Entry'!C$12,I$7)</f>
        <v>0.010940333123337007</v>
      </c>
    </row>
    <row r="45" spans="1:4" ht="12.75">
      <c r="A45">
        <v>5</v>
      </c>
      <c r="B45" s="79">
        <f>A45*'Data Entry'!C$6/25</f>
        <v>0.6</v>
      </c>
      <c r="C45" s="79">
        <f>vo(B45,'Data Entry'!C$17,'Data Entry'!C$10,'Data Entry'!H$6,'Data Entry'!H$7,'Data Entry'!C$12,'Data Entry'!C$13,'Data Entry'!C$14,'Data Entry'!C$9,I$6)</f>
        <v>0.07979764454302889</v>
      </c>
      <c r="D45" s="79">
        <f>krob(B45,'Data Entry'!C$17,'Data Entry'!C$10,'Data Entry'!H$6,'Data Entry'!H$7,'Data Entry'!C$12,I$7)</f>
        <v>0.03580008122916342</v>
      </c>
    </row>
    <row r="46" spans="1:4" ht="12.75">
      <c r="A46">
        <v>6</v>
      </c>
      <c r="B46" s="79">
        <f>A46*'Data Entry'!C$6/25</f>
        <v>0.72</v>
      </c>
      <c r="C46" s="79">
        <f>vo(B46,'Data Entry'!C$17,'Data Entry'!C$10,'Data Entry'!H$6,'Data Entry'!H$7,'Data Entry'!C$12,'Data Entry'!C$13,'Data Entry'!C$14,'Data Entry'!C$9,I$6)</f>
        <v>0.11005512246032655</v>
      </c>
      <c r="D46" s="79">
        <f>krob(B46,'Data Entry'!C$17,'Data Entry'!C$10,'Data Entry'!H$6,'Data Entry'!H$7,'Data Entry'!C$12,I$7)</f>
        <v>0.07642645711273259</v>
      </c>
    </row>
    <row r="47" spans="1:4" ht="12.75">
      <c r="A47">
        <v>7</v>
      </c>
      <c r="B47" s="79">
        <f>A47*'Data Entry'!C$6/25</f>
        <v>0.84</v>
      </c>
      <c r="C47" s="79">
        <f>vo(B47,'Data Entry'!C$17,'Data Entry'!C$10,'Data Entry'!H$6,'Data Entry'!H$7,'Data Entry'!C$12,'Data Entry'!C$13,'Data Entry'!C$14,'Data Entry'!C$9,I$6)</f>
        <v>0.1441614326887132</v>
      </c>
      <c r="D47" s="79">
        <f>krob(B47,'Data Entry'!C$17,'Data Entry'!C$10,'Data Entry'!H$6,'Data Entry'!H$7,'Data Entry'!C$12,I$7)</f>
        <v>0.12654934591521544</v>
      </c>
    </row>
    <row r="48" spans="1:4" ht="12.75">
      <c r="A48">
        <v>8</v>
      </c>
      <c r="B48" s="79">
        <f>A48*'Data Entry'!C$6/25</f>
        <v>0.96</v>
      </c>
      <c r="C48" s="79">
        <f>vo(B48,'Data Entry'!C$17,'Data Entry'!C$10,'Data Entry'!H$6,'Data Entry'!H$7,'Data Entry'!C$12,'Data Entry'!C$13,'Data Entry'!C$14,'Data Entry'!C$9,I$6)</f>
        <v>0.1809330466747293</v>
      </c>
      <c r="D48" s="79">
        <f>krob(B48,'Data Entry'!C$17,'Data Entry'!C$10,'Data Entry'!H$6,'Data Entry'!H$7,'Data Entry'!C$12,I$7)</f>
        <v>0.17962026472682915</v>
      </c>
    </row>
    <row r="49" spans="1:4" ht="12.75">
      <c r="A49">
        <v>9</v>
      </c>
      <c r="B49" s="79">
        <f>A49*'Data Entry'!C$6/25</f>
        <v>1.08</v>
      </c>
      <c r="C49" s="79">
        <f>vo(B49,'Data Entry'!C$17,'Data Entry'!C$10,'Data Entry'!H$6,'Data Entry'!H$7,'Data Entry'!C$12,'Data Entry'!C$13,'Data Entry'!C$14,'Data Entry'!C$9,I$6)</f>
        <v>0.21911309287921144</v>
      </c>
      <c r="D49" s="79">
        <f>krob(B49,'Data Entry'!C$17,'Data Entry'!C$10,'Data Entry'!H$6,'Data Entry'!H$7,'Data Entry'!C$12,I$7)</f>
        <v>0.2313749581353537</v>
      </c>
    </row>
    <row r="50" spans="1:4" ht="12.75">
      <c r="A50">
        <v>10</v>
      </c>
      <c r="B50" s="79">
        <f>A50*'Data Entry'!C$6/25</f>
        <v>1.2</v>
      </c>
      <c r="C50" s="79">
        <f>vo(B50,'Data Entry'!C$17,'Data Entry'!C$10,'Data Entry'!H$6,'Data Entry'!H$7,'Data Entry'!C$12,'Data Entry'!C$13,'Data Entry'!C$14,'Data Entry'!C$9,I$6)</f>
        <v>0.25833220379841565</v>
      </c>
      <c r="D50" s="79">
        <f>krob(B50,'Data Entry'!C$17,'Data Entry'!C$10,'Data Entry'!H$6,'Data Entry'!H$7,'Data Entry'!C$12,I$7)</f>
        <v>0.2796754304791501</v>
      </c>
    </row>
    <row r="51" spans="1:4" ht="12.75">
      <c r="A51">
        <v>11</v>
      </c>
      <c r="B51" s="79">
        <f>A51*'Data Entry'!C$6/25</f>
        <v>1.32</v>
      </c>
      <c r="C51" s="79">
        <f>vo(B51,'Data Entry'!C$17,'Data Entry'!C$10,'Data Entry'!H$6,'Data Entry'!H$7,'Data Entry'!C$12,'Data Entry'!C$13,'Data Entry'!C$14,'Data Entry'!C$9,I$6)</f>
        <v>0.2980517866424091</v>
      </c>
      <c r="D51" s="79">
        <f>krob(B51,'Data Entry'!C$17,'Data Entry'!C$10,'Data Entry'!H$6,'Data Entry'!H$7,'Data Entry'!C$12,I$7)</f>
        <v>0.3237251670340848</v>
      </c>
    </row>
    <row r="52" spans="1:4" ht="12.75">
      <c r="A52">
        <v>12</v>
      </c>
      <c r="B52" s="79">
        <f>A52*'Data Entry'!C$6/25</f>
        <v>1.44</v>
      </c>
      <c r="C52" s="79">
        <f>vo(B52,'Data Entry'!C$17,'Data Entry'!C$10,'Data Entry'!H$6,'Data Entry'!H$7,'Data Entry'!C$12,'Data Entry'!C$13,'Data Entry'!C$14,'Data Entry'!C$9,I$6)</f>
        <v>0.33845855848936</v>
      </c>
      <c r="D52" s="79">
        <f>krob(B52,'Data Entry'!C$17,'Data Entry'!C$10,'Data Entry'!H$6,'Data Entry'!H$7,'Data Entry'!C$12,I$7)</f>
        <v>0.3634474376644228</v>
      </c>
    </row>
    <row r="53" spans="1:4" ht="12.75">
      <c r="A53">
        <v>13</v>
      </c>
      <c r="B53" s="79">
        <f>A53*'Data Entry'!C$6/25</f>
        <v>1.56</v>
      </c>
      <c r="C53" s="79">
        <f>vo(B53,'Data Entry'!C$17,'Data Entry'!C$10,'Data Entry'!H$6,'Data Entry'!H$7,'Data Entry'!C$12,'Data Entry'!C$13,'Data Entry'!C$14,'Data Entry'!C$9,I$6)</f>
        <v>0.3792135656150155</v>
      </c>
      <c r="D53" s="79">
        <f>krob(B53,'Data Entry'!C$17,'Data Entry'!C$10,'Data Entry'!H$6,'Data Entry'!H$7,'Data Entry'!C$12,I$7)</f>
        <v>0.39909431159522046</v>
      </c>
    </row>
    <row r="54" spans="1:4" ht="12.75">
      <c r="A54">
        <v>14</v>
      </c>
      <c r="B54" s="79">
        <f>A54*'Data Entry'!C$6/25</f>
        <v>1.68</v>
      </c>
      <c r="C54" s="79">
        <f>vo(B54,'Data Entry'!C$17,'Data Entry'!C$10,'Data Entry'!H$6,'Data Entry'!H$7,'Data Entry'!C$12,'Data Entry'!C$13,'Data Entry'!C$14,'Data Entry'!C$9,I$6)</f>
        <v>0.4200187513790103</v>
      </c>
      <c r="D54" s="79">
        <f>krob(B54,'Data Entry'!C$17,'Data Entry'!C$10,'Data Entry'!H$6,'Data Entry'!H$7,'Data Entry'!C$12,I$7)</f>
        <v>0.43105174812348906</v>
      </c>
    </row>
    <row r="55" spans="1:4" ht="12.75">
      <c r="A55">
        <v>15</v>
      </c>
      <c r="B55" s="79">
        <f>A55*'Data Entry'!C$6/25</f>
        <v>1.8</v>
      </c>
      <c r="C55" s="79">
        <f>vo(B55,'Data Entry'!C$17,'Data Entry'!C$10,'Data Entry'!H$6,'Data Entry'!H$7,'Data Entry'!C$12,'Data Entry'!C$13,'Data Entry'!C$14,'Data Entry'!C$9,I$6)</f>
        <v>0.46101356065444526</v>
      </c>
      <c r="D55" s="79">
        <f>krob(B55,'Data Entry'!C$17,'Data Entry'!C$10,'Data Entry'!H$6,'Data Entry'!H$7,'Data Entry'!C$12,I$7)</f>
        <v>0.4597336344039515</v>
      </c>
    </row>
    <row r="56" spans="1:4" ht="12.75">
      <c r="A56">
        <v>16</v>
      </c>
      <c r="B56" s="79">
        <f>A56*'Data Entry'!C$6/25</f>
        <v>1.92</v>
      </c>
      <c r="C56" s="79">
        <f>vo(B56,'Data Entry'!C$17,'Data Entry'!C$10,'Data Entry'!H$6,'Data Entry'!H$7,'Data Entry'!C$12,'Data Entry'!C$13,'Data Entry'!C$14,'Data Entry'!C$9,I$6)</f>
        <v>0.5021530130636692</v>
      </c>
      <c r="D56" s="79">
        <f>krob(B56,'Data Entry'!C$17,'Data Entry'!C$10,'Data Entry'!H$6,'Data Entry'!H$7,'Data Entry'!C$12,I$7)</f>
        <v>0.48553522359502327</v>
      </c>
    </row>
    <row r="57" spans="1:4" ht="12.75">
      <c r="A57">
        <v>17</v>
      </c>
      <c r="B57" s="79">
        <f>A57*'Data Entry'!C$6/25</f>
        <v>2.04</v>
      </c>
      <c r="C57" s="79">
        <f>vo(B57,'Data Entry'!C$17,'Data Entry'!C$10,'Data Entry'!H$6,'Data Entry'!H$7,'Data Entry'!C$12,'Data Entry'!C$13,'Data Entry'!C$14,'Data Entry'!C$9,I$6)</f>
        <v>0.5434048677455215</v>
      </c>
      <c r="D57" s="79">
        <f>krob(B57,'Data Entry'!C$17,'Data Entry'!C$10,'Data Entry'!H$6,'Data Entry'!H$7,'Data Entry'!C$12,I$7)</f>
        <v>0.5088145450258169</v>
      </c>
    </row>
    <row r="58" spans="1:4" ht="12.75">
      <c r="A58">
        <v>18</v>
      </c>
      <c r="B58" s="79">
        <f>A58*'Data Entry'!C$6/25</f>
        <v>2.16</v>
      </c>
      <c r="C58" s="79">
        <f>vo(B58,'Data Entry'!C$17,'Data Entry'!C$10,'Data Entry'!H$6,'Data Entry'!H$7,'Data Entry'!C$12,'Data Entry'!C$13,'Data Entry'!C$14,'Data Entry'!C$9,I$6)</f>
        <v>0.5849759642671096</v>
      </c>
      <c r="D58" s="79">
        <f>krob(B58,'Data Entry'!C$17,'Data Entry'!C$10,'Data Entry'!H$6,'Data Entry'!H$7,'Data Entry'!C$12,I$7)</f>
        <v>0.5298872251829616</v>
      </c>
    </row>
    <row r="59" spans="1:4" ht="12.75">
      <c r="A59">
        <v>19</v>
      </c>
      <c r="B59" s="79">
        <f>A59*'Data Entry'!C$6/25</f>
        <v>2.28</v>
      </c>
      <c r="C59" s="79">
        <f>vo(B59,'Data Entry'!C$17,'Data Entry'!C$10,'Data Entry'!H$6,'Data Entry'!H$7,'Data Entry'!C$12,'Data Entry'!C$13,'Data Entry'!C$14,'Data Entry'!C$9,I$6)</f>
        <v>0.6259498286719651</v>
      </c>
      <c r="D59" s="79">
        <f>krob(B59,'Data Entry'!C$17,'Data Entry'!C$10,'Data Entry'!H$6,'Data Entry'!H$7,'Data Entry'!C$12,I$7)</f>
        <v>0.5490282826848499</v>
      </c>
    </row>
    <row r="60" spans="1:4" ht="12.75">
      <c r="A60">
        <v>20</v>
      </c>
      <c r="B60" s="79">
        <f>A60*'Data Entry'!C$6/25</f>
        <v>2.4</v>
      </c>
      <c r="C60" s="79">
        <f>vo(B60,'Data Entry'!C$17,'Data Entry'!C$10,'Data Entry'!H$6,'Data Entry'!H$7,'Data Entry'!C$12,'Data Entry'!C$13,'Data Entry'!C$14,'Data Entry'!C$9,I$6)</f>
        <v>0.6672114561139164</v>
      </c>
      <c r="D60" s="79">
        <f>krob(B60,'Data Entry'!C$17,'Data Entry'!C$10,'Data Entry'!H$6,'Data Entry'!H$7,'Data Entry'!C$12,I$7)</f>
        <v>0.5664729063669431</v>
      </c>
    </row>
    <row r="61" spans="1:4" ht="12.75">
      <c r="A61">
        <v>21</v>
      </c>
      <c r="B61" s="79">
        <f>A61*'Data Entry'!C$6/25</f>
        <v>2.52</v>
      </c>
      <c r="C61" s="79">
        <f>vo(B61,'Data Entry'!C$17,'Data Entry'!C$10,'Data Entry'!H$6,'Data Entry'!H$7,'Data Entry'!C$12,'Data Entry'!C$13,'Data Entry'!C$14,'Data Entry'!C$9,I$6)</f>
        <v>0.7085199848337816</v>
      </c>
      <c r="D61" s="79">
        <f>krob(B61,'Data Entry'!C$17,'Data Entry'!C$10,'Data Entry'!H$6,'Data Entry'!H$7,'Data Entry'!C$12,I$7)</f>
        <v>0.5824231047093502</v>
      </c>
    </row>
    <row r="62" spans="1:4" ht="12.75">
      <c r="A62">
        <v>22</v>
      </c>
      <c r="B62" s="79">
        <f>A62*'Data Entry'!C$6/25</f>
        <v>2.64</v>
      </c>
      <c r="C62" s="79">
        <f>vo(B62,'Data Entry'!C$17,'Data Entry'!C$10,'Data Entry'!H$6,'Data Entry'!H$7,'Data Entry'!C$12,'Data Entry'!C$13,'Data Entry'!C$14,'Data Entry'!C$9,I$6)</f>
        <v>0.7498673273666965</v>
      </c>
      <c r="D62" s="79">
        <f>krob(B62,'Data Entry'!C$17,'Data Entry'!C$10,'Data Entry'!H$6,'Data Entry'!H$7,'Data Entry'!C$12,I$7)</f>
        <v>0.5970534268023764</v>
      </c>
    </row>
    <row r="63" spans="1:4" ht="12.75">
      <c r="A63">
        <v>23</v>
      </c>
      <c r="B63" s="79">
        <f>A63*'Data Entry'!C$6/25</f>
        <v>2.76</v>
      </c>
      <c r="C63" s="79">
        <f>vo(B63,'Data Entry'!C$17,'Data Entry'!C$10,'Data Entry'!H$6,'Data Entry'!H$7,'Data Entry'!C$12,'Data Entry'!C$13,'Data Entry'!C$14,'Data Entry'!C$9,I$6)</f>
        <v>0.7910398024340157</v>
      </c>
      <c r="D63" s="79">
        <f>krob(B63,'Data Entry'!C$17,'Data Entry'!C$10,'Data Entry'!H$6,'Data Entry'!H$7,'Data Entry'!C$12,I$7)</f>
        <v>0.6105138022134753</v>
      </c>
    </row>
    <row r="64" spans="1:4" ht="12.75">
      <c r="A64">
        <v>24</v>
      </c>
      <c r="B64" s="79">
        <f>A64*'Data Entry'!C$6/25</f>
        <v>2.88</v>
      </c>
      <c r="C64" s="79">
        <f>vo(B64,'Data Entry'!C$17,'Data Entry'!C$10,'Data Entry'!H$6,'Data Entry'!H$7,'Data Entry'!C$12,'Data Entry'!C$13,'Data Entry'!C$14,'Data Entry'!C$9,I$6)</f>
        <v>0.8324467261056561</v>
      </c>
      <c r="D64" s="79">
        <f>krob(B64,'Data Entry'!C$17,'Data Entry'!C$10,'Data Entry'!H$6,'Data Entry'!H$7,'Data Entry'!C$12,I$7)</f>
        <v>0.6229361602375186</v>
      </c>
    </row>
    <row r="65" spans="1:4" ht="12.75">
      <c r="A65">
        <v>25</v>
      </c>
      <c r="B65" s="79">
        <f>A65*'Data Entry'!C$6/25</f>
        <v>3</v>
      </c>
      <c r="C65" s="79">
        <f>vo(B65,'Data Entry'!C$17,'Data Entry'!C$10,'Data Entry'!H$6,'Data Entry'!H$7,'Data Entry'!C$12,'Data Entry'!C$13,'Data Entry'!C$14,'Data Entry'!C$9,I$6)</f>
        <v>0.8736696610645742</v>
      </c>
      <c r="D65" s="79">
        <f>krob(B65,'Data Entry'!C$17,'Data Entry'!C$10,'Data Entry'!H$6,'Data Entry'!H$7,'Data Entry'!C$12,I$7)</f>
        <v>0.6344322672910182</v>
      </c>
    </row>
    <row r="67" ht="12.75">
      <c r="D67" s="12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C2" sqref="C2"/>
    </sheetView>
  </sheetViews>
  <sheetFormatPr defaultColWidth="9.140625" defaultRowHeight="12.75"/>
  <cols>
    <col min="7" max="7" width="9.140625" style="76" customWidth="1"/>
    <col min="12" max="12" width="9.140625" style="75" customWidth="1"/>
    <col min="13" max="13" width="13.00390625" style="79" customWidth="1"/>
    <col min="14" max="14" width="11.8515625" style="79" customWidth="1"/>
    <col min="15" max="16" width="10.140625" style="79" customWidth="1"/>
    <col min="17" max="17" width="12.421875" style="0" bestFit="1" customWidth="1"/>
    <col min="19" max="19" width="12.421875" style="0" bestFit="1" customWidth="1"/>
  </cols>
  <sheetData>
    <row r="1" spans="1:19" ht="16.5">
      <c r="A1" s="77" t="s">
        <v>80</v>
      </c>
      <c r="B1" s="78"/>
      <c r="C1" s="78"/>
      <c r="D1" s="78"/>
      <c r="E1" s="78"/>
      <c r="F1" s="183">
        <v>2</v>
      </c>
      <c r="G1" s="132"/>
      <c r="H1" s="86"/>
      <c r="I1" s="86"/>
      <c r="L1" s="75" t="s">
        <v>0</v>
      </c>
      <c r="M1" s="79" t="s">
        <v>1</v>
      </c>
      <c r="N1" s="79" t="s">
        <v>7</v>
      </c>
      <c r="O1" s="79" t="s">
        <v>6</v>
      </c>
      <c r="P1" s="79" t="s">
        <v>1</v>
      </c>
      <c r="Q1" s="79" t="s">
        <v>8</v>
      </c>
      <c r="S1" s="79" t="s">
        <v>47</v>
      </c>
    </row>
    <row r="2" spans="1:17" ht="15.75">
      <c r="A2" s="86"/>
      <c r="B2" s="86"/>
      <c r="C2" s="82" t="s">
        <v>79</v>
      </c>
      <c r="D2" s="83">
        <f>vo(F1,'Data Entry'!C17,'Data Entry'!C10,'Data Entry'!H6,'Data Entry'!H7,'Data Entry'!C12,'Data Entry'!C13,'Data Entry'!C14,'Data Entry'!C9,'Work Chart'!I6)</f>
        <v>0.5295745373968552</v>
      </c>
      <c r="E2" s="85" t="s">
        <v>33</v>
      </c>
      <c r="F2" s="83">
        <f>krob(F1,'Data Entry'!C17,'Data Entry'!C10,'Data Entry'!H6,'Data Entry'!H7,'Data Entry'!C12,'Work Chart'!I7)</f>
        <v>0.5013150660586411</v>
      </c>
      <c r="G2" s="132"/>
      <c r="H2" s="86"/>
      <c r="I2" s="86"/>
      <c r="L2" s="75" t="s">
        <v>32</v>
      </c>
      <c r="M2" s="79">
        <f>zm(F1,'Data Entry'!C17,'Data Entry'!C10,'Data Entry'!H6,'Data Entry'!H7,'Data Entry'!C12,'Data Entry'!C13,'Data Entry'!C14)</f>
        <v>1.5000000000000009</v>
      </c>
      <c r="N2" s="79">
        <v>0</v>
      </c>
      <c r="P2" s="79">
        <f>zm('Distribution Charts'!F1,'Data Entry'!C17,'Data Entry'!C10,'Data Entry'!H6,'Data Entry'!H7,'Data Entry'!C12,0,0)</f>
        <v>1.4600000000000009</v>
      </c>
      <c r="Q2">
        <v>0</v>
      </c>
    </row>
    <row r="3" spans="1:22" ht="14.25">
      <c r="A3" s="86"/>
      <c r="B3" s="86"/>
      <c r="C3" s="86"/>
      <c r="D3" s="86"/>
      <c r="E3" s="86"/>
      <c r="F3" s="86"/>
      <c r="G3" s="132"/>
      <c r="H3" s="86"/>
      <c r="I3" s="86"/>
      <c r="L3" s="75">
        <v>0</v>
      </c>
      <c r="M3" s="79">
        <f>elev(L3,F$1,'Data Entry'!C$17,'Data Entry'!C$10,'Data Entry'!H$6,'Data Entry'!H$7,'Data Entry'!C$12,'Data Entry'!C$13,'Data Entry'!C$14)</f>
        <v>1.5000000000000009</v>
      </c>
      <c r="N3" s="79">
        <f>so(M3,F$1,'Data Entry'!C$17,'Data Entry'!C$10,'Data Entry'!H$6,'Data Entry'!H$7,'Data Entry'!C$12,'Data Entry'!C$13,'Data Entry'!C$14)</f>
        <v>0.051680355854477944</v>
      </c>
      <c r="O3" s="79">
        <f>sw(M3,F$1,'Data Entry'!C$17,'Data Entry'!C$10,'Data Entry'!H$7,'Data Entry'!C$12,'Data Entry'!C$14)</f>
        <v>0.16176249098134576</v>
      </c>
      <c r="P3" s="79">
        <f>elev(L3,F$1,'Data Entry'!C$17,'Data Entry'!C$10,'Data Entry'!H$6,'Data Entry'!H$7,'Data Entry'!C$12,0,0)</f>
        <v>1.4600000000000009</v>
      </c>
      <c r="Q3">
        <f>kro(P3,F$1,'Data Entry'!C$17,'Data Entry'!C$10,'Data Entry'!H$6,'Data Entry'!H$7,'Data Entry'!C$12)</f>
        <v>5.495243788081659E-09</v>
      </c>
      <c r="S3">
        <f>so(P3,F$1,'Data Entry'!C$17,'Data Entry'!C$10,'Data Entry'!H$6,'Data Entry'!H$7,'Data Entry'!C$12,0,0)</f>
        <v>0.001267310275595946</v>
      </c>
      <c r="U3">
        <v>0</v>
      </c>
      <c r="V3">
        <v>0</v>
      </c>
    </row>
    <row r="4" spans="1:22" ht="15">
      <c r="A4" s="131" t="s">
        <v>57</v>
      </c>
      <c r="B4" s="86"/>
      <c r="C4" s="86"/>
      <c r="D4" s="86"/>
      <c r="E4" s="86"/>
      <c r="F4" s="86"/>
      <c r="G4" s="132"/>
      <c r="H4" s="86"/>
      <c r="I4" s="86"/>
      <c r="L4" s="75">
        <v>1</v>
      </c>
      <c r="M4" s="79">
        <f>elev(L4,F$1,'Data Entry'!C$17,'Data Entry'!C$10,'Data Entry'!H$6,'Data Entry'!H$7,'Data Entry'!C$12,'Data Entry'!C$13,'Data Entry'!C$14)</f>
        <v>1.4666666666666675</v>
      </c>
      <c r="N4" s="79">
        <f>so(M4,F$1,'Data Entry'!C$17,'Data Entry'!C$10,'Data Entry'!H$6,'Data Entry'!H$7,'Data Entry'!C$12,'Data Entry'!C$13,'Data Entry'!C$14)</f>
        <v>0.052713360796222575</v>
      </c>
      <c r="O4" s="79">
        <f>sw(M4,F$1,'Data Entry'!C$17,'Data Entry'!C$10,'Data Entry'!H$7,'Data Entry'!C$12,'Data Entry'!C$14)</f>
        <v>0.16216165675614305</v>
      </c>
      <c r="P4" s="79">
        <f>elev(L4,F$1,'Data Entry'!C$17,'Data Entry'!C$10,'Data Entry'!H$6,'Data Entry'!H$7,'Data Entry'!C$12,0,0)</f>
        <v>1.4280000000000008</v>
      </c>
      <c r="Q4">
        <f>kro(P4,F$1,'Data Entry'!C$17,'Data Entry'!C$10,'Data Entry'!H$6,'Data Entry'!H$7,'Data Entry'!C$12)</f>
        <v>3.126404605107605E-08</v>
      </c>
      <c r="S4">
        <f>so(P4,F$1,'Data Entry'!C$17,'Data Entry'!C$10,'Data Entry'!H$6,'Data Entry'!H$7,'Data Entry'!C$12,0,0)</f>
        <v>0.002494302563126348</v>
      </c>
      <c r="U4">
        <v>1</v>
      </c>
      <c r="V4">
        <v>0</v>
      </c>
    </row>
    <row r="5" spans="1:19" ht="14.25">
      <c r="A5" s="86"/>
      <c r="B5" s="86"/>
      <c r="C5" s="86"/>
      <c r="D5" s="86"/>
      <c r="E5" s="86"/>
      <c r="F5" s="86"/>
      <c r="G5" s="132"/>
      <c r="H5" s="86"/>
      <c r="I5" s="86"/>
      <c r="L5" s="75">
        <v>2</v>
      </c>
      <c r="M5" s="79">
        <f>elev(L5,F$1,'Data Entry'!C$17,'Data Entry'!C$10,'Data Entry'!H$6,'Data Entry'!H$7,'Data Entry'!C$12,'Data Entry'!C$13,'Data Entry'!C$14)</f>
        <v>1.4333333333333342</v>
      </c>
      <c r="N5" s="79">
        <f>so(M5,F$1,'Data Entry'!C$17,'Data Entry'!C$10,'Data Entry'!H$6,'Data Entry'!H$7,'Data Entry'!C$12,'Data Entry'!C$13,'Data Entry'!C$14)</f>
        <v>0.05393814676618866</v>
      </c>
      <c r="O5" s="79">
        <f>sw(M5,F$1,'Data Entry'!C$17,'Data Entry'!C$10,'Data Entry'!H$7,'Data Entry'!C$12,'Data Entry'!C$14)</f>
        <v>0.16257902518235878</v>
      </c>
      <c r="P5" s="79">
        <f>elev(L5,F$1,'Data Entry'!C$17,'Data Entry'!C$10,'Data Entry'!H$6,'Data Entry'!H$7,'Data Entry'!C$12,0,0)</f>
        <v>1.3960000000000008</v>
      </c>
      <c r="Q5">
        <f>kro(P5,F$1,'Data Entry'!C$17,'Data Entry'!C$10,'Data Entry'!H$6,'Data Entry'!H$7,'Data Entry'!C$12)</f>
        <v>1.035604586646695E-07</v>
      </c>
      <c r="S5">
        <f>so(P5,F$1,'Data Entry'!C$17,'Data Entry'!C$10,'Data Entry'!H$6,'Data Entry'!H$7,'Data Entry'!C$12,0,0)</f>
        <v>0.003950960868781255</v>
      </c>
    </row>
    <row r="6" spans="1:19" ht="14.25">
      <c r="A6" s="86"/>
      <c r="B6" s="86"/>
      <c r="C6" s="86"/>
      <c r="D6" s="86"/>
      <c r="E6" s="86"/>
      <c r="F6" s="86"/>
      <c r="G6" s="132"/>
      <c r="H6" s="86"/>
      <c r="I6" s="86"/>
      <c r="L6" s="75">
        <v>3</v>
      </c>
      <c r="M6" s="79">
        <f>elev(L6,F$1,'Data Entry'!C$17,'Data Entry'!C$10,'Data Entry'!H$6,'Data Entry'!H$7,'Data Entry'!C$12,'Data Entry'!C$13,'Data Entry'!C$14)</f>
        <v>1.4000000000000008</v>
      </c>
      <c r="N6" s="79">
        <f>so(M6,F$1,'Data Entry'!C$17,'Data Entry'!C$10,'Data Entry'!H$6,'Data Entry'!H$7,'Data Entry'!C$12,'Data Entry'!C$13,'Data Entry'!C$14)</f>
        <v>0.05539334015537195</v>
      </c>
      <c r="O6" s="79">
        <f>sw(M6,F$1,'Data Entry'!C$17,'Data Entry'!C$10,'Data Entry'!H$7,'Data Entry'!C$12,'Data Entry'!C$14)</f>
        <v>0.16301564035831992</v>
      </c>
      <c r="P6" s="79">
        <f>elev(L6,F$1,'Data Entry'!C$17,'Data Entry'!C$10,'Data Entry'!H$6,'Data Entry'!H$7,'Data Entry'!C$12,0,0)</f>
        <v>1.3640000000000008</v>
      </c>
      <c r="Q6">
        <f>kro(P6,F$1,'Data Entry'!C$17,'Data Entry'!C$10,'Data Entry'!H$6,'Data Entry'!H$7,'Data Entry'!C$12)</f>
        <v>2.701963225819663E-07</v>
      </c>
      <c r="S6">
        <f>so(P6,F$1,'Data Entry'!C$17,'Data Entry'!C$10,'Data Entry'!H$6,'Data Entry'!H$7,'Data Entry'!C$12,0,0)</f>
        <v>0.005683430690093194</v>
      </c>
    </row>
    <row r="7" spans="1:19" ht="14.25">
      <c r="A7" s="86"/>
      <c r="B7" s="86"/>
      <c r="C7" s="86"/>
      <c r="D7" s="86"/>
      <c r="E7" s="86"/>
      <c r="F7" s="86"/>
      <c r="G7" s="132"/>
      <c r="H7" s="86"/>
      <c r="I7" s="86"/>
      <c r="L7" s="75">
        <v>4</v>
      </c>
      <c r="M7" s="79">
        <f>elev(L7,F$1,'Data Entry'!C$17,'Data Entry'!C$10,'Data Entry'!H$6,'Data Entry'!H$7,'Data Entry'!C$12,'Data Entry'!C$13,'Data Entry'!C$14)</f>
        <v>1.3666666666666674</v>
      </c>
      <c r="N7" s="79">
        <f>so(M7,F$1,'Data Entry'!C$17,'Data Entry'!C$10,'Data Entry'!H$6,'Data Entry'!H$7,'Data Entry'!C$12,'Data Entry'!C$13,'Data Entry'!C$14)</f>
        <v>0.057126743760831274</v>
      </c>
      <c r="O7" s="79">
        <f>sw(M7,F$1,'Data Entry'!C$17,'Data Entry'!C$10,'Data Entry'!H$7,'Data Entry'!C$12,'Data Entry'!C$14)</f>
        <v>0.1634726185539194</v>
      </c>
      <c r="P7" s="79">
        <f>elev(L7,F$1,'Data Entry'!C$17,'Data Entry'!C$10,'Data Entry'!H$6,'Data Entry'!H$7,'Data Entry'!C$12,0,0)</f>
        <v>1.3320000000000007</v>
      </c>
      <c r="Q7">
        <f>kro(P7,F$1,'Data Entry'!C$17,'Data Entry'!C$10,'Data Entry'!H$6,'Data Entry'!H$7,'Data Entry'!C$12)</f>
        <v>6.180013678577819E-07</v>
      </c>
      <c r="S7">
        <f>so(P7,F$1,'Data Entry'!C$17,'Data Entry'!C$10,'Data Entry'!H$6,'Data Entry'!H$7,'Data Entry'!C$12,0,0)</f>
        <v>0.007748762406949647</v>
      </c>
    </row>
    <row r="8" spans="1:19" ht="14.25">
      <c r="A8" s="86"/>
      <c r="B8" s="86"/>
      <c r="C8" s="86"/>
      <c r="D8" s="86"/>
      <c r="E8" s="86"/>
      <c r="F8" s="86"/>
      <c r="G8" s="132"/>
      <c r="H8" s="86"/>
      <c r="I8" s="86"/>
      <c r="L8" s="75">
        <v>5</v>
      </c>
      <c r="M8" s="79">
        <f>elev(L8,F$1,'Data Entry'!C$17,'Data Entry'!C$10,'Data Entry'!H$6,'Data Entry'!H$7,'Data Entry'!C$12,'Data Entry'!C$13,'Data Entry'!C$14)</f>
        <v>1.3333333333333341</v>
      </c>
      <c r="N8" s="79">
        <f>so(M8,F$1,'Data Entry'!C$17,'Data Entry'!C$10,'Data Entry'!H$6,'Data Entry'!H$7,'Data Entry'!C$12,'Data Entry'!C$13,'Data Entry'!C$14)</f>
        <v>0.05919790732007282</v>
      </c>
      <c r="O8" s="79">
        <f>sw(M8,F$1,'Data Entry'!C$17,'Data Entry'!C$10,'Data Entry'!H$7,'Data Entry'!C$12,'Data Entry'!C$14)</f>
        <v>0.16395115404002844</v>
      </c>
      <c r="P8" s="79">
        <f>elev(L8,F$1,'Data Entry'!C$17,'Data Entry'!C$10,'Data Entry'!H$6,'Data Entry'!H$7,'Data Entry'!C$12,0,0)</f>
        <v>1.3000000000000007</v>
      </c>
      <c r="Q8">
        <f>kro(P8,F$1,'Data Entry'!C$17,'Data Entry'!C$10,'Data Entry'!H$6,'Data Entry'!H$7,'Data Entry'!C$12)</f>
        <v>1.3038024786226126E-06</v>
      </c>
      <c r="S8">
        <f>so(P8,F$1,'Data Entry'!C$17,'Data Entry'!C$10,'Data Entry'!H$6,'Data Entry'!H$7,'Data Entry'!C$12,0,0)</f>
        <v>0.010217940664483255</v>
      </c>
    </row>
    <row r="9" spans="1:23" ht="14.25">
      <c r="A9" s="86"/>
      <c r="B9" s="86"/>
      <c r="C9" s="86"/>
      <c r="D9" s="86"/>
      <c r="E9" s="86"/>
      <c r="F9" s="86"/>
      <c r="G9" s="132"/>
      <c r="H9" s="86"/>
      <c r="I9" s="86"/>
      <c r="L9" s="75">
        <v>6</v>
      </c>
      <c r="M9" s="79">
        <f>elev(L9,F$1,'Data Entry'!C$17,'Data Entry'!C$10,'Data Entry'!H$6,'Data Entry'!H$7,'Data Entry'!C$12,'Data Entry'!C$13,'Data Entry'!C$14)</f>
        <v>1.3000000000000007</v>
      </c>
      <c r="N9" s="79">
        <f>so(M9,F$1,'Data Entry'!C$17,'Data Entry'!C$10,'Data Entry'!H$6,'Data Entry'!H$7,'Data Entry'!C$12,'Data Entry'!C$13,'Data Entry'!C$14)</f>
        <v>0.06168153182484683</v>
      </c>
      <c r="O9" s="79">
        <f>sw(M9,F$1,'Data Entry'!C$17,'Data Entry'!C$10,'Data Entry'!H$7,'Data Entry'!C$12,'Data Entry'!C$14)</f>
        <v>0.16445252545497901</v>
      </c>
      <c r="P9" s="79">
        <f>elev(L9,F$1,'Data Entry'!C$17,'Data Entry'!C$10,'Data Entry'!H$6,'Data Entry'!H$7,'Data Entry'!C$12,0,0)</f>
        <v>1.2680000000000007</v>
      </c>
      <c r="Q9">
        <f>kro(P9,F$1,'Data Entry'!C$17,'Data Entry'!C$10,'Data Entry'!H$6,'Data Entry'!H$7,'Data Entry'!C$12)</f>
        <v>2.610527652440735E-06</v>
      </c>
      <c r="S9">
        <f>so(P9,F$1,'Data Entry'!C$17,'Data Entry'!C$10,'Data Entry'!H$6,'Data Entry'!H$7,'Data Entry'!C$12,0,0)</f>
        <v>0.013179883377514905</v>
      </c>
      <c r="V9" t="s">
        <v>62</v>
      </c>
      <c r="W9" t="s">
        <v>63</v>
      </c>
    </row>
    <row r="10" spans="1:23" ht="14.25">
      <c r="A10" s="86"/>
      <c r="B10" s="86"/>
      <c r="C10" s="86"/>
      <c r="D10" s="86"/>
      <c r="E10" s="86"/>
      <c r="F10" s="86"/>
      <c r="G10" s="132"/>
      <c r="H10" s="86"/>
      <c r="I10" s="86"/>
      <c r="L10" s="75">
        <v>7</v>
      </c>
      <c r="M10" s="79">
        <f>elev(L10,F$1,'Data Entry'!C$17,'Data Entry'!C$10,'Data Entry'!H$6,'Data Entry'!H$7,'Data Entry'!C$12,'Data Entry'!C$13,'Data Entry'!C$14)</f>
        <v>1.2666666666666673</v>
      </c>
      <c r="N10" s="79">
        <f>so(M10,F$1,'Data Entry'!C$17,'Data Entry'!C$10,'Data Entry'!H$6,'Data Entry'!H$7,'Data Entry'!C$12,'Data Entry'!C$13,'Data Entry'!C$14)</f>
        <v>0.0646720130603583</v>
      </c>
      <c r="O10" s="79">
        <f>sw(M10,F$1,'Data Entry'!C$17,'Data Entry'!C$10,'Data Entry'!H$7,'Data Entry'!C$12,'Data Entry'!C$14)</f>
        <v>0.1649781027634049</v>
      </c>
      <c r="P10" s="79">
        <f>elev(L10,F$1,'Data Entry'!C$17,'Data Entry'!C$10,'Data Entry'!H$6,'Data Entry'!H$7,'Data Entry'!C$12,0,0)</f>
        <v>1.2360000000000007</v>
      </c>
      <c r="Q10">
        <f>kro(P10,F$1,'Data Entry'!C$17,'Data Entry'!C$10,'Data Entry'!H$6,'Data Entry'!H$7,'Data Entry'!C$12)</f>
        <v>5.050097091357269E-06</v>
      </c>
      <c r="S10">
        <f>so(P10,F$1,'Data Entry'!C$17,'Data Entry'!C$10,'Data Entry'!H$6,'Data Entry'!H$7,'Data Entry'!C$12,0,0)</f>
        <v>0.016746757802494204</v>
      </c>
      <c r="V10">
        <f>'Data Entry'!H10</f>
        <v>2.079999999999999</v>
      </c>
      <c r="W10">
        <v>0</v>
      </c>
    </row>
    <row r="11" spans="1:23" ht="14.25">
      <c r="A11" s="86"/>
      <c r="B11" s="86"/>
      <c r="C11" s="86"/>
      <c r="D11" s="86"/>
      <c r="E11" s="86"/>
      <c r="F11" s="86"/>
      <c r="G11" s="132"/>
      <c r="H11" s="86"/>
      <c r="I11" s="86"/>
      <c r="L11" s="75">
        <v>8</v>
      </c>
      <c r="M11" s="79">
        <f>elev(L11,F$1,'Data Entry'!C$17,'Data Entry'!C$10,'Data Entry'!H$6,'Data Entry'!H$7,'Data Entry'!C$12,'Data Entry'!C$13,'Data Entry'!C$14)</f>
        <v>1.233333333333334</v>
      </c>
      <c r="N11" s="79">
        <f>so(M11,F$1,'Data Entry'!C$17,'Data Entry'!C$10,'Data Entry'!H$6,'Data Entry'!H$7,'Data Entry'!C$12,'Data Entry'!C$13,'Data Entry'!C$14)</f>
        <v>0.06828955194892782</v>
      </c>
      <c r="O11" s="79">
        <f>sw(M11,F$1,'Data Entry'!C$17,'Data Entry'!C$10,'Data Entry'!H$7,'Data Entry'!C$12,'Data Entry'!C$14)</f>
        <v>0.16552935486896692</v>
      </c>
      <c r="P11" s="79">
        <f>elev(L11,F$1,'Data Entry'!C$17,'Data Entry'!C$10,'Data Entry'!H$6,'Data Entry'!H$7,'Data Entry'!C$12,0,0)</f>
        <v>1.2040000000000006</v>
      </c>
      <c r="Q11">
        <f>kro(P11,F$1,'Data Entry'!C$17,'Data Entry'!C$10,'Data Entry'!H$6,'Data Entry'!H$7,'Data Entry'!C$12)</f>
        <v>9.554736512466472E-06</v>
      </c>
      <c r="S11">
        <f>so(P11,F$1,'Data Entry'!C$17,'Data Entry'!C$10,'Data Entry'!H$6,'Data Entry'!H$7,'Data Entry'!C$12,0,0)</f>
        <v>0.021061094675498132</v>
      </c>
      <c r="V11">
        <f>V10</f>
        <v>2.079999999999999</v>
      </c>
      <c r="W11">
        <f>'Data Entry'!C13</f>
        <v>0.05</v>
      </c>
    </row>
    <row r="12" spans="1:23" ht="14.25">
      <c r="A12" s="86"/>
      <c r="B12" s="86"/>
      <c r="C12" s="86"/>
      <c r="D12" s="86"/>
      <c r="E12" s="86"/>
      <c r="F12" s="86"/>
      <c r="G12" s="132"/>
      <c r="H12" s="86"/>
      <c r="I12" s="86"/>
      <c r="L12" s="75">
        <v>9</v>
      </c>
      <c r="M12" s="79">
        <f>elev(L12,F$1,'Data Entry'!C$17,'Data Entry'!C$10,'Data Entry'!H$6,'Data Entry'!H$7,'Data Entry'!C$12,'Data Entry'!C$13,'Data Entry'!C$14)</f>
        <v>1.2000000000000006</v>
      </c>
      <c r="N12" s="79">
        <f>so(M12,F$1,'Data Entry'!C$17,'Data Entry'!C$10,'Data Entry'!H$6,'Data Entry'!H$7,'Data Entry'!C$12,'Data Entry'!C$13,'Data Entry'!C$14)</f>
        <v>0.07268843163961294</v>
      </c>
      <c r="O12" s="79">
        <f>sw(M12,F$1,'Data Entry'!C$17,'Data Entry'!C$10,'Data Entry'!H$7,'Data Entry'!C$12,'Data Entry'!C$14)</f>
        <v>0.1661078579494804</v>
      </c>
      <c r="P12" s="79">
        <f>elev(L12,F$1,'Data Entry'!C$17,'Data Entry'!C$10,'Data Entry'!H$6,'Data Entry'!H$7,'Data Entry'!C$12,0,0)</f>
        <v>1.1720000000000006</v>
      </c>
      <c r="Q12">
        <f>kro(P12,F$1,'Data Entry'!C$17,'Data Entry'!C$10,'Data Entry'!H$6,'Data Entry'!H$7,'Data Entry'!C$12)</f>
        <v>1.7838226885545092E-05</v>
      </c>
      <c r="S12">
        <f>so(P12,F$1,'Data Entry'!C$17,'Data Entry'!C$10,'Data Entry'!H$6,'Data Entry'!H$7,'Data Entry'!C$12,0,0)</f>
        <v>0.02630536553828934</v>
      </c>
      <c r="V12" s="121">
        <v>0</v>
      </c>
      <c r="W12">
        <f>W11</f>
        <v>0.05</v>
      </c>
    </row>
    <row r="13" spans="1:19" ht="14.25">
      <c r="A13" s="86"/>
      <c r="B13" s="86"/>
      <c r="C13" s="86"/>
      <c r="D13" s="86"/>
      <c r="E13" s="86"/>
      <c r="F13" s="86"/>
      <c r="G13" s="132"/>
      <c r="H13" s="86"/>
      <c r="I13" s="86"/>
      <c r="L13" s="75">
        <v>10</v>
      </c>
      <c r="M13" s="79">
        <f>elev(L13,F$1,'Data Entry'!C$17,'Data Entry'!C$10,'Data Entry'!H$6,'Data Entry'!H$7,'Data Entry'!C$12,'Data Entry'!C$13,'Data Entry'!C$14)</f>
        <v>1.1666666666666672</v>
      </c>
      <c r="N13" s="79">
        <f>so(M13,F$1,'Data Entry'!C$17,'Data Entry'!C$10,'Data Entry'!H$6,'Data Entry'!H$7,'Data Entry'!C$12,'Data Entry'!C$13,'Data Entry'!C$14)</f>
        <v>0.07806830204064263</v>
      </c>
      <c r="O13" s="79">
        <f>sw(M13,F$1,'Data Entry'!C$17,'Data Entry'!C$10,'Data Entry'!H$7,'Data Entry'!C$12,'Data Entry'!C$14)</f>
        <v>0.16671530459080552</v>
      </c>
      <c r="P13" s="79">
        <f>elev(L13,F$1,'Data Entry'!C$17,'Data Entry'!C$10,'Data Entry'!H$6,'Data Entry'!H$7,'Data Entry'!C$12,0,0)</f>
        <v>1.1400000000000006</v>
      </c>
      <c r="Q13">
        <f>kro(P13,F$1,'Data Entry'!C$17,'Data Entry'!C$10,'Data Entry'!H$6,'Data Entry'!H$7,'Data Entry'!C$12)</f>
        <v>3.3089745629197634E-05</v>
      </c>
      <c r="S13">
        <f>so(P13,F$1,'Data Entry'!C$17,'Data Entry'!C$10,'Data Entry'!H$6,'Data Entry'!H$7,'Data Entry'!C$12,0,0)</f>
        <v>0.0327149370386413</v>
      </c>
    </row>
    <row r="14" spans="1:19" ht="14.25">
      <c r="A14" s="86"/>
      <c r="B14" s="86"/>
      <c r="C14" s="86"/>
      <c r="D14" s="86"/>
      <c r="E14" s="86"/>
      <c r="F14" s="86"/>
      <c r="G14" s="132"/>
      <c r="H14" s="86"/>
      <c r="I14" s="86"/>
      <c r="L14" s="75">
        <v>11</v>
      </c>
      <c r="M14" s="79">
        <f>elev(L14,F$1,'Data Entry'!C$17,'Data Entry'!C$10,'Data Entry'!H$6,'Data Entry'!H$7,'Data Entry'!C$12,'Data Entry'!C$13,'Data Entry'!C$14)</f>
        <v>1.1333333333333337</v>
      </c>
      <c r="N14" s="79">
        <f>so(M14,F$1,'Data Entry'!C$17,'Data Entry'!C$10,'Data Entry'!H$6,'Data Entry'!H$7,'Data Entry'!C$12,'Data Entry'!C$13,'Data Entry'!C$14)</f>
        <v>0.08468964113777533</v>
      </c>
      <c r="O14" s="79">
        <f>sw(M14,F$1,'Data Entry'!C$17,'Data Entry'!C$10,'Data Entry'!H$7,'Data Entry'!C$12,'Data Entry'!C$14)</f>
        <v>0.16735351380466165</v>
      </c>
      <c r="P14" s="79">
        <f>elev(L14,F$1,'Data Entry'!C$17,'Data Entry'!C$10,'Data Entry'!H$6,'Data Entry'!H$7,'Data Entry'!C$12,0,0)</f>
        <v>1.1080000000000005</v>
      </c>
      <c r="Q14">
        <f>kro(P14,F$1,'Data Entry'!C$17,'Data Entry'!C$10,'Data Entry'!H$6,'Data Entry'!H$7,'Data Entry'!C$12)</f>
        <v>6.133132183535338E-05</v>
      </c>
      <c r="S14">
        <f>so(P14,F$1,'Data Entry'!C$17,'Data Entry'!C$10,'Data Entry'!H$6,'Data Entry'!H$7,'Data Entry'!C$12,0,0)</f>
        <v>0.04059563808887032</v>
      </c>
    </row>
    <row r="15" spans="1:23" ht="14.25">
      <c r="A15" s="86"/>
      <c r="B15" s="86"/>
      <c r="C15" s="86"/>
      <c r="D15" s="86"/>
      <c r="E15" s="86"/>
      <c r="F15" s="86"/>
      <c r="G15" s="132"/>
      <c r="H15" s="86"/>
      <c r="I15" s="86"/>
      <c r="L15" s="75">
        <v>12</v>
      </c>
      <c r="M15" s="79">
        <f>elev(L15,F$1,'Data Entry'!C$17,'Data Entry'!C$10,'Data Entry'!H$6,'Data Entry'!H$7,'Data Entry'!C$12,'Data Entry'!C$13,'Data Entry'!C$14)</f>
        <v>1.1000000000000005</v>
      </c>
      <c r="N15" s="79">
        <f>so(M15,F$1,'Data Entry'!C$17,'Data Entry'!C$10,'Data Entry'!H$6,'Data Entry'!H$7,'Data Entry'!C$12,'Data Entry'!C$13,'Data Entry'!C$14)</f>
        <v>0.09289499004719878</v>
      </c>
      <c r="O15" s="79">
        <f>sw(M15,F$1,'Data Entry'!C$17,'Data Entry'!C$10,'Data Entry'!H$7,'Data Entry'!C$12,'Data Entry'!C$14)</f>
        <v>0.16802444202540684</v>
      </c>
      <c r="P15" s="79">
        <f>elev(L15,F$1,'Data Entry'!C$17,'Data Entry'!C$10,'Data Entry'!H$6,'Data Entry'!H$7,'Data Entry'!C$12,0,0)</f>
        <v>1.0760000000000005</v>
      </c>
      <c r="Q15">
        <f>kro(P15,F$1,'Data Entry'!C$17,'Data Entry'!C$10,'Data Entry'!H$6,'Data Entry'!H$7,'Data Entry'!C$12)</f>
        <v>0.00011412616692021697</v>
      </c>
      <c r="S15">
        <f>so(P15,F$1,'Data Entry'!C$17,'Data Entry'!C$10,'Data Entry'!H$6,'Data Entry'!H$7,'Data Entry'!C$12,0,0)</f>
        <v>0.05034755760051038</v>
      </c>
      <c r="V15">
        <f>'Data Entry'!H9</f>
        <v>-2.25</v>
      </c>
      <c r="W15">
        <v>0</v>
      </c>
    </row>
    <row r="16" spans="1:23" ht="14.25">
      <c r="A16" s="86"/>
      <c r="B16" s="86"/>
      <c r="C16" s="86"/>
      <c r="D16" s="86"/>
      <c r="E16" s="86"/>
      <c r="F16" s="86"/>
      <c r="G16" s="132"/>
      <c r="H16" s="86"/>
      <c r="I16" s="86"/>
      <c r="L16" s="75">
        <v>13</v>
      </c>
      <c r="M16" s="79">
        <f>elev(L16,F$1,'Data Entry'!C$17,'Data Entry'!C$10,'Data Entry'!H$6,'Data Entry'!H$7,'Data Entry'!C$12,'Data Entry'!C$13,'Data Entry'!C$14)</f>
        <v>1.0666666666666673</v>
      </c>
      <c r="N16" s="79">
        <f>so(M16,F$1,'Data Entry'!C$17,'Data Entry'!C$10,'Data Entry'!H$6,'Data Entry'!H$7,'Data Entry'!C$12,'Data Entry'!C$13,'Data Entry'!C$14)</f>
        <v>0.10313805886907763</v>
      </c>
      <c r="O16" s="79">
        <f>sw(M16,F$1,'Data Entry'!C$17,'Data Entry'!C$10,'Data Entry'!H$7,'Data Entry'!C$12,'Data Entry'!C$14)</f>
        <v>0.16873019519191762</v>
      </c>
      <c r="P16" s="79">
        <f>elev(L16,F$1,'Data Entry'!C$17,'Data Entry'!C$10,'Data Entry'!H$6,'Data Entry'!H$7,'Data Entry'!C$12,0,0)</f>
        <v>1.0440000000000005</v>
      </c>
      <c r="Q16">
        <f>kro(P16,F$1,'Data Entry'!C$17,'Data Entry'!C$10,'Data Entry'!H$6,'Data Entry'!H$7,'Data Entry'!C$12)</f>
        <v>0.00021409282765782404</v>
      </c>
      <c r="S16">
        <f>so(P16,F$1,'Data Entry'!C$17,'Data Entry'!C$10,'Data Entry'!H$6,'Data Entry'!H$7,'Data Entry'!C$12,0,0)</f>
        <v>0.062497050455038214</v>
      </c>
      <c r="V16">
        <f>V15</f>
        <v>-2.25</v>
      </c>
      <c r="W16">
        <f>'Data Entry'!C14</f>
        <v>0.15</v>
      </c>
    </row>
    <row r="17" spans="1:23" ht="14.25">
      <c r="A17" s="86"/>
      <c r="B17" s="86"/>
      <c r="C17" s="86"/>
      <c r="D17" s="86"/>
      <c r="E17" s="86"/>
      <c r="F17" s="86"/>
      <c r="G17" s="132"/>
      <c r="H17" s="86"/>
      <c r="I17" s="86"/>
      <c r="L17" s="75">
        <v>14</v>
      </c>
      <c r="M17" s="79">
        <f>elev(L17,F$1,'Data Entry'!C$17,'Data Entry'!C$10,'Data Entry'!H$6,'Data Entry'!H$7,'Data Entry'!C$12,'Data Entry'!C$13,'Data Entry'!C$14)</f>
        <v>1.0333333333333339</v>
      </c>
      <c r="N17" s="79">
        <f>so(M17,F$1,'Data Entry'!C$17,'Data Entry'!C$10,'Data Entry'!H$6,'Data Entry'!H$7,'Data Entry'!C$12,'Data Entry'!C$13,'Data Entry'!C$14)</f>
        <v>0.11602323142357139</v>
      </c>
      <c r="O17" s="79">
        <f>sw(M17,F$1,'Data Entry'!C$17,'Data Entry'!C$10,'Data Entry'!H$7,'Data Entry'!C$12,'Data Entry'!C$14)</f>
        <v>0.16947304203316596</v>
      </c>
      <c r="P17" s="79">
        <f>elev(L17,F$1,'Data Entry'!C$17,'Data Entry'!C$10,'Data Entry'!H$6,'Data Entry'!H$7,'Data Entry'!C$12,0,0)</f>
        <v>1.0120000000000005</v>
      </c>
      <c r="Q17">
        <f>kro(P17,F$1,'Data Entry'!C$17,'Data Entry'!C$10,'Data Entry'!H$6,'Data Entry'!H$7,'Data Entry'!C$12)</f>
        <v>0.0004063603044785775</v>
      </c>
      <c r="S17">
        <f>so(P17,F$1,'Data Entry'!C$17,'Data Entry'!C$10,'Data Entry'!H$6,'Data Entry'!H$7,'Data Entry'!C$12,0,0)</f>
        <v>0.0777390073645449</v>
      </c>
      <c r="V17" s="121">
        <v>0</v>
      </c>
      <c r="W17">
        <f>W16</f>
        <v>0.15</v>
      </c>
    </row>
    <row r="18" spans="1:23" ht="14.25">
      <c r="A18" s="86"/>
      <c r="B18" s="86"/>
      <c r="C18" s="86"/>
      <c r="D18" s="86"/>
      <c r="E18" s="86"/>
      <c r="F18" s="86"/>
      <c r="G18" s="132"/>
      <c r="H18" s="86"/>
      <c r="I18" s="86"/>
      <c r="L18" s="75">
        <v>15</v>
      </c>
      <c r="M18" s="79">
        <f>elev(L18,F$1,'Data Entry'!C$17,'Data Entry'!C$10,'Data Entry'!H$6,'Data Entry'!H$7,'Data Entry'!C$12,'Data Entry'!C$13,'Data Entry'!C$14)</f>
        <v>1.0000000000000004</v>
      </c>
      <c r="N18" s="79">
        <f>so(M18,F$1,'Data Entry'!C$17,'Data Entry'!C$10,'Data Entry'!H$6,'Data Entry'!H$7,'Data Entry'!C$12,'Data Entry'!C$13,'Data Entry'!C$14)</f>
        <v>0.13235790742680403</v>
      </c>
      <c r="O18" s="79">
        <f>sw(M18,F$1,'Data Entry'!C$17,'Data Entry'!C$10,'Data Entry'!H$7,'Data Entry'!C$12,'Data Entry'!C$14)</f>
        <v>0.17025542869008864</v>
      </c>
      <c r="P18" s="79">
        <f>elev(L18,F$1,'Data Entry'!C$17,'Data Entry'!C$10,'Data Entry'!H$6,'Data Entry'!H$7,'Data Entry'!C$12,0,0)</f>
        <v>0.9800000000000004</v>
      </c>
      <c r="Q18">
        <f>kro(P18,F$1,'Data Entry'!C$17,'Data Entry'!C$10,'Data Entry'!H$6,'Data Entry'!H$7,'Data Entry'!C$12)</f>
        <v>0.0007828129968465624</v>
      </c>
      <c r="S18">
        <f>so(P18,F$1,'Data Entry'!C$17,'Data Entry'!C$10,'Data Entry'!H$6,'Data Entry'!H$7,'Data Entry'!C$12,0,0)</f>
        <v>0.0969905453844068</v>
      </c>
      <c r="V18">
        <v>0</v>
      </c>
      <c r="W18">
        <f>W12</f>
        <v>0.05</v>
      </c>
    </row>
    <row r="19" spans="1:19" ht="14.25">
      <c r="A19" s="86"/>
      <c r="B19" s="86"/>
      <c r="C19" s="86"/>
      <c r="D19" s="86"/>
      <c r="E19" s="86"/>
      <c r="F19" s="86"/>
      <c r="G19" s="132"/>
      <c r="H19" s="86"/>
      <c r="I19" s="86"/>
      <c r="L19" s="75">
        <v>16</v>
      </c>
      <c r="M19" s="79">
        <f>elev(L19,F$1,'Data Entry'!C$17,'Data Entry'!C$10,'Data Entry'!H$6,'Data Entry'!H$7,'Data Entry'!C$12,'Data Entry'!C$13,'Data Entry'!C$14)</f>
        <v>0.9666666666666671</v>
      </c>
      <c r="N19" s="79">
        <f>so(M19,F$1,'Data Entry'!C$17,'Data Entry'!C$10,'Data Entry'!H$6,'Data Entry'!H$7,'Data Entry'!C$12,'Data Entry'!C$13,'Data Entry'!C$14)</f>
        <v>0.1532182870618368</v>
      </c>
      <c r="O19" s="79">
        <f>sw(M19,F$1,'Data Entry'!C$17,'Data Entry'!C$10,'Data Entry'!H$7,'Data Entry'!C$12,'Data Entry'!C$14)</f>
        <v>0.17107999482206931</v>
      </c>
      <c r="P19" s="79">
        <f>elev(L19,F$1,'Data Entry'!C$17,'Data Entry'!C$10,'Data Entry'!H$6,'Data Entry'!H$7,'Data Entry'!C$12,0,0)</f>
        <v>0.9480000000000004</v>
      </c>
      <c r="Q19">
        <f>kro(P19,F$1,'Data Entry'!C$17,'Data Entry'!C$10,'Data Entry'!H$6,'Data Entry'!H$7,'Data Entry'!C$12)</f>
        <v>0.0015341749492523945</v>
      </c>
      <c r="S19">
        <f>so(P19,F$1,'Data Entry'!C$17,'Data Entry'!C$10,'Data Entry'!H$6,'Data Entry'!H$7,'Data Entry'!C$12,0,0)</f>
        <v>0.12145370920680981</v>
      </c>
    </row>
    <row r="20" spans="1:23" ht="14.25">
      <c r="A20" s="86"/>
      <c r="B20" s="86"/>
      <c r="C20" s="86"/>
      <c r="D20" s="86"/>
      <c r="E20" s="86"/>
      <c r="F20" s="86"/>
      <c r="G20" s="132"/>
      <c r="H20" s="86"/>
      <c r="I20" s="86"/>
      <c r="L20" s="75">
        <v>17</v>
      </c>
      <c r="M20" s="79">
        <f>elev(L20,F$1,'Data Entry'!C$17,'Data Entry'!C$10,'Data Entry'!H$6,'Data Entry'!H$7,'Data Entry'!C$12,'Data Entry'!C$13,'Data Entry'!C$14)</f>
        <v>0.9333333333333338</v>
      </c>
      <c r="N20" s="79">
        <f>so(M20,F$1,'Data Entry'!C$17,'Data Entry'!C$10,'Data Entry'!H$6,'Data Entry'!H$7,'Data Entry'!C$12,'Data Entry'!C$13,'Data Entry'!C$14)</f>
        <v>0.18002260806086742</v>
      </c>
      <c r="O20" s="79">
        <f>sw(M20,F$1,'Data Entry'!C$17,'Data Entry'!C$10,'Data Entry'!H$7,'Data Entry'!C$12,'Data Entry'!C$14)</f>
        <v>0.17194959136401594</v>
      </c>
      <c r="P20" s="79">
        <f>elev(L20,F$1,'Data Entry'!C$17,'Data Entry'!C$10,'Data Entry'!H$6,'Data Entry'!H$7,'Data Entry'!C$12,0,0)</f>
        <v>0.9160000000000004</v>
      </c>
      <c r="Q20">
        <f>kro(P20,F$1,'Data Entry'!C$17,'Data Entry'!C$10,'Data Entry'!H$6,'Data Entry'!H$7,'Data Entry'!C$12)</f>
        <v>0.0030627042915064868</v>
      </c>
      <c r="S20">
        <f>so(P20,F$1,'Data Entry'!C$17,'Data Entry'!C$10,'Data Entry'!H$6,'Data Entry'!H$7,'Data Entry'!C$12,0,0)</f>
        <v>0.15267474239169418</v>
      </c>
      <c r="V20">
        <f>V21</f>
        <v>0.5</v>
      </c>
      <c r="W20">
        <v>0.99</v>
      </c>
    </row>
    <row r="21" spans="1:23" ht="14.25">
      <c r="A21" s="86"/>
      <c r="B21" s="86"/>
      <c r="C21" s="86"/>
      <c r="D21" s="86"/>
      <c r="E21" s="86"/>
      <c r="F21" s="86"/>
      <c r="G21" s="132"/>
      <c r="H21" s="86"/>
      <c r="I21" s="86"/>
      <c r="L21" s="75">
        <v>18</v>
      </c>
      <c r="M21" s="79">
        <f>elev(L21,F$1,'Data Entry'!C$17,'Data Entry'!C$10,'Data Entry'!H$6,'Data Entry'!H$7,'Data Entry'!C$12,'Data Entry'!C$13,'Data Entry'!C$14)</f>
        <v>0.9000000000000005</v>
      </c>
      <c r="N21" s="79">
        <f>so(M21,F$1,'Data Entry'!C$17,'Data Entry'!C$10,'Data Entry'!H$6,'Data Entry'!H$7,'Data Entry'!C$12,'Data Entry'!C$13,'Data Entry'!C$14)</f>
        <v>0.21458770785979628</v>
      </c>
      <c r="O21" s="79">
        <f>sw(M21,F$1,'Data Entry'!C$17,'Data Entry'!C$10,'Data Entry'!H$7,'Data Entry'!C$12,'Data Entry'!C$14)</f>
        <v>0.17286730011984763</v>
      </c>
      <c r="P21" s="79">
        <f>elev(L21,F$1,'Data Entry'!C$17,'Data Entry'!C$10,'Data Entry'!H$6,'Data Entry'!H$7,'Data Entry'!C$12,0,0)</f>
        <v>0.8840000000000003</v>
      </c>
      <c r="Q21">
        <f>kro(P21,F$1,'Data Entry'!C$17,'Data Entry'!C$10,'Data Entry'!H$6,'Data Entry'!H$7,'Data Entry'!C$12)</f>
        <v>0.006224193914600528</v>
      </c>
      <c r="S21">
        <f>so(P21,F$1,'Data Entry'!C$17,'Data Entry'!C$10,'Data Entry'!H$6,'Data Entry'!H$7,'Data Entry'!C$12,0,0)</f>
        <v>0.1925633470717723</v>
      </c>
      <c r="V21">
        <f>'Distribution Charts'!F1*(1-'Data Entry'!C17)</f>
        <v>0.5</v>
      </c>
      <c r="W21">
        <v>1</v>
      </c>
    </row>
    <row r="22" spans="1:23" ht="14.25">
      <c r="A22" s="86"/>
      <c r="B22" s="86"/>
      <c r="C22" s="86"/>
      <c r="D22" s="86"/>
      <c r="E22" s="86"/>
      <c r="F22" s="86"/>
      <c r="G22" s="132"/>
      <c r="H22" s="86"/>
      <c r="I22" s="86"/>
      <c r="L22" s="75">
        <v>19</v>
      </c>
      <c r="M22" s="79">
        <f>elev(L22,F$1,'Data Entry'!C$17,'Data Entry'!C$10,'Data Entry'!H$6,'Data Entry'!H$7,'Data Entry'!C$12,'Data Entry'!C$13,'Data Entry'!C$14)</f>
        <v>0.8666666666666669</v>
      </c>
      <c r="N22" s="79">
        <f>so(M22,F$1,'Data Entry'!C$17,'Data Entry'!C$10,'Data Entry'!H$6,'Data Entry'!H$7,'Data Entry'!C$12,'Data Entry'!C$13,'Data Entry'!C$14)</f>
        <v>0.259101933591525</v>
      </c>
      <c r="O22" s="79">
        <f>sw(M22,F$1,'Data Entry'!C$17,'Data Entry'!C$10,'Data Entry'!H$7,'Data Entry'!C$12,'Data Entry'!C$14)</f>
        <v>0.17383645540046028</v>
      </c>
      <c r="P22" s="79">
        <f>elev(L22,F$1,'Data Entry'!C$17,'Data Entry'!C$10,'Data Entry'!H$6,'Data Entry'!H$7,'Data Entry'!C$12,0,0)</f>
        <v>0.8520000000000003</v>
      </c>
      <c r="Q22">
        <f>kro(P22,F$1,'Data Entry'!C$17,'Data Entry'!C$10,'Data Entry'!H$6,'Data Entry'!H$7,'Data Entry'!C$12)</f>
        <v>0.012829600577265237</v>
      </c>
      <c r="S22">
        <f>so(P22,F$1,'Data Entry'!C$17,'Data Entry'!C$10,'Data Entry'!H$6,'Data Entry'!H$7,'Data Entry'!C$12,0,0)</f>
        <v>0.2432847011256329</v>
      </c>
      <c r="V22">
        <f>-F1*'Data Entry'!C17</f>
        <v>-1.5</v>
      </c>
      <c r="W22">
        <v>1</v>
      </c>
    </row>
    <row r="23" spans="1:23" ht="14.25">
      <c r="A23" s="86"/>
      <c r="B23" s="86"/>
      <c r="C23" s="86"/>
      <c r="D23" s="86"/>
      <c r="E23" s="86"/>
      <c r="F23" s="86"/>
      <c r="G23" s="132"/>
      <c r="H23" s="86"/>
      <c r="I23" s="86"/>
      <c r="L23" s="75">
        <v>20</v>
      </c>
      <c r="M23" s="79">
        <f>elev(L23,F$1,'Data Entry'!C$17,'Data Entry'!C$10,'Data Entry'!H$6,'Data Entry'!H$7,'Data Entry'!C$12,'Data Entry'!C$13,'Data Entry'!C$14)</f>
        <v>0.8333333333333336</v>
      </c>
      <c r="N23" s="79">
        <f>so(M23,F$1,'Data Entry'!C$17,'Data Entry'!C$10,'Data Entry'!H$6,'Data Entry'!H$7,'Data Entry'!C$12,'Data Entry'!C$13,'Data Entry'!C$14)</f>
        <v>0.315861916719493</v>
      </c>
      <c r="O23" s="79">
        <f>sw(M23,F$1,'Data Entry'!C$17,'Data Entry'!C$10,'Data Entry'!H$7,'Data Entry'!C$12,'Data Entry'!C$14)</f>
        <v>0.17486066793919552</v>
      </c>
      <c r="P23" s="79">
        <f>elev(L23,F$1,'Data Entry'!C$17,'Data Entry'!C$10,'Data Entry'!H$6,'Data Entry'!H$7,'Data Entry'!C$12,0,0)</f>
        <v>0.8200000000000003</v>
      </c>
      <c r="Q23">
        <f>kro(P23,F$1,'Data Entry'!C$17,'Data Entry'!C$10,'Data Entry'!H$6,'Data Entry'!H$7,'Data Entry'!C$12)</f>
        <v>0.026595160589512768</v>
      </c>
      <c r="S23">
        <f>so(P23,F$1,'Data Entry'!C$17,'Data Entry'!C$10,'Data Entry'!H$6,'Data Entry'!H$7,'Data Entry'!C$12,0,0)</f>
        <v>0.30685065378112103</v>
      </c>
      <c r="V23">
        <f>V22</f>
        <v>-1.5</v>
      </c>
      <c r="W23">
        <v>0.99</v>
      </c>
    </row>
    <row r="24" spans="1:23" ht="14.25">
      <c r="A24" s="86"/>
      <c r="B24" s="86"/>
      <c r="C24" s="86"/>
      <c r="D24" s="86"/>
      <c r="E24" s="86"/>
      <c r="F24" s="86"/>
      <c r="G24" s="132"/>
      <c r="H24" s="86"/>
      <c r="I24" s="86"/>
      <c r="L24" s="75">
        <v>21</v>
      </c>
      <c r="M24" s="79">
        <f>elev(L24,F$1,'Data Entry'!C$17,'Data Entry'!C$10,'Data Entry'!H$6,'Data Entry'!H$7,'Data Entry'!C$12,'Data Entry'!C$13,'Data Entry'!C$14)</f>
        <v>0.8000000000000003</v>
      </c>
      <c r="N24" s="79">
        <f>so(M24,F$1,'Data Entry'!C$17,'Data Entry'!C$10,'Data Entry'!H$6,'Data Entry'!H$7,'Data Entry'!C$12,'Data Entry'!C$13,'Data Entry'!C$14)</f>
        <v>0.3864974635400168</v>
      </c>
      <c r="O24" s="79">
        <f>sw(M24,F$1,'Data Entry'!C$17,'Data Entry'!C$10,'Data Entry'!H$7,'Data Entry'!C$12,'Data Entry'!C$14)</f>
        <v>0.17594385134579285</v>
      </c>
      <c r="P24" s="79">
        <f>elev(L24,F$1,'Data Entry'!C$17,'Data Entry'!C$10,'Data Entry'!H$6,'Data Entry'!H$7,'Data Entry'!C$12,0,0)</f>
        <v>0.7880000000000003</v>
      </c>
      <c r="Q24">
        <f>kro(P24,F$1,'Data Entry'!C$17,'Data Entry'!C$10,'Data Entry'!H$6,'Data Entry'!H$7,'Data Entry'!C$12)</f>
        <v>0.05459156903332857</v>
      </c>
      <c r="S24">
        <f>so(P24,F$1,'Data Entry'!C$17,'Data Entry'!C$10,'Data Entry'!H$6,'Data Entry'!H$7,'Data Entry'!C$12,0,0)</f>
        <v>0.38415052579316733</v>
      </c>
      <c r="V24">
        <f>V20</f>
        <v>0.5</v>
      </c>
      <c r="W24">
        <v>0.99</v>
      </c>
    </row>
    <row r="25" spans="1:19" ht="14.25">
      <c r="A25" s="86"/>
      <c r="B25" s="86"/>
      <c r="C25" s="86"/>
      <c r="D25" s="86"/>
      <c r="E25" s="86"/>
      <c r="F25" s="86"/>
      <c r="G25" s="132"/>
      <c r="H25" s="86"/>
      <c r="I25" s="86"/>
      <c r="L25" s="75">
        <v>22</v>
      </c>
      <c r="M25" s="79">
        <f>elev(L25,F$1,'Data Entry'!C$17,'Data Entry'!C$10,'Data Entry'!H$6,'Data Entry'!H$7,'Data Entry'!C$12,'Data Entry'!C$13,'Data Entry'!C$14)</f>
        <v>0.7666666666666668</v>
      </c>
      <c r="N25" s="79">
        <f>so(M25,F$1,'Data Entry'!C$17,'Data Entry'!C$10,'Data Entry'!H$6,'Data Entry'!H$7,'Data Entry'!C$12,'Data Entry'!C$13,'Data Entry'!C$14)</f>
        <v>0.47038231800155306</v>
      </c>
      <c r="O25" s="79">
        <f>sw(M25,F$1,'Data Entry'!C$17,'Data Entry'!C$10,'Data Entry'!H$7,'Data Entry'!C$12,'Data Entry'!C$14)</f>
        <v>0.17709025139107096</v>
      </c>
      <c r="P25" s="79">
        <f>elev(L25,F$1,'Data Entry'!C$17,'Data Entry'!C$10,'Data Entry'!H$6,'Data Entry'!H$7,'Data Entry'!C$12,0,0)</f>
        <v>0.7560000000000002</v>
      </c>
      <c r="Q25">
        <f>kro(P25,F$1,'Data Entry'!C$17,'Data Entry'!C$10,'Data Entry'!H$6,'Data Entry'!H$7,'Data Entry'!C$12)</f>
        <v>0.10832047937654449</v>
      </c>
      <c r="S25">
        <f>so(P25,F$1,'Data Entry'!C$17,'Data Entry'!C$10,'Data Entry'!H$6,'Data Entry'!H$7,'Data Entry'!C$12,0,0)</f>
        <v>0.47326861988007196</v>
      </c>
    </row>
    <row r="26" spans="1:19" ht="14.25">
      <c r="A26" s="86"/>
      <c r="B26" s="86"/>
      <c r="C26" s="86"/>
      <c r="D26" s="86"/>
      <c r="E26" s="86"/>
      <c r="F26" s="86"/>
      <c r="G26" s="132"/>
      <c r="H26" s="86"/>
      <c r="I26" s="86"/>
      <c r="L26" s="75">
        <v>23</v>
      </c>
      <c r="M26" s="79">
        <f>elev(L26,F$1,'Data Entry'!C$17,'Data Entry'!C$10,'Data Entry'!H$6,'Data Entry'!H$7,'Data Entry'!C$12,'Data Entry'!C$13,'Data Entry'!C$14)</f>
        <v>0.7333333333333335</v>
      </c>
      <c r="N26" s="79">
        <f>so(M26,F$1,'Data Entry'!C$17,'Data Entry'!C$10,'Data Entry'!H$6,'Data Entry'!H$7,'Data Entry'!C$12,'Data Entry'!C$13,'Data Entry'!C$14)</f>
        <v>0.5624438505672562</v>
      </c>
      <c r="O26" s="79">
        <f>sw(M26,F$1,'Data Entry'!C$17,'Data Entry'!C$10,'Data Entry'!H$7,'Data Entry'!C$12,'Data Entry'!C$14)</f>
        <v>0.17830447844949396</v>
      </c>
      <c r="P26" s="79">
        <f>elev(L26,F$1,'Data Entry'!C$17,'Data Entry'!C$10,'Data Entry'!H$6,'Data Entry'!H$7,'Data Entry'!C$12,0,0)</f>
        <v>0.7240000000000002</v>
      </c>
      <c r="Q26">
        <f>kro(P26,F$1,'Data Entry'!C$17,'Data Entry'!C$10,'Data Entry'!H$6,'Data Entry'!H$7,'Data Entry'!C$12)</f>
        <v>0.20127006901911626</v>
      </c>
      <c r="S26">
        <f>so(P26,F$1,'Data Entry'!C$17,'Data Entry'!C$10,'Data Entry'!H$6,'Data Entry'!H$7,'Data Entry'!C$12,0,0)</f>
        <v>0.5676555659228565</v>
      </c>
    </row>
    <row r="27" spans="1:19" ht="14.25">
      <c r="A27" s="86"/>
      <c r="B27" s="86"/>
      <c r="C27" s="86"/>
      <c r="D27" s="86"/>
      <c r="E27" s="86"/>
      <c r="F27" s="86"/>
      <c r="G27" s="132"/>
      <c r="H27" s="86"/>
      <c r="I27" s="86"/>
      <c r="L27" s="75">
        <v>24</v>
      </c>
      <c r="M27" s="79">
        <f>elev(L27,F$1,'Data Entry'!C$17,'Data Entry'!C$10,'Data Entry'!H$6,'Data Entry'!H$7,'Data Entry'!C$12,'Data Entry'!C$13,'Data Entry'!C$14)</f>
        <v>0.7000000000000002</v>
      </c>
      <c r="N27" s="79">
        <f>so(M27,F$1,'Data Entry'!C$17,'Data Entry'!C$10,'Data Entry'!H$6,'Data Entry'!H$7,'Data Entry'!C$12,'Data Entry'!C$13,'Data Entry'!C$14)</f>
        <v>0.6521126611778516</v>
      </c>
      <c r="O27" s="79">
        <f>sw(M27,F$1,'Data Entry'!C$17,'Data Entry'!C$10,'Data Entry'!H$7,'Data Entry'!C$12,'Data Entry'!C$14)</f>
        <v>0.17959154346565795</v>
      </c>
      <c r="P27" s="79">
        <f>elev(L27,F$1,'Data Entry'!C$17,'Data Entry'!C$10,'Data Entry'!H$6,'Data Entry'!H$7,'Data Entry'!C$12,0,0)</f>
        <v>0.6920000000000002</v>
      </c>
      <c r="Q27">
        <f>kro(P27,F$1,'Data Entry'!C$17,'Data Entry'!C$10,'Data Entry'!H$6,'Data Entry'!H$7,'Data Entry'!C$12)</f>
        <v>0.3388154637324963</v>
      </c>
      <c r="S27">
        <f>so(P27,F$1,'Data Entry'!C$17,'Data Entry'!C$10,'Data Entry'!H$6,'Data Entry'!H$7,'Data Entry'!C$12,0,0)</f>
        <v>0.656109763974062</v>
      </c>
    </row>
    <row r="28" spans="1:19" ht="14.25">
      <c r="A28" s="86"/>
      <c r="B28" s="86"/>
      <c r="C28" s="86"/>
      <c r="D28" s="86"/>
      <c r="E28" s="86"/>
      <c r="F28" s="86"/>
      <c r="G28" s="132"/>
      <c r="H28" s="86"/>
      <c r="I28" s="86"/>
      <c r="L28" s="75">
        <v>25</v>
      </c>
      <c r="M28" s="79">
        <f>elev(L28,F$1,'Data Entry'!C$17,'Data Entry'!C$10,'Data Entry'!H$6,'Data Entry'!H$7,'Data Entry'!C$12,'Data Entry'!C$13,'Data Entry'!C$14)</f>
        <v>0.6666666666666669</v>
      </c>
      <c r="N28" s="79">
        <f>so(M28,F$1,'Data Entry'!C$17,'Data Entry'!C$10,'Data Entry'!H$6,'Data Entry'!H$7,'Data Entry'!C$12,'Data Entry'!C$13,'Data Entry'!C$14)</f>
        <v>0.7263226003463914</v>
      </c>
      <c r="O28" s="79">
        <f>sw(M28,F$1,'Data Entry'!C$17,'Data Entry'!C$10,'Data Entry'!H$7,'Data Entry'!C$12,'Data Entry'!C$14)</f>
        <v>0.18095689785390348</v>
      </c>
      <c r="P28" s="79">
        <f>elev(L28,F$1,'Data Entry'!C$17,'Data Entry'!C$10,'Data Entry'!H$6,'Data Entry'!H$7,'Data Entry'!C$12,0,0)</f>
        <v>0.6600000000000001</v>
      </c>
      <c r="Q28">
        <f>kro(P28,F$1,'Data Entry'!C$17,'Data Entry'!C$10,'Data Entry'!H$6,'Data Entry'!H$7,'Data Entry'!C$12)</f>
        <v>0.5048179488283221</v>
      </c>
      <c r="S28">
        <f>so(P28,F$1,'Data Entry'!C$17,'Data Entry'!C$10,'Data Entry'!H$6,'Data Entry'!H$7,'Data Entry'!C$12,0,0)</f>
        <v>0.7266738280612406</v>
      </c>
    </row>
    <row r="29" spans="12:19" ht="14.25">
      <c r="L29" s="75">
        <v>26</v>
      </c>
      <c r="M29" s="79">
        <f>elev(L29,F$1,'Data Entry'!C$17,'Data Entry'!C$10,'Data Entry'!H$6,'Data Entry'!H$7,'Data Entry'!C$12,'Data Entry'!C$13,'Data Entry'!C$14)</f>
        <v>0.6333333333333335</v>
      </c>
      <c r="N29" s="79">
        <f>so(M29,F$1,'Data Entry'!C$17,'Data Entry'!C$10,'Data Entry'!H$6,'Data Entry'!H$7,'Data Entry'!C$12,'Data Entry'!C$13,'Data Entry'!C$14)</f>
        <v>0.776354409620627</v>
      </c>
      <c r="O29" s="79">
        <f>sw(M29,F$1,'Data Entry'!C$17,'Data Entry'!C$10,'Data Entry'!H$7,'Data Entry'!C$12,'Data Entry'!C$14)</f>
        <v>0.1824064777880077</v>
      </c>
      <c r="P29" s="79">
        <f>elev(L29,F$1,'Data Entry'!C$17,'Data Entry'!C$10,'Data Entry'!H$6,'Data Entry'!H$7,'Data Entry'!C$12,0,0)</f>
        <v>0.6280000000000001</v>
      </c>
      <c r="Q29">
        <f>kro(P29,F$1,'Data Entry'!C$17,'Data Entry'!C$10,'Data Entry'!H$6,'Data Entry'!H$7,'Data Entry'!C$12)</f>
        <v>0.6630590191223888</v>
      </c>
      <c r="S29">
        <f>so(P29,F$1,'Data Entry'!C$17,'Data Entry'!C$10,'Data Entry'!H$6,'Data Entry'!H$7,'Data Entry'!C$12,0,0)</f>
        <v>0.7728037692873753</v>
      </c>
    </row>
    <row r="30" spans="12:19" ht="14.25">
      <c r="L30" s="75">
        <v>27</v>
      </c>
      <c r="M30" s="79">
        <f>elev(L30,F$1,'Data Entry'!C$17,'Data Entry'!C$10,'Data Entry'!H$6,'Data Entry'!H$7,'Data Entry'!C$12,'Data Entry'!C$13,'Data Entry'!C$14)</f>
        <v>0.6000000000000001</v>
      </c>
      <c r="N30" s="79">
        <f>so(M30,F$1,'Data Entry'!C$17,'Data Entry'!C$10,'Data Entry'!H$6,'Data Entry'!H$7,'Data Entry'!C$12,'Data Entry'!C$13,'Data Entry'!C$14)</f>
        <v>0.8024477489261206</v>
      </c>
      <c r="O30" s="79">
        <f>sw(M30,F$1,'Data Entry'!C$17,'Data Entry'!C$10,'Data Entry'!H$7,'Data Entry'!C$12,'Data Entry'!C$14)</f>
        <v>0.18394675339045674</v>
      </c>
      <c r="P30" s="79">
        <f>elev(L30,F$1,'Data Entry'!C$17,'Data Entry'!C$10,'Data Entry'!H$6,'Data Entry'!H$7,'Data Entry'!C$12,0,0)</f>
        <v>0.5960000000000001</v>
      </c>
      <c r="Q30">
        <f>kro(P30,F$1,'Data Entry'!C$17,'Data Entry'!C$10,'Data Entry'!H$6,'Data Entry'!H$7,'Data Entry'!C$12)</f>
        <v>0.7798957085237971</v>
      </c>
      <c r="S30">
        <f>so(P30,F$1,'Data Entry'!C$17,'Data Entry'!C$10,'Data Entry'!H$6,'Data Entry'!H$7,'Data Entry'!C$12,0,0)</f>
        <v>0.7962319368973104</v>
      </c>
    </row>
    <row r="31" spans="12:19" ht="14.25">
      <c r="L31" s="75">
        <v>28</v>
      </c>
      <c r="M31" s="79">
        <f>elev(L31,F$1,'Data Entry'!C$17,'Data Entry'!C$10,'Data Entry'!H$6,'Data Entry'!H$7,'Data Entry'!C$12,'Data Entry'!C$13,'Data Entry'!C$14)</f>
        <v>0.5666666666666668</v>
      </c>
      <c r="N31" s="79">
        <f>so(M31,F$1,'Data Entry'!C$17,'Data Entry'!C$10,'Data Entry'!H$6,'Data Entry'!H$7,'Data Entry'!C$12,'Data Entry'!C$13,'Data Entry'!C$14)</f>
        <v>0.811684278303342</v>
      </c>
      <c r="O31" s="79">
        <f>sw(M31,F$1,'Data Entry'!C$17,'Data Entry'!C$10,'Data Entry'!H$7,'Data Entry'!C$12,'Data Entry'!C$14)</f>
        <v>0.18558478338826265</v>
      </c>
      <c r="P31" s="79">
        <f>elev(L31,F$1,'Data Entry'!C$17,'Data Entry'!C$10,'Data Entry'!H$6,'Data Entry'!H$7,'Data Entry'!C$12,0,0)</f>
        <v>0.5640000000000001</v>
      </c>
      <c r="Q31">
        <f>kro(P31,F$1,'Data Entry'!C$17,'Data Entry'!C$10,'Data Entry'!H$6,'Data Entry'!H$7,'Data Entry'!C$12)</f>
        <v>0.8442136947988886</v>
      </c>
      <c r="S31">
        <f>so(P31,F$1,'Data Entry'!C$17,'Data Entry'!C$10,'Data Entry'!H$6,'Data Entry'!H$7,'Data Entry'!C$12,0,0)</f>
        <v>0.8041594188086149</v>
      </c>
    </row>
    <row r="32" spans="12:19" ht="14.25">
      <c r="L32" s="75">
        <v>29</v>
      </c>
      <c r="M32" s="79">
        <f>elev(L32,F$1,'Data Entry'!C$17,'Data Entry'!C$10,'Data Entry'!H$6,'Data Entry'!H$7,'Data Entry'!C$12,'Data Entry'!C$13,'Data Entry'!C$14)</f>
        <v>0.5333333333333334</v>
      </c>
      <c r="N32" s="79">
        <f>so(M32,F$1,'Data Entry'!C$17,'Data Entry'!C$10,'Data Entry'!H$6,'Data Entry'!H$7,'Data Entry'!C$12,'Data Entry'!C$13,'Data Entry'!C$14)</f>
        <v>0.8125004009500405</v>
      </c>
      <c r="O32" s="79">
        <f>sw(M32,F$1,'Data Entry'!C$17,'Data Entry'!C$10,'Data Entry'!H$7,'Data Entry'!C$12,'Data Entry'!C$14)</f>
        <v>0.18732827586461315</v>
      </c>
      <c r="P32" s="79">
        <f>elev(L32,F$1,'Data Entry'!C$17,'Data Entry'!C$10,'Data Entry'!H$6,'Data Entry'!H$7,'Data Entry'!C$12,0,0)</f>
        <v>0.532</v>
      </c>
      <c r="Q32">
        <f>kro(P32,F$1,'Data Entry'!C$17,'Data Entry'!C$10,'Data Entry'!H$6,'Data Entry'!H$7,'Data Entry'!C$12)</f>
        <v>0.866534169176763</v>
      </c>
      <c r="S32">
        <f>so(P32,F$1,'Data Entry'!C$17,'Data Entry'!C$10,'Data Entry'!H$6,'Data Entry'!H$7,'Data Entry'!C$12,0,0)</f>
        <v>0.8044307055912738</v>
      </c>
    </row>
    <row r="33" spans="12:19" ht="14.25">
      <c r="L33" s="75">
        <v>30</v>
      </c>
      <c r="M33" s="79">
        <f>elev(L33,F$1,'Data Entry'!C$17,'Data Entry'!C$10,'Data Entry'!H$6,'Data Entry'!H$7,'Data Entry'!C$12,'Data Entry'!C$13,'Data Entry'!C$14)</f>
        <v>0.5</v>
      </c>
      <c r="N33" s="79">
        <f>so(M33,F$1,'Data Entry'!C$17,'Data Entry'!C$10,'Data Entry'!H$6,'Data Entry'!H$7,'Data Entry'!C$12,'Data Entry'!C$13,'Data Entry'!C$14)</f>
        <v>0.8108143441974828</v>
      </c>
      <c r="O33" s="79">
        <f>sw(M33,F$1,'Data Entry'!C$17,'Data Entry'!C$10,'Data Entry'!H$7,'Data Entry'!C$12,'Data Entry'!C$14)</f>
        <v>0.1891856558025172</v>
      </c>
      <c r="P33" s="79">
        <f>elev(L33,F$1,'Data Entry'!C$17,'Data Entry'!C$10,'Data Entry'!H$6,'Data Entry'!H$7,'Data Entry'!C$12,0,0)</f>
        <v>0.5</v>
      </c>
      <c r="Q33">
        <f>kro(P33,F$1,'Data Entry'!C$17,'Data Entry'!C$10,'Data Entry'!H$6,'Data Entry'!H$7,'Data Entry'!C$12)</f>
        <v>0.8671583698489734</v>
      </c>
      <c r="S33">
        <f>so(P33,F$1,'Data Entry'!C$17,'Data Entry'!C$10,'Data Entry'!H$6,'Data Entry'!H$7,'Data Entry'!C$12,0,0)</f>
        <v>0.8024174179540863</v>
      </c>
    </row>
    <row r="34" spans="12:19" ht="14.25">
      <c r="L34" s="75">
        <v>31</v>
      </c>
      <c r="M34" s="79">
        <f>elev(L34,F$1,'Data Entry'!C$17,'Data Entry'!C$10,'Data Entry'!H$6,'Data Entry'!H$7,'Data Entry'!C$12,'Data Entry'!C$13,'Data Entry'!C$14)</f>
        <v>0.4</v>
      </c>
      <c r="N34" s="79">
        <f>so(M34,F$1,'Data Entry'!C$17,'Data Entry'!C$10,'Data Entry'!H$6,'Data Entry'!H$7,'Data Entry'!C$12,'Data Entry'!C$13,'Data Entry'!C$14)</f>
        <v>0.8044622394253675</v>
      </c>
      <c r="O34" s="79">
        <f>sw(M34,F$1,'Data Entry'!C$17,'Data Entry'!C$10,'Data Entry'!H$7,'Data Entry'!C$12,'Data Entry'!C$14)</f>
        <v>0.19553776057463246</v>
      </c>
      <c r="P34" s="79">
        <f>elev(L34,F$1,'Data Entry'!C$17,'Data Entry'!C$10,'Data Entry'!H$6,'Data Entry'!H$7,'Data Entry'!C$12,0,0)</f>
        <v>0.4</v>
      </c>
      <c r="Q34">
        <f>kro(P34,F$1,'Data Entry'!C$17,'Data Entry'!C$10,'Data Entry'!H$6,'Data Entry'!H$7,'Data Entry'!C$12)</f>
        <v>0.8567058217114575</v>
      </c>
      <c r="S34">
        <f>so(P34,F$1,'Data Entry'!C$17,'Data Entry'!C$10,'Data Entry'!H$6,'Data Entry'!H$7,'Data Entry'!C$12,0,0)</f>
        <v>0.7947041478736606</v>
      </c>
    </row>
    <row r="35" spans="12:19" ht="14.25">
      <c r="L35" s="75">
        <v>32</v>
      </c>
      <c r="M35" s="79">
        <f>elev(L35,F$1,'Data Entry'!C$17,'Data Entry'!C$10,'Data Entry'!H$6,'Data Entry'!H$7,'Data Entry'!C$12,'Data Entry'!C$13,'Data Entry'!C$14)</f>
        <v>0.3</v>
      </c>
      <c r="N35" s="79">
        <f>so(M35,F$1,'Data Entry'!C$17,'Data Entry'!C$10,'Data Entry'!H$6,'Data Entry'!H$7,'Data Entry'!C$12,'Data Entry'!C$13,'Data Entry'!C$14)</f>
        <v>0.7966954969364699</v>
      </c>
      <c r="O35" s="79">
        <f>sw(M35,F$1,'Data Entry'!C$17,'Data Entry'!C$10,'Data Entry'!H$7,'Data Entry'!C$12,'Data Entry'!C$14)</f>
        <v>0.20330450306353004</v>
      </c>
      <c r="P35" s="79">
        <f>elev(L35,F$1,'Data Entry'!C$17,'Data Entry'!C$10,'Data Entry'!H$6,'Data Entry'!H$7,'Data Entry'!C$12,0,0)</f>
        <v>0.3</v>
      </c>
      <c r="Q35">
        <f>kro(P35,F$1,'Data Entry'!C$17,'Data Entry'!C$10,'Data Entry'!H$6,'Data Entry'!H$7,'Data Entry'!C$12)</f>
        <v>0.8436012675744176</v>
      </c>
      <c r="S35">
        <f>so(P35,F$1,'Data Entry'!C$17,'Data Entry'!C$10,'Data Entry'!H$6,'Data Entry'!H$7,'Data Entry'!C$12,0,0)</f>
        <v>0.7852731034228564</v>
      </c>
    </row>
    <row r="36" spans="12:19" ht="14.25">
      <c r="L36" s="75">
        <v>33</v>
      </c>
      <c r="M36" s="79">
        <f>elev(L36,F$1,'Data Entry'!C$17,'Data Entry'!C$10,'Data Entry'!H$6,'Data Entry'!H$7,'Data Entry'!C$12,'Data Entry'!C$13,'Data Entry'!C$14)</f>
        <v>0.2</v>
      </c>
      <c r="N36" s="79">
        <f>so(M36,F$1,'Data Entry'!C$17,'Data Entry'!C$10,'Data Entry'!H$6,'Data Entry'!H$7,'Data Entry'!C$12,'Data Entry'!C$13,'Data Entry'!C$14)</f>
        <v>0.7871152776966289</v>
      </c>
      <c r="O36" s="79">
        <f>sw(M36,F$1,'Data Entry'!C$17,'Data Entry'!C$10,'Data Entry'!H$7,'Data Entry'!C$12,'Data Entry'!C$14)</f>
        <v>0.21288472230337105</v>
      </c>
      <c r="P36" s="79">
        <f>elev(L36,F$1,'Data Entry'!C$17,'Data Entry'!C$10,'Data Entry'!H$6,'Data Entry'!H$7,'Data Entry'!C$12,0,0)</f>
        <v>0.2</v>
      </c>
      <c r="Q36">
        <f>kro(P36,F$1,'Data Entry'!C$17,'Data Entry'!C$10,'Data Entry'!H$6,'Data Entry'!H$7,'Data Entry'!C$12)</f>
        <v>0.8270224701581077</v>
      </c>
      <c r="S36">
        <f>so(P36,F$1,'Data Entry'!C$17,'Data Entry'!C$10,'Data Entry'!H$6,'Data Entry'!H$7,'Data Entry'!C$12,0,0)</f>
        <v>0.7736399800601923</v>
      </c>
    </row>
    <row r="37" spans="12:19" ht="14.25">
      <c r="L37" s="75">
        <v>34</v>
      </c>
      <c r="M37" s="79">
        <f>elev(L37,F$1,'Data Entry'!C$17,'Data Entry'!C$10,'Data Entry'!H$6,'Data Entry'!H$7,'Data Entry'!C$12,'Data Entry'!C$13,'Data Entry'!C$14)</f>
        <v>0.09999999999999998</v>
      </c>
      <c r="N37" s="79">
        <f>so(M37,F$1,'Data Entry'!C$17,'Data Entry'!C$10,'Data Entry'!H$6,'Data Entry'!H$7,'Data Entry'!C$12,'Data Entry'!C$13,'Data Entry'!C$14)</f>
        <v>0.7751907607253545</v>
      </c>
      <c r="O37" s="79">
        <f>sw(M37,F$1,'Data Entry'!C$17,'Data Entry'!C$10,'Data Entry'!H$7,'Data Entry'!C$12,'Data Entry'!C$14)</f>
        <v>0.2248092392746454</v>
      </c>
      <c r="P37" s="79">
        <f>elev(L37,F$1,'Data Entry'!C$17,'Data Entry'!C$10,'Data Entry'!H$6,'Data Entry'!H$7,'Data Entry'!C$12,0,0)</f>
        <v>0.09999999999999998</v>
      </c>
      <c r="Q37">
        <f>kro(P37,F$1,'Data Entry'!C$17,'Data Entry'!C$10,'Data Entry'!H$6,'Data Entry'!H$7,'Data Entry'!C$12)</f>
        <v>0.8058628310338015</v>
      </c>
      <c r="S37">
        <f>so(P37,F$1,'Data Entry'!C$17,'Data Entry'!C$10,'Data Entry'!H$6,'Data Entry'!H$7,'Data Entry'!C$12,0,0)</f>
        <v>0.7591602094522163</v>
      </c>
    </row>
    <row r="38" spans="12:19" ht="14.25">
      <c r="L38" s="75">
        <v>35</v>
      </c>
      <c r="M38" s="79">
        <f>elev(L38,F$1,'Data Entry'!C$17,'Data Entry'!C$10,'Data Entry'!H$6,'Data Entry'!H$7,'Data Entry'!C$12,'Data Entry'!C$13,'Data Entry'!C$14)</f>
        <v>0</v>
      </c>
      <c r="N38" s="79">
        <f>so(M38,F$1,'Data Entry'!C$17,'Data Entry'!C$10,'Data Entry'!H$6,'Data Entry'!H$7,'Data Entry'!C$12,'Data Entry'!C$13,'Data Entry'!C$14)</f>
        <v>0.7602133308977188</v>
      </c>
      <c r="O38" s="79">
        <f>sw(M38,F$1,'Data Entry'!C$17,'Data Entry'!C$10,'Data Entry'!H$7,'Data Entry'!C$12,'Data Entry'!C$14)</f>
        <v>0.23978666910228125</v>
      </c>
      <c r="P38" s="79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Entry'!C$12)</f>
        <v>0.778639797545133</v>
      </c>
      <c r="S38">
        <f>so(P38,F$1,'Data Entry'!C$17,'Data Entry'!C$10,'Data Entry'!H$6,'Data Entry'!H$7,'Data Entry'!C$12,0,0)</f>
        <v>0.7409733303758013</v>
      </c>
    </row>
    <row r="39" spans="12:19" ht="14.25">
      <c r="L39" s="75">
        <v>36</v>
      </c>
      <c r="M39" s="79">
        <f>elev(L39,F$1,'Data Entry'!C$17,'Data Entry'!C$10,'Data Entry'!H$6,'Data Entry'!H$7,'Data Entry'!C$12,'Data Entry'!C$13,'Data Entry'!C$14)</f>
        <v>-0.09999999999999998</v>
      </c>
      <c r="N39" s="79">
        <f>so(M39,F$1,'Data Entry'!C$17,'Data Entry'!C$10,'Data Entry'!H$6,'Data Entry'!H$7,'Data Entry'!C$12,'Data Entry'!C$13,'Data Entry'!C$14)</f>
        <v>0.7412390033515819</v>
      </c>
      <c r="O39" s="79">
        <f>sw(M39,F$1,'Data Entry'!C$17,'Data Entry'!C$10,'Data Entry'!H$7,'Data Entry'!C$12,'Data Entry'!C$14)</f>
        <v>0.2587609966484181</v>
      </c>
      <c r="P39" s="79">
        <f>elev(L39,F$1,'Data Entry'!C$17,'Data Entry'!C$10,'Data Entry'!H$6,'Data Entry'!H$7,'Data Entry'!C$12,0,0)</f>
        <v>-0.09999999999999998</v>
      </c>
      <c r="Q39">
        <f>kro(P39,F$1,'Data Entry'!C$17,'Data Entry'!C$10,'Data Entry'!H$6,'Data Entry'!H$7,'Data Entry'!C$12)</f>
        <v>0.7433966268634036</v>
      </c>
      <c r="S39">
        <f>so(P39,F$1,'Data Entry'!C$17,'Data Entry'!C$10,'Data Entry'!H$6,'Data Entry'!H$7,'Data Entry'!C$12,0,0)</f>
        <v>0.7179330754983494</v>
      </c>
    </row>
    <row r="40" spans="12:19" ht="14.25">
      <c r="L40" s="75">
        <v>37</v>
      </c>
      <c r="M40" s="79">
        <f>elev(L40,F$1,'Data Entry'!C$17,'Data Entry'!C$10,'Data Entry'!H$6,'Data Entry'!H$7,'Data Entry'!C$12,'Data Entry'!C$13,'Data Entry'!C$14)</f>
        <v>-0.19999999999999996</v>
      </c>
      <c r="N40" s="79">
        <f>so(M40,F$1,'Data Entry'!C$17,'Data Entry'!C$10,'Data Entry'!H$6,'Data Entry'!H$7,'Data Entry'!C$12,'Data Entry'!C$13,'Data Entry'!C$14)</f>
        <v>0.7170243255032267</v>
      </c>
      <c r="O40" s="79">
        <f>sw(M40,F$1,'Data Entry'!C$17,'Data Entry'!C$10,'Data Entry'!H$7,'Data Entry'!C$12,'Data Entry'!C$14)</f>
        <v>0.28297567449677324</v>
      </c>
      <c r="P40" s="79">
        <f>elev(L40,F$1,'Data Entry'!C$17,'Data Entry'!C$10,'Data Entry'!H$6,'Data Entry'!H$7,'Data Entry'!C$12,0,0)</f>
        <v>-0.19999999999999996</v>
      </c>
      <c r="Q40">
        <f>kro(P40,F$1,'Data Entry'!C$17,'Data Entry'!C$10,'Data Entry'!H$6,'Data Entry'!H$7,'Data Entry'!C$12)</f>
        <v>0.6976375361111462</v>
      </c>
      <c r="S40">
        <f>so(P40,F$1,'Data Entry'!C$17,'Data Entry'!C$10,'Data Entry'!H$6,'Data Entry'!H$7,'Data Entry'!C$12,0,0)</f>
        <v>0.688529538111061</v>
      </c>
    </row>
    <row r="41" spans="12:19" ht="14.25">
      <c r="L41" s="75">
        <v>38</v>
      </c>
      <c r="M41" s="79">
        <f>elev(L41,F$1,'Data Entry'!C$17,'Data Entry'!C$10,'Data Entry'!H$6,'Data Entry'!H$7,'Data Entry'!C$12,'Data Entry'!C$13,'Data Entry'!C$14)</f>
        <v>-0.30000000000000004</v>
      </c>
      <c r="N41" s="79">
        <f>so(M41,F$1,'Data Entry'!C$17,'Data Entry'!C$10,'Data Entry'!H$6,'Data Entry'!H$7,'Data Entry'!C$12,'Data Entry'!C$13,'Data Entry'!C$14)</f>
        <v>0.6859768680178111</v>
      </c>
      <c r="O41" s="79">
        <f>sw(M41,F$1,'Data Entry'!C$17,'Data Entry'!C$10,'Data Entry'!H$7,'Data Entry'!C$12,'Data Entry'!C$14)</f>
        <v>0.3140231319821889</v>
      </c>
      <c r="P41" s="79">
        <f>elev(L41,F$1,'Data Entry'!C$17,'Data Entry'!C$10,'Data Entry'!H$6,'Data Entry'!H$7,'Data Entry'!C$12,0,0)</f>
        <v>-0.30000000000000004</v>
      </c>
      <c r="Q41">
        <f>kro(P41,F$1,'Data Entry'!C$17,'Data Entry'!C$10,'Data Entry'!H$6,'Data Entry'!H$7,'Data Entry'!C$12)</f>
        <v>0.6384033789869104</v>
      </c>
      <c r="S41">
        <f>so(P41,F$1,'Data Entry'!C$17,'Data Entry'!C$10,'Data Entry'!H$6,'Data Entry'!H$7,'Data Entry'!C$12,0,0)</f>
        <v>0.6508290540216277</v>
      </c>
    </row>
    <row r="42" spans="12:19" ht="14.25">
      <c r="L42" s="75">
        <v>39</v>
      </c>
      <c r="M42" s="79">
        <f>elev(L42,F$1,'Data Entry'!C$17,'Data Entry'!C$10,'Data Entry'!H$6,'Data Entry'!H$7,'Data Entry'!C$12,'Data Entry'!C$13,'Data Entry'!C$14)</f>
        <v>-0.4</v>
      </c>
      <c r="N42" s="79">
        <f>so(M42,F$1,'Data Entry'!C$17,'Data Entry'!C$10,'Data Entry'!H$6,'Data Entry'!H$7,'Data Entry'!C$12,'Data Entry'!C$13,'Data Entry'!C$14)</f>
        <v>0.6461789096320125</v>
      </c>
      <c r="O42" s="79">
        <f>sw(M42,F$1,'Data Entry'!C$17,'Data Entry'!C$10,'Data Entry'!H$7,'Data Entry'!C$12,'Data Entry'!C$14)</f>
        <v>0.3538210903679875</v>
      </c>
      <c r="P42" s="79">
        <f>elev(L42,F$1,'Data Entry'!C$17,'Data Entry'!C$10,'Data Entry'!H$6,'Data Entry'!H$7,'Data Entry'!C$12,0,0)</f>
        <v>-0.4</v>
      </c>
      <c r="Q42">
        <f>kro(P42,F$1,'Data Entry'!C$17,'Data Entry'!C$10,'Data Entry'!H$6,'Data Entry'!H$7,'Data Entry'!C$12)</f>
        <v>0.5627272922907964</v>
      </c>
      <c r="S42">
        <f>so(P42,F$1,'Data Entry'!C$17,'Data Entry'!C$10,'Data Entry'!H$6,'Data Entry'!H$7,'Data Entry'!C$12,0,0)</f>
        <v>0.6025029616960152</v>
      </c>
    </row>
    <row r="43" spans="12:19" ht="14.25">
      <c r="L43" s="75">
        <v>40</v>
      </c>
      <c r="M43" s="79">
        <f>elev(L43,F$1,'Data Entry'!C$17,'Data Entry'!C$10,'Data Entry'!H$6,'Data Entry'!H$7,'Data Entry'!C$12,'Data Entry'!C$13,'Data Entry'!C$14)</f>
        <v>-0.5</v>
      </c>
      <c r="N43" s="79">
        <f>so(M43,F$1,'Data Entry'!C$17,'Data Entry'!C$10,'Data Entry'!H$6,'Data Entry'!H$7,'Data Entry'!C$12,'Data Entry'!C$13,'Data Entry'!C$14)</f>
        <v>0.5956177384236472</v>
      </c>
      <c r="O43" s="79">
        <f>sw(M43,F$1,'Data Entry'!C$17,'Data Entry'!C$10,'Data Entry'!H$7,'Data Entry'!C$12,'Data Entry'!C$14)</f>
        <v>0.4043822615763528</v>
      </c>
      <c r="P43" s="79">
        <f>elev(L43,F$1,'Data Entry'!C$17,'Data Entry'!C$10,'Data Entry'!H$6,'Data Entry'!H$7,'Data Entry'!C$12,0,0)</f>
        <v>-0.5</v>
      </c>
      <c r="Q43">
        <f>kro(P43,F$1,'Data Entry'!C$17,'Data Entry'!C$10,'Data Entry'!H$6,'Data Entry'!H$7,'Data Entry'!C$12)</f>
        <v>0.4688990576407144</v>
      </c>
      <c r="S43">
        <f>so(P43,F$1,'Data Entry'!C$17,'Data Entry'!C$10,'Data Entry'!H$6,'Data Entry'!H$7,'Data Entry'!C$12,0,0)</f>
        <v>0.541107253800143</v>
      </c>
    </row>
    <row r="44" spans="12:19" ht="14.25">
      <c r="L44" s="75">
        <v>41</v>
      </c>
      <c r="M44" s="79">
        <f>elev(L44,F$1,'Data Entry'!C$17,'Data Entry'!C$10,'Data Entry'!H$6,'Data Entry'!H$7,'Data Entry'!C$12,'Data Entry'!C$13,'Data Entry'!C$14)</f>
        <v>-0.6000000000000001</v>
      </c>
      <c r="N44" s="79">
        <f>so(M44,F$1,'Data Entry'!C$17,'Data Entry'!C$10,'Data Entry'!H$6,'Data Entry'!H$7,'Data Entry'!C$12,'Data Entry'!C$13,'Data Entry'!C$14)</f>
        <v>0.532863849474916</v>
      </c>
      <c r="O44" s="79">
        <f>sw(M44,F$1,'Data Entry'!C$17,'Data Entry'!C$10,'Data Entry'!H$7,'Data Entry'!C$12,'Data Entry'!C$14)</f>
        <v>0.46713615052508395</v>
      </c>
      <c r="P44" s="79">
        <f>elev(L44,F$1,'Data Entry'!C$17,'Data Entry'!C$10,'Data Entry'!H$6,'Data Entry'!H$7,'Data Entry'!C$12,0,0)</f>
        <v>-0.6000000000000001</v>
      </c>
      <c r="Q44">
        <f>kro(P44,F$1,'Data Entry'!C$17,'Data Entry'!C$10,'Data Entry'!H$6,'Data Entry'!H$7,'Data Entry'!C$12)</f>
        <v>0.3589989800731179</v>
      </c>
      <c r="S44">
        <f>so(P44,F$1,'Data Entry'!C$17,'Data Entry'!C$10,'Data Entry'!H$6,'Data Entry'!H$7,'Data Entry'!C$12,0,0)</f>
        <v>0.4649061029338266</v>
      </c>
    </row>
    <row r="45" spans="12:19" ht="14.25">
      <c r="L45" s="75">
        <v>42</v>
      </c>
      <c r="M45" s="79">
        <f>elev(L45,F$1,'Data Entry'!C$17,'Data Entry'!C$10,'Data Entry'!H$6,'Data Entry'!H$7,'Data Entry'!C$12,'Data Entry'!C$13,'Data Entry'!C$14)</f>
        <v>-0.7</v>
      </c>
      <c r="N45" s="79">
        <f>so(M45,F$1,'Data Entry'!C$17,'Data Entry'!C$10,'Data Entry'!H$6,'Data Entry'!H$7,'Data Entry'!C$12,'Data Entry'!C$13,'Data Entry'!C$14)</f>
        <v>0.4584615017814535</v>
      </c>
      <c r="O45" s="79">
        <f>sw(M45,F$1,'Data Entry'!C$17,'Data Entry'!C$10,'Data Entry'!H$7,'Data Entry'!C$12,'Data Entry'!C$14)</f>
        <v>0.5415384982185465</v>
      </c>
      <c r="P45" s="79">
        <f>elev(L45,F$1,'Data Entry'!C$17,'Data Entry'!C$10,'Data Entry'!H$6,'Data Entry'!H$7,'Data Entry'!C$12,0,0)</f>
        <v>-0.7</v>
      </c>
      <c r="Q45">
        <f>kro(P45,F$1,'Data Entry'!C$17,'Data Entry'!C$10,'Data Entry'!H$6,'Data Entry'!H$7,'Data Entry'!C$12)</f>
        <v>0.24227791323309447</v>
      </c>
      <c r="S45">
        <f>so(P45,F$1,'Data Entry'!C$17,'Data Entry'!C$10,'Data Entry'!H$6,'Data Entry'!H$7,'Data Entry'!C$12,0,0)</f>
        <v>0.37456039502033645</v>
      </c>
    </row>
    <row r="46" spans="12:19" ht="14.25">
      <c r="L46" s="75">
        <v>43</v>
      </c>
      <c r="M46" s="79">
        <f>elev(L46,F$1,'Data Entry'!C$17,'Data Entry'!C$10,'Data Entry'!H$6,'Data Entry'!H$7,'Data Entry'!C$12,'Data Entry'!C$13,'Data Entry'!C$14)</f>
        <v>-0.8</v>
      </c>
      <c r="N46" s="79">
        <f>so(M46,F$1,'Data Entry'!C$17,'Data Entry'!C$10,'Data Entry'!H$6,'Data Entry'!H$7,'Data Entry'!C$12,'Data Entry'!C$13,'Data Entry'!C$14)</f>
        <v>0.37684521211034305</v>
      </c>
      <c r="O46" s="79">
        <f>sw(M46,F$1,'Data Entry'!C$17,'Data Entry'!C$10,'Data Entry'!H$7,'Data Entry'!C$12,'Data Entry'!C$14)</f>
        <v>0.623154787889657</v>
      </c>
      <c r="P46" s="79">
        <f>elev(L46,F$1,'Data Entry'!C$17,'Data Entry'!C$10,'Data Entry'!H$6,'Data Entry'!H$7,'Data Entry'!C$12,0,0)</f>
        <v>-0.8</v>
      </c>
      <c r="Q46">
        <f>kro(P46,F$1,'Data Entry'!C$17,'Data Entry'!C$10,'Data Entry'!H$6,'Data Entry'!H$7,'Data Entry'!C$12)</f>
        <v>0.13617080460138412</v>
      </c>
      <c r="S46">
        <f>so(P46,F$1,'Data Entry'!C$17,'Data Entry'!C$10,'Data Entry'!H$6,'Data Entry'!H$7,'Data Entry'!C$12,0,0)</f>
        <v>0.27545490041970233</v>
      </c>
    </row>
    <row r="47" spans="12:19" ht="14.25">
      <c r="L47" s="75">
        <v>44</v>
      </c>
      <c r="M47" s="79">
        <f>elev(L47,F$1,'Data Entry'!C$17,'Data Entry'!C$10,'Data Entry'!H$6,'Data Entry'!H$7,'Data Entry'!C$12,'Data Entry'!C$13,'Data Entry'!C$14)</f>
        <v>-0.8999999999999999</v>
      </c>
      <c r="N47" s="79">
        <f>so(M47,F$1,'Data Entry'!C$17,'Data Entry'!C$10,'Data Entry'!H$6,'Data Entry'!H$7,'Data Entry'!C$12,'Data Entry'!C$13,'Data Entry'!C$14)</f>
        <v>0.2972588209369288</v>
      </c>
      <c r="O47" s="79">
        <f>sw(M47,F$1,'Data Entry'!C$17,'Data Entry'!C$10,'Data Entry'!H$7,'Data Entry'!C$12,'Data Entry'!C$14)</f>
        <v>0.7027411790630712</v>
      </c>
      <c r="P47" s="79">
        <f>elev(L47,F$1,'Data Entry'!C$17,'Data Entry'!C$10,'Data Entry'!H$6,'Data Entry'!H$7,'Data Entry'!C$12,0,0)</f>
        <v>-0.8999999999999999</v>
      </c>
      <c r="Q47">
        <f>kro(P47,F$1,'Data Entry'!C$17,'Data Entry'!C$10,'Data Entry'!H$6,'Data Entry'!H$7,'Data Entry'!C$12)</f>
        <v>0.05937673043621688</v>
      </c>
      <c r="S47">
        <f>so(P47,F$1,'Data Entry'!C$17,'Data Entry'!C$10,'Data Entry'!H$6,'Data Entry'!H$7,'Data Entry'!C$12,0,0)</f>
        <v>0.17881428256627074</v>
      </c>
    </row>
    <row r="48" spans="12:19" ht="14.25">
      <c r="L48" s="75">
        <v>45</v>
      </c>
      <c r="M48" s="79">
        <f>elev(L48,F$1,'Data Entry'!C$17,'Data Entry'!C$10,'Data Entry'!H$6,'Data Entry'!H$7,'Data Entry'!C$12,'Data Entry'!C$13,'Data Entry'!C$14)</f>
        <v>-1</v>
      </c>
      <c r="N48" s="79">
        <f>so(M48,F$1,'Data Entry'!C$17,'Data Entry'!C$10,'Data Entry'!H$6,'Data Entry'!H$7,'Data Entry'!C$12,'Data Entry'!C$13,'Data Entry'!C$14)</f>
        <v>0.23113043907474162</v>
      </c>
      <c r="O48" s="79">
        <f>sw(M48,F$1,'Data Entry'!C$17,'Data Entry'!C$10,'Data Entry'!H$7,'Data Entry'!C$12,'Data Entry'!C$14)</f>
        <v>0.7688695609252584</v>
      </c>
      <c r="P48" s="79">
        <f>elev(L48,F$1,'Data Entry'!C$17,'Data Entry'!C$10,'Data Entry'!H$6,'Data Entry'!H$7,'Data Entry'!C$12,0,0)</f>
        <v>-1</v>
      </c>
      <c r="Q48">
        <f>kro(P48,F$1,'Data Entry'!C$17,'Data Entry'!C$10,'Data Entry'!H$6,'Data Entry'!H$7,'Data Entry'!C$12)</f>
        <v>0.01850268097681468</v>
      </c>
      <c r="S48">
        <f>so(P48,F$1,'Data Entry'!C$17,'Data Entry'!C$10,'Data Entry'!H$6,'Data Entry'!H$7,'Data Entry'!C$12,0,0)</f>
        <v>0.09851553316218631</v>
      </c>
    </row>
    <row r="49" spans="12:19" ht="14.25">
      <c r="L49" s="75">
        <v>46</v>
      </c>
      <c r="M49" s="79">
        <f>elev(L49,F$1,'Data Entry'!C$17,'Data Entry'!C$10,'Data Entry'!H$6,'Data Entry'!H$7,'Data Entry'!C$12,'Data Entry'!C$13,'Data Entry'!C$14)</f>
        <v>-1.1</v>
      </c>
      <c r="N49" s="79">
        <f>so(M49,F$1,'Data Entry'!C$17,'Data Entry'!C$10,'Data Entry'!H$6,'Data Entry'!H$7,'Data Entry'!C$12,'Data Entry'!C$13,'Data Entry'!C$14)</f>
        <v>0.18608422351744447</v>
      </c>
      <c r="O49" s="79">
        <f>sw(M49,F$1,'Data Entry'!C$17,'Data Entry'!C$10,'Data Entry'!H$7,'Data Entry'!C$12,'Data Entry'!C$14)</f>
        <v>0.8139157764825555</v>
      </c>
      <c r="P49" s="79">
        <f>elev(L49,F$1,'Data Entry'!C$17,'Data Entry'!C$10,'Data Entry'!H$6,'Data Entry'!H$7,'Data Entry'!C$12,0,0)</f>
        <v>-1.1</v>
      </c>
      <c r="Q49">
        <f>kro(P49,F$1,'Data Entry'!C$17,'Data Entry'!C$10,'Data Entry'!H$6,'Data Entry'!H$7,'Data Entry'!C$12)</f>
        <v>0.0037227946782391304</v>
      </c>
      <c r="S49">
        <f>so(P49,F$1,'Data Entry'!C$17,'Data Entry'!C$10,'Data Entry'!H$6,'Data Entry'!H$7,'Data Entry'!C$12,0,0)</f>
        <v>0.04381655712832533</v>
      </c>
    </row>
    <row r="50" spans="12:19" ht="14.25">
      <c r="L50" s="75">
        <v>47</v>
      </c>
      <c r="M50" s="79">
        <f>elev(L50,F$1,'Data Entry'!C$17,'Data Entry'!C$10,'Data Entry'!H$6,'Data Entry'!H$7,'Data Entry'!C$12,'Data Entry'!C$13,'Data Entry'!C$14)</f>
        <v>-1.2</v>
      </c>
      <c r="N50" s="79">
        <f>so(M50,F$1,'Data Entry'!C$17,'Data Entry'!C$10,'Data Entry'!H$6,'Data Entry'!H$7,'Data Entry'!C$12,'Data Entry'!C$13,'Data Entry'!C$14)</f>
        <v>0.16190481047299465</v>
      </c>
      <c r="O50" s="79">
        <f>sw(M50,F$1,'Data Entry'!C$17,'Data Entry'!C$10,'Data Entry'!H$7,'Data Entry'!C$12,'Data Entry'!C$14)</f>
        <v>0.8380951895270053</v>
      </c>
      <c r="P50" s="79">
        <f>elev(L50,F$1,'Data Entry'!C$17,'Data Entry'!C$10,'Data Entry'!H$6,'Data Entry'!H$7,'Data Entry'!C$12,0,0)</f>
        <v>-1.2</v>
      </c>
      <c r="Q50">
        <f>kro(P50,F$1,'Data Entry'!C$17,'Data Entry'!C$10,'Data Entry'!H$6,'Data Entry'!H$7,'Data Entry'!C$12)</f>
        <v>0.00040879943911241554</v>
      </c>
      <c r="S50">
        <f>so(P50,F$1,'Data Entry'!C$17,'Data Entry'!C$10,'Data Entry'!H$6,'Data Entry'!H$7,'Data Entry'!C$12,0,0)</f>
        <v>0.014455841288636306</v>
      </c>
    </row>
    <row r="51" spans="12:19" ht="14.25">
      <c r="L51" s="75">
        <v>48</v>
      </c>
      <c r="M51" s="79">
        <f>elev(L51,F$1,'Data Entry'!C$17,'Data Entry'!C$10,'Data Entry'!H$6,'Data Entry'!H$7,'Data Entry'!C$12,'Data Entry'!C$13,'Data Entry'!C$14)</f>
        <v>-1.3</v>
      </c>
      <c r="N51" s="79">
        <f>so(M51,F$1,'Data Entry'!C$17,'Data Entry'!C$10,'Data Entry'!H$6,'Data Entry'!H$7,'Data Entry'!C$12,'Data Entry'!C$13,'Data Entry'!C$14)</f>
        <v>0.15238957101984585</v>
      </c>
      <c r="O51" s="79">
        <f>sw(M51,F$1,'Data Entry'!C$17,'Data Entry'!C$10,'Data Entry'!H$7,'Data Entry'!C$12,'Data Entry'!C$14)</f>
        <v>0.8476104289801542</v>
      </c>
      <c r="P51" s="79">
        <f>elev(L51,F$1,'Data Entry'!C$17,'Data Entry'!C$10,'Data Entry'!H$6,'Data Entry'!H$7,'Data Entry'!C$12,0,0)</f>
        <v>-1.3</v>
      </c>
      <c r="Q51">
        <f>kro(P51,F$1,'Data Entry'!C$17,'Data Entry'!C$10,'Data Entry'!H$6,'Data Entry'!H$7,'Data Entry'!C$12)</f>
        <v>1.652686010496119E-05</v>
      </c>
      <c r="S51">
        <f>so(P51,F$1,'Data Entry'!C$17,'Data Entry'!C$10,'Data Entry'!H$6,'Data Entry'!H$7,'Data Entry'!C$12,0,0)</f>
        <v>0.002901621952669964</v>
      </c>
    </row>
    <row r="52" spans="12:19" ht="14.25">
      <c r="L52" s="75">
        <v>49</v>
      </c>
      <c r="M52" s="79">
        <f>elev(L52,F$1,'Data Entry'!C$17,'Data Entry'!C$10,'Data Entry'!H$6,'Data Entry'!H$7,'Data Entry'!C$12,'Data Entry'!C$13,'Data Entry'!C$14)</f>
        <v>-1.4</v>
      </c>
      <c r="N52" s="79">
        <f>so(M52,F$1,'Data Entry'!C$17,'Data Entry'!C$10,'Data Entry'!H$6,'Data Entry'!H$7,'Data Entry'!C$12,'Data Entry'!C$13,'Data Entry'!C$14)</f>
        <v>0.15014990778717807</v>
      </c>
      <c r="O52" s="79">
        <f>sw(M52,F$1,'Data Entry'!C$17,'Data Entry'!C$10,'Data Entry'!H$7,'Data Entry'!C$12,'Data Entry'!C$14)</f>
        <v>0.8498500922128219</v>
      </c>
      <c r="P52" s="79">
        <f>elev(L52,F$1,'Data Entry'!C$17,'Data Entry'!C$10,'Data Entry'!H$6,'Data Entry'!H$7,'Data Entry'!C$12,0,0)</f>
        <v>-1.4</v>
      </c>
      <c r="Q52">
        <f>kro(P52,F$1,'Data Entry'!C$17,'Data Entry'!C$10,'Data Entry'!H$6,'Data Entry'!H$7,'Data Entry'!C$12)</f>
        <v>6.509484867381698E-08</v>
      </c>
      <c r="S52">
        <f>so(P52,F$1,'Data Entry'!C$17,'Data Entry'!C$10,'Data Entry'!H$6,'Data Entry'!H$7,'Data Entry'!C$12,0,0)</f>
        <v>0.000182030884430473</v>
      </c>
    </row>
    <row r="53" spans="12:19" ht="14.25">
      <c r="L53" s="75">
        <v>50</v>
      </c>
      <c r="M53" s="79">
        <f>elev(L53,F$1,'Data Entry'!C$17,'Data Entry'!C$10,'Data Entry'!H$6,'Data Entry'!H$7,'Data Entry'!C$12,'Data Entry'!C$13,'Data Entry'!C$14)</f>
        <v>-1.5</v>
      </c>
      <c r="N53" s="79">
        <f>so(M53,F$1,'Data Entry'!C$17,'Data Entry'!C$10,'Data Entry'!H$6,'Data Entry'!H$7,'Data Entry'!C$12,'Data Entry'!C$13,'Data Entry'!C$14)</f>
        <v>0.15000000000000002</v>
      </c>
      <c r="O53" s="79">
        <f>sw(M53,F$1,'Data Entry'!C$17,'Data Entry'!C$10,'Data Entry'!H$7,'Data Entry'!C$12,'Data Entry'!C$14)</f>
        <v>0.85</v>
      </c>
      <c r="P53" s="79">
        <f>elev(L53,F$1,'Data Entry'!C$17,'Data Entry'!C$10,'Data Entry'!H$6,'Data Entry'!H$7,'Data Entry'!C$12,0,0)</f>
        <v>-1.5</v>
      </c>
      <c r="Q53">
        <f>kro(P53,F$1,'Data Entry'!C$17,'Data Entry'!C$10,'Data Entry'!H$6,'Data Entry'!H$7,'Data Entry'!C$12)</f>
        <v>0</v>
      </c>
      <c r="S53">
        <f>so(P53,F$1,'Data Entry'!C$17,'Data Entry'!C$10,'Data Entry'!H$6,'Data Entry'!H$7,'Data Entry'!C$12,0,0)</f>
        <v>0</v>
      </c>
    </row>
    <row r="54" spans="13:14" ht="14.25">
      <c r="M54" s="79">
        <f>-F1*'Data Entry'!C17</f>
        <v>-1.5</v>
      </c>
      <c r="N54" s="7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5" customWidth="1"/>
    <col min="4" max="4" width="3.7109375" style="75" customWidth="1"/>
    <col min="5" max="5" width="12.7109375" style="7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6"/>
      <c r="B1" s="113"/>
      <c r="C1" s="113"/>
      <c r="D1" s="113"/>
      <c r="E1" s="113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116"/>
      <c r="B2" s="118" t="s">
        <v>38</v>
      </c>
      <c r="C2" s="113"/>
      <c r="D2" s="113"/>
      <c r="E2" s="113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/>
      <c r="B3" s="113"/>
      <c r="C3" s="113"/>
      <c r="D3" s="113"/>
      <c r="E3" s="113"/>
      <c r="F3" s="86"/>
      <c r="G3" s="86"/>
      <c r="H3" s="86"/>
      <c r="I3" s="86"/>
      <c r="J3" s="86"/>
      <c r="K3" s="162" t="s">
        <v>42</v>
      </c>
      <c r="L3" s="163"/>
      <c r="M3" s="86"/>
      <c r="N3" s="86"/>
    </row>
    <row r="4" spans="1:14" ht="15.75">
      <c r="A4" s="86"/>
      <c r="B4" s="137" t="s">
        <v>84</v>
      </c>
      <c r="C4" s="184">
        <v>2</v>
      </c>
      <c r="D4" s="113"/>
      <c r="E4" s="155" t="s">
        <v>39</v>
      </c>
      <c r="F4" s="138"/>
      <c r="G4" s="86"/>
      <c r="H4" s="155" t="s">
        <v>40</v>
      </c>
      <c r="I4" s="138"/>
      <c r="J4" s="86"/>
      <c r="K4" s="158" t="s">
        <v>92</v>
      </c>
      <c r="L4" s="159"/>
      <c r="M4" s="86"/>
      <c r="N4" s="86"/>
    </row>
    <row r="5" spans="1:14" ht="15.75">
      <c r="A5" s="86"/>
      <c r="B5" s="140" t="s">
        <v>82</v>
      </c>
      <c r="C5" s="185">
        <v>30</v>
      </c>
      <c r="D5" s="113"/>
      <c r="E5" s="140" t="s">
        <v>86</v>
      </c>
      <c r="F5" s="185">
        <v>1</v>
      </c>
      <c r="G5" s="86"/>
      <c r="H5" s="140" t="s">
        <v>90</v>
      </c>
      <c r="I5" s="180">
        <v>0</v>
      </c>
      <c r="J5" s="86"/>
      <c r="K5" s="160" t="s">
        <v>93</v>
      </c>
      <c r="L5" s="161"/>
      <c r="M5" s="86"/>
      <c r="N5" s="86"/>
    </row>
    <row r="6" spans="1:14" ht="15.75">
      <c r="A6" s="86"/>
      <c r="B6" s="154" t="s">
        <v>87</v>
      </c>
      <c r="C6" s="186">
        <v>2</v>
      </c>
      <c r="D6" s="113"/>
      <c r="E6" s="141" t="s">
        <v>88</v>
      </c>
      <c r="F6" s="186">
        <v>5</v>
      </c>
      <c r="G6" s="86"/>
      <c r="H6" s="140" t="s">
        <v>91</v>
      </c>
      <c r="I6" s="185">
        <v>10</v>
      </c>
      <c r="J6" s="86"/>
      <c r="K6" s="86"/>
      <c r="L6" s="86"/>
      <c r="M6" s="86"/>
      <c r="N6" s="86"/>
    </row>
    <row r="7" spans="1:14" ht="15.75">
      <c r="A7" s="86"/>
      <c r="B7" s="137" t="s">
        <v>81</v>
      </c>
      <c r="C7" s="184">
        <v>1</v>
      </c>
      <c r="D7" s="113"/>
      <c r="E7" s="141" t="s">
        <v>85</v>
      </c>
      <c r="F7" s="186">
        <v>200</v>
      </c>
      <c r="G7" s="86"/>
      <c r="H7" s="156" t="s">
        <v>41</v>
      </c>
      <c r="I7" s="186">
        <v>0.9</v>
      </c>
      <c r="J7" s="86"/>
      <c r="K7" s="167" t="s">
        <v>109</v>
      </c>
      <c r="L7" s="168"/>
      <c r="M7" s="86"/>
      <c r="N7" s="86"/>
    </row>
    <row r="8" spans="1:17" ht="15.75">
      <c r="A8" s="86"/>
      <c r="B8" s="141" t="s">
        <v>83</v>
      </c>
      <c r="C8" s="186">
        <v>0.33</v>
      </c>
      <c r="D8" s="113"/>
      <c r="E8" s="130" t="s">
        <v>89</v>
      </c>
      <c r="F8" s="173">
        <f>IF(F5&gt;0,(1440*F5/7.48)*LN(F7/C8)/(2*PI()*C7*F6),0)</f>
        <v>39.2612741083483</v>
      </c>
      <c r="G8" s="86"/>
      <c r="H8" s="157" t="s">
        <v>112</v>
      </c>
      <c r="I8" s="165">
        <f>IF(I5&gt;0,(1/1440)*2*PI()*C7*I7*I6*(-I9)/(0.018*LN(C5/C8)),0)</f>
        <v>0</v>
      </c>
      <c r="J8" s="86"/>
      <c r="K8" s="169" t="s">
        <v>110</v>
      </c>
      <c r="L8" s="170"/>
      <c r="M8" s="86"/>
      <c r="N8" s="86"/>
      <c r="P8" t="s">
        <v>45</v>
      </c>
      <c r="Q8" t="s">
        <v>34</v>
      </c>
    </row>
    <row r="9" spans="1:17" ht="15.75">
      <c r="A9" s="86"/>
      <c r="B9" s="131" t="s">
        <v>57</v>
      </c>
      <c r="C9" s="113"/>
      <c r="D9" s="113"/>
      <c r="E9" s="113"/>
      <c r="F9" s="86"/>
      <c r="G9" s="86"/>
      <c r="H9" s="130" t="s">
        <v>113</v>
      </c>
      <c r="I9" s="173">
        <f>-33.89*I5</f>
        <v>0</v>
      </c>
      <c r="J9" s="86"/>
      <c r="K9" s="171" t="s">
        <v>111</v>
      </c>
      <c r="L9" s="172">
        <f>F8*((C5^2*LN(F7/C5)-C8^2*LN(F7/C8))/((C5^2-C8^2)*LN(F7/C8))+1/(2*LN(F7/C8)))+I9*((C5^2*LN(C5/C5)-C8^2*LN(C5/C8))/((C5^2-C8^2)*LN(C5/C8))+1/(2*LN(C5/C8)))</f>
        <v>14.685945286363783</v>
      </c>
      <c r="M9" s="86"/>
      <c r="N9" s="86"/>
      <c r="P9" s="117">
        <f>IF(C33&lt;C4,C33,)</f>
        <v>0.43452840400629744</v>
      </c>
      <c r="Q9">
        <f>IF(C33&lt;C4,'Work Chart'!B6,0)</f>
        <v>1.08</v>
      </c>
    </row>
    <row r="10" spans="1:17" ht="12.75">
      <c r="A10" s="86"/>
      <c r="B10" s="113"/>
      <c r="C10" s="113"/>
      <c r="D10" s="113"/>
      <c r="E10" s="113"/>
      <c r="F10" s="86"/>
      <c r="G10" s="86"/>
      <c r="H10" s="86"/>
      <c r="I10" s="86"/>
      <c r="J10" s="86"/>
      <c r="K10" s="86"/>
      <c r="L10" s="86"/>
      <c r="M10" s="86"/>
      <c r="N10" s="86"/>
      <c r="P10" s="117">
        <f>IF(C34&lt;C4,C34,P9)</f>
        <v>0.43452840400629744</v>
      </c>
      <c r="Q10">
        <f>IF(P10&gt;P9,'Work Chart'!B5,Q9)</f>
        <v>1.08</v>
      </c>
    </row>
    <row r="11" spans="1:14" ht="12.75">
      <c r="A11" s="86"/>
      <c r="B11" s="113"/>
      <c r="C11" s="113"/>
      <c r="D11" s="113"/>
      <c r="E11" s="113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2.75">
      <c r="A12" s="86"/>
      <c r="B12" s="113"/>
      <c r="C12" s="113"/>
      <c r="D12" s="113"/>
      <c r="E12" s="113"/>
      <c r="F12" s="86"/>
      <c r="G12" s="86"/>
      <c r="H12" s="86"/>
      <c r="I12" s="86"/>
      <c r="J12" s="86"/>
      <c r="K12" s="86"/>
      <c r="L12" s="86"/>
      <c r="M12" s="86"/>
      <c r="N12" s="86"/>
    </row>
    <row r="13" spans="1:17" ht="12.75">
      <c r="A13" s="86"/>
      <c r="B13" s="113"/>
      <c r="C13" s="113"/>
      <c r="D13" s="113"/>
      <c r="E13" s="113"/>
      <c r="F13" s="86"/>
      <c r="G13" s="86"/>
      <c r="H13" s="86"/>
      <c r="I13" s="86"/>
      <c r="J13" s="86"/>
      <c r="K13" s="86"/>
      <c r="L13" s="86"/>
      <c r="M13" s="86"/>
      <c r="N13" s="86"/>
      <c r="P13" t="s">
        <v>45</v>
      </c>
      <c r="Q13" t="s">
        <v>46</v>
      </c>
    </row>
    <row r="14" spans="1:17" ht="12.75">
      <c r="A14" s="86"/>
      <c r="B14" s="113"/>
      <c r="C14" s="113"/>
      <c r="D14" s="113"/>
      <c r="E14" s="113"/>
      <c r="F14" s="86"/>
      <c r="G14" s="86"/>
      <c r="H14" s="86"/>
      <c r="I14" s="86"/>
      <c r="J14" s="86"/>
      <c r="K14" s="86"/>
      <c r="L14" s="86"/>
      <c r="M14" s="86"/>
      <c r="N14" s="86"/>
      <c r="P14">
        <v>0</v>
      </c>
      <c r="Q14">
        <f>7.48*PI()*C5^2*'Work Chart'!C7</f>
        <v>18477.415919437502</v>
      </c>
    </row>
    <row r="15" spans="1:17" ht="12.75">
      <c r="A15" s="86"/>
      <c r="B15" s="113"/>
      <c r="C15" s="113"/>
      <c r="D15" s="113"/>
      <c r="E15" s="113"/>
      <c r="F15" s="86"/>
      <c r="G15" s="86"/>
      <c r="H15" s="86"/>
      <c r="I15" s="86"/>
      <c r="J15" s="86"/>
      <c r="K15" s="86"/>
      <c r="L15" s="86"/>
      <c r="M15" s="86"/>
      <c r="N15" s="86"/>
      <c r="P15">
        <f>C4</f>
        <v>2</v>
      </c>
      <c r="Q15">
        <f>Q14</f>
        <v>18477.415919437502</v>
      </c>
    </row>
    <row r="16" spans="1:14" ht="12.75">
      <c r="A16" s="86"/>
      <c r="B16" s="113"/>
      <c r="C16" s="113"/>
      <c r="D16" s="113"/>
      <c r="E16" s="113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2.75">
      <c r="A17" s="86"/>
      <c r="B17" s="113"/>
      <c r="C17" s="113"/>
      <c r="D17" s="113"/>
      <c r="E17" s="113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2.75">
      <c r="A18" s="86"/>
      <c r="B18" s="113"/>
      <c r="C18" s="113"/>
      <c r="D18" s="113"/>
      <c r="E18" s="113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2.75">
      <c r="A19" s="86"/>
      <c r="B19" s="113"/>
      <c r="C19" s="113"/>
      <c r="D19" s="113"/>
      <c r="E19" s="113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2.75">
      <c r="A20" s="86"/>
      <c r="B20" s="113"/>
      <c r="C20" s="113"/>
      <c r="D20" s="113"/>
      <c r="E20" s="113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2.75">
      <c r="A21" s="86"/>
      <c r="B21" s="113"/>
      <c r="C21" s="113"/>
      <c r="D21" s="113"/>
      <c r="E21" s="113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2.75">
      <c r="A22" s="86"/>
      <c r="B22" s="113"/>
      <c r="C22" s="113"/>
      <c r="D22" s="113"/>
      <c r="E22" s="113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2.75">
      <c r="A23" s="86"/>
      <c r="B23" s="113"/>
      <c r="C23" s="113"/>
      <c r="D23" s="113"/>
      <c r="E23" s="113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2.75">
      <c r="A24" s="86"/>
      <c r="B24" s="113"/>
      <c r="C24" s="113"/>
      <c r="D24" s="113"/>
      <c r="E24" s="113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>
      <c r="A25" s="86"/>
      <c r="B25" s="113"/>
      <c r="C25" s="113"/>
      <c r="D25" s="113"/>
      <c r="E25" s="113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2.75">
      <c r="A26" s="86"/>
      <c r="B26" s="113"/>
      <c r="C26" s="113"/>
      <c r="D26" s="113"/>
      <c r="E26" s="113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2.75">
      <c r="A27" s="86"/>
      <c r="B27" s="113"/>
      <c r="C27" s="113"/>
      <c r="D27" s="113"/>
      <c r="E27" s="113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2.75">
      <c r="A28" s="86"/>
      <c r="B28" s="113"/>
      <c r="C28" s="113"/>
      <c r="D28" s="113"/>
      <c r="E28" s="113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2.75">
      <c r="A29" s="86"/>
      <c r="B29" s="114" t="s">
        <v>43</v>
      </c>
      <c r="C29" s="115">
        <f>'Data Entry'!C9*((1-'Data Entry'!C17)*'Data Entry'!C13+'Data Entry'!C17*'Data Entry'!C14)</f>
        <v>0.049999999999999996</v>
      </c>
      <c r="D29" s="113"/>
      <c r="E29" s="113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>
      <c r="A30" s="86"/>
      <c r="B30" s="113" t="s">
        <v>94</v>
      </c>
      <c r="C30" s="164">
        <f>('Data Entry'!C17*(1440*F5/7.48)/(PI()*C5^2*C6*F6))</f>
        <v>0.005106575714178461</v>
      </c>
      <c r="D30" s="113"/>
      <c r="E30" s="113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5.75">
      <c r="A31" s="86"/>
      <c r="B31" s="113" t="s">
        <v>95</v>
      </c>
      <c r="C31" s="164">
        <f>'Data Entry'!C17*0.018*(1440*I8)/(PI()*C5^2*C6*I7*I6)</f>
        <v>0</v>
      </c>
      <c r="D31" s="113"/>
      <c r="E31" s="113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>
      <c r="A32" s="86"/>
      <c r="B32" s="113" t="s">
        <v>96</v>
      </c>
      <c r="C32" s="164">
        <f>(1-'Data Entry'!C17)*'Data Entry'!C17*C7/(C5^2*C6*LN(C5/C8))</f>
        <v>2.3097538842411272E-05</v>
      </c>
      <c r="D32" s="113"/>
      <c r="E32" s="113"/>
      <c r="F32" s="86"/>
      <c r="G32" s="86"/>
      <c r="H32" s="86"/>
      <c r="I32" s="86"/>
      <c r="J32" s="86"/>
      <c r="K32" s="86"/>
      <c r="L32" s="86"/>
      <c r="M32" s="86"/>
      <c r="N32" s="86"/>
    </row>
    <row r="33" spans="2:6" ht="15.75">
      <c r="B33" s="113" t="s">
        <v>97</v>
      </c>
      <c r="C33" s="148">
        <f>tt2('Work Chart'!B6,'Work Chart'!B7,'Work Chart'!F7,'Work Chart'!G7,'Work Chart'!H7,Well!C29,Well!C30,Well!C31,Well!C32)</f>
        <v>0.43452840400629744</v>
      </c>
      <c r="D33" s="113"/>
      <c r="E33" s="113"/>
      <c r="F33" s="86"/>
    </row>
    <row r="34" spans="2:6" ht="15.75">
      <c r="B34" s="113" t="s">
        <v>98</v>
      </c>
      <c r="C34" s="148">
        <f>tt1('Work Chart'!B5,'Work Chart'!B6,'Work Chart'!F6,'Work Chart'!G6,'Work Chart'!H6,Well!C29,Well!C30,Well!C31,Well!C32,Well!C33)</f>
        <v>9.96593101597618</v>
      </c>
      <c r="D34" s="113"/>
      <c r="E34" s="113"/>
      <c r="F34" s="86"/>
    </row>
    <row r="35" spans="2:6" ht="12.75">
      <c r="B35" s="113"/>
      <c r="C35" s="113"/>
      <c r="D35" s="113"/>
      <c r="E35" s="113"/>
      <c r="F35" s="86"/>
    </row>
    <row r="36" spans="2:6" ht="12.75">
      <c r="B36" s="113"/>
      <c r="C36" s="113"/>
      <c r="D36" s="113"/>
      <c r="E36" s="113"/>
      <c r="F36" s="86"/>
    </row>
    <row r="37" spans="2:9" ht="15.75">
      <c r="B37" s="113" t="s">
        <v>44</v>
      </c>
      <c r="C37" s="113" t="s">
        <v>103</v>
      </c>
      <c r="E37" s="113" t="s">
        <v>102</v>
      </c>
      <c r="F37" s="113" t="s">
        <v>101</v>
      </c>
      <c r="H37" s="113" t="s">
        <v>100</v>
      </c>
      <c r="I37" s="75" t="s">
        <v>99</v>
      </c>
    </row>
    <row r="38" spans="2:9" ht="12.75">
      <c r="B38" s="113">
        <v>0</v>
      </c>
      <c r="C38" s="148">
        <f>tmrec(B38,C$34,C$33,0,C$4)</f>
        <v>0</v>
      </c>
      <c r="E38" s="113">
        <f aca="true" t="shared" si="0" ref="E38:E78">C38*365</f>
        <v>0</v>
      </c>
      <c r="F38" s="147">
        <f>bot(E38,365*C$33,365*C$34,'Work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8" s="147">
        <f>7.48*PI()*C$5^2*vo_recover(F38,C$29,'Work Chart'!B$5,'Work Chart'!B$6,'Work Chart'!B$7,'Work Chart'!F$5,'Work Chart'!F$6,'Work Chart'!F$7)</f>
        <v>0</v>
      </c>
      <c r="I38" s="145">
        <f>IF((C$30+C$31)&gt;0,('Data Entry'!C$17*F38/C$6)*1440*((F$5/7.48)/F$6+0.018*I$8/(I$7*I$6)),PI()*(1-'Data Entry'!C$17)*'Data Entry'!C$17*C$7*F38^2/(C$6*LN(C$5/C$8)))*kro_b(F38,'Work Chart'!B$5,'Work Chart'!B$6,'Work Chart'!G$6,'Work Chart'!G$7,'Work Chart'!H$5,'Work Chart'!H$6,'Work Chart'!H$7)*7.48</f>
        <v>205.55605460228986</v>
      </c>
    </row>
    <row r="39" spans="2:9" ht="12.75">
      <c r="B39" s="113">
        <v>1</v>
      </c>
      <c r="C39" s="148">
        <f aca="true" t="shared" si="1" ref="C39:C78">tmrec(B39,C$34,C$33,0,C$4)</f>
        <v>0</v>
      </c>
      <c r="E39" s="149">
        <f t="shared" si="0"/>
        <v>0</v>
      </c>
      <c r="F39" s="147">
        <f>bot(E39,365*C$33,365*C$34,'Work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9" s="147">
        <f>7.48*PI()*C$5^2*vo_recover(F39,C$29,'Work Chart'!B$5,'Work Chart'!B$6,'Work Chart'!B$7,'Work Chart'!F$5,'Work Chart'!F$6,'Work Chart'!F$7)</f>
        <v>0</v>
      </c>
      <c r="I39" s="145">
        <f>IF((C$30+C$31)&gt;0,('Data Entry'!C$17*F39/C$6)*1440*((F$5/7.48)/F$6+0.018*I$8/(I$7*I$6)),PI()*(1-'Data Entry'!C$17)*'Data Entry'!C$17*C$7*F39^2/(C$6*LN(C$5/C$8)))*kro_b(F39,'Work Chart'!B$5,'Work Chart'!B$6,'Work Chart'!G$6,'Work Chart'!G$7,'Work Chart'!H$5,'Work Chart'!H$6,'Work Chart'!H$7)*7.48</f>
        <v>205.55605460228986</v>
      </c>
    </row>
    <row r="40" spans="2:9" ht="12.75">
      <c r="B40" s="113">
        <v>2</v>
      </c>
      <c r="C40" s="148">
        <f t="shared" si="1"/>
        <v>0</v>
      </c>
      <c r="E40" s="149">
        <f t="shared" si="0"/>
        <v>0</v>
      </c>
      <c r="F40" s="147">
        <f>bot(E40,365*C$33,365*C$34,'Work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0" s="147">
        <f>7.48*PI()*C$5^2*vo_recover(F40,C$29,'Work Chart'!B$5,'Work Chart'!B$6,'Work Chart'!B$7,'Work Chart'!F$5,'Work Chart'!F$6,'Work Chart'!F$7)</f>
        <v>0</v>
      </c>
      <c r="I40" s="145">
        <f>IF((C$30+C$31)&gt;0,('Data Entry'!C$17*F40/C$6)*1440*((F$5/7.48)/F$6+0.018*I$8/(I$7*I$6)),PI()*(1-'Data Entry'!C$17)*'Data Entry'!C$17*C$7*F40^2/(C$6*LN(C$5/C$8)))*kro_b(F40,'Work Chart'!B$5,'Work Chart'!B$6,'Work Chart'!G$6,'Work Chart'!G$7,'Work Chart'!H$5,'Work Chart'!H$6,'Work Chart'!H$7)*7.48</f>
        <v>205.55605460228986</v>
      </c>
    </row>
    <row r="41" spans="2:9" ht="12.75">
      <c r="B41" s="113">
        <v>3</v>
      </c>
      <c r="C41" s="148">
        <f t="shared" si="1"/>
        <v>0</v>
      </c>
      <c r="E41" s="149">
        <f t="shared" si="0"/>
        <v>0</v>
      </c>
      <c r="F41" s="147">
        <f>bot(E41,365*C$33,365*C$34,'Work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1" s="147">
        <f>7.48*PI()*C$5^2*vo_recover(F41,C$29,'Work Chart'!B$5,'Work Chart'!B$6,'Work Chart'!B$7,'Work Chart'!F$5,'Work Chart'!F$6,'Work Chart'!F$7)</f>
        <v>0</v>
      </c>
      <c r="I41" s="145">
        <f>IF((C$30+C$31)&gt;0,('Data Entry'!C$17*F41/C$6)*1440*((F$5/7.48)/F$6+0.018*I$8/(I$7*I$6)),PI()*(1-'Data Entry'!C$17)*'Data Entry'!C$17*C$7*F41^2/(C$6*LN(C$5/C$8)))*kro_b(F41,'Work Chart'!B$5,'Work Chart'!B$6,'Work Chart'!G$6,'Work Chart'!G$7,'Work Chart'!H$5,'Work Chart'!H$6,'Work Chart'!H$7)*7.48</f>
        <v>205.55605460228986</v>
      </c>
    </row>
    <row r="42" spans="2:9" ht="12.75">
      <c r="B42" s="113">
        <v>4</v>
      </c>
      <c r="C42" s="148">
        <f t="shared" si="1"/>
        <v>0</v>
      </c>
      <c r="E42" s="149">
        <f t="shared" si="0"/>
        <v>0</v>
      </c>
      <c r="F42" s="147">
        <f>bot(E42,365*C$33,365*C$34,'Work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2" s="147">
        <f>7.48*PI()*C$5^2*vo_recover(F42,C$29,'Work Chart'!B$5,'Work Chart'!B$6,'Work Chart'!B$7,'Work Chart'!F$5,'Work Chart'!F$6,'Work Chart'!F$7)</f>
        <v>0</v>
      </c>
      <c r="I42" s="145">
        <f>IF((C$30+C$31)&gt;0,('Data Entry'!C$17*F42/C$6)*1440*((F$5/7.48)/F$6+0.018*I$8/(I$7*I$6)),PI()*(1-'Data Entry'!C$17)*'Data Entry'!C$17*C$7*F42^2/(C$6*LN(C$5/C$8)))*kro_b(F42,'Work Chart'!B$5,'Work Chart'!B$6,'Work Chart'!G$6,'Work Chart'!G$7,'Work Chart'!H$5,'Work Chart'!H$6,'Work Chart'!H$7)*7.48</f>
        <v>205.55605460228986</v>
      </c>
    </row>
    <row r="43" spans="2:9" ht="12.75">
      <c r="B43" s="113">
        <v>5</v>
      </c>
      <c r="C43" s="148">
        <f t="shared" si="1"/>
        <v>0</v>
      </c>
      <c r="E43" s="149">
        <f t="shared" si="0"/>
        <v>0</v>
      </c>
      <c r="F43" s="147">
        <f>bot(E43,365*C$33,365*C$34,'Work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3" s="147">
        <f>7.48*PI()*C$5^2*vo_recover(F43,C$29,'Work Chart'!B$5,'Work Chart'!B$6,'Work Chart'!B$7,'Work Chart'!F$5,'Work Chart'!F$6,'Work Chart'!F$7)</f>
        <v>0</v>
      </c>
      <c r="I43" s="145">
        <f>IF((C$30+C$31)&gt;0,('Data Entry'!C$17*F43/C$6)*1440*((F$5/7.48)/F$6+0.018*I$8/(I$7*I$6)),PI()*(1-'Data Entry'!C$17)*'Data Entry'!C$17*C$7*F43^2/(C$6*LN(C$5/C$8)))*kro_b(F43,'Work Chart'!B$5,'Work Chart'!B$6,'Work Chart'!G$6,'Work Chart'!G$7,'Work Chart'!H$5,'Work Chart'!H$6,'Work Chart'!H$7)*7.48</f>
        <v>205.55605460228986</v>
      </c>
    </row>
    <row r="44" spans="2:9" ht="12.75">
      <c r="B44" s="113">
        <v>6</v>
      </c>
      <c r="C44" s="148">
        <f t="shared" si="1"/>
        <v>0</v>
      </c>
      <c r="E44" s="149">
        <f t="shared" si="0"/>
        <v>0</v>
      </c>
      <c r="F44" s="147">
        <f>bot(E44,365*C$33,365*C$34,'Work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4" s="147">
        <f>7.48*PI()*C$5^2*vo_recover(F44,C$29,'Work Chart'!B$5,'Work Chart'!B$6,'Work Chart'!B$7,'Work Chart'!F$5,'Work Chart'!F$6,'Work Chart'!F$7)</f>
        <v>0</v>
      </c>
      <c r="I44" s="145">
        <f>IF((C$30+C$31)&gt;0,('Data Entry'!C$17*F44/C$6)*1440*((F$5/7.48)/F$6+0.018*I$8/(I$7*I$6)),PI()*(1-'Data Entry'!C$17)*'Data Entry'!C$17*C$7*F44^2/(C$6*LN(C$5/C$8)))*kro_b(F44,'Work Chart'!B$5,'Work Chart'!B$6,'Work Chart'!G$6,'Work Chart'!G$7,'Work Chart'!H$5,'Work Chart'!H$6,'Work Chart'!H$7)*7.48</f>
        <v>205.55605460228986</v>
      </c>
    </row>
    <row r="45" spans="2:9" ht="12.75">
      <c r="B45" s="113">
        <v>7</v>
      </c>
      <c r="C45" s="148">
        <f t="shared" si="1"/>
        <v>0</v>
      </c>
      <c r="E45" s="149">
        <f t="shared" si="0"/>
        <v>0</v>
      </c>
      <c r="F45" s="147">
        <f>bot(E45,365*C$33,365*C$34,'Work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5" s="147">
        <f>7.48*PI()*C$5^2*vo_recover(F45,C$29,'Work Chart'!B$5,'Work Chart'!B$6,'Work Chart'!B$7,'Work Chart'!F$5,'Work Chart'!F$6,'Work Chart'!F$7)</f>
        <v>0</v>
      </c>
      <c r="I45" s="145">
        <f>IF((C$30+C$31)&gt;0,('Data Entry'!C$17*F45/C$6)*1440*((F$5/7.48)/F$6+0.018*I$8/(I$7*I$6)),PI()*(1-'Data Entry'!C$17)*'Data Entry'!C$17*C$7*F45^2/(C$6*LN(C$5/C$8)))*kro_b(F45,'Work Chart'!B$5,'Work Chart'!B$6,'Work Chart'!G$6,'Work Chart'!G$7,'Work Chart'!H$5,'Work Chart'!H$6,'Work Chart'!H$7)*7.48</f>
        <v>205.55605460228986</v>
      </c>
    </row>
    <row r="46" spans="2:9" ht="12.75">
      <c r="B46" s="113">
        <v>8</v>
      </c>
      <c r="C46" s="148">
        <f t="shared" si="1"/>
        <v>0</v>
      </c>
      <c r="E46" s="149">
        <f t="shared" si="0"/>
        <v>0</v>
      </c>
      <c r="F46" s="147">
        <f>bot(E46,365*C$33,365*C$34,'Work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6" s="147">
        <f>7.48*PI()*C$5^2*vo_recover(F46,C$29,'Work Chart'!B$5,'Work Chart'!B$6,'Work Chart'!B$7,'Work Chart'!F$5,'Work Chart'!F$6,'Work Chart'!F$7)</f>
        <v>0</v>
      </c>
      <c r="I46" s="145">
        <f>IF((C$30+C$31)&gt;0,('Data Entry'!C$17*F46/C$6)*1440*((F$5/7.48)/F$6+0.018*I$8/(I$7*I$6)),PI()*(1-'Data Entry'!C$17)*'Data Entry'!C$17*C$7*F46^2/(C$6*LN(C$5/C$8)))*kro_b(F46,'Work Chart'!B$5,'Work Chart'!B$6,'Work Chart'!G$6,'Work Chart'!G$7,'Work Chart'!H$5,'Work Chart'!H$6,'Work Chart'!H$7)*7.48</f>
        <v>205.55605460228986</v>
      </c>
    </row>
    <row r="47" spans="2:9" ht="12.75">
      <c r="B47" s="113">
        <v>9</v>
      </c>
      <c r="C47" s="148">
        <f t="shared" si="1"/>
        <v>0</v>
      </c>
      <c r="E47" s="149">
        <f t="shared" si="0"/>
        <v>0</v>
      </c>
      <c r="F47" s="147">
        <f>bot(E47,365*C$33,365*C$34,'Work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7" s="147">
        <f>7.48*PI()*C$5^2*vo_recover(F47,C$29,'Work Chart'!B$5,'Work Chart'!B$6,'Work Chart'!B$7,'Work Chart'!F$5,'Work Chart'!F$6,'Work Chart'!F$7)</f>
        <v>0</v>
      </c>
      <c r="I47" s="145">
        <f>IF((C$30+C$31)&gt;0,('Data Entry'!C$17*F47/C$6)*1440*((F$5/7.48)/F$6+0.018*I$8/(I$7*I$6)),PI()*(1-'Data Entry'!C$17)*'Data Entry'!C$17*C$7*F47^2/(C$6*LN(C$5/C$8)))*kro_b(F47,'Work Chart'!B$5,'Work Chart'!B$6,'Work Chart'!G$6,'Work Chart'!G$7,'Work Chart'!H$5,'Work Chart'!H$6,'Work Chart'!H$7)*7.48</f>
        <v>205.55605460228986</v>
      </c>
    </row>
    <row r="48" spans="2:9" ht="12.75">
      <c r="B48" s="113">
        <v>10</v>
      </c>
      <c r="C48" s="148">
        <f t="shared" si="1"/>
        <v>0</v>
      </c>
      <c r="E48" s="149">
        <f t="shared" si="0"/>
        <v>0</v>
      </c>
      <c r="F48" s="147">
        <f>bot(E48,365*C$33,365*C$34,'Work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8" s="147">
        <f>7.48*PI()*C$5^2*vo_recover(F48,C$29,'Work Chart'!B$5,'Work Chart'!B$6,'Work Chart'!B$7,'Work Chart'!F$5,'Work Chart'!F$6,'Work Chart'!F$7)</f>
        <v>0</v>
      </c>
      <c r="I48" s="145">
        <f>IF((C$30+C$31)&gt;0,('Data Entry'!C$17*F48/C$6)*1440*((F$5/7.48)/F$6+0.018*I$8/(I$7*I$6)),PI()*(1-'Data Entry'!C$17)*'Data Entry'!C$17*C$7*F48^2/(C$6*LN(C$5/C$8)))*kro_b(F48,'Work Chart'!B$5,'Work Chart'!B$6,'Work Chart'!G$6,'Work Chart'!G$7,'Work Chart'!H$5,'Work Chart'!H$6,'Work Chart'!H$7)*7.48</f>
        <v>205.55605460228986</v>
      </c>
    </row>
    <row r="49" spans="2:9" ht="12.75">
      <c r="B49" s="113">
        <v>11</v>
      </c>
      <c r="C49" s="148">
        <f t="shared" si="1"/>
        <v>0.043452840400629744</v>
      </c>
      <c r="E49" s="149">
        <f t="shared" si="0"/>
        <v>15.860286746229857</v>
      </c>
      <c r="F49" s="147">
        <f>bot(E49,365*C$33,365*C$34,'Work Chart'!B$5,'Work Chart'!B$6,'Work Chart'!B$7,'Work Chart'!F$5,'Work Chart'!F$6,'Work Chart'!F$7,'Work Chart'!G$6,'Work Chart'!G$7,'Work Chart'!H$5,'Work Chart'!H$6,'Work Chart'!H$7,Well!C$29,Well!C$30,Well!C$31,Well!C$32)</f>
        <v>2.5494102338475004</v>
      </c>
      <c r="H49" s="147">
        <f>7.48*PI()*C$5^2*vo_recover(F49,C$29,'Work Chart'!B$5,'Work Chart'!B$6,'Work Chart'!B$7,'Work Chart'!F$5,'Work Chart'!F$6,'Work Chart'!F$7)</f>
        <v>2772.3064678708547</v>
      </c>
      <c r="I49" s="145">
        <f>IF((C$30+C$31)&gt;0,('Data Entry'!C$17*F49/C$6)*1440*((F$5/7.48)/F$6+0.018*I$8/(I$7*I$6)),PI()*(1-'Data Entry'!C$17)*'Data Entry'!C$17*C$7*F49^2/(C$6*LN(C$5/C$8)))*kro_b(F49,'Work Chart'!B$5,'Work Chart'!B$6,'Work Chart'!G$6,'Work Chart'!G$7,'Work Chart'!H$5,'Work Chart'!H$6,'Work Chart'!H$7)*7.48</f>
        <v>148.6380751031571</v>
      </c>
    </row>
    <row r="50" spans="2:9" ht="12.75">
      <c r="B50" s="113">
        <v>12</v>
      </c>
      <c r="C50" s="148">
        <f t="shared" si="1"/>
        <v>0.08690568080125949</v>
      </c>
      <c r="E50" s="149">
        <f t="shared" si="0"/>
        <v>31.720573492459714</v>
      </c>
      <c r="F50" s="147">
        <f>bot(E50,365*C$33,365*C$34,'Work Chart'!B$5,'Work Chart'!B$6,'Work Chart'!B$7,'Work Chart'!F$5,'Work Chart'!F$6,'Work Chart'!F$7,'Work Chart'!G$6,'Work Chart'!G$7,'Work Chart'!H$5,'Work Chart'!H$6,'Work Chart'!H$7,Well!C$29,Well!C$30,Well!C$31,Well!C$32)</f>
        <v>2.2161242606936664</v>
      </c>
      <c r="H50" s="147">
        <f>7.48*PI()*C$5^2*vo_recover(F50,C$29,'Work Chart'!B$5,'Work Chart'!B$6,'Work Chart'!B$7,'Work Chart'!F$5,'Work Chart'!F$6,'Work Chart'!F$7)</f>
        <v>4822.887569422756</v>
      </c>
      <c r="I50" s="145">
        <f>IF((C$30+C$31)&gt;0,('Data Entry'!C$17*F50/C$6)*1440*((F$5/7.48)/F$6+0.018*I$8/(I$7*I$6)),PI()*(1-'Data Entry'!C$17)*'Data Entry'!C$17*C$7*F50^2/(C$6*LN(C$5/C$8)))*kro_b(F50,'Work Chart'!B$5,'Work Chart'!B$6,'Work Chart'!G$6,'Work Chart'!G$7,'Work Chart'!H$5,'Work Chart'!H$6,'Work Chart'!H$7)*7.48</f>
        <v>112.4609371047496</v>
      </c>
    </row>
    <row r="51" spans="2:9" ht="12.75">
      <c r="B51" s="113">
        <v>13</v>
      </c>
      <c r="C51" s="148">
        <f t="shared" si="1"/>
        <v>0.13035852120188923</v>
      </c>
      <c r="E51" s="149">
        <f t="shared" si="0"/>
        <v>47.58086023868957</v>
      </c>
      <c r="F51" s="147">
        <f>bot(E51,365*C$33,365*C$34,'Work Chart'!B$5,'Work Chart'!B$6,'Work Chart'!B$7,'Work Chart'!F$5,'Work Chart'!F$6,'Work Chart'!F$7,'Work Chart'!G$6,'Work Chart'!G$7,'Work Chart'!H$5,'Work Chart'!H$6,'Work Chart'!H$7,Well!C$29,Well!C$30,Well!C$31,Well!C$32)</f>
        <v>1.9596108863727113</v>
      </c>
      <c r="H51" s="147">
        <f>7.48*PI()*C$5^2*vo_recover(F51,C$29,'Work Chart'!B$5,'Work Chart'!B$6,'Work Chart'!B$7,'Work Chart'!F$5,'Work Chart'!F$6,'Work Chart'!F$7)</f>
        <v>6401.1162380354435</v>
      </c>
      <c r="I51" s="145">
        <f>IF((C$30+C$31)&gt;0,('Data Entry'!C$17*F51/C$6)*1440*((F$5/7.48)/F$6+0.018*I$8/(I$7*I$6)),PI()*(1-'Data Entry'!C$17)*'Data Entry'!C$17*C$7*F51^2/(C$6*LN(C$5/C$8)))*kro_b(F51,'Work Chart'!B$5,'Work Chart'!B$6,'Work Chart'!G$6,'Work Chart'!G$7,'Work Chart'!H$5,'Work Chart'!H$6,'Work Chart'!H$7)*7.48</f>
        <v>88.04729693512986</v>
      </c>
    </row>
    <row r="52" spans="2:9" ht="12.75">
      <c r="B52" s="113">
        <v>14</v>
      </c>
      <c r="C52" s="148">
        <f t="shared" si="1"/>
        <v>0.17381136160251898</v>
      </c>
      <c r="E52" s="149">
        <f t="shared" si="0"/>
        <v>63.44114698491943</v>
      </c>
      <c r="F52" s="147">
        <f>bot(E52,365*C$33,365*C$34,'Work Chart'!B$5,'Work Chart'!B$6,'Work Chart'!B$7,'Work Chart'!F$5,'Work Chart'!F$6,'Work Chart'!F$7,'Work Chart'!G$6,'Work Chart'!G$7,'Work Chart'!H$5,'Work Chart'!H$6,'Work Chart'!H$7,Well!C$29,Well!C$30,Well!C$31,Well!C$32)</f>
        <v>1.7560830501312559</v>
      </c>
      <c r="H52" s="147">
        <f>7.48*PI()*C$5^2*vo_recover(F52,C$29,'Work Chart'!B$5,'Work Chart'!B$6,'Work Chart'!B$7,'Work Chart'!F$5,'Work Chart'!F$6,'Work Chart'!F$7)</f>
        <v>7653.3451593043355</v>
      </c>
      <c r="I52" s="145">
        <f>IF((C$30+C$31)&gt;0,('Data Entry'!C$17*F52/C$6)*1440*((F$5/7.48)/F$6+0.018*I$8/(I$7*I$6)),PI()*(1-'Data Entry'!C$17)*'Data Entry'!C$17*C$7*F52^2/(C$6*LN(C$5/C$8)))*kro_b(F52,'Work Chart'!B$5,'Work Chart'!B$6,'Work Chart'!G$6,'Work Chart'!G$7,'Work Chart'!H$5,'Work Chart'!H$6,'Work Chart'!H$7)*7.48</f>
        <v>70.79935509393029</v>
      </c>
    </row>
    <row r="53" spans="2:9" ht="12.75">
      <c r="B53" s="113">
        <v>15</v>
      </c>
      <c r="C53" s="148">
        <f t="shared" si="1"/>
        <v>0.21726420200314872</v>
      </c>
      <c r="E53" s="149">
        <f t="shared" si="0"/>
        <v>79.30143373114929</v>
      </c>
      <c r="F53" s="147">
        <f>bot(E53,365*C$33,365*C$34,'Work Chart'!B$5,'Work Chart'!B$6,'Work Chart'!B$7,'Work Chart'!F$5,'Work Chart'!F$6,'Work Chart'!F$7,'Work Chart'!G$6,'Work Chart'!G$7,'Work Chart'!H$5,'Work Chart'!H$6,'Work Chart'!H$7,Well!C$29,Well!C$30,Well!C$31,Well!C$32)</f>
        <v>1.5906606324742434</v>
      </c>
      <c r="H53" s="147">
        <f>7.48*PI()*C$5^2*vo_recover(F53,C$29,'Work Chart'!B$5,'Work Chart'!B$6,'Work Chart'!B$7,'Work Chart'!F$5,'Work Chart'!F$6,'Work Chart'!F$7)</f>
        <v>8671.126016418073</v>
      </c>
      <c r="I53" s="145">
        <f>IF((C$30+C$31)&gt;0,('Data Entry'!C$17*F53/C$6)*1440*((F$5/7.48)/F$6+0.018*I$8/(I$7*I$6)),PI()*(1-'Data Entry'!C$17)*'Data Entry'!C$17*C$7*F53^2/(C$6*LN(C$5/C$8)))*kro_b(F53,'Work Chart'!B$5,'Work Chart'!B$6,'Work Chart'!G$6,'Work Chart'!G$7,'Work Chart'!H$5,'Work Chart'!H$6,'Work Chart'!H$7)*7.48</f>
        <v>58.16438281041613</v>
      </c>
    </row>
    <row r="54" spans="2:9" ht="12.75">
      <c r="B54" s="113">
        <v>16</v>
      </c>
      <c r="C54" s="148">
        <f t="shared" si="1"/>
        <v>0.26071704240377847</v>
      </c>
      <c r="E54" s="149">
        <f t="shared" si="0"/>
        <v>95.16172047737913</v>
      </c>
      <c r="F54" s="147">
        <f>bot(E54,365*C$33,365*C$34,'Work Chart'!B$5,'Work Chart'!B$6,'Work Chart'!B$7,'Work Chart'!F$5,'Work Chart'!F$6,'Work Chart'!F$7,'Work Chart'!G$6,'Work Chart'!G$7,'Work Chart'!H$5,'Work Chart'!H$6,'Work Chart'!H$7,Well!C$29,Well!C$30,Well!C$31,Well!C$32)</f>
        <v>1.4535583624212156</v>
      </c>
      <c r="H54" s="147">
        <f>7.48*PI()*C$5^2*vo_recover(F54,C$29,'Work Chart'!B$5,'Work Chart'!B$6,'Work Chart'!B$7,'Work Chart'!F$5,'Work Chart'!F$6,'Work Chart'!F$7)</f>
        <v>9514.6638385779</v>
      </c>
      <c r="I54" s="145">
        <f>IF((C$30+C$31)&gt;0,('Data Entry'!C$17*F54/C$6)*1440*((F$5/7.48)/F$6+0.018*I$8/(I$7*I$6)),PI()*(1-'Data Entry'!C$17)*'Data Entry'!C$17*C$7*F54^2/(C$6*LN(C$5/C$8)))*kro_b(F54,'Work Chart'!B$5,'Work Chart'!B$6,'Work Chart'!G$6,'Work Chart'!G$7,'Work Chart'!H$5,'Work Chart'!H$6,'Work Chart'!H$7)*7.48</f>
        <v>48.63286617658217</v>
      </c>
    </row>
    <row r="55" spans="2:9" ht="12.75">
      <c r="B55" s="113">
        <v>17</v>
      </c>
      <c r="C55" s="148">
        <f t="shared" si="1"/>
        <v>0.3041698828044082</v>
      </c>
      <c r="E55" s="149">
        <f t="shared" si="0"/>
        <v>111.022007223609</v>
      </c>
      <c r="F55" s="147">
        <f>bot(E55,365*C$33,365*C$34,'Work Chart'!B$5,'Work Chart'!B$6,'Work Chart'!B$7,'Work Chart'!F$5,'Work Chart'!F$6,'Work Chart'!F$7,'Work Chart'!G$6,'Work Chart'!G$7,'Work Chart'!H$5,'Work Chart'!H$6,'Work Chart'!H$7,Well!C$29,Well!C$30,Well!C$31,Well!C$32)</f>
        <v>1.3380772010684527</v>
      </c>
      <c r="H55" s="147">
        <f>7.48*PI()*C$5^2*vo_recover(F55,C$29,'Work Chart'!B$5,'Work Chart'!B$6,'Work Chart'!B$7,'Work Chart'!F$5,'Work Chart'!F$6,'Work Chart'!F$7)</f>
        <v>10225.17524958751</v>
      </c>
      <c r="I55" s="145">
        <f>IF((C$30+C$31)&gt;0,('Data Entry'!C$17*F55/C$6)*1440*((F$5/7.48)/F$6+0.018*I$8/(I$7*I$6)),PI()*(1-'Data Entry'!C$17)*'Data Entry'!C$17*C$7*F55^2/(C$6*LN(C$5/C$8)))*kro_b(F55,'Work Chart'!B$5,'Work Chart'!B$6,'Work Chart'!G$6,'Work Chart'!G$7,'Work Chart'!H$5,'Work Chart'!H$6,'Work Chart'!H$7)*7.48</f>
        <v>41.265785692230814</v>
      </c>
    </row>
    <row r="56" spans="2:9" ht="12.75">
      <c r="B56" s="113">
        <v>18</v>
      </c>
      <c r="C56" s="148">
        <f t="shared" si="1"/>
        <v>0.34762272320503795</v>
      </c>
      <c r="E56" s="149">
        <f t="shared" si="0"/>
        <v>126.88229396983886</v>
      </c>
      <c r="F56" s="147">
        <f>bot(E56,365*C$33,365*C$34,'Work Chart'!B$5,'Work Chart'!B$6,'Work Chart'!B$7,'Work Chart'!F$5,'Work Chart'!F$6,'Work Chart'!F$7,'Work Chart'!G$6,'Work Chart'!G$7,'Work Chart'!H$5,'Work Chart'!H$6,'Work Chart'!H$7,Well!C$29,Well!C$30,Well!C$31,Well!C$32)</f>
        <v>1.2394765374405572</v>
      </c>
      <c r="H56" s="147">
        <f>7.48*PI()*C$5^2*vo_recover(F56,C$29,'Work Chart'!B$5,'Work Chart'!B$6,'Work Chart'!B$7,'Work Chart'!F$5,'Work Chart'!F$6,'Work Chart'!F$7)</f>
        <v>10831.827415361418</v>
      </c>
      <c r="I56" s="145">
        <f>IF((C$30+C$31)&gt;0,('Data Entry'!C$17*F56/C$6)*1440*((F$5/7.48)/F$6+0.018*I$8/(I$7*I$6)),PI()*(1-'Data Entry'!C$17)*'Data Entry'!C$17*C$7*F56^2/(C$6*LN(C$5/C$8)))*kro_b(F56,'Work Chart'!B$5,'Work Chart'!B$6,'Work Chart'!G$6,'Work Chart'!G$7,'Work Chart'!H$5,'Work Chart'!H$6,'Work Chart'!H$7)*7.48</f>
        <v>35.45416453319168</v>
      </c>
    </row>
    <row r="57" spans="2:9" ht="12.75">
      <c r="B57" s="113">
        <v>19</v>
      </c>
      <c r="C57" s="148">
        <f t="shared" si="1"/>
        <v>0.3910755636056677</v>
      </c>
      <c r="E57" s="149">
        <f t="shared" si="0"/>
        <v>142.74258071606872</v>
      </c>
      <c r="F57" s="147">
        <f>bot(E57,365*C$33,365*C$34,'Work Chart'!B$5,'Work Chart'!B$6,'Work Chart'!B$7,'Work Chart'!F$5,'Work Chart'!F$6,'Work Chart'!F$7,'Work Chart'!G$6,'Work Chart'!G$7,'Work Chart'!H$5,'Work Chart'!H$6,'Work Chart'!H$7,Well!C$29,Well!C$30,Well!C$31,Well!C$32)</f>
        <v>1.1543072617821042</v>
      </c>
      <c r="H57" s="147">
        <f>7.48*PI()*C$5^2*vo_recover(F57,C$29,'Work Chart'!B$5,'Work Chart'!B$6,'Work Chart'!B$7,'Work Chart'!F$5,'Work Chart'!F$6,'Work Chart'!F$7)</f>
        <v>11355.841388843217</v>
      </c>
      <c r="I57" s="145">
        <f>IF((C$30+C$31)&gt;0,('Data Entry'!C$17*F57/C$6)*1440*((F$5/7.48)/F$6+0.018*I$8/(I$7*I$6)),PI()*(1-'Data Entry'!C$17)*'Data Entry'!C$17*C$7*F57^2/(C$6*LN(C$5/C$8)))*kro_b(F57,'Work Chart'!B$5,'Work Chart'!B$6,'Work Chart'!G$6,'Work Chart'!G$7,'Work Chart'!H$5,'Work Chart'!H$6,'Work Chart'!H$7)*7.48</f>
        <v>30.789054325094803</v>
      </c>
    </row>
    <row r="58" spans="2:9" ht="12.75">
      <c r="B58" s="113">
        <v>20</v>
      </c>
      <c r="C58" s="148">
        <f t="shared" si="1"/>
        <v>0.43452840400629744</v>
      </c>
      <c r="E58" s="149">
        <f t="shared" si="0"/>
        <v>158.60286746229858</v>
      </c>
      <c r="F58" s="147">
        <f>bot(E58,365*C$33,365*C$34,'Work Chart'!B$5,'Work Chart'!B$6,'Work Chart'!B$7,'Work Chart'!F$5,'Work Chart'!F$6,'Work Chart'!F$7,'Work Chart'!G$6,'Work Chart'!G$7,'Work Chart'!H$5,'Work Chart'!H$6,'Work Chart'!H$7,Well!C$29,Well!C$30,Well!C$31,Well!C$32)</f>
        <v>1.08</v>
      </c>
      <c r="H58" s="147">
        <f>7.48*PI()*C$5^2*vo_recover(F58,C$29,'Work Chart'!B$5,'Work Chart'!B$6,'Work Chart'!B$7,'Work Chart'!F$5,'Work Chart'!F$6,'Work Chart'!F$7)</f>
        <v>11813.025545969813</v>
      </c>
      <c r="I58" s="145">
        <f>IF((C$30+C$31)&gt;0,('Data Entry'!C$17*F58/C$6)*1440*((F$5/7.48)/F$6+0.018*I$8/(I$7*I$6)),PI()*(1-'Data Entry'!C$17)*'Data Entry'!C$17*C$7*F58^2/(C$6*LN(C$5/C$8)))*kro_b(F58,'Work Chart'!B$5,'Work Chart'!B$6,'Work Chart'!G$6,'Work Chart'!G$7,'Work Chart'!H$5,'Work Chart'!H$6,'Work Chart'!H$7)*7.48</f>
        <v>26.987575116907653</v>
      </c>
    </row>
    <row r="59" spans="2:9" ht="12.75">
      <c r="B59" s="113">
        <v>21</v>
      </c>
      <c r="C59" s="148">
        <f t="shared" si="1"/>
        <v>0.5910755636056677</v>
      </c>
      <c r="E59" s="149">
        <f t="shared" si="0"/>
        <v>215.74258071606872</v>
      </c>
      <c r="F59" s="147">
        <f>bot(E59,365*C$33,365*C$34,'Work Chart'!B$5,'Work Chart'!B$6,'Work Chart'!B$7,'Work Chart'!F$5,'Work Chart'!F$6,'Work Chart'!F$7,'Work Chart'!G$6,'Work Chart'!G$7,'Work Chart'!H$5,'Work Chart'!H$6,'Work Chart'!H$7,Well!C$29,Well!C$30,Well!C$31,Well!C$32)</f>
        <v>0.7973878532980362</v>
      </c>
      <c r="H59" s="147">
        <f>7.48*PI()*C$5^2*vo_recover(F59,C$29,'Work Chart'!B$5,'Work Chart'!B$6,'Work Chart'!B$7,'Work Chart'!F$5,'Work Chart'!F$6,'Work Chart'!F$7)</f>
        <v>12892.983126615713</v>
      </c>
      <c r="I59" s="145">
        <f>IF((C$30+C$31)&gt;0,('Data Entry'!C$17*F59/C$6)*1440*((F$5/7.48)/F$6+0.018*I$8/(I$7*I$6)),PI()*(1-'Data Entry'!C$17)*'Data Entry'!C$17*C$7*F59^2/(C$6*LN(C$5/C$8)))*kro_b(F59,'Work Chart'!B$5,'Work Chart'!B$6,'Work Chart'!G$6,'Work Chart'!G$7,'Work Chart'!H$5,'Work Chart'!H$6,'Work Chart'!H$7)*7.48</f>
        <v>13.22398167128216</v>
      </c>
    </row>
    <row r="60" spans="2:9" ht="12.75">
      <c r="B60" s="113">
        <v>22</v>
      </c>
      <c r="C60" s="148">
        <f t="shared" si="1"/>
        <v>0.7476227232050379</v>
      </c>
      <c r="E60" s="149">
        <f t="shared" si="0"/>
        <v>272.8822939698388</v>
      </c>
      <c r="F60" s="147">
        <f>bot(E60,365*C$33,365*C$34,'Work Chart'!B$5,'Work Chart'!B$6,'Work Chart'!B$7,'Work Chart'!F$5,'Work Chart'!F$6,'Work Chart'!F$7,'Work Chart'!G$6,'Work Chart'!G$7,'Work Chart'!H$5,'Work Chart'!H$6,'Work Chart'!H$7,Well!C$29,Well!C$30,Well!C$31,Well!C$32)</f>
        <v>0.6455433333493551</v>
      </c>
      <c r="H60" s="147">
        <f>7.48*PI()*C$5^2*vo_recover(F60,C$29,'Work Chart'!B$5,'Work Chart'!B$6,'Work Chart'!B$7,'Work Chart'!F$5,'Work Chart'!F$6,'Work Chart'!F$7)</f>
        <v>13473.232922358042</v>
      </c>
      <c r="I60" s="145">
        <f>IF((C$30+C$31)&gt;0,('Data Entry'!C$17*F60/C$6)*1440*((F$5/7.48)/F$6+0.018*I$8/(I$7*I$6)),PI()*(1-'Data Entry'!C$17)*'Data Entry'!C$17*C$7*F60^2/(C$6*LN(C$5/C$8)))*kro_b(F60,'Work Chart'!B$5,'Work Chart'!B$6,'Work Chart'!G$6,'Work Chart'!G$7,'Work Chart'!H$5,'Work Chart'!H$6,'Work Chart'!H$7)*7.48</f>
        <v>7.790771414057138</v>
      </c>
    </row>
    <row r="61" spans="2:9" ht="12.75">
      <c r="B61" s="113">
        <v>23</v>
      </c>
      <c r="C61" s="148">
        <f t="shared" si="1"/>
        <v>0.9041698828044081</v>
      </c>
      <c r="E61" s="149">
        <f t="shared" si="0"/>
        <v>330.02200722360897</v>
      </c>
      <c r="F61" s="147">
        <f>bot(E61,365*C$33,365*C$34,'Work Chart'!B$5,'Work Chart'!B$6,'Work Chart'!B$7,'Work Chart'!F$5,'Work Chart'!F$6,'Work Chart'!F$7,'Work Chart'!G$6,'Work Chart'!G$7,'Work Chart'!H$5,'Work Chart'!H$6,'Work Chart'!H$7,Well!C$29,Well!C$30,Well!C$31,Well!C$32)</f>
        <v>0.5511936648591899</v>
      </c>
      <c r="H61" s="147">
        <f>7.48*PI()*C$5^2*vo_recover(F61,C$29,'Work Chart'!B$5,'Work Chart'!B$6,'Work Chart'!B$7,'Work Chart'!F$5,'Work Chart'!F$6,'Work Chart'!F$7)</f>
        <v>13833.77524478283</v>
      </c>
      <c r="I61" s="145">
        <f>IF((C$30+C$31)&gt;0,('Data Entry'!C$17*F61/C$6)*1440*((F$5/7.48)/F$6+0.018*I$8/(I$7*I$6)),PI()*(1-'Data Entry'!C$17)*'Data Entry'!C$17*C$7*F61^2/(C$6*LN(C$5/C$8)))*kro_b(F61,'Work Chart'!B$5,'Work Chart'!B$6,'Work Chart'!G$6,'Work Chart'!G$7,'Work Chart'!H$5,'Work Chart'!H$6,'Work Chart'!H$7)*7.48</f>
        <v>5.1055760538872725</v>
      </c>
    </row>
    <row r="62" spans="2:9" ht="12.75">
      <c r="B62" s="113">
        <v>24</v>
      </c>
      <c r="C62" s="148">
        <f t="shared" si="1"/>
        <v>1.0607170424037784</v>
      </c>
      <c r="E62" s="149">
        <f t="shared" si="0"/>
        <v>387.1617204773791</v>
      </c>
      <c r="F62" s="147">
        <f>bot(E62,365*C$33,365*C$34,'Work Chart'!B$5,'Work Chart'!B$6,'Work Chart'!B$7,'Work Chart'!F$5,'Work Chart'!F$6,'Work Chart'!F$7,'Work Chart'!G$6,'Work Chart'!G$7,'Work Chart'!H$5,'Work Chart'!H$6,'Work Chart'!H$7,Well!C$29,Well!C$30,Well!C$31,Well!C$32)</f>
        <v>0.48718802585391335</v>
      </c>
      <c r="H62" s="147">
        <f>7.48*PI()*C$5^2*vo_recover(F62,C$29,'Work Chart'!B$5,'Work Chart'!B$6,'Work Chart'!B$7,'Work Chart'!F$5,'Work Chart'!F$6,'Work Chart'!F$7)</f>
        <v>14078.362662041754</v>
      </c>
      <c r="I62" s="145">
        <f>IF((C$30+C$31)&gt;0,('Data Entry'!C$17*F62/C$6)*1440*((F$5/7.48)/F$6+0.018*I$8/(I$7*I$6)),PI()*(1-'Data Entry'!C$17)*'Data Entry'!C$17*C$7*F62^2/(C$6*LN(C$5/C$8)))*kro_b(F62,'Work Chart'!B$5,'Work Chart'!B$6,'Work Chart'!G$6,'Work Chart'!G$7,'Work Chart'!H$5,'Work Chart'!H$6,'Work Chart'!H$7)*7.48</f>
        <v>3.585388163990946</v>
      </c>
    </row>
    <row r="63" spans="2:9" ht="12.75">
      <c r="B63" s="113">
        <v>25</v>
      </c>
      <c r="C63" s="148">
        <f t="shared" si="1"/>
        <v>1.2172642020031486</v>
      </c>
      <c r="E63" s="149">
        <f t="shared" si="0"/>
        <v>444.30143373114925</v>
      </c>
      <c r="F63" s="147">
        <f>bot(E63,365*C$33,365*C$34,'Work Chart'!B$5,'Work Chart'!B$6,'Work Chart'!B$7,'Work Chart'!F$5,'Work Chart'!F$6,'Work Chart'!F$7,'Work Chart'!G$6,'Work Chart'!G$7,'Work Chart'!H$5,'Work Chart'!H$6,'Work Chart'!H$7,Well!C$29,Well!C$30,Well!C$31,Well!C$32)</f>
        <v>0.44114133476516415</v>
      </c>
      <c r="H63" s="147">
        <f>7.48*PI()*C$5^2*vo_recover(F63,C$29,'Work Chart'!B$5,'Work Chart'!B$6,'Work Chart'!B$7,'Work Chart'!F$5,'Work Chart'!F$6,'Work Chart'!F$7)</f>
        <v>14254.32280276917</v>
      </c>
      <c r="I63" s="145">
        <f>IF((C$30+C$31)&gt;0,('Data Entry'!C$17*F63/C$6)*1440*((F$5/7.48)/F$6+0.018*I$8/(I$7*I$6)),PI()*(1-'Data Entry'!C$17)*'Data Entry'!C$17*C$7*F63^2/(C$6*LN(C$5/C$8)))*kro_b(F63,'Work Chart'!B$5,'Work Chart'!B$6,'Work Chart'!G$6,'Work Chart'!G$7,'Work Chart'!H$5,'Work Chart'!H$6,'Work Chart'!H$7)*7.48</f>
        <v>2.6424399643230267</v>
      </c>
    </row>
    <row r="64" spans="2:9" ht="12.75">
      <c r="B64" s="113">
        <v>26</v>
      </c>
      <c r="C64" s="148">
        <f t="shared" si="1"/>
        <v>1.373811361602519</v>
      </c>
      <c r="E64" s="149">
        <f t="shared" si="0"/>
        <v>501.4411469849194</v>
      </c>
      <c r="F64" s="147">
        <f>bot(E64,365*C$33,365*C$34,'Work Chart'!B$5,'Work Chart'!B$6,'Work Chart'!B$7,'Work Chart'!F$5,'Work Chart'!F$6,'Work Chart'!F$7,'Work Chart'!G$6,'Work Chart'!G$7,'Work Chart'!H$5,'Work Chart'!H$6,'Work Chart'!H$7,Well!C$29,Well!C$30,Well!C$31,Well!C$32)</f>
        <v>0.40659730703883823</v>
      </c>
      <c r="H64" s="147">
        <f>7.48*PI()*C$5^2*vo_recover(F64,C$29,'Work Chart'!B$5,'Work Chart'!B$6,'Work Chart'!B$7,'Work Chart'!F$5,'Work Chart'!F$6,'Work Chart'!F$7)</f>
        <v>14386.32733634794</v>
      </c>
      <c r="I64" s="145">
        <f>IF((C$30+C$31)&gt;0,('Data Entry'!C$17*F64/C$6)*1440*((F$5/7.48)/F$6+0.018*I$8/(I$7*I$6)),PI()*(1-'Data Entry'!C$17)*'Data Entry'!C$17*C$7*F64^2/(C$6*LN(C$5/C$8)))*kro_b(F64,'Work Chart'!B$5,'Work Chart'!B$6,'Work Chart'!G$6,'Work Chart'!G$7,'Work Chart'!H$5,'Work Chart'!H$6,'Work Chart'!H$7)*7.48</f>
        <v>2.017833245050544</v>
      </c>
    </row>
    <row r="65" spans="2:9" ht="12.75">
      <c r="B65" s="113">
        <v>27</v>
      </c>
      <c r="C65" s="148">
        <f t="shared" si="1"/>
        <v>1.5303585212018893</v>
      </c>
      <c r="E65" s="149">
        <f t="shared" si="0"/>
        <v>558.5808602386896</v>
      </c>
      <c r="F65" s="147">
        <f>bot(E65,365*C$33,365*C$34,'Work Chart'!B$5,'Work Chart'!B$6,'Work Chart'!B$7,'Work Chart'!F$5,'Work Chart'!F$6,'Work Chart'!F$7,'Work Chart'!G$6,'Work Chart'!G$7,'Work Chart'!H$5,'Work Chart'!H$6,'Work Chart'!H$7,Well!C$29,Well!C$30,Well!C$31,Well!C$32)</f>
        <v>0.3798595527908669</v>
      </c>
      <c r="H65" s="147">
        <f>7.48*PI()*C$5^2*vo_recover(F65,C$29,'Work Chart'!B$5,'Work Chart'!B$6,'Work Chart'!B$7,'Work Chart'!F$5,'Work Chart'!F$6,'Work Chart'!F$7)</f>
        <v>14488.50143157533</v>
      </c>
      <c r="I65" s="145">
        <f>IF((C$30+C$31)&gt;0,('Data Entry'!C$17*F65/C$6)*1440*((F$5/7.48)/F$6+0.018*I$8/(I$7*I$6)),PI()*(1-'Data Entry'!C$17)*'Data Entry'!C$17*C$7*F65^2/(C$6*LN(C$5/C$8)))*kro_b(F65,'Work Chart'!B$5,'Work Chart'!B$6,'Work Chart'!G$6,'Work Chart'!G$7,'Work Chart'!H$5,'Work Chart'!H$6,'Work Chart'!H$7)*7.48</f>
        <v>1.5831025062421327</v>
      </c>
    </row>
    <row r="66" spans="2:9" ht="12.75">
      <c r="B66" s="113">
        <v>28</v>
      </c>
      <c r="C66" s="148">
        <f t="shared" si="1"/>
        <v>1.6869056808012592</v>
      </c>
      <c r="E66" s="149">
        <f t="shared" si="0"/>
        <v>615.7205734924596</v>
      </c>
      <c r="F66" s="147">
        <f>bot(E66,365*C$33,365*C$34,'Work Chart'!B$5,'Work Chart'!B$6,'Work Chart'!B$7,'Work Chart'!F$5,'Work Chart'!F$6,'Work Chart'!F$7,'Work Chart'!G$6,'Work Chart'!G$7,'Work Chart'!H$5,'Work Chart'!H$6,'Work Chart'!H$7,Well!C$29,Well!C$30,Well!C$31,Well!C$32)</f>
        <v>0.35865892479596695</v>
      </c>
      <c r="H66" s="147">
        <f>7.48*PI()*C$5^2*vo_recover(F66,C$29,'Work Chart'!B$5,'Work Chart'!B$6,'Work Chart'!B$7,'Work Chart'!F$5,'Work Chart'!F$6,'Work Chart'!F$7)</f>
        <v>14569.51627536296</v>
      </c>
      <c r="I66" s="145">
        <f>IF((C$30+C$31)&gt;0,('Data Entry'!C$17*F66/C$6)*1440*((F$5/7.48)/F$6+0.018*I$8/(I$7*I$6)),PI()*(1-'Data Entry'!C$17)*'Data Entry'!C$17*C$7*F66^2/(C$6*LN(C$5/C$8)))*kro_b(F66,'Work Chart'!B$5,'Work Chart'!B$6,'Work Chart'!G$6,'Work Chart'!G$7,'Work Chart'!H$5,'Work Chart'!H$6,'Work Chart'!H$7)*7.48</f>
        <v>1.2686238435626702</v>
      </c>
    </row>
    <row r="67" spans="2:9" ht="12.75">
      <c r="B67" s="113">
        <v>29</v>
      </c>
      <c r="C67" s="148">
        <f t="shared" si="1"/>
        <v>1.8434528404006296</v>
      </c>
      <c r="E67" s="149">
        <f t="shared" si="0"/>
        <v>672.8602867462298</v>
      </c>
      <c r="F67" s="147">
        <f>bot(E67,365*C$33,365*C$34,'Work Chart'!B$5,'Work Chart'!B$6,'Work Chart'!B$7,'Work Chart'!F$5,'Work Chart'!F$6,'Work Chart'!F$7,'Work Chart'!G$6,'Work Chart'!G$7,'Work Chart'!H$5,'Work Chart'!H$6,'Work Chart'!H$7,Well!C$29,Well!C$30,Well!C$31,Well!C$32)</f>
        <v>0.3415250762388361</v>
      </c>
      <c r="H67" s="147">
        <f>7.48*PI()*C$5^2*vo_recover(F67,C$29,'Work Chart'!B$5,'Work Chart'!B$6,'Work Chart'!B$7,'Work Chart'!F$5,'Work Chart'!F$6,'Work Chart'!F$7)</f>
        <v>14634.990565307142</v>
      </c>
      <c r="I67" s="145">
        <f>IF((C$30+C$31)&gt;0,('Data Entry'!C$17*F67/C$6)*1440*((F$5/7.48)/F$6+0.018*I$8/(I$7*I$6)),PI()*(1-'Data Entry'!C$17)*'Data Entry'!C$17*C$7*F67^2/(C$6*LN(C$5/C$8)))*kro_b(F67,'Work Chart'!B$5,'Work Chart'!B$6,'Work Chart'!G$6,'Work Chart'!G$7,'Work Chart'!H$5,'Work Chart'!H$6,'Work Chart'!H$7)*7.48</f>
        <v>1.034002129411765</v>
      </c>
    </row>
    <row r="68" spans="2:9" ht="12.75">
      <c r="B68" s="113">
        <v>30</v>
      </c>
      <c r="C68" s="148">
        <f t="shared" si="1"/>
        <v>2</v>
      </c>
      <c r="E68" s="149">
        <f t="shared" si="0"/>
        <v>730</v>
      </c>
      <c r="F68" s="147">
        <f>bot(E68,365*C$33,365*C$34,'Work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8" s="147">
        <f>7.48*PI()*C$5^2*vo_recover(F68,C$29,'Work Chart'!B$5,'Work Chart'!B$6,'Work Chart'!B$7,'Work Chart'!F$5,'Work Chart'!F$6,'Work Chart'!F$7)</f>
        <v>14688.725700381605</v>
      </c>
      <c r="I68" s="145">
        <f>IF((C$30+C$31)&gt;0,('Data Entry'!C$17*F68/C$6)*1440*((F$5/7.48)/F$6+0.018*I$8/(I$7*I$6)),PI()*(1-'Data Entry'!C$17)*'Data Entry'!C$17*C$7*F68^2/(C$6*LN(C$5/C$8)))*kro_b(F68,'Work Chart'!B$5,'Work Chart'!B$6,'Work Chart'!G$6,'Work Chart'!G$7,'Work Chart'!H$5,'Work Chart'!H$6,'Work Chart'!H$7)*7.48</f>
        <v>0.854491928736172</v>
      </c>
    </row>
    <row r="69" spans="2:9" ht="12.75">
      <c r="B69" s="113">
        <v>31</v>
      </c>
      <c r="C69" s="148">
        <f t="shared" si="1"/>
        <v>2</v>
      </c>
      <c r="E69" s="149">
        <f t="shared" si="0"/>
        <v>730</v>
      </c>
      <c r="F69" s="147">
        <f>bot(E69,365*C$33,365*C$34,'Work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9" s="147">
        <f>7.48*PI()*C$5^2*vo_recover(F69,C$29,'Work Chart'!B$5,'Work Chart'!B$6,'Work Chart'!B$7,'Work Chart'!F$5,'Work Chart'!F$6,'Work Chart'!F$7)</f>
        <v>14688.725700381605</v>
      </c>
      <c r="I69" s="145">
        <f>IF((C$30+C$31)&gt;0,('Data Entry'!C$17*F69/C$6)*1440*((F$5/7.48)/F$6+0.018*I$8/(I$7*I$6)),PI()*(1-'Data Entry'!C$17)*'Data Entry'!C$17*C$7*F69^2/(C$6*LN(C$5/C$8)))*kro_b(F69,'Work Chart'!B$5,'Work Chart'!B$6,'Work Chart'!G$6,'Work Chart'!G$7,'Work Chart'!H$5,'Work Chart'!H$6,'Work Chart'!H$7)*7.48</f>
        <v>0.854491928736172</v>
      </c>
    </row>
    <row r="70" spans="2:9" ht="12.75">
      <c r="B70" s="113">
        <v>32</v>
      </c>
      <c r="C70" s="148">
        <f t="shared" si="1"/>
        <v>2</v>
      </c>
      <c r="E70" s="149">
        <f t="shared" si="0"/>
        <v>730</v>
      </c>
      <c r="F70" s="147">
        <f>bot(E70,365*C$33,365*C$34,'Work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0" s="147">
        <f>7.48*PI()*C$5^2*vo_recover(F70,C$29,'Work Chart'!B$5,'Work Chart'!B$6,'Work Chart'!B$7,'Work Chart'!F$5,'Work Chart'!F$6,'Work Chart'!F$7)</f>
        <v>14688.725700381605</v>
      </c>
      <c r="I70" s="145">
        <f>IF((C$30+C$31)&gt;0,('Data Entry'!C$17*F70/C$6)*1440*((F$5/7.48)/F$6+0.018*I$8/(I$7*I$6)),PI()*(1-'Data Entry'!C$17)*'Data Entry'!C$17*C$7*F70^2/(C$6*LN(C$5/C$8)))*kro_b(F70,'Work Chart'!B$5,'Work Chart'!B$6,'Work Chart'!G$6,'Work Chart'!G$7,'Work Chart'!H$5,'Work Chart'!H$6,'Work Chart'!H$7)*7.48</f>
        <v>0.854491928736172</v>
      </c>
    </row>
    <row r="71" spans="2:9" ht="12.75">
      <c r="B71" s="113">
        <v>33</v>
      </c>
      <c r="C71" s="148">
        <f t="shared" si="1"/>
        <v>2</v>
      </c>
      <c r="E71" s="149">
        <f t="shared" si="0"/>
        <v>730</v>
      </c>
      <c r="F71" s="147">
        <f>bot(E71,365*C$33,365*C$34,'Work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1" s="147">
        <f>7.48*PI()*C$5^2*vo_recover(F71,C$29,'Work Chart'!B$5,'Work Chart'!B$6,'Work Chart'!B$7,'Work Chart'!F$5,'Work Chart'!F$6,'Work Chart'!F$7)</f>
        <v>14688.725700381605</v>
      </c>
      <c r="I71" s="145">
        <f>IF((C$30+C$31)&gt;0,('Data Entry'!C$17*F71/C$6)*1440*((F$5/7.48)/F$6+0.018*I$8/(I$7*I$6)),PI()*(1-'Data Entry'!C$17)*'Data Entry'!C$17*C$7*F71^2/(C$6*LN(C$5/C$8)))*kro_b(F71,'Work Chart'!B$5,'Work Chart'!B$6,'Work Chart'!G$6,'Work Chart'!G$7,'Work Chart'!H$5,'Work Chart'!H$6,'Work Chart'!H$7)*7.48</f>
        <v>0.854491928736172</v>
      </c>
    </row>
    <row r="72" spans="2:9" ht="12.75">
      <c r="B72" s="113">
        <v>34</v>
      </c>
      <c r="C72" s="148">
        <f t="shared" si="1"/>
        <v>2</v>
      </c>
      <c r="E72" s="149">
        <f t="shared" si="0"/>
        <v>730</v>
      </c>
      <c r="F72" s="147">
        <f>bot(E72,365*C$33,365*C$34,'Work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2" s="147">
        <f>7.48*PI()*C$5^2*vo_recover(F72,C$29,'Work Chart'!B$5,'Work Chart'!B$6,'Work Chart'!B$7,'Work Chart'!F$5,'Work Chart'!F$6,'Work Chart'!F$7)</f>
        <v>14688.725700381605</v>
      </c>
      <c r="I72" s="145">
        <f>IF((C$30+C$31)&gt;0,('Data Entry'!C$17*F72/C$6)*1440*((F$5/7.48)/F$6+0.018*I$8/(I$7*I$6)),PI()*(1-'Data Entry'!C$17)*'Data Entry'!C$17*C$7*F72^2/(C$6*LN(C$5/C$8)))*kro_b(F72,'Work Chart'!B$5,'Work Chart'!B$6,'Work Chart'!G$6,'Work Chart'!G$7,'Work Chart'!H$5,'Work Chart'!H$6,'Work Chart'!H$7)*7.48</f>
        <v>0.854491928736172</v>
      </c>
    </row>
    <row r="73" spans="2:9" ht="12.75">
      <c r="B73" s="113">
        <v>35</v>
      </c>
      <c r="C73" s="148">
        <f t="shared" si="1"/>
        <v>2</v>
      </c>
      <c r="E73" s="149">
        <f t="shared" si="0"/>
        <v>730</v>
      </c>
      <c r="F73" s="147">
        <f>bot(E73,365*C$33,365*C$34,'Work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3" s="147">
        <f>7.48*PI()*C$5^2*vo_recover(F73,C$29,'Work Chart'!B$5,'Work Chart'!B$6,'Work Chart'!B$7,'Work Chart'!F$5,'Work Chart'!F$6,'Work Chart'!F$7)</f>
        <v>14688.725700381605</v>
      </c>
      <c r="I73" s="145">
        <f>IF((C$30+C$31)&gt;0,('Data Entry'!C$17*F73/C$6)*1440*((F$5/7.48)/F$6+0.018*I$8/(I$7*I$6)),PI()*(1-'Data Entry'!C$17)*'Data Entry'!C$17*C$7*F73^2/(C$6*LN(C$5/C$8)))*kro_b(F73,'Work Chart'!B$5,'Work Chart'!B$6,'Work Chart'!G$6,'Work Chart'!G$7,'Work Chart'!H$5,'Work Chart'!H$6,'Work Chart'!H$7)*7.48</f>
        <v>0.854491928736172</v>
      </c>
    </row>
    <row r="74" spans="2:9" ht="12.75">
      <c r="B74" s="113">
        <v>36</v>
      </c>
      <c r="C74" s="148">
        <f t="shared" si="1"/>
        <v>2</v>
      </c>
      <c r="E74" s="149">
        <f t="shared" si="0"/>
        <v>730</v>
      </c>
      <c r="F74" s="147">
        <f>bot(E74,365*C$33,365*C$34,'Work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4" s="147">
        <f>7.48*PI()*C$5^2*vo_recover(F74,C$29,'Work Chart'!B$5,'Work Chart'!B$6,'Work Chart'!B$7,'Work Chart'!F$5,'Work Chart'!F$6,'Work Chart'!F$7)</f>
        <v>14688.725700381605</v>
      </c>
      <c r="I74" s="145">
        <f>IF((C$30+C$31)&gt;0,('Data Entry'!C$17*F74/C$6)*1440*((F$5/7.48)/F$6+0.018*I$8/(I$7*I$6)),PI()*(1-'Data Entry'!C$17)*'Data Entry'!C$17*C$7*F74^2/(C$6*LN(C$5/C$8)))*kro_b(F74,'Work Chart'!B$5,'Work Chart'!B$6,'Work Chart'!G$6,'Work Chart'!G$7,'Work Chart'!H$5,'Work Chart'!H$6,'Work Chart'!H$7)*7.48</f>
        <v>0.854491928736172</v>
      </c>
    </row>
    <row r="75" spans="2:9" ht="12.75">
      <c r="B75" s="113">
        <v>37</v>
      </c>
      <c r="C75" s="148">
        <f t="shared" si="1"/>
        <v>2</v>
      </c>
      <c r="E75" s="149">
        <f t="shared" si="0"/>
        <v>730</v>
      </c>
      <c r="F75" s="147">
        <f>bot(E75,365*C$33,365*C$34,'Work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5" s="147">
        <f>7.48*PI()*C$5^2*vo_recover(F75,C$29,'Work Chart'!B$5,'Work Chart'!B$6,'Work Chart'!B$7,'Work Chart'!F$5,'Work Chart'!F$6,'Work Chart'!F$7)</f>
        <v>14688.725700381605</v>
      </c>
      <c r="I75" s="145">
        <f>IF((C$30+C$31)&gt;0,('Data Entry'!C$17*F75/C$6)*1440*((F$5/7.48)/F$6+0.018*I$8/(I$7*I$6)),PI()*(1-'Data Entry'!C$17)*'Data Entry'!C$17*C$7*F75^2/(C$6*LN(C$5/C$8)))*kro_b(F75,'Work Chart'!B$5,'Work Chart'!B$6,'Work Chart'!G$6,'Work Chart'!G$7,'Work Chart'!H$5,'Work Chart'!H$6,'Work Chart'!H$7)*7.48</f>
        <v>0.854491928736172</v>
      </c>
    </row>
    <row r="76" spans="2:9" ht="12.75">
      <c r="B76" s="113">
        <v>38</v>
      </c>
      <c r="C76" s="148">
        <f t="shared" si="1"/>
        <v>2</v>
      </c>
      <c r="E76" s="149">
        <f t="shared" si="0"/>
        <v>730</v>
      </c>
      <c r="F76" s="147">
        <f>bot(E76,365*C$33,365*C$34,'Work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6" s="147">
        <f>7.48*PI()*C$5^2*vo_recover(F76,C$29,'Work Chart'!B$5,'Work Chart'!B$6,'Work Chart'!B$7,'Work Chart'!F$5,'Work Chart'!F$6,'Work Chart'!F$7)</f>
        <v>14688.725700381605</v>
      </c>
      <c r="I76" s="145">
        <f>IF((C$30+C$31)&gt;0,('Data Entry'!C$17*F76/C$6)*1440*((F$5/7.48)/F$6+0.018*I$8/(I$7*I$6)),PI()*(1-'Data Entry'!C$17)*'Data Entry'!C$17*C$7*F76^2/(C$6*LN(C$5/C$8)))*kro_b(F76,'Work Chart'!B$5,'Work Chart'!B$6,'Work Chart'!G$6,'Work Chart'!G$7,'Work Chart'!H$5,'Work Chart'!H$6,'Work Chart'!H$7)*7.48</f>
        <v>0.854491928736172</v>
      </c>
    </row>
    <row r="77" spans="2:9" ht="12.75">
      <c r="B77" s="113">
        <v>39</v>
      </c>
      <c r="C77" s="148">
        <f t="shared" si="1"/>
        <v>2</v>
      </c>
      <c r="E77" s="149">
        <f t="shared" si="0"/>
        <v>730</v>
      </c>
      <c r="F77" s="147">
        <f>bot(E77,365*C$33,365*C$34,'Work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7" s="147">
        <f>7.48*PI()*C$5^2*vo_recover(F77,C$29,'Work Chart'!B$5,'Work Chart'!B$6,'Work Chart'!B$7,'Work Chart'!F$5,'Work Chart'!F$6,'Work Chart'!F$7)</f>
        <v>14688.725700381605</v>
      </c>
      <c r="I77" s="145">
        <f>IF((C$30+C$31)&gt;0,('Data Entry'!C$17*F77/C$6)*1440*((F$5/7.48)/F$6+0.018*I$8/(I$7*I$6)),PI()*(1-'Data Entry'!C$17)*'Data Entry'!C$17*C$7*F77^2/(C$6*LN(C$5/C$8)))*kro_b(F77,'Work Chart'!B$5,'Work Chart'!B$6,'Work Chart'!G$6,'Work Chart'!G$7,'Work Chart'!H$5,'Work Chart'!H$6,'Work Chart'!H$7)*7.48</f>
        <v>0.854491928736172</v>
      </c>
    </row>
    <row r="78" spans="2:9" ht="12.75">
      <c r="B78" s="113">
        <v>40</v>
      </c>
      <c r="C78" s="148">
        <f t="shared" si="1"/>
        <v>2</v>
      </c>
      <c r="E78" s="149">
        <f t="shared" si="0"/>
        <v>730</v>
      </c>
      <c r="F78" s="147">
        <f>bot(E78,365*C$33,365*C$34,'Work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8" s="147">
        <f>7.48*PI()*C$5^2*vo_recover(F78,C$29,'Work Chart'!B$5,'Work Chart'!B$6,'Work Chart'!B$7,'Work Chart'!F$5,'Work Chart'!F$6,'Work Chart'!F$7)</f>
        <v>14688.725700381605</v>
      </c>
      <c r="I78" s="145">
        <f>IF((C$30+C$31)&gt;0,('Data Entry'!C$17*F78/C$6)*1440*((F$5/7.48)/F$6+0.018*I$8/(I$7*I$6)),PI()*(1-'Data Entry'!C$17)*'Data Entry'!C$17*C$7*F78^2/(C$6*LN(C$5/C$8)))*kro_b(F78,'Work Chart'!B$5,'Work Chart'!B$6,'Work Chart'!G$6,'Work Chart'!G$7,'Work Chart'!H$5,'Work Chart'!H$6,'Work Chart'!H$7)*7.48</f>
        <v>0.854491928736172</v>
      </c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6" ht="12.75">
      <c r="B81" s="113"/>
      <c r="C81" s="113"/>
      <c r="D81" s="113"/>
      <c r="E81" s="113"/>
      <c r="F81" s="113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D3" sqref="D3"/>
    </sheetView>
  </sheetViews>
  <sheetFormatPr defaultColWidth="9.140625" defaultRowHeight="12.75"/>
  <cols>
    <col min="1" max="1" width="4.421875" style="0" customWidth="1"/>
    <col min="2" max="7" width="12.7109375" style="0" customWidth="1"/>
  </cols>
  <sheetData>
    <row r="1" ht="15.75">
      <c r="B1" s="152" t="s">
        <v>66</v>
      </c>
    </row>
    <row r="3" spans="4:5" ht="15.75">
      <c r="D3" s="137" t="s">
        <v>84</v>
      </c>
      <c r="E3" s="184">
        <v>20</v>
      </c>
    </row>
    <row r="4" spans="2:5" ht="15.75">
      <c r="B4" s="150" t="s">
        <v>64</v>
      </c>
      <c r="D4" s="139" t="s">
        <v>87</v>
      </c>
      <c r="E4" s="185">
        <v>2</v>
      </c>
    </row>
    <row r="5" spans="2:5" ht="15.75">
      <c r="B5" s="151" t="s">
        <v>65</v>
      </c>
      <c r="D5" s="140" t="s">
        <v>86</v>
      </c>
      <c r="E5" s="185">
        <v>0.1</v>
      </c>
    </row>
    <row r="6" spans="4:5" ht="15.75">
      <c r="D6" s="140" t="s">
        <v>60</v>
      </c>
      <c r="E6" s="185">
        <v>0.001</v>
      </c>
    </row>
    <row r="7" spans="4:16" ht="15.75">
      <c r="D7" s="140" t="s">
        <v>81</v>
      </c>
      <c r="E7" s="185">
        <v>10</v>
      </c>
      <c r="O7" s="146" t="s">
        <v>61</v>
      </c>
      <c r="P7" s="75"/>
    </row>
    <row r="8" spans="4:16" ht="15.75">
      <c r="D8" s="140" t="s">
        <v>104</v>
      </c>
      <c r="E8" s="185">
        <v>75</v>
      </c>
      <c r="O8" s="75"/>
      <c r="P8" s="75"/>
    </row>
    <row r="9" spans="4:16" ht="15.75">
      <c r="D9" s="140" t="s">
        <v>105</v>
      </c>
      <c r="E9" s="185">
        <v>100</v>
      </c>
      <c r="O9" s="75">
        <v>0</v>
      </c>
      <c r="P9" s="145">
        <f>7.48*(E8*E9)*'Work Chart'!C7</f>
        <v>49012.867985722616</v>
      </c>
    </row>
    <row r="10" spans="4:16" ht="15.75">
      <c r="D10" s="141" t="s">
        <v>106</v>
      </c>
      <c r="E10" s="186">
        <v>5</v>
      </c>
      <c r="O10" s="75">
        <f>E3</f>
        <v>20</v>
      </c>
      <c r="P10" s="145">
        <f>P9</f>
        <v>49012.867985722616</v>
      </c>
    </row>
    <row r="11" spans="15:16" ht="12.75">
      <c r="O11" s="75"/>
      <c r="P11" s="75"/>
    </row>
    <row r="12" spans="1:16" ht="15.75">
      <c r="A12" s="136"/>
      <c r="B12" s="75"/>
      <c r="C12" s="75"/>
      <c r="O12" s="75"/>
      <c r="P12" s="75"/>
    </row>
    <row r="13" spans="2:16" ht="12.75">
      <c r="B13" s="75"/>
      <c r="C13" s="75"/>
      <c r="O13" s="75" t="s">
        <v>45</v>
      </c>
      <c r="P13" s="75" t="s">
        <v>34</v>
      </c>
    </row>
    <row r="14" spans="2:16" ht="12.75">
      <c r="B14" s="75"/>
      <c r="C14" s="75"/>
      <c r="O14" s="75"/>
      <c r="P14" s="75"/>
    </row>
    <row r="15" spans="2:16" ht="12.75">
      <c r="B15" s="75"/>
      <c r="C15" s="75"/>
      <c r="O15" s="75"/>
      <c r="P15" s="75"/>
    </row>
    <row r="16" spans="2:16" ht="12.75">
      <c r="B16" s="75"/>
      <c r="C16" s="75"/>
      <c r="O16" s="75"/>
      <c r="P16" s="75"/>
    </row>
    <row r="17" spans="15:16" ht="12.75">
      <c r="O17" s="145">
        <f>IF(C27&lt;E3,C27,)</f>
        <v>16.589467684901802</v>
      </c>
      <c r="P17" s="75">
        <f>IF(C27&lt;E3,'Work Chart'!B6,0)</f>
        <v>1.08</v>
      </c>
    </row>
    <row r="18" spans="15:16" ht="12.75">
      <c r="O18" s="145">
        <f>IF(C28&lt;E3,C28,O17)</f>
        <v>16.589467684901802</v>
      </c>
      <c r="P18" s="75">
        <f>IF(O18&gt;O17,'Work Chart'!B5,Trench!P17)</f>
        <v>1.08</v>
      </c>
    </row>
    <row r="24" ht="15">
      <c r="D24" s="131"/>
    </row>
    <row r="25" spans="2:3" ht="12.75">
      <c r="B25" s="142" t="s">
        <v>43</v>
      </c>
      <c r="C25" s="143">
        <f>'Data Entry'!C9*((1-'Data Entry'!C17)*'Data Entry'!C13+'Data Entry'!C17*'Data Entry'!C14)</f>
        <v>0.049999999999999996</v>
      </c>
    </row>
    <row r="26" spans="2:3" ht="15.75">
      <c r="B26" s="75" t="s">
        <v>107</v>
      </c>
      <c r="C26" s="166">
        <f>'Data Entry'!C17*E7*(E6+(1440*E5/7.48)/(2*E7*E8*E10))/(E4*E9)</f>
        <v>0.00013375668449197863</v>
      </c>
    </row>
    <row r="27" spans="2:3" ht="15.75">
      <c r="B27" s="75" t="s">
        <v>97</v>
      </c>
      <c r="C27" s="143">
        <f>LN(('Work Chart'!B7-'Work Chart'!G7)*'Work Chart'!B6/(('Work Chart'!B6-'Work Chart'!G7)*'Work Chart'!B7))/('Work Chart'!G7*(Trench!C26*'Work Chart'!H7/('Work Chart'!F7-Trench!C25))*365)</f>
        <v>16.589467684901802</v>
      </c>
    </row>
    <row r="28" spans="2:3" ht="15.75">
      <c r="B28" s="75" t="s">
        <v>108</v>
      </c>
      <c r="C28" s="143">
        <f>Trench!C27+LN(('Work Chart'!B6-'Work Chart'!G6)*'Work Chart'!B5/(('Work Chart'!B5-'Work Chart'!G6)*'Work Chart'!B6))/('Work Chart'!G6*(Trench!C26*'Work Chart'!H6/('Work Chart'!F6-Trench!C25))*365)</f>
        <v>380.48028394733274</v>
      </c>
    </row>
    <row r="29" spans="2:7" ht="15.75">
      <c r="B29" s="75" t="s">
        <v>44</v>
      </c>
      <c r="C29" s="75" t="s">
        <v>103</v>
      </c>
      <c r="D29" s="75" t="s">
        <v>102</v>
      </c>
      <c r="E29" s="75" t="s">
        <v>101</v>
      </c>
      <c r="F29" s="75" t="s">
        <v>100</v>
      </c>
      <c r="G29" s="75" t="s">
        <v>99</v>
      </c>
    </row>
    <row r="30" spans="2:7" ht="12.75">
      <c r="B30" s="75">
        <v>0</v>
      </c>
      <c r="C30" s="84">
        <f aca="true" t="shared" si="0" ref="C30:C70">tmrec(B30,C$28,C$27,0,E$3)</f>
        <v>0</v>
      </c>
      <c r="D30" s="144">
        <f>365*C30</f>
        <v>0</v>
      </c>
      <c r="E30" s="79">
        <f>bo_trench(D30,C$25,C$26,365*C$27,365*C$28,'Work Chart'!B$5,'Work Chart'!B$6,'Work Chart'!B$7,'Work Chart'!F$5,'Work Chart'!F$6,'Work Chart'!F$7,'Work Chart'!G$6,'Work Chart'!G$7,'Work Chart'!H$5,'Work Chart'!H$6,'Work Chart'!H$7)</f>
        <v>3</v>
      </c>
      <c r="F30" s="145">
        <f>7.48*E$8*E$9*vo_recover(E30,C$25,'Work Chart'!B$5,'Work Chart'!B$6,'Work Chart'!B$7,'Work Chart'!F$5,'Work Chart'!F$6,'Work Chart'!F$7)</f>
        <v>0</v>
      </c>
      <c r="G30" s="145">
        <f>7.48*E$8*E30*(E$7*'Data Entry'!C$17/E$4)*(E$6+(1440*E$5/7.48)/(2*E$7*E$8*E$10))*kro_b(E30,'Work Chart'!B$5,'Work Chart'!B$6,'Work Chart'!G$6,'Work Chart'!G$7,'Work Chart'!H$5,'Work Chart'!H$6,'Work Chart'!H$7)</f>
        <v>14.281863377054934</v>
      </c>
    </row>
    <row r="31" spans="2:7" ht="12.75">
      <c r="B31" s="75">
        <v>1</v>
      </c>
      <c r="C31" s="84">
        <f t="shared" si="0"/>
        <v>0</v>
      </c>
      <c r="D31" s="144">
        <f aca="true" t="shared" si="1" ref="D31:D70">365*C31</f>
        <v>0</v>
      </c>
      <c r="E31" s="79">
        <f>bo_trench(D31,C$25,C$26,365*C$27,365*C$28,'Work Chart'!B$5,'Work Chart'!B$6,'Work Chart'!B$7,'Work Chart'!F$5,'Work Chart'!F$6,'Work Chart'!F$7,'Work Chart'!G$6,'Work Chart'!G$7,'Work Chart'!H$5,'Work Chart'!H$6,'Work Chart'!H$7)</f>
        <v>3</v>
      </c>
      <c r="F31" s="145">
        <f>7.48*E$8*E$9*vo_recover(E31,C$25,'Work Chart'!B$5,'Work Chart'!B$6,'Work Chart'!B$7,'Work Chart'!F$5,'Work Chart'!F$6,'Work Chart'!F$7)</f>
        <v>0</v>
      </c>
      <c r="G31" s="145">
        <f>7.48*E$8*E31*(E$7*'Data Entry'!C$17/E$4)*(E$6+(1440*E$5/7.48)/(2*E$7*E$8*E$10))*kro_b(E31,'Work Chart'!B$5,'Work Chart'!B$6,'Work Chart'!G$6,'Work Chart'!G$7,'Work Chart'!H$5,'Work Chart'!H$6,'Work Chart'!H$7)</f>
        <v>14.281863377054934</v>
      </c>
    </row>
    <row r="32" spans="2:7" ht="12.75">
      <c r="B32" s="75">
        <v>2</v>
      </c>
      <c r="C32" s="84">
        <f t="shared" si="0"/>
        <v>0</v>
      </c>
      <c r="D32" s="144">
        <f t="shared" si="1"/>
        <v>0</v>
      </c>
      <c r="E32" s="79">
        <f>bo_trench(D32,C$25,C$26,365*C$27,365*C$28,'Work Chart'!B$5,'Work Chart'!B$6,'Work Chart'!B$7,'Work Chart'!F$5,'Work Chart'!F$6,'Work Chart'!F$7,'Work Chart'!G$6,'Work Chart'!G$7,'Work Chart'!H$5,'Work Chart'!H$6,'Work Chart'!H$7)</f>
        <v>3</v>
      </c>
      <c r="F32" s="145">
        <f>7.48*E$8*E$9*vo_recover(E32,C$25,'Work Chart'!B$5,'Work Chart'!B$6,'Work Chart'!B$7,'Work Chart'!F$5,'Work Chart'!F$6,'Work Chart'!F$7)</f>
        <v>0</v>
      </c>
      <c r="G32" s="145">
        <f>7.48*E$8*E32*(E$7*'Data Entry'!C$17/E$4)*(E$6+(1440*E$5/7.48)/(2*E$7*E$8*E$10))*kro_b(E32,'Work Chart'!B$5,'Work Chart'!B$6,'Work Chart'!G$6,'Work Chart'!G$7,'Work Chart'!H$5,'Work Chart'!H$6,'Work Chart'!H$7)</f>
        <v>14.281863377054934</v>
      </c>
    </row>
    <row r="33" spans="2:7" ht="12.75">
      <c r="B33" s="75">
        <v>3</v>
      </c>
      <c r="C33" s="84">
        <f t="shared" si="0"/>
        <v>0</v>
      </c>
      <c r="D33" s="144">
        <f t="shared" si="1"/>
        <v>0</v>
      </c>
      <c r="E33" s="79">
        <f>bo_trench(D33,C$25,C$26,365*C$27,365*C$28,'Work Chart'!B$5,'Work Chart'!B$6,'Work Chart'!B$7,'Work Chart'!F$5,'Work Chart'!F$6,'Work Chart'!F$7,'Work Chart'!G$6,'Work Chart'!G$7,'Work Chart'!H$5,'Work Chart'!H$6,'Work Chart'!H$7)</f>
        <v>3</v>
      </c>
      <c r="F33" s="145">
        <f>7.48*E$8*E$9*vo_recover(E33,C$25,'Work Chart'!B$5,'Work Chart'!B$6,'Work Chart'!B$7,'Work Chart'!F$5,'Work Chart'!F$6,'Work Chart'!F$7)</f>
        <v>0</v>
      </c>
      <c r="G33" s="145">
        <f>7.48*E$8*E33*(E$7*'Data Entry'!C$17/E$4)*(E$6+(1440*E$5/7.48)/(2*E$7*E$8*E$10))*kro_b(E33,'Work Chart'!B$5,'Work Chart'!B$6,'Work Chart'!G$6,'Work Chart'!G$7,'Work Chart'!H$5,'Work Chart'!H$6,'Work Chart'!H$7)</f>
        <v>14.281863377054934</v>
      </c>
    </row>
    <row r="34" spans="2:7" ht="12.75">
      <c r="B34" s="75">
        <v>4</v>
      </c>
      <c r="C34" s="84">
        <f t="shared" si="0"/>
        <v>0</v>
      </c>
      <c r="D34" s="144">
        <f t="shared" si="1"/>
        <v>0</v>
      </c>
      <c r="E34" s="79">
        <f>bo_trench(D34,C$25,C$26,365*C$27,365*C$28,'Work Chart'!B$5,'Work Chart'!B$6,'Work Chart'!B$7,'Work Chart'!F$5,'Work Chart'!F$6,'Work Chart'!F$7,'Work Chart'!G$6,'Work Chart'!G$7,'Work Chart'!H$5,'Work Chart'!H$6,'Work Chart'!H$7)</f>
        <v>3</v>
      </c>
      <c r="F34" s="145">
        <f>7.48*E$8*E$9*vo_recover(E34,C$25,'Work Chart'!B$5,'Work Chart'!B$6,'Work Chart'!B$7,'Work Chart'!F$5,'Work Chart'!F$6,'Work Chart'!F$7)</f>
        <v>0</v>
      </c>
      <c r="G34" s="145">
        <f>7.48*E$8*E34*(E$7*'Data Entry'!C$17/E$4)*(E$6+(1440*E$5/7.48)/(2*E$7*E$8*E$10))*kro_b(E34,'Work Chart'!B$5,'Work Chart'!B$6,'Work Chart'!G$6,'Work Chart'!G$7,'Work Chart'!H$5,'Work Chart'!H$6,'Work Chart'!H$7)</f>
        <v>14.281863377054934</v>
      </c>
    </row>
    <row r="35" spans="2:7" ht="12.75">
      <c r="B35" s="75">
        <v>5</v>
      </c>
      <c r="C35" s="84">
        <f t="shared" si="0"/>
        <v>0</v>
      </c>
      <c r="D35" s="144">
        <f t="shared" si="1"/>
        <v>0</v>
      </c>
      <c r="E35" s="79">
        <f>bo_trench(D35,C$25,C$26,365*C$27,365*C$28,'Work Chart'!B$5,'Work Chart'!B$6,'Work Chart'!B$7,'Work Chart'!F$5,'Work Chart'!F$6,'Work Chart'!F$7,'Work Chart'!G$6,'Work Chart'!G$7,'Work Chart'!H$5,'Work Chart'!H$6,'Work Chart'!H$7)</f>
        <v>3</v>
      </c>
      <c r="F35" s="145">
        <f>7.48*E$8*E$9*vo_recover(E35,C$25,'Work Chart'!B$5,'Work Chart'!B$6,'Work Chart'!B$7,'Work Chart'!F$5,'Work Chart'!F$6,'Work Chart'!F$7)</f>
        <v>0</v>
      </c>
      <c r="G35" s="145">
        <f>7.48*E$8*E35*(E$7*'Data Entry'!C$17/E$4)*(E$6+(1440*E$5/7.48)/(2*E$7*E$8*E$10))*kro_b(E35,'Work Chart'!B$5,'Work Chart'!B$6,'Work Chart'!G$6,'Work Chart'!G$7,'Work Chart'!H$5,'Work Chart'!H$6,'Work Chart'!H$7)</f>
        <v>14.281863377054934</v>
      </c>
    </row>
    <row r="36" spans="2:7" ht="12.75">
      <c r="B36" s="75">
        <v>6</v>
      </c>
      <c r="C36" s="84">
        <f t="shared" si="0"/>
        <v>0</v>
      </c>
      <c r="D36" s="144">
        <f t="shared" si="1"/>
        <v>0</v>
      </c>
      <c r="E36" s="79">
        <f>bo_trench(D36,C$25,C$26,365*C$27,365*C$28,'Work Chart'!B$5,'Work Chart'!B$6,'Work Chart'!B$7,'Work Chart'!F$5,'Work Chart'!F$6,'Work Chart'!F$7,'Work Chart'!G$6,'Work Chart'!G$7,'Work Chart'!H$5,'Work Chart'!H$6,'Work Chart'!H$7)</f>
        <v>3</v>
      </c>
      <c r="F36" s="145">
        <f>7.48*E$8*E$9*vo_recover(E36,C$25,'Work Chart'!B$5,'Work Chart'!B$6,'Work Chart'!B$7,'Work Chart'!F$5,'Work Chart'!F$6,'Work Chart'!F$7)</f>
        <v>0</v>
      </c>
      <c r="G36" s="145">
        <f>7.48*E$8*E36*(E$7*'Data Entry'!C$17/E$4)*(E$6+(1440*E$5/7.48)/(2*E$7*E$8*E$10))*kro_b(E36,'Work Chart'!B$5,'Work Chart'!B$6,'Work Chart'!G$6,'Work Chart'!G$7,'Work Chart'!H$5,'Work Chart'!H$6,'Work Chart'!H$7)</f>
        <v>14.281863377054934</v>
      </c>
    </row>
    <row r="37" spans="2:7" ht="12.75">
      <c r="B37" s="75">
        <v>7</v>
      </c>
      <c r="C37" s="84">
        <f t="shared" si="0"/>
        <v>0</v>
      </c>
      <c r="D37" s="144">
        <f t="shared" si="1"/>
        <v>0</v>
      </c>
      <c r="E37" s="79">
        <f>bo_trench(D37,C$25,C$26,365*C$27,365*C$28,'Work Chart'!B$5,'Work Chart'!B$6,'Work Chart'!B$7,'Work Chart'!F$5,'Work Chart'!F$6,'Work Chart'!F$7,'Work Chart'!G$6,'Work Chart'!G$7,'Work Chart'!H$5,'Work Chart'!H$6,'Work Chart'!H$7)</f>
        <v>3</v>
      </c>
      <c r="F37" s="145">
        <f>7.48*E$8*E$9*vo_recover(E37,C$25,'Work Chart'!B$5,'Work Chart'!B$6,'Work Chart'!B$7,'Work Chart'!F$5,'Work Chart'!F$6,'Work Chart'!F$7)</f>
        <v>0</v>
      </c>
      <c r="G37" s="145">
        <f>7.48*E$8*E37*(E$7*'Data Entry'!C$17/E$4)*(E$6+(1440*E$5/7.48)/(2*E$7*E$8*E$10))*kro_b(E37,'Work Chart'!B$5,'Work Chart'!B$6,'Work Chart'!G$6,'Work Chart'!G$7,'Work Chart'!H$5,'Work Chart'!H$6,'Work Chart'!H$7)</f>
        <v>14.281863377054934</v>
      </c>
    </row>
    <row r="38" spans="2:7" ht="12.75">
      <c r="B38" s="75">
        <v>8</v>
      </c>
      <c r="C38" s="84">
        <f t="shared" si="0"/>
        <v>0</v>
      </c>
      <c r="D38" s="144">
        <f t="shared" si="1"/>
        <v>0</v>
      </c>
      <c r="E38" s="79">
        <f>bo_trench(D38,C$25,C$26,365*C$27,365*C$28,'Work Chart'!B$5,'Work Chart'!B$6,'Work Chart'!B$7,'Work Chart'!F$5,'Work Chart'!F$6,'Work Chart'!F$7,'Work Chart'!G$6,'Work Chart'!G$7,'Work Chart'!H$5,'Work Chart'!H$6,'Work Chart'!H$7)</f>
        <v>3</v>
      </c>
      <c r="F38" s="145">
        <f>7.48*E$8*E$9*vo_recover(E38,C$25,'Work Chart'!B$5,'Work Chart'!B$6,'Work Chart'!B$7,'Work Chart'!F$5,'Work Chart'!F$6,'Work Chart'!F$7)</f>
        <v>0</v>
      </c>
      <c r="G38" s="145">
        <f>7.48*E$8*E38*(E$7*'Data Entry'!C$17/E$4)*(E$6+(1440*E$5/7.48)/(2*E$7*E$8*E$10))*kro_b(E38,'Work Chart'!B$5,'Work Chart'!B$6,'Work Chart'!G$6,'Work Chart'!G$7,'Work Chart'!H$5,'Work Chart'!H$6,'Work Chart'!H$7)</f>
        <v>14.281863377054934</v>
      </c>
    </row>
    <row r="39" spans="2:7" ht="12.75">
      <c r="B39" s="75">
        <v>9</v>
      </c>
      <c r="C39" s="84">
        <f t="shared" si="0"/>
        <v>0</v>
      </c>
      <c r="D39" s="144">
        <f t="shared" si="1"/>
        <v>0</v>
      </c>
      <c r="E39" s="79">
        <f>bo_trench(D39,C$25,C$26,365*C$27,365*C$28,'Work Chart'!B$5,'Work Chart'!B$6,'Work Chart'!B$7,'Work Chart'!F$5,'Work Chart'!F$6,'Work Chart'!F$7,'Work Chart'!G$6,'Work Chart'!G$7,'Work Chart'!H$5,'Work Chart'!H$6,'Work Chart'!H$7)</f>
        <v>3</v>
      </c>
      <c r="F39" s="145">
        <f>7.48*E$8*E$9*vo_recover(E39,C$25,'Work Chart'!B$5,'Work Chart'!B$6,'Work Chart'!B$7,'Work Chart'!F$5,'Work Chart'!F$6,'Work Chart'!F$7)</f>
        <v>0</v>
      </c>
      <c r="G39" s="145">
        <f>7.48*E$8*E39*(E$7*'Data Entry'!C$17/E$4)*(E$6+(1440*E$5/7.48)/(2*E$7*E$8*E$10))*kro_b(E39,'Work Chart'!B$5,'Work Chart'!B$6,'Work Chart'!G$6,'Work Chart'!G$7,'Work Chart'!H$5,'Work Chart'!H$6,'Work Chart'!H$7)</f>
        <v>14.281863377054934</v>
      </c>
    </row>
    <row r="40" spans="2:7" ht="12.75">
      <c r="B40" s="75">
        <v>10</v>
      </c>
      <c r="C40" s="84">
        <f t="shared" si="0"/>
        <v>0</v>
      </c>
      <c r="D40" s="144">
        <f t="shared" si="1"/>
        <v>0</v>
      </c>
      <c r="E40" s="79">
        <f>bo_trench(D40,C$25,C$26,365*C$27,365*C$28,'Work Chart'!B$5,'Work Chart'!B$6,'Work Chart'!B$7,'Work Chart'!F$5,'Work Chart'!F$6,'Work Chart'!F$7,'Work Chart'!G$6,'Work Chart'!G$7,'Work Chart'!H$5,'Work Chart'!H$6,'Work Chart'!H$7)</f>
        <v>3</v>
      </c>
      <c r="F40" s="145">
        <f>7.48*E$8*E$9*vo_recover(E40,C$25,'Work Chart'!B$5,'Work Chart'!B$6,'Work Chart'!B$7,'Work Chart'!F$5,'Work Chart'!F$6,'Work Chart'!F$7)</f>
        <v>0</v>
      </c>
      <c r="G40" s="145">
        <f>7.48*E$8*E40*(E$7*'Data Entry'!C$17/E$4)*(E$6+(1440*E$5/7.48)/(2*E$7*E$8*E$10))*kro_b(E40,'Work Chart'!B$5,'Work Chart'!B$6,'Work Chart'!G$6,'Work Chart'!G$7,'Work Chart'!H$5,'Work Chart'!H$6,'Work Chart'!H$7)</f>
        <v>14.281863377054934</v>
      </c>
    </row>
    <row r="41" spans="2:7" ht="12.75">
      <c r="B41" s="75">
        <v>11</v>
      </c>
      <c r="C41" s="84">
        <f t="shared" si="0"/>
        <v>1.6589467684901802</v>
      </c>
      <c r="D41" s="144">
        <f t="shared" si="1"/>
        <v>605.5155704989157</v>
      </c>
      <c r="E41" s="79">
        <f>bo_trench(D41,C$25,C$26,365*C$27,365*C$28,'Work Chart'!B$5,'Work Chart'!B$6,'Work Chart'!B$7,'Work Chart'!F$5,'Work Chart'!F$6,'Work Chart'!F$7,'Work Chart'!G$6,'Work Chart'!G$7,'Work Chart'!H$5,'Work Chart'!H$6,'Work Chart'!H$7)</f>
        <v>2.5494102338475004</v>
      </c>
      <c r="F41" s="145">
        <f>7.48*E$8*E$9*vo_recover(E41,C$25,'Work Chart'!B$5,'Work Chart'!B$6,'Work Chart'!B$7,'Work Chart'!F$5,'Work Chart'!F$6,'Work Chart'!F$7)</f>
        <v>7353.771302121321</v>
      </c>
      <c r="G41" s="145">
        <f>7.48*E$8*E41*(E$7*'Data Entry'!C$17/E$4)*(E$6+(1440*E$5/7.48)/(2*E$7*E$8*E$10))*kro_b(E41,'Work Chart'!B$5,'Work Chart'!B$6,'Work Chart'!G$6,'Work Chart'!G$7,'Work Chart'!H$5,'Work Chart'!H$6,'Work Chart'!H$7)</f>
        <v>10.32724959310477</v>
      </c>
    </row>
    <row r="42" spans="2:7" ht="12.75">
      <c r="B42" s="75">
        <v>12</v>
      </c>
      <c r="C42" s="84">
        <f t="shared" si="0"/>
        <v>3.3178935369803604</v>
      </c>
      <c r="D42" s="144">
        <f t="shared" si="1"/>
        <v>1211.0311409978315</v>
      </c>
      <c r="E42" s="79">
        <f>bo_trench(D42,C$25,C$26,365*C$27,365*C$28,'Work Chart'!B$5,'Work Chart'!B$6,'Work Chart'!B$7,'Work Chart'!F$5,'Work Chart'!F$6,'Work Chart'!F$7,'Work Chart'!G$6,'Work Chart'!G$7,'Work Chart'!H$5,'Work Chart'!H$6,'Work Chart'!H$7)</f>
        <v>2.2161242606936664</v>
      </c>
      <c r="F42" s="145">
        <f>7.48*E$8*E$9*vo_recover(E42,C$25,'Work Chart'!B$5,'Work Chart'!B$6,'Work Chart'!B$7,'Work Chart'!F$5,'Work Chart'!F$6,'Work Chart'!F$7)</f>
        <v>12793.106610834802</v>
      </c>
      <c r="G42" s="145">
        <f>7.48*E$8*E42*(E$7*'Data Entry'!C$17/E$4)*(E$6+(1440*E$5/7.48)/(2*E$7*E$8*E$10))*kro_b(E42,'Work Chart'!B$5,'Work Chart'!B$6,'Work Chart'!G$6,'Work Chart'!G$7,'Work Chart'!H$5,'Work Chart'!H$6,'Work Chart'!H$7)</f>
        <v>7.813692192590417</v>
      </c>
    </row>
    <row r="43" spans="2:7" ht="12.75">
      <c r="B43" s="75">
        <v>13</v>
      </c>
      <c r="C43" s="84">
        <f t="shared" si="0"/>
        <v>4.976840305470541</v>
      </c>
      <c r="D43" s="144">
        <f t="shared" si="1"/>
        <v>1816.5467114967473</v>
      </c>
      <c r="E43" s="79">
        <f>bo_trench(D43,C$25,C$26,365*C$27,365*C$28,'Work Chart'!B$5,'Work Chart'!B$6,'Work Chart'!B$7,'Work Chart'!F$5,'Work Chart'!F$6,'Work Chart'!F$7,'Work Chart'!G$6,'Work Chart'!G$7,'Work Chart'!H$5,'Work Chart'!H$6,'Work Chart'!H$7)</f>
        <v>1.9596108863727113</v>
      </c>
      <c r="F43" s="145">
        <f>7.48*E$8*E$9*vo_recover(E43,C$25,'Work Chart'!B$5,'Work Chart'!B$6,'Work Chart'!B$7,'Work Chart'!F$5,'Work Chart'!F$6,'Work Chart'!F$7)</f>
        <v>16979.488176485636</v>
      </c>
      <c r="G43" s="145">
        <f>7.48*E$8*E43*(E$7*'Data Entry'!C$17/E$4)*(E$6+(1440*E$5/7.48)/(2*E$7*E$8*E$10))*kro_b(E43,'Work Chart'!B$5,'Work Chart'!B$6,'Work Chart'!G$6,'Work Chart'!G$7,'Work Chart'!H$5,'Work Chart'!H$6,'Work Chart'!H$7)</f>
        <v>6.117452818305378</v>
      </c>
    </row>
    <row r="44" spans="2:7" ht="12.75">
      <c r="B44" s="75">
        <v>14</v>
      </c>
      <c r="C44" s="84">
        <f t="shared" si="0"/>
        <v>6.635787073960721</v>
      </c>
      <c r="D44" s="144">
        <f t="shared" si="1"/>
        <v>2422.062281995663</v>
      </c>
      <c r="E44" s="79">
        <f>bo_trench(D44,C$25,C$26,365*C$27,365*C$28,'Work Chart'!B$5,'Work Chart'!B$6,'Work Chart'!B$7,'Work Chart'!F$5,'Work Chart'!F$6,'Work Chart'!F$7,'Work Chart'!G$6,'Work Chart'!G$7,'Work Chart'!H$5,'Work Chart'!H$6,'Work Chart'!H$7)</f>
        <v>1.7560830501312559</v>
      </c>
      <c r="F44" s="145">
        <f>7.48*E$8*E$9*vo_recover(E44,C$25,'Work Chart'!B$5,'Work Chart'!B$6,'Work Chart'!B$7,'Work Chart'!F$5,'Work Chart'!F$6,'Work Chart'!F$7)</f>
        <v>20301.1285548619</v>
      </c>
      <c r="G44" s="145">
        <f>7.48*E$8*E44*(E$7*'Data Entry'!C$17/E$4)*(E$6+(1440*E$5/7.48)/(2*E$7*E$8*E$10))*kro_b(E44,'Work Chart'!B$5,'Work Chart'!B$6,'Work Chart'!G$6,'Work Chart'!G$7,'Work Chart'!H$5,'Work Chart'!H$6,'Work Chart'!H$7)</f>
        <v>4.919080192463698</v>
      </c>
    </row>
    <row r="45" spans="2:7" ht="12.75">
      <c r="B45" s="75">
        <v>15</v>
      </c>
      <c r="C45" s="84">
        <f t="shared" si="0"/>
        <v>8.294733842450901</v>
      </c>
      <c r="D45" s="144">
        <f t="shared" si="1"/>
        <v>3027.577852494579</v>
      </c>
      <c r="E45" s="79">
        <f>bo_trench(D45,C$25,C$26,365*C$27,365*C$28,'Work Chart'!B$5,'Work Chart'!B$6,'Work Chart'!B$7,'Work Chart'!F$5,'Work Chart'!F$6,'Work Chart'!F$7,'Work Chart'!G$6,'Work Chart'!G$7,'Work Chart'!H$5,'Work Chart'!H$6,'Work Chart'!H$7)</f>
        <v>1.5906606324742434</v>
      </c>
      <c r="F45" s="145">
        <f>7.48*E$8*E$9*vo_recover(E45,C$25,'Work Chart'!B$5,'Work Chart'!B$6,'Work Chart'!B$7,'Work Chart'!F$5,'Work Chart'!F$6,'Work Chart'!F$7)</f>
        <v>23000.876128094525</v>
      </c>
      <c r="G45" s="145">
        <f>7.48*E$8*E45*(E$7*'Data Entry'!C$17/E$4)*(E$6+(1440*E$5/7.48)/(2*E$7*E$8*E$10))*kro_b(E45,'Work Chart'!B$5,'Work Chart'!B$6,'Work Chart'!G$6,'Work Chart'!G$7,'Work Chart'!H$5,'Work Chart'!H$6,'Work Chart'!H$7)</f>
        <v>4.041212847348705</v>
      </c>
    </row>
    <row r="46" spans="2:7" ht="12.75">
      <c r="B46" s="75">
        <v>16</v>
      </c>
      <c r="C46" s="84">
        <f t="shared" si="0"/>
        <v>9.953680610941081</v>
      </c>
      <c r="D46" s="144">
        <f t="shared" si="1"/>
        <v>3633.0934229934946</v>
      </c>
      <c r="E46" s="79">
        <f>bo_trench(D46,C$25,C$26,365*C$27,365*C$28,'Work Chart'!B$5,'Work Chart'!B$6,'Work Chart'!B$7,'Work Chart'!F$5,'Work Chart'!F$6,'Work Chart'!F$7,'Work Chart'!G$6,'Work Chart'!G$7,'Work Chart'!H$5,'Work Chart'!H$6,'Work Chart'!H$7)</f>
        <v>1.4535583624212156</v>
      </c>
      <c r="F46" s="145">
        <f>7.48*E$8*E$9*vo_recover(E46,C$25,'Work Chart'!B$5,'Work Chart'!B$6,'Work Chart'!B$7,'Work Chart'!F$5,'Work Chart'!F$6,'Work Chart'!F$7)</f>
        <v>25238.429696123003</v>
      </c>
      <c r="G46" s="145">
        <f>7.48*E$8*E46*(E$7*'Data Entry'!C$17/E$4)*(E$6+(1440*E$5/7.48)/(2*E$7*E$8*E$10))*kro_b(E46,'Work Chart'!B$5,'Work Chart'!B$6,'Work Chart'!G$6,'Work Chart'!G$7,'Work Chart'!H$5,'Work Chart'!H$6,'Work Chart'!H$7)</f>
        <v>3.3789710145604492</v>
      </c>
    </row>
    <row r="47" spans="2:7" ht="12.75">
      <c r="B47" s="75">
        <v>17</v>
      </c>
      <c r="C47" s="84">
        <f t="shared" si="0"/>
        <v>11.612627379431261</v>
      </c>
      <c r="D47" s="144">
        <f t="shared" si="1"/>
        <v>4238.60899349241</v>
      </c>
      <c r="E47" s="79">
        <f>bo_trench(D47,C$25,C$26,365*C$27,365*C$28,'Work Chart'!B$5,'Work Chart'!B$6,'Work Chart'!B$7,'Work Chart'!F$5,'Work Chart'!F$6,'Work Chart'!F$7,'Work Chart'!G$6,'Work Chart'!G$7,'Work Chart'!H$5,'Work Chart'!H$6,'Work Chart'!H$7)</f>
        <v>1.3380772010684527</v>
      </c>
      <c r="F47" s="145">
        <f>7.48*E$8*E$9*vo_recover(E47,C$25,'Work Chart'!B$5,'Work Chart'!B$6,'Work Chart'!B$7,'Work Chart'!F$5,'Work Chart'!F$6,'Work Chart'!F$7)</f>
        <v>27123.119749212612</v>
      </c>
      <c r="G47" s="145">
        <f>7.48*E$8*E47*(E$7*'Data Entry'!C$17/E$4)*(E$6+(1440*E$5/7.48)/(2*E$7*E$8*E$10))*kro_b(E47,'Work Chart'!B$5,'Work Chart'!B$6,'Work Chart'!G$6,'Work Chart'!G$7,'Work Chart'!H$5,'Work Chart'!H$6,'Work Chart'!H$7)</f>
        <v>2.867112401741454</v>
      </c>
    </row>
    <row r="48" spans="2:7" ht="12.75">
      <c r="B48" s="75">
        <v>18</v>
      </c>
      <c r="C48" s="84">
        <f t="shared" si="0"/>
        <v>13.271574147921442</v>
      </c>
      <c r="D48" s="144">
        <f t="shared" si="1"/>
        <v>4844.124563991326</v>
      </c>
      <c r="E48" s="79">
        <f>bo_trench(D48,C$25,C$26,365*C$27,365*C$28,'Work Chart'!B$5,'Work Chart'!B$6,'Work Chart'!B$7,'Work Chart'!F$5,'Work Chart'!F$6,'Work Chart'!F$7,'Work Chart'!G$6,'Work Chart'!G$7,'Work Chart'!H$5,'Work Chart'!H$6,'Work Chart'!H$7)</f>
        <v>1.2394765374405572</v>
      </c>
      <c r="F48" s="145">
        <f>7.48*E$8*E$9*vo_recover(E48,C$25,'Work Chart'!B$5,'Work Chart'!B$6,'Work Chart'!B$7,'Work Chart'!F$5,'Work Chart'!F$6,'Work Chart'!F$7)</f>
        <v>28732.31459788464</v>
      </c>
      <c r="G48" s="145">
        <f>7.48*E$8*E48*(E$7*'Data Entry'!C$17/E$4)*(E$6+(1440*E$5/7.48)/(2*E$7*E$8*E$10))*kro_b(E48,'Work Chart'!B$5,'Work Chart'!B$6,'Work Chart'!G$6,'Work Chart'!G$7,'Work Chart'!H$5,'Work Chart'!H$6,'Work Chart'!H$7)</f>
        <v>2.4633258066290473</v>
      </c>
    </row>
    <row r="49" spans="2:7" ht="12.75">
      <c r="B49" s="75">
        <v>19</v>
      </c>
      <c r="C49" s="84">
        <f t="shared" si="0"/>
        <v>14.93052091641162</v>
      </c>
      <c r="D49" s="144">
        <f t="shared" si="1"/>
        <v>5449.6401344902415</v>
      </c>
      <c r="E49" s="79">
        <f>bo_trench(D49,C$25,C$26,365*C$27,365*C$28,'Work Chart'!B$5,'Work Chart'!B$6,'Work Chart'!B$7,'Work Chart'!F$5,'Work Chart'!F$6,'Work Chart'!F$7,'Work Chart'!G$6,'Work Chart'!G$7,'Work Chart'!H$5,'Work Chart'!H$6,'Work Chart'!H$7)</f>
        <v>1.1543072617821042</v>
      </c>
      <c r="F49" s="145">
        <f>7.48*E$8*E$9*vo_recover(E49,C$25,'Work Chart'!B$5,'Work Chart'!B$6,'Work Chart'!B$7,'Work Chart'!F$5,'Work Chart'!F$6,'Work Chart'!F$7)</f>
        <v>30122.30483336553</v>
      </c>
      <c r="G49" s="145">
        <f>7.48*E$8*E49*(E$7*'Data Entry'!C$17/E$4)*(E$6+(1440*E$5/7.48)/(2*E$7*E$8*E$10))*kro_b(E49,'Work Chart'!B$5,'Work Chart'!B$6,'Work Chart'!G$6,'Work Chart'!G$7,'Work Chart'!H$5,'Work Chart'!H$6,'Work Chart'!H$7)</f>
        <v>2.139197836962316</v>
      </c>
    </row>
    <row r="50" spans="2:7" ht="12.75">
      <c r="B50" s="75">
        <v>20</v>
      </c>
      <c r="C50" s="84">
        <f t="shared" si="0"/>
        <v>16.589467684901802</v>
      </c>
      <c r="D50" s="144">
        <f t="shared" si="1"/>
        <v>6055.155704989158</v>
      </c>
      <c r="E50" s="79">
        <f>bo_trench(D50,C$25,C$26,365*C$27,365*C$28,'Work Chart'!B$5,'Work Chart'!B$6,'Work Chart'!B$7,'Work Chart'!F$5,'Work Chart'!F$6,'Work Chart'!F$7,'Work Chart'!G$6,'Work Chart'!G$7,'Work Chart'!H$5,'Work Chart'!H$6,'Work Chart'!H$7)</f>
        <v>1.08</v>
      </c>
      <c r="F50" s="145">
        <f>7.48*E$8*E$9*vo_recover(E50,C$25,'Work Chart'!B$5,'Work Chart'!B$6,'Work Chart'!B$7,'Work Chart'!F$5,'Work Chart'!F$6,'Work Chart'!F$7)</f>
        <v>31335.023475198854</v>
      </c>
      <c r="G50" s="145">
        <f>7.48*E$8*E50*(E$7*'Data Entry'!C$17/E$4)*(E$6+(1440*E$5/7.48)/(2*E$7*E$8*E$10))*kro_b(E50,'Work Chart'!B$5,'Work Chart'!B$6,'Work Chart'!G$6,'Work Chart'!G$7,'Work Chart'!H$5,'Work Chart'!H$6,'Work Chart'!H$7)</f>
        <v>1.8750742294768132</v>
      </c>
    </row>
    <row r="51" spans="2:7" ht="12.75">
      <c r="B51" s="75">
        <v>21</v>
      </c>
      <c r="C51" s="84">
        <f t="shared" si="0"/>
        <v>16.930520916411623</v>
      </c>
      <c r="D51" s="144">
        <f t="shared" si="1"/>
        <v>6179.640134490242</v>
      </c>
      <c r="E51" s="79">
        <f>bo_trench(D51,C$25,C$26,365*C$27,365*C$28,'Work Chart'!B$5,'Work Chart'!B$6,'Work Chart'!B$7,'Work Chart'!F$5,'Work Chart'!F$6,'Work Chart'!F$7,'Work Chart'!G$6,'Work Chart'!G$7,'Work Chart'!H$5,'Work Chart'!H$6,'Work Chart'!H$7)</f>
        <v>1.0575201471250844</v>
      </c>
      <c r="F51" s="145">
        <f>7.48*E$8*E$9*vo_recover(E51,C$25,'Work Chart'!B$5,'Work Chart'!B$6,'Work Chart'!B$7,'Work Chart'!F$5,'Work Chart'!F$6,'Work Chart'!F$7)</f>
        <v>31562.888788102624</v>
      </c>
      <c r="G51" s="145">
        <f>7.48*E$8*E51*(E$7*'Data Entry'!C$17/E$4)*(E$6+(1440*E$5/7.48)/(2*E$7*E$8*E$10))*kro_b(E51,'Work Chart'!B$5,'Work Chart'!B$6,'Work Chart'!G$6,'Work Chart'!G$7,'Work Chart'!H$5,'Work Chart'!H$6,'Work Chart'!H$7)</f>
        <v>1.7869259987025283</v>
      </c>
    </row>
    <row r="52" spans="2:7" ht="12.75">
      <c r="B52" s="75">
        <v>22</v>
      </c>
      <c r="C52" s="84">
        <f t="shared" si="0"/>
        <v>17.27157414792144</v>
      </c>
      <c r="D52" s="144">
        <f t="shared" si="1"/>
        <v>6304.124563991326</v>
      </c>
      <c r="E52" s="79">
        <f>bo_trench(D52,C$25,C$26,365*C$27,365*C$28,'Work Chart'!B$5,'Work Chart'!B$6,'Work Chart'!B$7,'Work Chart'!F$5,'Work Chart'!F$6,'Work Chart'!F$7,'Work Chart'!G$6,'Work Chart'!G$7,'Work Chart'!H$5,'Work Chart'!H$6,'Work Chart'!H$7)</f>
        <v>1.0360851479634812</v>
      </c>
      <c r="F52" s="145">
        <f>7.48*E$8*E$9*vo_recover(E52,C$25,'Work Chart'!B$5,'Work Chart'!B$6,'Work Chart'!B$7,'Work Chart'!F$5,'Work Chart'!F$6,'Work Chart'!F$7)</f>
        <v>31780.163021089298</v>
      </c>
      <c r="G52" s="145">
        <f>7.48*E$8*E52*(E$7*'Data Entry'!C$17/E$4)*(E$6+(1440*E$5/7.48)/(2*E$7*E$8*E$10))*kro_b(E52,'Work Chart'!B$5,'Work Chart'!B$6,'Work Chart'!G$6,'Work Chart'!G$7,'Work Chart'!H$5,'Work Chart'!H$6,'Work Chart'!H$7)</f>
        <v>1.7048197880284182</v>
      </c>
    </row>
    <row r="53" spans="2:7" ht="12.75">
      <c r="B53" s="75">
        <v>23</v>
      </c>
      <c r="C53" s="84">
        <f t="shared" si="0"/>
        <v>17.61262737943126</v>
      </c>
      <c r="D53" s="144">
        <f t="shared" si="1"/>
        <v>6428.608993492409</v>
      </c>
      <c r="E53" s="79">
        <f>bo_trench(D53,C$25,C$26,365*C$27,365*C$28,'Work Chart'!B$5,'Work Chart'!B$6,'Work Chart'!B$7,'Work Chart'!F$5,'Work Chart'!F$6,'Work Chart'!F$7,'Work Chart'!G$6,'Work Chart'!G$7,'Work Chart'!H$5,'Work Chart'!H$6,'Work Chart'!H$7)</f>
        <v>1.01562418041331</v>
      </c>
      <c r="F53" s="145">
        <f>7.48*E$8*E$9*vo_recover(E53,C$25,'Work Chart'!B$5,'Work Chart'!B$6,'Work Chart'!B$7,'Work Chart'!F$5,'Work Chart'!F$6,'Work Chart'!F$7)</f>
        <v>31987.56405698914</v>
      </c>
      <c r="G53" s="145">
        <f>7.48*E$8*E53*(E$7*'Data Entry'!C$17/E$4)*(E$6+(1440*E$5/7.48)/(2*E$7*E$8*E$10))*kro_b(E53,'Work Chart'!B$5,'Work Chart'!B$6,'Work Chart'!G$6,'Work Chart'!G$7,'Work Chart'!H$5,'Work Chart'!H$6,'Work Chart'!H$7)</f>
        <v>1.628215778756686</v>
      </c>
    </row>
    <row r="54" spans="2:7" ht="12.75">
      <c r="B54" s="75">
        <v>24</v>
      </c>
      <c r="C54" s="84">
        <f t="shared" si="0"/>
        <v>17.95368061094108</v>
      </c>
      <c r="D54" s="144">
        <f t="shared" si="1"/>
        <v>6553.093422993495</v>
      </c>
      <c r="E54" s="79">
        <f>bo_trench(D54,C$25,C$26,365*C$27,365*C$28,'Work Chart'!B$5,'Work Chart'!B$6,'Work Chart'!B$7,'Work Chart'!F$5,'Work Chart'!F$6,'Work Chart'!F$7,'Work Chart'!G$6,'Work Chart'!G$7,'Work Chart'!H$5,'Work Chart'!H$6,'Work Chart'!H$7)</f>
        <v>0.9960726813680321</v>
      </c>
      <c r="F54" s="145">
        <f>7.48*E$8*E$9*vo_recover(E54,C$25,'Work Chart'!B$5,'Work Chart'!B$6,'Work Chart'!B$7,'Work Chart'!F$5,'Work Chart'!F$6,'Work Chart'!F$7)</f>
        <v>32185.746334803833</v>
      </c>
      <c r="G54" s="145">
        <f>7.48*E$8*E54*(E$7*'Data Entry'!C$17/E$4)*(E$6+(1440*E$5/7.48)/(2*E$7*E$8*E$10))*kro_b(E54,'Work Chart'!B$5,'Work Chart'!B$6,'Work Chart'!G$6,'Work Chart'!G$7,'Work Chart'!H$5,'Work Chart'!H$6,'Work Chart'!H$7)</f>
        <v>1.5566331200359151</v>
      </c>
    </row>
    <row r="55" spans="2:7" ht="12.75">
      <c r="B55" s="75">
        <v>25</v>
      </c>
      <c r="C55" s="84">
        <f t="shared" si="0"/>
        <v>18.294733842450903</v>
      </c>
      <c r="D55" s="144">
        <f t="shared" si="1"/>
        <v>6677.57785249458</v>
      </c>
      <c r="E55" s="79">
        <f>bo_trench(D55,C$25,C$26,365*C$27,365*C$28,'Work Chart'!B$5,'Work Chart'!B$6,'Work Chart'!B$7,'Work Chart'!F$5,'Work Chart'!F$6,'Work Chart'!F$7,'Work Chart'!G$6,'Work Chart'!G$7,'Work Chart'!H$5,'Work Chart'!H$6,'Work Chart'!H$7)</f>
        <v>0.9773716702251921</v>
      </c>
      <c r="F55" s="145">
        <f>7.48*E$8*E$9*vo_recover(E55,C$25,'Work Chart'!B$5,'Work Chart'!B$6,'Work Chart'!B$7,'Work Chart'!F$5,'Work Chart'!F$6,'Work Chart'!F$7)</f>
        <v>32375.3077069085</v>
      </c>
      <c r="G55" s="145">
        <f>7.48*E$8*E55*(E$7*'Data Entry'!C$17/E$4)*(E$6+(1440*E$5/7.48)/(2*E$7*E$8*E$10))*kro_b(E55,'Work Chart'!B$5,'Work Chart'!B$6,'Work Chart'!G$6,'Work Chart'!G$7,'Work Chart'!H$5,'Work Chart'!H$6,'Work Chart'!H$7)</f>
        <v>1.4896423646893218</v>
      </c>
    </row>
    <row r="56" spans="2:7" ht="12.75">
      <c r="B56" s="75">
        <v>26</v>
      </c>
      <c r="C56" s="84">
        <f t="shared" si="0"/>
        <v>18.63578707396072</v>
      </c>
      <c r="D56" s="144">
        <f t="shared" si="1"/>
        <v>6802.062281995663</v>
      </c>
      <c r="E56" s="79">
        <f>bo_trench(D56,C$25,C$26,365*C$27,365*C$28,'Work Chart'!B$5,'Work Chart'!B$6,'Work Chart'!B$7,'Work Chart'!F$5,'Work Chart'!F$6,'Work Chart'!F$7,'Work Chart'!G$6,'Work Chart'!G$7,'Work Chart'!H$5,'Work Chart'!H$6,'Work Chart'!H$7)</f>
        <v>0.9594671582793205</v>
      </c>
      <c r="F56" s="145">
        <f>7.48*E$8*E$9*vo_recover(E56,C$25,'Work Chart'!B$5,'Work Chart'!B$6,'Work Chart'!B$7,'Work Chart'!F$5,'Work Chart'!F$6,'Work Chart'!F$7)</f>
        <v>32556.795425695476</v>
      </c>
      <c r="G56" s="145">
        <f>7.48*E$8*E56*(E$7*'Data Entry'!C$17/E$4)*(E$6+(1440*E$5/7.48)/(2*E$7*E$8*E$10))*kro_b(E56,'Work Chart'!B$5,'Work Chart'!B$6,'Work Chart'!G$6,'Work Chart'!G$7,'Work Chart'!H$5,'Work Chart'!H$6,'Work Chart'!H$7)</f>
        <v>1.4268590133278147</v>
      </c>
    </row>
    <row r="57" spans="2:7" ht="12.75">
      <c r="B57" s="75">
        <v>27</v>
      </c>
      <c r="C57" s="84">
        <f t="shared" si="0"/>
        <v>18.97684030547054</v>
      </c>
      <c r="D57" s="144">
        <f t="shared" si="1"/>
        <v>6926.546711496747</v>
      </c>
      <c r="E57" s="79">
        <f>bo_trench(D57,C$25,C$26,365*C$27,365*C$28,'Work Chart'!B$5,'Work Chart'!B$6,'Work Chart'!B$7,'Work Chart'!F$5,'Work Chart'!F$6,'Work Chart'!F$7,'Work Chart'!G$6,'Work Chart'!G$7,'Work Chart'!H$5,'Work Chart'!H$6,'Work Chart'!H$7)</f>
        <v>0.9423096315418863</v>
      </c>
      <c r="F57" s="145">
        <f>7.48*E$8*E$9*vo_recover(E57,C$25,'Work Chart'!B$5,'Work Chart'!B$6,'Work Chart'!B$7,'Work Chart'!F$5,'Work Chart'!F$6,'Work Chart'!F$7)</f>
        <v>32730.711385930375</v>
      </c>
      <c r="G57" s="145">
        <f>7.48*E$8*E57*(E$7*'Data Entry'!C$17/E$4)*(E$6+(1440*E$5/7.48)/(2*E$7*E$8*E$10))*kro_b(E57,'Work Chart'!B$5,'Work Chart'!B$6,'Work Chart'!G$6,'Work Chart'!G$7,'Work Chart'!H$5,'Work Chart'!H$6,'Work Chart'!H$7)</f>
        <v>1.3679379849780449</v>
      </c>
    </row>
    <row r="58" spans="2:7" ht="12.75">
      <c r="B58" s="75">
        <v>28</v>
      </c>
      <c r="C58" s="84">
        <f t="shared" si="0"/>
        <v>19.31789353698036</v>
      </c>
      <c r="D58" s="144">
        <f t="shared" si="1"/>
        <v>7051.031140997831</v>
      </c>
      <c r="E58" s="79">
        <f>bo_trench(D58,C$25,C$26,365*C$27,365*C$28,'Work Chart'!B$5,'Work Chart'!B$6,'Work Chart'!B$7,'Work Chart'!F$5,'Work Chart'!F$6,'Work Chart'!F$7,'Work Chart'!G$6,'Work Chart'!G$7,'Work Chart'!H$5,'Work Chart'!H$6,'Work Chart'!H$7)</f>
        <v>0.9258535965542479</v>
      </c>
      <c r="F58" s="145">
        <f>7.48*E$8*E$9*vo_recover(E58,C$25,'Work Chart'!B$5,'Work Chart'!B$6,'Work Chart'!B$7,'Work Chart'!F$5,'Work Chart'!F$6,'Work Chart'!F$7)</f>
        <v>32897.51672858445</v>
      </c>
      <c r="G58" s="145">
        <f>7.48*E$8*E58*(E$7*'Data Entry'!C$17/E$4)*(E$6+(1440*E$5/7.48)/(2*E$7*E$8*E$10))*kro_b(E58,'Work Chart'!B$5,'Work Chart'!B$6,'Work Chart'!G$6,'Work Chart'!G$7,'Work Chart'!H$5,'Work Chart'!H$6,'Work Chart'!H$7)</f>
        <v>1.3125688653194023</v>
      </c>
    </row>
    <row r="59" spans="2:7" ht="12.75">
      <c r="B59" s="75">
        <v>29</v>
      </c>
      <c r="C59" s="84">
        <f t="shared" si="0"/>
        <v>19.658946768490182</v>
      </c>
      <c r="D59" s="144">
        <f t="shared" si="1"/>
        <v>7175.5155704989165</v>
      </c>
      <c r="E59" s="79">
        <f>bo_trench(D59,C$25,C$26,365*C$27,365*C$28,'Work Chart'!B$5,'Work Chart'!B$6,'Work Chart'!B$7,'Work Chart'!F$5,'Work Chart'!F$6,'Work Chart'!F$7,'Work Chart'!G$6,'Work Chart'!G$7,'Work Chart'!H$5,'Work Chart'!H$6,'Work Chart'!H$7)</f>
        <v>0.9100571804203174</v>
      </c>
      <c r="F59" s="145">
        <f>7.48*E$8*E$9*vo_recover(E59,C$25,'Work Chart'!B$5,'Work Chart'!B$6,'Work Chart'!B$7,'Work Chart'!F$5,'Work Chart'!F$6,'Work Chart'!F$7)</f>
        <v>33057.63589507298</v>
      </c>
      <c r="G59" s="145">
        <f>7.48*E$8*E59*(E$7*'Data Entry'!C$17/E$4)*(E$6+(1440*E$5/7.48)/(2*E$7*E$8*E$10))*kro_b(E59,'Work Chart'!B$5,'Work Chart'!B$6,'Work Chart'!G$6,'Work Chart'!G$7,'Work Chart'!H$5,'Work Chart'!H$6,'Work Chart'!H$7)</f>
        <v>1.260471810015819</v>
      </c>
    </row>
    <row r="60" spans="2:7" ht="12.75">
      <c r="B60" s="75">
        <v>30</v>
      </c>
      <c r="C60" s="84">
        <f t="shared" si="0"/>
        <v>20</v>
      </c>
      <c r="D60" s="144">
        <f t="shared" si="1"/>
        <v>7300</v>
      </c>
      <c r="E60" s="79">
        <f>bo_trench(D60,C$25,C$26,365*C$27,365*C$28,'Work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0" s="145">
        <f>7.48*E$8*E$9*vo_recover(E60,C$25,'Work Chart'!B$5,'Work Chart'!B$6,'Work Chart'!B$7,'Work Chart'!F$5,'Work Chart'!F$6,'Work Chart'!F$7)</f>
        <v>33211.46020695028</v>
      </c>
      <c r="G60" s="145">
        <f>7.48*E$8*E60*(E$7*'Data Entry'!C$17/E$4)*(E$6+(1440*E$5/7.48)/(2*E$7*E$8*E$10))*kro_b(E60,'Work Chart'!B$5,'Work Chart'!B$6,'Work Chart'!G$6,'Work Chart'!G$7,'Work Chart'!H$5,'Work Chart'!H$6,'Work Chart'!H$7)</f>
        <v>1.2113940019234943</v>
      </c>
    </row>
    <row r="61" spans="2:7" ht="12.75">
      <c r="B61" s="75">
        <v>31</v>
      </c>
      <c r="C61" s="84">
        <f t="shared" si="0"/>
        <v>20</v>
      </c>
      <c r="D61" s="144">
        <f t="shared" si="1"/>
        <v>7300</v>
      </c>
      <c r="E61" s="79">
        <f>bo_trench(D61,C$25,C$26,365*C$27,365*C$28,'Work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1" s="145">
        <f>7.48*E$8*E$9*vo_recover(E61,C$25,'Work Chart'!B$5,'Work Chart'!B$6,'Work Chart'!B$7,'Work Chart'!F$5,'Work Chart'!F$6,'Work Chart'!F$7)</f>
        <v>33211.46020695028</v>
      </c>
      <c r="G61" s="145">
        <f>7.48*E$8*E61*(E$7*'Data Entry'!C$17/E$4)*(E$6+(1440*E$5/7.48)/(2*E$7*E$8*E$10))*kro_b(E61,'Work Chart'!B$5,'Work Chart'!B$6,'Work Chart'!G$6,'Work Chart'!G$7,'Work Chart'!H$5,'Work Chart'!H$6,'Work Chart'!H$7)</f>
        <v>1.2113940019234943</v>
      </c>
    </row>
    <row r="62" spans="2:7" ht="12.75">
      <c r="B62" s="75">
        <v>32</v>
      </c>
      <c r="C62" s="84">
        <f t="shared" si="0"/>
        <v>20</v>
      </c>
      <c r="D62" s="144">
        <f t="shared" si="1"/>
        <v>7300</v>
      </c>
      <c r="E62" s="79">
        <f>bo_trench(D62,C$25,C$26,365*C$27,365*C$28,'Work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2" s="145">
        <f>7.48*E$8*E$9*vo_recover(E62,C$25,'Work Chart'!B$5,'Work Chart'!B$6,'Work Chart'!B$7,'Work Chart'!F$5,'Work Chart'!F$6,'Work Chart'!F$7)</f>
        <v>33211.46020695028</v>
      </c>
      <c r="G62" s="145">
        <f>7.48*E$8*E62*(E$7*'Data Entry'!C$17/E$4)*(E$6+(1440*E$5/7.48)/(2*E$7*E$8*E$10))*kro_b(E62,'Work Chart'!B$5,'Work Chart'!B$6,'Work Chart'!G$6,'Work Chart'!G$7,'Work Chart'!H$5,'Work Chart'!H$6,'Work Chart'!H$7)</f>
        <v>1.2113940019234943</v>
      </c>
    </row>
    <row r="63" spans="2:7" ht="12.75">
      <c r="B63" s="75">
        <v>33</v>
      </c>
      <c r="C63" s="84">
        <f t="shared" si="0"/>
        <v>20</v>
      </c>
      <c r="D63" s="144">
        <f t="shared" si="1"/>
        <v>7300</v>
      </c>
      <c r="E63" s="79">
        <f>bo_trench(D63,C$25,C$26,365*C$27,365*C$28,'Work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3" s="145">
        <f>7.48*E$8*E$9*vo_recover(E63,C$25,'Work Chart'!B$5,'Work Chart'!B$6,'Work Chart'!B$7,'Work Chart'!F$5,'Work Chart'!F$6,'Work Chart'!F$7)</f>
        <v>33211.46020695028</v>
      </c>
      <c r="G63" s="145">
        <f>7.48*E$8*E63*(E$7*'Data Entry'!C$17/E$4)*(E$6+(1440*E$5/7.48)/(2*E$7*E$8*E$10))*kro_b(E63,'Work Chart'!B$5,'Work Chart'!B$6,'Work Chart'!G$6,'Work Chart'!G$7,'Work Chart'!H$5,'Work Chart'!H$6,'Work Chart'!H$7)</f>
        <v>1.2113940019234943</v>
      </c>
    </row>
    <row r="64" spans="2:7" ht="12.75">
      <c r="B64" s="75">
        <v>34</v>
      </c>
      <c r="C64" s="84">
        <f t="shared" si="0"/>
        <v>20</v>
      </c>
      <c r="D64" s="144">
        <f t="shared" si="1"/>
        <v>7300</v>
      </c>
      <c r="E64" s="79">
        <f>bo_trench(D64,C$25,C$26,365*C$27,365*C$28,'Work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4" s="145">
        <f>7.48*E$8*E$9*vo_recover(E64,C$25,'Work Chart'!B$5,'Work Chart'!B$6,'Work Chart'!B$7,'Work Chart'!F$5,'Work Chart'!F$6,'Work Chart'!F$7)</f>
        <v>33211.46020695028</v>
      </c>
      <c r="G64" s="145">
        <f>7.48*E$8*E64*(E$7*'Data Entry'!C$17/E$4)*(E$6+(1440*E$5/7.48)/(2*E$7*E$8*E$10))*kro_b(E64,'Work Chart'!B$5,'Work Chart'!B$6,'Work Chart'!G$6,'Work Chart'!G$7,'Work Chart'!H$5,'Work Chart'!H$6,'Work Chart'!H$7)</f>
        <v>1.2113940019234943</v>
      </c>
    </row>
    <row r="65" spans="2:7" ht="12.75">
      <c r="B65" s="75">
        <v>35</v>
      </c>
      <c r="C65" s="84">
        <f t="shared" si="0"/>
        <v>20</v>
      </c>
      <c r="D65" s="144">
        <f t="shared" si="1"/>
        <v>7300</v>
      </c>
      <c r="E65" s="79">
        <f>bo_trench(D65,C$25,C$26,365*C$27,365*C$28,'Work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5" s="145">
        <f>7.48*E$8*E$9*vo_recover(E65,C$25,'Work Chart'!B$5,'Work Chart'!B$6,'Work Chart'!B$7,'Work Chart'!F$5,'Work Chart'!F$6,'Work Chart'!F$7)</f>
        <v>33211.46020695028</v>
      </c>
      <c r="G65" s="145">
        <f>7.48*E$8*E65*(E$7*'Data Entry'!C$17/E$4)*(E$6+(1440*E$5/7.48)/(2*E$7*E$8*E$10))*kro_b(E65,'Work Chart'!B$5,'Work Chart'!B$6,'Work Chart'!G$6,'Work Chart'!G$7,'Work Chart'!H$5,'Work Chart'!H$6,'Work Chart'!H$7)</f>
        <v>1.2113940019234943</v>
      </c>
    </row>
    <row r="66" spans="2:7" ht="12.75">
      <c r="B66" s="75">
        <v>36</v>
      </c>
      <c r="C66" s="84">
        <f t="shared" si="0"/>
        <v>20</v>
      </c>
      <c r="D66" s="144">
        <f t="shared" si="1"/>
        <v>7300</v>
      </c>
      <c r="E66" s="79">
        <f>bo_trench(D66,C$25,C$26,365*C$27,365*C$28,'Work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6" s="145">
        <f>7.48*E$8*E$9*vo_recover(E66,C$25,'Work Chart'!B$5,'Work Chart'!B$6,'Work Chart'!B$7,'Work Chart'!F$5,'Work Chart'!F$6,'Work Chart'!F$7)</f>
        <v>33211.46020695028</v>
      </c>
      <c r="G66" s="145">
        <f>7.48*E$8*E66*(E$7*'Data Entry'!C$17/E$4)*(E$6+(1440*E$5/7.48)/(2*E$7*E$8*E$10))*kro_b(E66,'Work Chart'!B$5,'Work Chart'!B$6,'Work Chart'!G$6,'Work Chart'!G$7,'Work Chart'!H$5,'Work Chart'!H$6,'Work Chart'!H$7)</f>
        <v>1.2113940019234943</v>
      </c>
    </row>
    <row r="67" spans="2:7" ht="12.75">
      <c r="B67" s="75">
        <v>37</v>
      </c>
      <c r="C67" s="84">
        <f t="shared" si="0"/>
        <v>20</v>
      </c>
      <c r="D67" s="144">
        <f t="shared" si="1"/>
        <v>7300</v>
      </c>
      <c r="E67" s="79">
        <f>bo_trench(D67,C$25,C$26,365*C$27,365*C$28,'Work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7" s="145">
        <f>7.48*E$8*E$9*vo_recover(E67,C$25,'Work Chart'!B$5,'Work Chart'!B$6,'Work Chart'!B$7,'Work Chart'!F$5,'Work Chart'!F$6,'Work Chart'!F$7)</f>
        <v>33211.46020695028</v>
      </c>
      <c r="G67" s="145">
        <f>7.48*E$8*E67*(E$7*'Data Entry'!C$17/E$4)*(E$6+(1440*E$5/7.48)/(2*E$7*E$8*E$10))*kro_b(E67,'Work Chart'!B$5,'Work Chart'!B$6,'Work Chart'!G$6,'Work Chart'!G$7,'Work Chart'!H$5,'Work Chart'!H$6,'Work Chart'!H$7)</f>
        <v>1.2113940019234943</v>
      </c>
    </row>
    <row r="68" spans="2:7" ht="12.75">
      <c r="B68" s="75">
        <v>38</v>
      </c>
      <c r="C68" s="84">
        <f t="shared" si="0"/>
        <v>20</v>
      </c>
      <c r="D68" s="144">
        <f t="shared" si="1"/>
        <v>7300</v>
      </c>
      <c r="E68" s="79">
        <f>bo_trench(D68,C$25,C$26,365*C$27,365*C$28,'Work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8" s="145">
        <f>7.48*E$8*E$9*vo_recover(E68,C$25,'Work Chart'!B$5,'Work Chart'!B$6,'Work Chart'!B$7,'Work Chart'!F$5,'Work Chart'!F$6,'Work Chart'!F$7)</f>
        <v>33211.46020695028</v>
      </c>
      <c r="G68" s="145">
        <f>7.48*E$8*E68*(E$7*'Data Entry'!C$17/E$4)*(E$6+(1440*E$5/7.48)/(2*E$7*E$8*E$10))*kro_b(E68,'Work Chart'!B$5,'Work Chart'!B$6,'Work Chart'!G$6,'Work Chart'!G$7,'Work Chart'!H$5,'Work Chart'!H$6,'Work Chart'!H$7)</f>
        <v>1.2113940019234943</v>
      </c>
    </row>
    <row r="69" spans="2:7" ht="12.75">
      <c r="B69" s="75">
        <v>39</v>
      </c>
      <c r="C69" s="84">
        <f t="shared" si="0"/>
        <v>20</v>
      </c>
      <c r="D69" s="144">
        <f t="shared" si="1"/>
        <v>7300</v>
      </c>
      <c r="E69" s="79">
        <f>bo_trench(D69,C$25,C$26,365*C$27,365*C$28,'Work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9" s="145">
        <f>7.48*E$8*E$9*vo_recover(E69,C$25,'Work Chart'!B$5,'Work Chart'!B$6,'Work Chart'!B$7,'Work Chart'!F$5,'Work Chart'!F$6,'Work Chart'!F$7)</f>
        <v>33211.46020695028</v>
      </c>
      <c r="G69" s="145">
        <f>7.48*E$8*E69*(E$7*'Data Entry'!C$17/E$4)*(E$6+(1440*E$5/7.48)/(2*E$7*E$8*E$10))*kro_b(E69,'Work Chart'!B$5,'Work Chart'!B$6,'Work Chart'!G$6,'Work Chart'!G$7,'Work Chart'!H$5,'Work Chart'!H$6,'Work Chart'!H$7)</f>
        <v>1.2113940019234943</v>
      </c>
    </row>
    <row r="70" spans="2:7" ht="12.75">
      <c r="B70" s="75">
        <v>40</v>
      </c>
      <c r="C70" s="84">
        <f t="shared" si="0"/>
        <v>20</v>
      </c>
      <c r="D70" s="144">
        <f t="shared" si="1"/>
        <v>7300</v>
      </c>
      <c r="E70" s="79">
        <f>bo_trench(D70,C$25,C$26,365*C$27,365*C$28,'Work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70" s="145">
        <f>7.48*E$8*E$9*vo_recover(E70,C$25,'Work Chart'!B$5,'Work Chart'!B$6,'Work Chart'!B$7,'Work Chart'!F$5,'Work Chart'!F$6,'Work Chart'!F$7)</f>
        <v>33211.46020695028</v>
      </c>
      <c r="G70" s="145">
        <f>7.48*E$8*E70*(E$7*'Data Entry'!C$17/E$4)*(E$6+(1440*E$5/7.48)/(2*E$7*E$8*E$10))*kro_b(E70,'Work Chart'!B$5,'Work Chart'!B$6,'Work Chart'!G$6,'Work Chart'!G$7,'Work Chart'!H$5,'Work Chart'!H$6,'Work Chart'!H$7)</f>
        <v>1.2113940019234943</v>
      </c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7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9">
      <selection activeCell="H15" sqref="H1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10" t="s">
        <v>118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88" customFormat="1" ht="34.5" customHeight="1">
      <c r="A3" s="208" t="s">
        <v>120</v>
      </c>
      <c r="B3" s="208" t="s">
        <v>121</v>
      </c>
      <c r="C3" s="205" t="s">
        <v>138</v>
      </c>
      <c r="D3" s="207"/>
      <c r="E3" s="205" t="s">
        <v>139</v>
      </c>
      <c r="F3" s="207"/>
      <c r="G3" s="205" t="s">
        <v>122</v>
      </c>
      <c r="H3" s="207"/>
      <c r="I3" s="205" t="s">
        <v>140</v>
      </c>
      <c r="J3" s="207"/>
      <c r="K3" s="205" t="s">
        <v>141</v>
      </c>
      <c r="L3" s="206"/>
      <c r="M3" s="207"/>
    </row>
    <row r="4" spans="1:13" ht="15" customHeight="1">
      <c r="A4" s="209"/>
      <c r="B4" s="209"/>
      <c r="C4" s="189" t="s">
        <v>123</v>
      </c>
      <c r="D4" s="190" t="s">
        <v>124</v>
      </c>
      <c r="E4" s="190" t="s">
        <v>123</v>
      </c>
      <c r="F4" s="190" t="s">
        <v>124</v>
      </c>
      <c r="G4" s="190" t="s">
        <v>123</v>
      </c>
      <c r="H4" s="190" t="s">
        <v>124</v>
      </c>
      <c r="I4" s="190" t="s">
        <v>123</v>
      </c>
      <c r="J4" s="190" t="s">
        <v>124</v>
      </c>
      <c r="K4" s="191" t="s">
        <v>125</v>
      </c>
      <c r="L4" s="192" t="s">
        <v>123</v>
      </c>
      <c r="M4" s="192" t="s">
        <v>124</v>
      </c>
    </row>
    <row r="5" spans="1:20" ht="21.75" customHeight="1">
      <c r="A5" s="193" t="s">
        <v>126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127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128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129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130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131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132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133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134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135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136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137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4" t="s">
        <v>142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2002-04-20T14:51:58Z</cp:lastPrinted>
  <dcterms:created xsi:type="dcterms:W3CDTF">1997-06-21T19:21:32Z</dcterms:created>
  <dcterms:modified xsi:type="dcterms:W3CDTF">2004-10-21T16:21:29Z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627303423</vt:i4>
  </property>
  <property fmtid="{D5CDD505-2E9C-101B-9397-08002B2CF9AE}" pid="3" name="_EmailSubject">
    <vt:lpwstr>API LNAPL Trench Model</vt:lpwstr>
  </property>
  <property fmtid="{D5CDD505-2E9C-101B-9397-08002B2CF9AE}" pid="4" name="_AuthorEmailDisplayName">
    <vt:lpwstr>Randy Charbeneau</vt:lpwstr>
  </property>
  <property fmtid="{D5CDD505-2E9C-101B-9397-08002B2CF9AE}" pid="5" name="_PreviousAdHocReviewCycleID">
    <vt:i4>627303423</vt:i4>
  </property>
</Properties>
</file>