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46" yWindow="1470" windowWidth="8280" windowHeight="6135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Entry'!$A$1:$L$31</definedName>
    <definedName name="_xlnm.Print_Area" localSheetId="1">'Layer Calcs'!$B$3:$Q$37</definedName>
    <definedName name="_xlnm.Print_Area" localSheetId="4">'Trench'!$A$1:$M$12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hs7" localSheetId="1" hidden="1">'Layer Calcs'!$B$6</definedName>
    <definedName name="solver_lin" localSheetId="1" hidden="1">2</definedName>
    <definedName name="solver_neg" localSheetId="1" hidden="1">2</definedName>
    <definedName name="solver_num" localSheetId="1" hidden="1">7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rhs7" localSheetId="1" hidden="1">'Layer Calcs'!$B$5+0.01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<sst xmlns="http://schemas.openxmlformats.org/spreadsheetml/2006/main" count="203" uniqueCount="158">
  <si>
    <t>Scale</t>
  </si>
  <si>
    <t>Elevation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</si>
  <si>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</si>
  <si>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</si>
  <si>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</si>
  <si>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</si>
  <si>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</si>
  <si>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Fluid Characteristics:</t>
  </si>
  <si>
    <t>porosity</t>
  </si>
  <si>
    <t>irreducible water saturation</t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</si>
  <si>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</si>
  <si>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</si>
  <si>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</si>
  <si>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</si>
  <si>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</si>
  <si>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</si>
  <si>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</si>
  <si>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</si>
  <si>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</si>
  <si>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>van Genuchten "N"</t>
  </si>
  <si>
    <t>Calculated Parameters</t>
  </si>
  <si>
    <t>van Genuchten "M"</t>
  </si>
  <si>
    <t xml:space="preserve"> 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</si>
  <si>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</si>
  <si>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</si>
  <si>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</si>
  <si>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</si>
  <si>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</si>
  <si>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</si>
  <si>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</si>
  <si>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</si>
  <si>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t>Index</t>
  </si>
  <si>
    <t>t</t>
  </si>
  <si>
    <t>vo</t>
  </si>
  <si>
    <t>so_k</t>
  </si>
  <si>
    <r>
      <t>z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</si>
  <si>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N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</si>
  <si>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</si>
  <si>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Soil Characteristics:</t>
  </si>
  <si>
    <t>Soil Layer 1 (Upper)</t>
  </si>
  <si>
    <r>
      <t>S</t>
    </r>
    <r>
      <rPr>
        <vertAlign val="subscript"/>
        <sz val="12"/>
        <rFont val="Arial"/>
        <family val="2"/>
      </rPr>
      <t>wr1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</si>
  <si>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orv1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</si>
  <si>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ors1</t>
    </r>
    <r>
      <rPr>
        <sz val="12"/>
        <rFont val="Arial"/>
        <family val="2"/>
      </rPr>
      <t xml:space="preserve"> =</t>
    </r>
  </si>
  <si>
    <t>Soil Layer 2 (Lower)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</si>
  <si>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</si>
  <si>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</si>
  <si>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wr2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</si>
  <si>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orv2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</si>
  <si>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</si>
  <si>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</si>
  <si>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</si>
  <si>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ow1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</si>
  <si>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</si>
  <si>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</si>
  <si>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ow2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</si>
  <si>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</si>
  <si>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</si>
  <si>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</si>
  <si>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</si>
  <si>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= </t>
    </r>
  </si>
  <si>
    <r>
      <t>n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= </t>
    </r>
  </si>
  <si>
    <t>van Genuchten-Mualem Model</t>
  </si>
  <si>
    <t>pore-size distribution index</t>
  </si>
  <si>
    <r>
      <t>l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</si>
  <si>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Y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</si>
  <si>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</si>
  <si>
    <t>Eps-Do</t>
  </si>
  <si>
    <t>Eps-kro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</si>
  <si>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</si>
  <si>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</si>
  <si>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z</t>
  </si>
  <si>
    <t>So</t>
  </si>
  <si>
    <t>Press Ctrl+S to calculate sheet</t>
  </si>
  <si>
    <t>Trench Recovery System</t>
  </si>
  <si>
    <t>Press Ctrl+S</t>
  </si>
  <si>
    <t xml:space="preserve"> to calculate sheet</t>
  </si>
  <si>
    <t>LNAPL Thickness [feet]</t>
  </si>
  <si>
    <t>LNAPL density [gm/cc]</t>
  </si>
  <si>
    <t>air/water surface tension [dyne/cm]</t>
  </si>
  <si>
    <t>air/LNAPL surface tension [dyne/cm]</t>
  </si>
  <si>
    <t>LNAPL/water surface tension [dyne/cm]</t>
  </si>
  <si>
    <t>elevation of soil facies interface [ft]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</si>
  <si>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</si>
  <si>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</si>
  <si>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</si>
  <si>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</si>
  <si>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</si>
  <si>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B-C displacement pressure head [ft]</t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</si>
  <si>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</si>
  <si>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"a"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</si>
  <si>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</si>
  <si>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</si>
  <si>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</si>
  <si>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</si>
  <si>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</si>
  <si>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</si>
  <si>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</si>
  <si>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</si>
  <si>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</si>
  <si>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</si>
  <si>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K</t>
    </r>
    <r>
      <rPr>
        <vertAlign val="subscript"/>
        <sz val="10"/>
        <rFont val="Arial"/>
        <family val="2"/>
      </rPr>
      <t>w1</t>
    </r>
    <r>
      <rPr>
        <sz val="10"/>
        <rFont val="Arial"/>
        <family val="2"/>
      </rPr>
      <t xml:space="preserve"> [ft/d] =</t>
    </r>
  </si>
  <si>
    <r>
      <t>K</t>
    </r>
    <r>
      <rPr>
        <vertAlign val="subscript"/>
        <sz val="10"/>
        <rFont val="Arial"/>
        <family val="2"/>
      </rPr>
      <t>w2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</si>
  <si>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</si>
  <si>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</si>
  <si>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</si>
  <si>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</si>
  <si>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</si>
  <si>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</si>
  <si>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</si>
  <si>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</si>
  <si>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</si>
  <si>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</si>
  <si>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</si>
  <si>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</si>
  <si>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</si>
  <si>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</si>
  <si>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</si>
  <si>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</si>
  <si>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</si>
  <si>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[yr] =</t>
    </r>
  </si>
  <si>
    <t>Time [yr]</t>
  </si>
  <si>
    <t>Time [d]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</si>
  <si>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</si>
  <si>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</si>
  <si>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</si>
  <si>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</si>
  <si>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</si>
  <si>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</si>
  <si>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</si>
  <si>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] =</t>
    </r>
  </si>
  <si>
    <r>
      <t>c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</si>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</sst>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4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12"/>
      <name val="Arial"/>
      <family val="2"/>
    </font>
    <font>
      <vertAlign val="subscript"/>
      <sz val="9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8.75"/>
      <name val="Arial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center" vertical="center"/>
    </xf>
    <xf numFmtId="11" fontId="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1" fontId="18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11" fontId="13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1" fontId="15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5" borderId="2" xfId="0" applyFont="1" applyFill="1" applyBorder="1" applyAlignment="1">
      <alignment/>
    </xf>
    <xf numFmtId="0" fontId="0" fillId="5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7" fontId="0" fillId="2" borderId="3" xfId="0" applyNumberForma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 applyProtection="1">
      <alignment horizontal="center"/>
      <protection locked="0"/>
    </xf>
    <xf numFmtId="164" fontId="0" fillId="5" borderId="8" xfId="0" applyNumberFormat="1" applyFont="1" applyFill="1" applyBorder="1" applyAlignment="1" applyProtection="1">
      <alignment horizontal="center"/>
      <protection locked="0"/>
    </xf>
    <xf numFmtId="164" fontId="0" fillId="5" borderId="10" xfId="0" applyNumberFormat="1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>
      <alignment horizontal="center" vertical="center"/>
    </xf>
    <xf numFmtId="164" fontId="23" fillId="5" borderId="2" xfId="0" applyNumberFormat="1" applyFont="1" applyFill="1" applyBorder="1" applyAlignment="1">
      <alignment horizontal="center"/>
    </xf>
    <xf numFmtId="164" fontId="20" fillId="5" borderId="2" xfId="0" applyNumberFormat="1" applyFont="1" applyFill="1" applyBorder="1" applyAlignment="1">
      <alignment horizontal="left"/>
    </xf>
    <xf numFmtId="164" fontId="0" fillId="5" borderId="3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20" fillId="5" borderId="5" xfId="0" applyNumberFormat="1" applyFont="1" applyFill="1" applyBorder="1" applyAlignment="1">
      <alignment horizontal="left"/>
    </xf>
    <xf numFmtId="164" fontId="0" fillId="5" borderId="6" xfId="0" applyNumberFormat="1" applyFont="1" applyFill="1" applyBorder="1" applyAlignment="1">
      <alignment horizontal="center"/>
    </xf>
    <xf numFmtId="164" fontId="20" fillId="5" borderId="11" xfId="0" applyNumberFormat="1" applyFont="1" applyFill="1" applyBorder="1" applyAlignment="1">
      <alignment horizontal="left"/>
    </xf>
    <xf numFmtId="164" fontId="0" fillId="5" borderId="10" xfId="0" applyNumberFormat="1" applyFont="1" applyFill="1" applyBorder="1" applyAlignment="1">
      <alignment horizontal="center"/>
    </xf>
    <xf numFmtId="0" fontId="34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1" fontId="13" fillId="5" borderId="7" xfId="0" applyNumberFormat="1" applyFont="1" applyFill="1" applyBorder="1" applyAlignment="1">
      <alignment horizontal="center" vertical="center"/>
    </xf>
    <xf numFmtId="11" fontId="15" fillId="5" borderId="7" xfId="0" applyNumberFormat="1" applyFont="1" applyFill="1" applyBorder="1" applyAlignment="1">
      <alignment horizontal="center" vertical="center"/>
    </xf>
    <xf numFmtId="11" fontId="13" fillId="5" borderId="11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2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164" fontId="15" fillId="5" borderId="11" xfId="0" applyNumberFormat="1" applyFont="1" applyFill="1" applyBorder="1" applyAlignment="1">
      <alignment horizontal="center"/>
    </xf>
    <xf numFmtId="11" fontId="36" fillId="5" borderId="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2" borderId="11" xfId="0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0" fillId="0" borderId="0" xfId="0" applyFont="1" applyAlignment="1">
      <alignment/>
    </xf>
    <xf numFmtId="0" fontId="10" fillId="2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4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8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28" fillId="4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4" borderId="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left" vertical="center"/>
    </xf>
    <xf numFmtId="0" fontId="35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4" borderId="8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164" fontId="0" fillId="5" borderId="6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164" fontId="25" fillId="5" borderId="9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48" fillId="4" borderId="0" xfId="0" applyFont="1" applyFill="1" applyBorder="1" applyAlignment="1">
      <alignment horizontal="left" vertical="center"/>
    </xf>
    <xf numFmtId="0" fontId="0" fillId="0" borderId="0" xfId="21">
      <alignment/>
      <protection/>
    </xf>
    <xf numFmtId="0" fontId="33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/>
      <protection/>
    </xf>
    <xf numFmtId="0" fontId="33" fillId="0" borderId="9" xfId="21" applyFont="1" applyBorder="1" applyAlignment="1">
      <alignment horizontal="center" vertical="center"/>
      <protection/>
    </xf>
    <xf numFmtId="0" fontId="33" fillId="0" borderId="9" xfId="21" applyFont="1" applyFill="1" applyBorder="1" applyAlignment="1">
      <alignment horizontal="center" vertical="center"/>
      <protection/>
    </xf>
    <xf numFmtId="2" fontId="33" fillId="0" borderId="9" xfId="21" applyNumberFormat="1" applyFont="1" applyBorder="1" applyAlignment="1">
      <alignment horizontal="center" vertical="center"/>
      <protection/>
    </xf>
    <xf numFmtId="0" fontId="0" fillId="0" borderId="9" xfId="21" applyFill="1" applyBorder="1">
      <alignment/>
      <protection/>
    </xf>
    <xf numFmtId="164" fontId="33" fillId="0" borderId="9" xfId="21" applyNumberFormat="1" applyFont="1" applyBorder="1" applyAlignment="1">
      <alignment horizontal="center" vertical="center"/>
      <protection/>
    </xf>
    <xf numFmtId="165" fontId="33" fillId="0" borderId="9" xfId="21" applyNumberFormat="1" applyFont="1" applyBorder="1" applyAlignment="1">
      <alignment horizontal="center" vertical="center"/>
      <protection/>
    </xf>
    <xf numFmtId="1" fontId="33" fillId="0" borderId="9" xfId="21" applyNumberFormat="1" applyFont="1" applyBorder="1" applyAlignment="1">
      <alignment horizontal="center" vertical="center"/>
      <protection/>
    </xf>
    <xf numFmtId="2" fontId="33" fillId="0" borderId="9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9" fillId="0" borderId="0" xfId="21" applyFont="1" applyAlignment="1">
      <alignment horizontal="center"/>
      <protection/>
    </xf>
    <xf numFmtId="0" fontId="9" fillId="0" borderId="14" xfId="21" applyFont="1" applyBorder="1" applyAlignment="1">
      <alignment horizontal="center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33" fillId="0" borderId="0" xfId="21" applyFont="1" applyAlignment="1">
      <alignment horizontal="left" vertical="top" wrapText="1"/>
      <protection/>
    </xf>
    <xf numFmtId="0" fontId="33" fillId="0" borderId="4" xfId="21" applyFont="1" applyBorder="1" applyAlignment="1">
      <alignment horizontal="center" vertical="center" wrapText="1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5039419"/>
        <c:axId val="1137044"/>
      </c:scatterChart>
      <c:valAx>
        <c:axId val="15039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137044"/>
        <c:crosses val="autoZero"/>
        <c:crossBetween val="midCat"/>
        <c:dispUnits/>
      </c:valAx>
      <c:valAx>
        <c:axId val="11370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5039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925"/>
          <c:w val="0.91275"/>
          <c:h val="0.900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Charts'!$N$3:$N$75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'Distribution Charts'!$M$3:$M$75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-1.7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Charts'!$P$3:$P$74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Charts'!$S$4:$S$74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'Distribution Charts'!$P$4:$P$74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Charts'!$M$3:$M$74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Charts'!$W$4:$W$5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Charts'!$X$4:$X$5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'Distribution Charts'!$W$10:$W$14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Charts'!$V$10:$V$14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Charts'!$W$16:$W$21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'Distribution Charts'!$V$16:$V$21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10233397"/>
        <c:axId val="24991710"/>
      </c:scatterChart>
      <c:valAx>
        <c:axId val="10233397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91710"/>
        <c:crosses val="max"/>
        <c:crossBetween val="midCat"/>
        <c:dispUnits/>
      </c:valAx>
      <c:valAx>
        <c:axId val="24991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3339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Well!$P$11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Well!$Q$11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3598799"/>
        <c:axId val="11062600"/>
      </c:scatterChart>
      <c:valAx>
        <c:axId val="2359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1062600"/>
        <c:crosses val="autoZero"/>
        <c:crossBetween val="midCat"/>
        <c:dispUnits/>
      </c:val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98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2"/>
          <c:w val="0.87675"/>
          <c:h val="0.8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2454537"/>
        <c:axId val="23655378"/>
      </c:scatterChart>
      <c:valAx>
        <c:axId val="32454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655378"/>
        <c:crosses val="autoZero"/>
        <c:crossBetween val="midCat"/>
        <c:dispUnits/>
      </c:valAx>
      <c:valAx>
        <c:axId val="23655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45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"/>
          <c:w val="0.92175"/>
          <c:h val="0.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11571811"/>
        <c:axId val="37037436"/>
      </c:scatterChart>
      <c:valAx>
        <c:axId val="11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037436"/>
        <c:crosses val="max"/>
        <c:crossBetween val="midCat"/>
        <c:dispUnits/>
      </c:valAx>
      <c:valAx>
        <c:axId val="3703743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157181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90725"/>
          <c:h val="0.9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Trench!$E$33:$E$73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Trench!$O$18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Trench!$P$18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4901469"/>
        <c:axId val="47242310"/>
      </c:scatterChart>
      <c:val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7242310"/>
        <c:crosses val="autoZero"/>
        <c:crossBetween val="midCat"/>
        <c:dispUnits/>
      </c:val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"/>
          <c:w val="0.89475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Trench!$F$33:$F$73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2527607"/>
        <c:axId val="1421872"/>
      </c:scatterChart>
      <c:valAx>
        <c:axId val="2252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421872"/>
        <c:crosses val="autoZero"/>
        <c:crossBetween val="midCat"/>
        <c:dispUnits/>
      </c:val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Volume  [gallon]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5276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325"/>
          <c:w val="0.926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Trench!$G$33:$G$73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12796849"/>
        <c:axId val="48062778"/>
      </c:scatterChart>
      <c:val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8062778"/>
        <c:crosses val="max"/>
        <c:crossBetween val="midCat"/>
        <c:dispUnits/>
      </c:valAx>
      <c:valAx>
        <c:axId val="480627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279684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6682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95250</xdr:rowOff>
    </xdr:from>
    <xdr:to>
      <xdr:col>9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38175" y="885825"/>
        <a:ext cx="5000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0</xdr:row>
      <xdr:rowOff>19050</xdr:rowOff>
    </xdr:from>
    <xdr:to>
      <xdr:col>8</xdr:col>
      <xdr:colOff>19050</xdr:colOff>
      <xdr:row>4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48100" y="1905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504825</xdr:colOff>
      <xdr:row>0</xdr:row>
      <xdr:rowOff>114300</xdr:rowOff>
    </xdr:from>
    <xdr:to>
      <xdr:col>6</xdr:col>
      <xdr:colOff>200025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55282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66675</xdr:rowOff>
    </xdr:from>
    <xdr:to>
      <xdr:col>5</xdr:col>
      <xdr:colOff>95250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47650" y="2314575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12</xdr:row>
      <xdr:rowOff>66675</xdr:rowOff>
    </xdr:from>
    <xdr:to>
      <xdr:col>9</xdr:col>
      <xdr:colOff>161925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143250" y="2314575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12</xdr:row>
      <xdr:rowOff>66675</xdr:rowOff>
    </xdr:from>
    <xdr:to>
      <xdr:col>14</xdr:col>
      <xdr:colOff>9525</xdr:colOff>
      <xdr:row>26</xdr:row>
      <xdr:rowOff>152400</xdr:rowOff>
    </xdr:to>
    <xdr:graphicFrame>
      <xdr:nvGraphicFramePr>
        <xdr:cNvPr id="3" name="Chart 3"/>
        <xdr:cNvGraphicFramePr/>
      </xdr:nvGraphicFramePr>
      <xdr:xfrm>
        <a:off x="6000750" y="2314575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28575</xdr:rowOff>
    </xdr:from>
    <xdr:to>
      <xdr:col>4</xdr:col>
      <xdr:colOff>447675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295275" y="2190750"/>
        <a:ext cx="2962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11</xdr:row>
      <xdr:rowOff>28575</xdr:rowOff>
    </xdr:from>
    <xdr:to>
      <xdr:col>8</xdr:col>
      <xdr:colOff>114300</xdr:colOff>
      <xdr:row>25</xdr:row>
      <xdr:rowOff>104775</xdr:rowOff>
    </xdr:to>
    <xdr:graphicFrame>
      <xdr:nvGraphicFramePr>
        <xdr:cNvPr id="2" name="Chart 7"/>
        <xdr:cNvGraphicFramePr/>
      </xdr:nvGraphicFramePr>
      <xdr:xfrm>
        <a:off x="3295650" y="2190750"/>
        <a:ext cx="27813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11</xdr:row>
      <xdr:rowOff>28575</xdr:rowOff>
    </xdr:from>
    <xdr:to>
      <xdr:col>12</xdr:col>
      <xdr:colOff>590550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6096000" y="2190750"/>
        <a:ext cx="28956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0</xdr:row>
      <xdr:rowOff>0</xdr:rowOff>
    </xdr:from>
    <xdr:to>
      <xdr:col>9</xdr:col>
      <xdr:colOff>142875</xdr:colOff>
      <xdr:row>11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4086225" y="0"/>
          <a:ext cx="2628900" cy="2162175"/>
          <a:chOff x="1" y="1"/>
          <a:chExt cx="276" cy="179"/>
        </a:xfrm>
        <a:solidFill>
          <a:srgbClr val="FFFFFF"/>
        </a:solidFill>
      </xdr:grpSpPr>
      <xdr:pic>
        <xdr:nvPicPr>
          <xdr:cNvPr id="5" name="Picture 10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6" name="Oval 11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9"/>
  <sheetViews>
    <sheetView tabSelected="1" workbookViewId="0" topLeftCell="A1">
      <selection activeCell="B5" sqref="B5"/>
    </sheetView>
  </sheetViews>
  <sheetFormatPr defaultColWidth="9.140625" defaultRowHeight="18" customHeight="1"/>
  <cols>
    <col min="1" max="1" width="9.140625" style="5" customWidth="1"/>
    <col min="2" max="2" width="14.140625" style="5" customWidth="1"/>
    <col min="3" max="3" width="15.28125" style="5" customWidth="1"/>
    <col min="4" max="5" width="14.00390625" style="5" customWidth="1"/>
    <col min="6" max="6" width="8.140625" style="5" customWidth="1"/>
    <col min="7" max="8" width="12.7109375" style="5" customWidth="1"/>
    <col min="9" max="9" width="19.00390625" style="5" customWidth="1"/>
    <col min="10" max="10" width="10.7109375" style="5" customWidth="1"/>
    <col min="11" max="16384" width="12.7109375" style="5" customWidth="1"/>
  </cols>
  <sheetData>
    <row r="1" spans="1:13" s="1" customFormat="1" ht="23.25" customHeight="1">
      <c r="A1" s="169"/>
      <c r="B1" s="170" t="s">
        <v>61</v>
      </c>
      <c r="C1" s="171"/>
      <c r="D1" s="172"/>
      <c r="E1" s="172"/>
      <c r="F1" s="173"/>
      <c r="G1" s="33"/>
      <c r="H1" s="33"/>
      <c r="I1" s="33"/>
      <c r="J1" s="33"/>
      <c r="K1" s="33"/>
      <c r="L1" s="33"/>
      <c r="M1" s="33"/>
    </row>
    <row r="2" spans="1:12" s="1" customFormat="1" ht="18" customHeight="1">
      <c r="A2" s="174"/>
      <c r="B2" s="73" t="s">
        <v>14</v>
      </c>
      <c r="C2" s="74"/>
      <c r="D2" s="16"/>
      <c r="E2" s="16"/>
      <c r="F2" s="175"/>
      <c r="G2" s="136"/>
      <c r="H2" s="33"/>
      <c r="I2" s="33"/>
      <c r="J2" s="33"/>
      <c r="K2" s="33"/>
      <c r="L2" s="125"/>
    </row>
    <row r="3" spans="1:12" s="1" customFormat="1" ht="18" customHeight="1">
      <c r="A3" s="174"/>
      <c r="B3" s="83" t="s">
        <v>17</v>
      </c>
      <c r="C3" s="84"/>
      <c r="D3" s="16"/>
      <c r="E3" s="20"/>
      <c r="F3" s="176"/>
      <c r="G3" s="33"/>
      <c r="H3" s="27" t="s">
        <v>20</v>
      </c>
      <c r="I3" s="28"/>
      <c r="J3" s="33"/>
      <c r="K3" s="33"/>
      <c r="L3" s="125"/>
    </row>
    <row r="4" spans="1:12" s="1" customFormat="1" ht="18" customHeight="1">
      <c r="A4" s="174"/>
      <c r="B4" s="85" t="s">
        <v>76</v>
      </c>
      <c r="C4" s="86"/>
      <c r="D4" s="16"/>
      <c r="E4" s="20"/>
      <c r="F4" s="176"/>
      <c r="G4" s="33"/>
      <c r="H4" s="29" t="s">
        <v>11</v>
      </c>
      <c r="I4" s="30">
        <f>(1-C8)*C5</f>
        <v>0.45000000000000007</v>
      </c>
      <c r="J4" s="126" t="s">
        <v>83</v>
      </c>
      <c r="K4" s="33"/>
      <c r="L4" s="125"/>
    </row>
    <row r="5" spans="1:12" s="1" customFormat="1" ht="18" customHeight="1">
      <c r="A5" s="174"/>
      <c r="B5" s="79" t="s">
        <v>18</v>
      </c>
      <c r="C5" s="189">
        <v>3</v>
      </c>
      <c r="D5" s="16"/>
      <c r="E5" s="20"/>
      <c r="F5" s="176"/>
      <c r="G5" s="33"/>
      <c r="H5" s="29" t="s">
        <v>10</v>
      </c>
      <c r="I5" s="30">
        <f>-C8*C5</f>
        <v>-2.55</v>
      </c>
      <c r="J5" s="126" t="s">
        <v>84</v>
      </c>
      <c r="K5" s="33"/>
      <c r="L5" s="125"/>
    </row>
    <row r="6" spans="1:12" s="1" customFormat="1" ht="18" customHeight="1">
      <c r="A6" s="174"/>
      <c r="B6" s="19"/>
      <c r="C6" s="16"/>
      <c r="D6" s="16"/>
      <c r="E6" s="20"/>
      <c r="F6" s="176"/>
      <c r="G6" s="33"/>
      <c r="H6" s="107" t="s">
        <v>65</v>
      </c>
      <c r="I6" s="97">
        <f>zmax(C5,C8,C14,C18,C19*C8*C9/C10,C19*(1-C8)*C9/C11,C20,C21,C22,C26,C27*C8*C9/C10,C27*(1-C8)*C9/C11,C28,C29,C30)</f>
        <v>2.7499999999999853</v>
      </c>
      <c r="J6" s="126" t="s">
        <v>85</v>
      </c>
      <c r="K6" s="33"/>
      <c r="L6" s="125"/>
    </row>
    <row r="7" spans="1:12" s="1" customFormat="1" ht="18" customHeight="1">
      <c r="A7" s="174"/>
      <c r="B7" s="80" t="s">
        <v>7</v>
      </c>
      <c r="C7" s="82"/>
      <c r="D7" s="18"/>
      <c r="E7" s="20"/>
      <c r="F7" s="176"/>
      <c r="G7" s="33"/>
      <c r="H7" s="41" t="s">
        <v>49</v>
      </c>
      <c r="I7" s="42">
        <f>1-1/C18</f>
        <v>0.33333333333333337</v>
      </c>
      <c r="J7" s="126" t="s">
        <v>21</v>
      </c>
      <c r="K7" s="33"/>
      <c r="L7" s="125"/>
    </row>
    <row r="8" spans="1:12" s="1" customFormat="1" ht="18" customHeight="1">
      <c r="A8" s="174"/>
      <c r="B8" s="100" t="s">
        <v>55</v>
      </c>
      <c r="C8" s="75">
        <v>0.85</v>
      </c>
      <c r="D8" s="17" t="s">
        <v>77</v>
      </c>
      <c r="E8" s="20"/>
      <c r="F8" s="176"/>
      <c r="G8" s="33"/>
      <c r="H8" s="31" t="s">
        <v>50</v>
      </c>
      <c r="I8" s="32">
        <f>C19*C8*C9/C10</f>
        <v>1.105</v>
      </c>
      <c r="J8" s="126" t="s">
        <v>86</v>
      </c>
      <c r="K8" s="127"/>
      <c r="L8" s="125"/>
    </row>
    <row r="9" spans="1:12" s="2" customFormat="1" ht="18" customHeight="1">
      <c r="A9" s="177"/>
      <c r="B9" s="101" t="s">
        <v>56</v>
      </c>
      <c r="C9" s="76">
        <v>65</v>
      </c>
      <c r="D9" s="17" t="s">
        <v>78</v>
      </c>
      <c r="E9" s="25"/>
      <c r="F9" s="178"/>
      <c r="G9" s="24"/>
      <c r="H9" s="31" t="s">
        <v>51</v>
      </c>
      <c r="I9" s="32">
        <f>C19*(1-C8)*C9/C11</f>
        <v>0.32500000000000007</v>
      </c>
      <c r="J9" s="126" t="s">
        <v>88</v>
      </c>
      <c r="K9" s="127"/>
      <c r="L9" s="128"/>
    </row>
    <row r="10" spans="1:13" s="2" customFormat="1" ht="18" customHeight="1">
      <c r="A10" s="177"/>
      <c r="B10" s="101" t="s">
        <v>57</v>
      </c>
      <c r="C10" s="76">
        <v>25</v>
      </c>
      <c r="D10" s="17" t="s">
        <v>79</v>
      </c>
      <c r="E10" s="179"/>
      <c r="F10" s="178"/>
      <c r="G10" s="24"/>
      <c r="H10" s="104" t="s">
        <v>63</v>
      </c>
      <c r="I10" s="30">
        <f>I7*(1-0.5^(1/I7))/(1-I7)</f>
        <v>0.43750000000000006</v>
      </c>
      <c r="J10" s="129" t="s">
        <v>62</v>
      </c>
      <c r="K10" s="130"/>
      <c r="L10" s="131"/>
      <c r="M10" s="24"/>
    </row>
    <row r="11" spans="1:13" s="2" customFormat="1" ht="18" customHeight="1">
      <c r="A11" s="177"/>
      <c r="B11" s="102" t="s">
        <v>58</v>
      </c>
      <c r="C11" s="77">
        <v>15</v>
      </c>
      <c r="D11" s="17" t="s">
        <v>80</v>
      </c>
      <c r="E11" s="21"/>
      <c r="F11" s="180"/>
      <c r="G11" s="24"/>
      <c r="H11" s="104" t="s">
        <v>64</v>
      </c>
      <c r="I11" s="32">
        <f>((0.72-0.35*EXP(-(C18^4)))^(1/I10)*((0.72-0.35*EXP(-(C18^4)))^(-1/I7)-1)^(1-I7))/C19</f>
        <v>1.3372060454299688</v>
      </c>
      <c r="J11" s="129" t="s">
        <v>87</v>
      </c>
      <c r="K11" s="130"/>
      <c r="L11" s="131"/>
      <c r="M11" s="24"/>
    </row>
    <row r="12" spans="1:13" s="3" customFormat="1" ht="18" customHeight="1">
      <c r="A12" s="181"/>
      <c r="B12" s="94"/>
      <c r="C12" s="94"/>
      <c r="D12" s="94"/>
      <c r="E12" s="21"/>
      <c r="F12" s="180"/>
      <c r="G12" s="34"/>
      <c r="H12" s="41" t="s">
        <v>52</v>
      </c>
      <c r="I12" s="42">
        <f>1-1/C26</f>
        <v>0.75</v>
      </c>
      <c r="J12" s="126" t="s">
        <v>21</v>
      </c>
      <c r="K12" s="34"/>
      <c r="L12" s="34"/>
      <c r="M12" s="34"/>
    </row>
    <row r="13" spans="1:13" s="2" customFormat="1" ht="18" customHeight="1">
      <c r="A13" s="177"/>
      <c r="B13" s="80" t="s">
        <v>38</v>
      </c>
      <c r="C13" s="81"/>
      <c r="D13" s="25"/>
      <c r="E13" s="21"/>
      <c r="F13" s="180"/>
      <c r="G13" s="24"/>
      <c r="H13" s="31" t="s">
        <v>53</v>
      </c>
      <c r="I13" s="32">
        <f>C27*C8*C9/C10</f>
        <v>4.42</v>
      </c>
      <c r="J13" s="126" t="s">
        <v>86</v>
      </c>
      <c r="K13" s="24"/>
      <c r="L13" s="24"/>
      <c r="M13" s="24"/>
    </row>
    <row r="14" spans="1:13" ht="18" customHeight="1">
      <c r="A14" s="182"/>
      <c r="B14" s="78" t="s">
        <v>35</v>
      </c>
      <c r="C14" s="190">
        <v>-0.4</v>
      </c>
      <c r="D14" s="22" t="s">
        <v>81</v>
      </c>
      <c r="E14" s="26"/>
      <c r="F14" s="183"/>
      <c r="G14" s="35"/>
      <c r="H14" s="31" t="s">
        <v>54</v>
      </c>
      <c r="I14" s="32">
        <f>C27*(1-C8)*C9/C11</f>
        <v>1.3000000000000003</v>
      </c>
      <c r="J14" s="126" t="s">
        <v>89</v>
      </c>
      <c r="K14" s="35"/>
      <c r="L14" s="35"/>
      <c r="M14" s="35"/>
    </row>
    <row r="15" spans="1:13" s="2" customFormat="1" ht="18" customHeight="1">
      <c r="A15" s="177"/>
      <c r="B15" s="25"/>
      <c r="C15" s="25"/>
      <c r="D15" s="25"/>
      <c r="E15" s="25"/>
      <c r="F15" s="178"/>
      <c r="G15" s="24"/>
      <c r="H15" s="104" t="s">
        <v>63</v>
      </c>
      <c r="I15" s="30">
        <f>I12*(1-0.5^(1/I12))/(1-I12)</f>
        <v>1.8094492110238505</v>
      </c>
      <c r="J15" s="129" t="s">
        <v>62</v>
      </c>
      <c r="K15" s="24"/>
      <c r="L15" s="24"/>
      <c r="M15" s="24"/>
    </row>
    <row r="16" spans="1:13" s="2" customFormat="1" ht="18" customHeight="1">
      <c r="A16" s="177"/>
      <c r="B16" s="87" t="s">
        <v>39</v>
      </c>
      <c r="C16" s="88"/>
      <c r="D16" s="20"/>
      <c r="E16" s="25"/>
      <c r="F16" s="178"/>
      <c r="G16" s="24"/>
      <c r="H16" s="105" t="s">
        <v>64</v>
      </c>
      <c r="I16" s="106">
        <f>((0.72-0.35*EXP(-(C26^4)))^(1/I15)*((0.72-0.35*EXP(-(C26^4)))^(-1/I12)-1)^(1-I12))/C27</f>
        <v>0.35903641314881884</v>
      </c>
      <c r="J16" s="129" t="s">
        <v>87</v>
      </c>
      <c r="K16" s="24"/>
      <c r="L16" s="24"/>
      <c r="M16" s="24"/>
    </row>
    <row r="17" spans="1:13" s="2" customFormat="1" ht="18" customHeight="1">
      <c r="A17" s="177"/>
      <c r="B17" s="103" t="s">
        <v>60</v>
      </c>
      <c r="C17" s="191">
        <v>0.4</v>
      </c>
      <c r="D17" s="22" t="s">
        <v>8</v>
      </c>
      <c r="E17" s="25"/>
      <c r="F17" s="178"/>
      <c r="G17" s="24"/>
      <c r="H17" s="128"/>
      <c r="I17" s="128"/>
      <c r="J17" s="128"/>
      <c r="K17" s="24"/>
      <c r="L17" s="24"/>
      <c r="M17" s="24"/>
    </row>
    <row r="18" spans="1:13" ht="18" customHeight="1">
      <c r="A18" s="182"/>
      <c r="B18" s="89" t="s">
        <v>36</v>
      </c>
      <c r="C18" s="192">
        <v>1.5</v>
      </c>
      <c r="D18" s="23" t="s">
        <v>19</v>
      </c>
      <c r="E18" s="26"/>
      <c r="F18" s="183"/>
      <c r="G18" s="35"/>
      <c r="H18" s="132"/>
      <c r="I18" s="132"/>
      <c r="J18" s="132"/>
      <c r="K18" s="35"/>
      <c r="L18" s="35"/>
      <c r="M18" s="35"/>
    </row>
    <row r="19" spans="1:13" s="9" customFormat="1" ht="18" customHeight="1">
      <c r="A19" s="182"/>
      <c r="B19" s="90" t="s">
        <v>37</v>
      </c>
      <c r="C19" s="193">
        <v>0.5</v>
      </c>
      <c r="D19" s="23" t="s">
        <v>82</v>
      </c>
      <c r="E19" s="26"/>
      <c r="F19" s="183"/>
      <c r="G19" s="35"/>
      <c r="H19" s="35"/>
      <c r="I19" s="35"/>
      <c r="J19" s="35"/>
      <c r="K19" s="35"/>
      <c r="L19" s="35"/>
      <c r="M19" s="35"/>
    </row>
    <row r="20" spans="1:13" ht="18" customHeight="1">
      <c r="A20" s="182"/>
      <c r="B20" s="89" t="s">
        <v>40</v>
      </c>
      <c r="C20" s="192">
        <v>0.6</v>
      </c>
      <c r="D20" s="17" t="s">
        <v>9</v>
      </c>
      <c r="E20" s="26"/>
      <c r="F20" s="183"/>
      <c r="G20" s="35"/>
      <c r="H20" s="202" t="s">
        <v>131</v>
      </c>
      <c r="I20" s="35"/>
      <c r="J20" s="35"/>
      <c r="K20" s="35"/>
      <c r="L20" s="35"/>
      <c r="M20" s="35"/>
    </row>
    <row r="21" spans="1:14" s="4" customFormat="1" ht="18" customHeight="1">
      <c r="A21" s="184"/>
      <c r="B21" s="89" t="s">
        <v>41</v>
      </c>
      <c r="C21" s="192">
        <v>0.05</v>
      </c>
      <c r="D21" s="17" t="s">
        <v>16</v>
      </c>
      <c r="E21" s="95"/>
      <c r="F21" s="185"/>
      <c r="G21" s="133"/>
      <c r="H21" s="202" t="s">
        <v>72</v>
      </c>
      <c r="I21" s="133"/>
      <c r="J21" s="133"/>
      <c r="K21" s="133"/>
      <c r="L21" s="133"/>
      <c r="M21" s="8"/>
      <c r="N21" s="8"/>
    </row>
    <row r="22" spans="1:14" s="4" customFormat="1" ht="18" customHeight="1">
      <c r="A22" s="184"/>
      <c r="B22" s="91" t="s">
        <v>42</v>
      </c>
      <c r="C22" s="194">
        <v>0.1</v>
      </c>
      <c r="D22" s="17" t="s">
        <v>15</v>
      </c>
      <c r="E22" s="95"/>
      <c r="F22" s="185"/>
      <c r="G22" s="133"/>
      <c r="H22" s="133"/>
      <c r="I22" s="133"/>
      <c r="J22" s="133"/>
      <c r="K22" s="24"/>
      <c r="L22" s="133"/>
      <c r="M22" s="8"/>
      <c r="N22" s="8"/>
    </row>
    <row r="23" spans="1:14" ht="18" customHeight="1">
      <c r="A23" s="182"/>
      <c r="B23" s="94"/>
      <c r="C23" s="94"/>
      <c r="D23" s="94"/>
      <c r="E23" s="25"/>
      <c r="F23" s="178"/>
      <c r="G23" s="134"/>
      <c r="H23" s="219" t="s">
        <v>157</v>
      </c>
      <c r="I23" s="24"/>
      <c r="J23" s="134"/>
      <c r="K23" s="24"/>
      <c r="L23" s="24"/>
      <c r="M23" s="9"/>
      <c r="N23" s="9"/>
    </row>
    <row r="24" spans="1:14" ht="18" customHeight="1">
      <c r="A24" s="182"/>
      <c r="B24" s="92" t="s">
        <v>43</v>
      </c>
      <c r="C24" s="93"/>
      <c r="D24" s="20"/>
      <c r="E24" s="26"/>
      <c r="F24" s="183"/>
      <c r="G24" s="131"/>
      <c r="H24" s="35"/>
      <c r="I24" s="35"/>
      <c r="J24" s="131"/>
      <c r="K24" s="35"/>
      <c r="L24" s="35"/>
      <c r="M24" s="9"/>
      <c r="N24" s="9"/>
    </row>
    <row r="25" spans="1:14" ht="18" customHeight="1">
      <c r="A25" s="182"/>
      <c r="B25" s="103" t="s">
        <v>59</v>
      </c>
      <c r="C25" s="191">
        <v>0.35</v>
      </c>
      <c r="D25" s="22" t="s">
        <v>8</v>
      </c>
      <c r="E25" s="26"/>
      <c r="F25" s="183"/>
      <c r="G25" s="131"/>
      <c r="H25" s="131"/>
      <c r="I25" s="35"/>
      <c r="J25" s="131"/>
      <c r="K25" s="35"/>
      <c r="L25" s="35"/>
      <c r="M25" s="9"/>
      <c r="N25" s="9"/>
    </row>
    <row r="26" spans="1:14" ht="18" customHeight="1">
      <c r="A26" s="182"/>
      <c r="B26" s="89" t="s">
        <v>44</v>
      </c>
      <c r="C26" s="192">
        <v>4</v>
      </c>
      <c r="D26" s="23" t="s">
        <v>19</v>
      </c>
      <c r="E26" s="26"/>
      <c r="F26" s="183"/>
      <c r="G26" s="131"/>
      <c r="H26" s="131"/>
      <c r="I26" s="35"/>
      <c r="J26" s="131"/>
      <c r="K26" s="35"/>
      <c r="L26" s="35"/>
      <c r="M26" s="7"/>
      <c r="N26" s="9"/>
    </row>
    <row r="27" spans="1:14" ht="18" customHeight="1">
      <c r="A27" s="182"/>
      <c r="B27" s="90" t="s">
        <v>45</v>
      </c>
      <c r="C27" s="193">
        <v>2</v>
      </c>
      <c r="D27" s="23" t="s">
        <v>82</v>
      </c>
      <c r="E27" s="26"/>
      <c r="F27" s="183"/>
      <c r="G27" s="131"/>
      <c r="H27" s="131"/>
      <c r="I27" s="35"/>
      <c r="J27" s="131"/>
      <c r="K27" s="135"/>
      <c r="L27" s="131"/>
      <c r="M27" s="6"/>
      <c r="N27" s="9"/>
    </row>
    <row r="28" spans="1:14" ht="18" customHeight="1">
      <c r="A28" s="182"/>
      <c r="B28" s="89" t="s">
        <v>46</v>
      </c>
      <c r="C28" s="192">
        <v>0.1</v>
      </c>
      <c r="D28" s="17" t="s">
        <v>9</v>
      </c>
      <c r="E28" s="26"/>
      <c r="F28" s="183"/>
      <c r="G28" s="131"/>
      <c r="H28" s="131"/>
      <c r="I28" s="35"/>
      <c r="J28" s="131"/>
      <c r="K28" s="135"/>
      <c r="L28" s="131"/>
      <c r="M28" s="6"/>
      <c r="N28" s="9"/>
    </row>
    <row r="29" spans="1:14" ht="18" customHeight="1">
      <c r="A29" s="182"/>
      <c r="B29" s="89" t="s">
        <v>47</v>
      </c>
      <c r="C29" s="192">
        <v>0.1</v>
      </c>
      <c r="D29" s="17" t="s">
        <v>16</v>
      </c>
      <c r="E29" s="26"/>
      <c r="F29" s="183"/>
      <c r="G29" s="131"/>
      <c r="H29" s="131"/>
      <c r="I29" s="35"/>
      <c r="J29" s="131"/>
      <c r="K29" s="135"/>
      <c r="L29" s="131"/>
      <c r="M29" s="6"/>
      <c r="N29" s="9"/>
    </row>
    <row r="30" spans="1:14" ht="18" customHeight="1">
      <c r="A30" s="182"/>
      <c r="B30" s="91" t="s">
        <v>48</v>
      </c>
      <c r="C30" s="194">
        <v>0.2</v>
      </c>
      <c r="D30" s="17" t="s">
        <v>15</v>
      </c>
      <c r="E30" s="26"/>
      <c r="F30" s="183"/>
      <c r="G30" s="131"/>
      <c r="H30" s="131"/>
      <c r="I30" s="35"/>
      <c r="J30" s="131"/>
      <c r="K30" s="135"/>
      <c r="L30" s="131"/>
      <c r="M30" s="6"/>
      <c r="N30" s="9"/>
    </row>
    <row r="31" spans="1:14" ht="18" customHeight="1">
      <c r="A31" s="186"/>
      <c r="B31" s="187"/>
      <c r="C31" s="187"/>
      <c r="D31" s="187"/>
      <c r="E31" s="187"/>
      <c r="F31" s="188"/>
      <c r="G31" s="131"/>
      <c r="H31" s="131"/>
      <c r="I31" s="35"/>
      <c r="J31" s="131"/>
      <c r="K31" s="135"/>
      <c r="L31" s="131"/>
      <c r="M31" s="6"/>
      <c r="N31" s="9"/>
    </row>
    <row r="32" spans="1:14" ht="18" customHeight="1">
      <c r="A32" s="35"/>
      <c r="B32" s="35"/>
      <c r="C32" s="35"/>
      <c r="D32" s="35"/>
      <c r="E32" s="35"/>
      <c r="F32" s="35"/>
      <c r="G32" s="131"/>
      <c r="H32" s="131"/>
      <c r="I32" s="35"/>
      <c r="J32" s="131"/>
      <c r="K32" s="135"/>
      <c r="L32" s="131"/>
      <c r="M32" s="6"/>
      <c r="N32" s="9"/>
    </row>
    <row r="33" spans="1:14" ht="18" customHeight="1">
      <c r="A33" s="35"/>
      <c r="B33" s="35"/>
      <c r="C33" s="35"/>
      <c r="D33" s="35"/>
      <c r="E33" s="35"/>
      <c r="F33" s="35"/>
      <c r="G33" s="131"/>
      <c r="H33" s="131"/>
      <c r="I33" s="35"/>
      <c r="J33" s="131"/>
      <c r="K33" s="135"/>
      <c r="L33" s="131"/>
      <c r="M33" s="6"/>
      <c r="N33" s="9"/>
    </row>
    <row r="34" spans="1:14" ht="18" customHeight="1">
      <c r="A34" s="35"/>
      <c r="B34" s="35"/>
      <c r="C34" s="35"/>
      <c r="D34" s="35"/>
      <c r="E34" s="35"/>
      <c r="F34" s="35"/>
      <c r="G34" s="7"/>
      <c r="H34" s="7"/>
      <c r="I34" s="9"/>
      <c r="J34" s="131"/>
      <c r="K34" s="135"/>
      <c r="L34" s="131"/>
      <c r="M34" s="6"/>
      <c r="N34" s="9"/>
    </row>
    <row r="35" spans="1:14" ht="18" customHeight="1">
      <c r="A35" s="9"/>
      <c r="B35" s="9"/>
      <c r="C35" s="9"/>
      <c r="D35" s="9"/>
      <c r="E35" s="9"/>
      <c r="F35" s="9"/>
      <c r="G35" s="7"/>
      <c r="H35" s="7"/>
      <c r="I35" s="9"/>
      <c r="J35" s="7"/>
      <c r="K35" s="6"/>
      <c r="L35" s="7"/>
      <c r="M35" s="6"/>
      <c r="N35" s="9"/>
    </row>
    <row r="36" spans="1:14" ht="18" customHeight="1">
      <c r="A36" s="9"/>
      <c r="B36" s="9"/>
      <c r="C36" s="9"/>
      <c r="D36" s="9"/>
      <c r="E36" s="9"/>
      <c r="F36" s="9"/>
      <c r="G36" s="7"/>
      <c r="H36" s="7"/>
      <c r="I36" s="9"/>
      <c r="J36" s="7"/>
      <c r="K36" s="6"/>
      <c r="L36" s="7"/>
      <c r="M36" s="6"/>
      <c r="N36" s="9"/>
    </row>
    <row r="37" spans="1:14" ht="18" customHeight="1">
      <c r="A37" s="9"/>
      <c r="B37" s="9"/>
      <c r="C37" s="9"/>
      <c r="D37" s="9"/>
      <c r="E37" s="9"/>
      <c r="F37" s="9"/>
      <c r="G37" s="7"/>
      <c r="H37" s="7"/>
      <c r="I37" s="9"/>
      <c r="J37" s="7"/>
      <c r="K37" s="6"/>
      <c r="L37" s="7"/>
      <c r="M37" s="6"/>
      <c r="N37" s="9"/>
    </row>
    <row r="38" spans="1:14" ht="18" customHeight="1">
      <c r="A38" s="9"/>
      <c r="B38" s="9"/>
      <c r="C38" s="9"/>
      <c r="D38" s="9"/>
      <c r="E38" s="9"/>
      <c r="F38" s="9"/>
      <c r="G38" s="7"/>
      <c r="H38" s="7"/>
      <c r="I38" s="9"/>
      <c r="J38" s="7"/>
      <c r="K38" s="6"/>
      <c r="L38" s="7"/>
      <c r="M38" s="6"/>
      <c r="N38" s="9"/>
    </row>
    <row r="39" spans="1:14" ht="18" customHeight="1">
      <c r="A39" s="9"/>
      <c r="B39" s="9"/>
      <c r="C39" s="9"/>
      <c r="D39" s="9"/>
      <c r="E39" s="9"/>
      <c r="F39" s="9"/>
      <c r="G39" s="7"/>
      <c r="H39" s="7"/>
      <c r="I39" s="9"/>
      <c r="J39" s="7"/>
      <c r="K39" s="6"/>
      <c r="L39" s="7"/>
      <c r="M39" s="6"/>
      <c r="N39" s="9"/>
    </row>
    <row r="40" spans="1:14" ht="18" customHeight="1">
      <c r="A40" s="9"/>
      <c r="B40" s="9"/>
      <c r="C40" s="9"/>
      <c r="D40" s="9"/>
      <c r="E40" s="9"/>
      <c r="F40" s="9"/>
      <c r="G40" s="7"/>
      <c r="H40" s="7"/>
      <c r="I40" s="9"/>
      <c r="J40" s="7"/>
      <c r="K40" s="6"/>
      <c r="L40" s="7"/>
      <c r="M40" s="6"/>
      <c r="N40" s="9"/>
    </row>
    <row r="41" spans="1:14" ht="18" customHeight="1">
      <c r="A41" s="9"/>
      <c r="B41" s="9"/>
      <c r="C41" s="9"/>
      <c r="D41" s="9"/>
      <c r="E41" s="9"/>
      <c r="F41" s="9"/>
      <c r="G41" s="7"/>
      <c r="H41" s="7"/>
      <c r="I41" s="9"/>
      <c r="J41" s="7"/>
      <c r="K41" s="6"/>
      <c r="L41" s="7"/>
      <c r="M41" s="6"/>
      <c r="N41" s="9"/>
    </row>
    <row r="42" spans="1:14" ht="18" customHeight="1">
      <c r="A42" s="9"/>
      <c r="B42" s="9"/>
      <c r="C42" s="9"/>
      <c r="D42" s="9"/>
      <c r="E42" s="9"/>
      <c r="F42" s="9"/>
      <c r="G42" s="7"/>
      <c r="H42" s="7"/>
      <c r="I42" s="9"/>
      <c r="J42" s="7"/>
      <c r="K42" s="6"/>
      <c r="L42" s="7"/>
      <c r="M42" s="6"/>
      <c r="N42" s="9"/>
    </row>
    <row r="43" spans="1:14" ht="18" customHeight="1">
      <c r="A43" s="9"/>
      <c r="B43" s="9"/>
      <c r="C43" s="9"/>
      <c r="D43" s="9"/>
      <c r="E43" s="9"/>
      <c r="F43" s="9"/>
      <c r="G43" s="7"/>
      <c r="H43" s="7"/>
      <c r="I43" s="9"/>
      <c r="J43" s="7"/>
      <c r="K43" s="6"/>
      <c r="L43" s="7"/>
      <c r="M43" s="6"/>
      <c r="N43" s="9"/>
    </row>
    <row r="44" spans="1:14" ht="18" customHeight="1">
      <c r="A44" s="9"/>
      <c r="B44" s="9"/>
      <c r="C44" s="9"/>
      <c r="D44" s="9"/>
      <c r="E44" s="9"/>
      <c r="F44" s="9"/>
      <c r="G44" s="7"/>
      <c r="H44" s="7"/>
      <c r="I44" s="9"/>
      <c r="J44" s="7"/>
      <c r="K44" s="6"/>
      <c r="L44" s="7"/>
      <c r="M44" s="6"/>
      <c r="N44" s="9"/>
    </row>
    <row r="45" spans="1:14" ht="18" customHeight="1">
      <c r="A45" s="9"/>
      <c r="B45" s="9"/>
      <c r="C45" s="9"/>
      <c r="D45" s="9"/>
      <c r="E45" s="9"/>
      <c r="F45" s="9"/>
      <c r="G45" s="7"/>
      <c r="H45" s="7"/>
      <c r="I45" s="9"/>
      <c r="J45" s="7"/>
      <c r="K45" s="6"/>
      <c r="L45" s="7"/>
      <c r="M45" s="6"/>
      <c r="N45" s="9"/>
    </row>
    <row r="46" spans="1:14" ht="18" customHeight="1">
      <c r="A46" s="9"/>
      <c r="B46" s="9"/>
      <c r="C46" s="9"/>
      <c r="D46" s="9"/>
      <c r="E46" s="9"/>
      <c r="F46" s="9"/>
      <c r="G46" s="7"/>
      <c r="H46" s="7"/>
      <c r="I46" s="9"/>
      <c r="J46" s="7"/>
      <c r="K46" s="6"/>
      <c r="L46" s="7"/>
      <c r="M46" s="6"/>
      <c r="N46" s="9"/>
    </row>
    <row r="47" spans="1:14" ht="18" customHeight="1">
      <c r="A47" s="9"/>
      <c r="B47" s="9"/>
      <c r="C47" s="9"/>
      <c r="D47" s="9"/>
      <c r="E47" s="9"/>
      <c r="F47" s="9"/>
      <c r="G47" s="7"/>
      <c r="H47" s="7"/>
      <c r="I47" s="9"/>
      <c r="J47" s="7"/>
      <c r="K47" s="6"/>
      <c r="L47" s="7"/>
      <c r="M47" s="6"/>
      <c r="N47" s="9"/>
    </row>
    <row r="48" spans="1:14" ht="18" customHeight="1">
      <c r="A48" s="9"/>
      <c r="B48" s="9"/>
      <c r="C48" s="9"/>
      <c r="D48" s="9"/>
      <c r="E48" s="9"/>
      <c r="F48" s="9"/>
      <c r="G48" s="7"/>
      <c r="H48" s="7"/>
      <c r="I48" s="9"/>
      <c r="J48" s="7"/>
      <c r="K48" s="6"/>
      <c r="L48" s="7"/>
      <c r="M48" s="6"/>
      <c r="N48" s="9"/>
    </row>
    <row r="49" spans="1:14" ht="18" customHeight="1">
      <c r="A49" s="9"/>
      <c r="B49" s="9"/>
      <c r="C49" s="9"/>
      <c r="D49" s="9"/>
      <c r="E49" s="9"/>
      <c r="F49" s="9"/>
      <c r="G49" s="7"/>
      <c r="H49" s="7"/>
      <c r="I49" s="9"/>
      <c r="J49" s="7"/>
      <c r="K49" s="6"/>
      <c r="L49" s="7"/>
      <c r="M49" s="6"/>
      <c r="N49" s="9"/>
    </row>
    <row r="50" spans="1:14" ht="18" customHeight="1">
      <c r="A50" s="9"/>
      <c r="B50" s="9"/>
      <c r="C50" s="9"/>
      <c r="D50" s="9"/>
      <c r="E50" s="9"/>
      <c r="F50" s="9"/>
      <c r="G50" s="7"/>
      <c r="H50" s="7"/>
      <c r="I50" s="9"/>
      <c r="J50" s="7"/>
      <c r="K50" s="6"/>
      <c r="L50" s="7"/>
      <c r="M50" s="6"/>
      <c r="N50" s="9"/>
    </row>
    <row r="51" spans="1:14" ht="18" customHeight="1">
      <c r="A51" s="9"/>
      <c r="B51" s="9"/>
      <c r="C51" s="9"/>
      <c r="D51" s="9"/>
      <c r="E51" s="9"/>
      <c r="F51" s="9"/>
      <c r="G51" s="7"/>
      <c r="H51" s="7"/>
      <c r="I51" s="9"/>
      <c r="J51" s="7"/>
      <c r="K51" s="6"/>
      <c r="L51" s="7"/>
      <c r="M51" s="6"/>
      <c r="N51" s="9"/>
    </row>
    <row r="52" spans="1:14" ht="18" customHeight="1">
      <c r="A52" s="9"/>
      <c r="B52" s="9"/>
      <c r="C52" s="9"/>
      <c r="D52" s="9"/>
      <c r="E52" s="9"/>
      <c r="F52" s="9"/>
      <c r="G52" s="7"/>
      <c r="H52" s="7"/>
      <c r="I52" s="9"/>
      <c r="J52" s="7"/>
      <c r="K52" s="6"/>
      <c r="L52" s="7"/>
      <c r="M52" s="6"/>
      <c r="N52" s="9"/>
    </row>
    <row r="53" spans="1:14" ht="18" customHeight="1">
      <c r="A53" s="9"/>
      <c r="B53" s="9"/>
      <c r="C53" s="9"/>
      <c r="D53" s="9"/>
      <c r="E53" s="9"/>
      <c r="F53" s="9"/>
      <c r="G53" s="7"/>
      <c r="H53" s="7"/>
      <c r="I53" s="9"/>
      <c r="J53" s="7"/>
      <c r="K53" s="6"/>
      <c r="L53" s="7"/>
      <c r="M53" s="6"/>
      <c r="N53" s="9"/>
    </row>
    <row r="54" spans="1:14" ht="18" customHeight="1">
      <c r="A54" s="9"/>
      <c r="B54" s="9"/>
      <c r="C54" s="9"/>
      <c r="D54" s="9"/>
      <c r="E54" s="9"/>
      <c r="F54" s="9"/>
      <c r="G54" s="7"/>
      <c r="H54" s="7"/>
      <c r="I54" s="9"/>
      <c r="J54" s="7"/>
      <c r="K54" s="6"/>
      <c r="L54" s="7"/>
      <c r="M54" s="6"/>
      <c r="N54" s="9"/>
    </row>
    <row r="55" spans="1:14" ht="18" customHeight="1">
      <c r="A55" s="9"/>
      <c r="B55" s="9"/>
      <c r="C55" s="9"/>
      <c r="D55" s="9"/>
      <c r="E55" s="9"/>
      <c r="F55" s="9"/>
      <c r="G55" s="7"/>
      <c r="H55" s="7"/>
      <c r="I55" s="9"/>
      <c r="J55" s="7"/>
      <c r="K55" s="6"/>
      <c r="L55" s="7"/>
      <c r="M55" s="6"/>
      <c r="N55" s="9"/>
    </row>
    <row r="56" spans="1:14" ht="18" customHeight="1">
      <c r="A56" s="9"/>
      <c r="B56" s="9"/>
      <c r="C56" s="9"/>
      <c r="D56" s="9"/>
      <c r="E56" s="9"/>
      <c r="F56" s="9"/>
      <c r="G56" s="7"/>
      <c r="H56" s="7"/>
      <c r="I56" s="9"/>
      <c r="J56" s="7"/>
      <c r="K56" s="6"/>
      <c r="L56" s="7"/>
      <c r="M56" s="6"/>
      <c r="N56" s="9"/>
    </row>
    <row r="57" spans="1:14" ht="18" customHeight="1">
      <c r="A57" s="9"/>
      <c r="B57" s="9"/>
      <c r="C57" s="9"/>
      <c r="D57" s="9"/>
      <c r="E57" s="9"/>
      <c r="F57" s="9"/>
      <c r="G57" s="7"/>
      <c r="H57" s="7"/>
      <c r="I57" s="9"/>
      <c r="J57" s="7"/>
      <c r="K57" s="6"/>
      <c r="L57" s="7"/>
      <c r="M57" s="6"/>
      <c r="N57" s="9"/>
    </row>
    <row r="58" spans="1:14" ht="18" customHeight="1">
      <c r="A58" s="9"/>
      <c r="B58" s="9"/>
      <c r="C58" s="9"/>
      <c r="D58" s="9"/>
      <c r="E58" s="9"/>
      <c r="F58" s="9"/>
      <c r="G58" s="7"/>
      <c r="H58" s="7"/>
      <c r="I58" s="9"/>
      <c r="J58" s="7"/>
      <c r="K58" s="6"/>
      <c r="L58" s="7"/>
      <c r="M58" s="6"/>
      <c r="N58" s="9"/>
    </row>
    <row r="59" spans="1:14" ht="18" customHeight="1">
      <c r="A59" s="9"/>
      <c r="B59" s="9"/>
      <c r="C59" s="9"/>
      <c r="D59" s="9"/>
      <c r="E59" s="9"/>
      <c r="F59" s="9"/>
      <c r="G59" s="7"/>
      <c r="H59" s="7"/>
      <c r="I59" s="9"/>
      <c r="J59" s="7"/>
      <c r="K59" s="6"/>
      <c r="L59" s="7"/>
      <c r="M59" s="6"/>
      <c r="N59" s="9"/>
    </row>
    <row r="60" spans="1:14" ht="18" customHeight="1">
      <c r="A60" s="9"/>
      <c r="B60" s="9"/>
      <c r="C60" s="9"/>
      <c r="D60" s="9"/>
      <c r="E60" s="9"/>
      <c r="F60" s="9"/>
      <c r="G60" s="7"/>
      <c r="H60" s="7"/>
      <c r="I60" s="9"/>
      <c r="J60" s="7"/>
      <c r="K60" s="6"/>
      <c r="L60" s="7"/>
      <c r="M60" s="6"/>
      <c r="N60" s="9"/>
    </row>
    <row r="61" spans="1:14" ht="18" customHeight="1">
      <c r="A61" s="9"/>
      <c r="B61" s="9"/>
      <c r="C61" s="9"/>
      <c r="D61" s="9"/>
      <c r="E61" s="9"/>
      <c r="F61" s="9"/>
      <c r="G61" s="7"/>
      <c r="H61" s="7"/>
      <c r="I61" s="9"/>
      <c r="J61" s="7"/>
      <c r="K61" s="6"/>
      <c r="L61" s="7"/>
      <c r="M61" s="6"/>
      <c r="N61" s="9"/>
    </row>
    <row r="62" spans="1:14" ht="18" customHeight="1">
      <c r="A62" s="9"/>
      <c r="B62" s="9"/>
      <c r="C62" s="9"/>
      <c r="D62" s="9"/>
      <c r="E62" s="9"/>
      <c r="F62" s="9"/>
      <c r="G62" s="7"/>
      <c r="H62" s="7"/>
      <c r="I62" s="9"/>
      <c r="J62" s="7"/>
      <c r="K62" s="6"/>
      <c r="L62" s="7"/>
      <c r="M62" s="6"/>
      <c r="N62" s="9"/>
    </row>
    <row r="63" spans="1:14" ht="18" customHeight="1">
      <c r="A63" s="9"/>
      <c r="B63" s="9"/>
      <c r="C63" s="9"/>
      <c r="D63" s="9"/>
      <c r="E63" s="9"/>
      <c r="F63" s="9"/>
      <c r="G63" s="7"/>
      <c r="H63" s="7"/>
      <c r="I63" s="9"/>
      <c r="J63" s="7"/>
      <c r="K63" s="6"/>
      <c r="L63" s="7"/>
      <c r="M63" s="6"/>
      <c r="N63" s="9"/>
    </row>
    <row r="64" spans="1:14" ht="18" customHeight="1">
      <c r="A64" s="9"/>
      <c r="B64" s="9"/>
      <c r="C64" s="9"/>
      <c r="D64" s="9"/>
      <c r="E64" s="9"/>
      <c r="F64" s="9"/>
      <c r="G64" s="7"/>
      <c r="H64" s="7"/>
      <c r="I64" s="9"/>
      <c r="J64" s="7"/>
      <c r="K64" s="6"/>
      <c r="L64" s="7"/>
      <c r="M64" s="6"/>
      <c r="N64" s="9"/>
    </row>
    <row r="65" spans="1:14" ht="18" customHeight="1">
      <c r="A65" s="9"/>
      <c r="B65" s="9"/>
      <c r="C65" s="9"/>
      <c r="D65" s="9"/>
      <c r="E65" s="9"/>
      <c r="F65" s="9"/>
      <c r="G65" s="7"/>
      <c r="H65" s="7"/>
      <c r="I65" s="9"/>
      <c r="J65" s="7"/>
      <c r="K65" s="6"/>
      <c r="L65" s="7"/>
      <c r="M65" s="6"/>
      <c r="N65" s="9"/>
    </row>
    <row r="66" spans="1:14" ht="18" customHeight="1">
      <c r="A66" s="9"/>
      <c r="B66" s="9"/>
      <c r="C66" s="9"/>
      <c r="D66" s="9"/>
      <c r="E66" s="9"/>
      <c r="F66" s="9"/>
      <c r="G66" s="7"/>
      <c r="H66" s="7"/>
      <c r="I66" s="9"/>
      <c r="J66" s="7"/>
      <c r="K66" s="6"/>
      <c r="L66" s="7"/>
      <c r="M66" s="6"/>
      <c r="N66" s="9"/>
    </row>
    <row r="67" spans="1:14" ht="18" customHeight="1">
      <c r="A67" s="9"/>
      <c r="B67" s="9"/>
      <c r="C67" s="9"/>
      <c r="D67" s="9"/>
      <c r="E67" s="9"/>
      <c r="F67" s="9"/>
      <c r="G67" s="7"/>
      <c r="H67" s="7"/>
      <c r="I67" s="9"/>
      <c r="J67" s="7"/>
      <c r="K67" s="6"/>
      <c r="L67" s="7"/>
      <c r="M67" s="6"/>
      <c r="N67" s="9"/>
    </row>
    <row r="68" spans="1:14" ht="18" customHeight="1">
      <c r="A68" s="9"/>
      <c r="B68" s="9"/>
      <c r="C68" s="9"/>
      <c r="D68" s="9"/>
      <c r="E68" s="9"/>
      <c r="F68" s="9"/>
      <c r="G68" s="7"/>
      <c r="H68" s="7"/>
      <c r="I68" s="7"/>
      <c r="J68" s="7"/>
      <c r="K68" s="6"/>
      <c r="L68" s="7"/>
      <c r="M68" s="6"/>
      <c r="N68" s="9"/>
    </row>
    <row r="69" spans="1:14" ht="18" customHeight="1">
      <c r="A69" s="9"/>
      <c r="B69" s="9"/>
      <c r="C69" s="9"/>
      <c r="D69" s="9"/>
      <c r="E69" s="9"/>
      <c r="F69" s="9"/>
      <c r="G69" s="7"/>
      <c r="H69" s="7"/>
      <c r="I69" s="7"/>
      <c r="J69" s="7"/>
      <c r="K69" s="6"/>
      <c r="L69" s="7"/>
      <c r="M69" s="6"/>
      <c r="N69" s="9"/>
    </row>
    <row r="70" spans="1:14" ht="18" customHeight="1">
      <c r="A70" s="9"/>
      <c r="B70" s="9"/>
      <c r="C70" s="9"/>
      <c r="D70" s="9"/>
      <c r="E70" s="9"/>
      <c r="F70" s="9"/>
      <c r="G70" s="7"/>
      <c r="H70" s="7"/>
      <c r="I70" s="7"/>
      <c r="J70" s="7"/>
      <c r="K70" s="6"/>
      <c r="L70" s="7"/>
      <c r="M70" s="6"/>
      <c r="N70" s="9"/>
    </row>
    <row r="71" spans="1:14" ht="18" customHeight="1">
      <c r="A71" s="9"/>
      <c r="B71" s="9"/>
      <c r="C71" s="9"/>
      <c r="D71" s="9"/>
      <c r="E71" s="9"/>
      <c r="F71" s="9"/>
      <c r="G71" s="7"/>
      <c r="H71" s="7"/>
      <c r="I71" s="7"/>
      <c r="J71" s="7"/>
      <c r="K71" s="6"/>
      <c r="L71" s="7"/>
      <c r="M71" s="6"/>
      <c r="N71" s="9"/>
    </row>
    <row r="72" spans="1:14" ht="18" customHeight="1">
      <c r="A72" s="9"/>
      <c r="B72" s="9"/>
      <c r="C72" s="9"/>
      <c r="D72" s="9"/>
      <c r="E72" s="9"/>
      <c r="F72" s="9"/>
      <c r="G72" s="7"/>
      <c r="H72" s="7"/>
      <c r="I72" s="7"/>
      <c r="J72" s="7"/>
      <c r="K72" s="6"/>
      <c r="L72" s="7"/>
      <c r="M72" s="6"/>
      <c r="N72" s="9"/>
    </row>
    <row r="73" spans="1:14" ht="18" customHeight="1">
      <c r="A73" s="9"/>
      <c r="B73" s="9"/>
      <c r="C73" s="9"/>
      <c r="D73" s="9"/>
      <c r="E73" s="9"/>
      <c r="F73" s="9"/>
      <c r="G73" s="7"/>
      <c r="H73" s="7"/>
      <c r="I73" s="7"/>
      <c r="J73" s="7"/>
      <c r="K73" s="6"/>
      <c r="L73" s="7"/>
      <c r="M73" s="6"/>
      <c r="N73" s="9"/>
    </row>
    <row r="74" spans="1:14" ht="18" customHeight="1">
      <c r="A74" s="9"/>
      <c r="B74" s="9"/>
      <c r="C74" s="9"/>
      <c r="D74" s="9"/>
      <c r="E74" s="9"/>
      <c r="F74" s="9"/>
      <c r="G74" s="7"/>
      <c r="H74" s="7"/>
      <c r="I74" s="7"/>
      <c r="J74" s="7"/>
      <c r="K74" s="6"/>
      <c r="L74" s="7"/>
      <c r="M74" s="6"/>
      <c r="N74" s="9"/>
    </row>
    <row r="75" spans="1:14" ht="18" customHeight="1">
      <c r="A75" s="9"/>
      <c r="B75" s="9"/>
      <c r="C75" s="9"/>
      <c r="D75" s="9"/>
      <c r="E75" s="9"/>
      <c r="F75" s="9"/>
      <c r="G75" s="7"/>
      <c r="H75" s="7"/>
      <c r="I75" s="7"/>
      <c r="J75" s="7"/>
      <c r="K75" s="6"/>
      <c r="L75" s="7"/>
      <c r="M75" s="6"/>
      <c r="N75" s="9"/>
    </row>
    <row r="76" spans="1:14" ht="18" customHeight="1">
      <c r="A76" s="9"/>
      <c r="B76" s="9"/>
      <c r="C76" s="9"/>
      <c r="D76" s="9"/>
      <c r="E76" s="9"/>
      <c r="F76" s="9"/>
      <c r="G76" s="7"/>
      <c r="H76" s="7"/>
      <c r="I76" s="7"/>
      <c r="J76" s="7"/>
      <c r="K76" s="6"/>
      <c r="L76" s="7"/>
      <c r="M76" s="6"/>
      <c r="N76" s="9"/>
    </row>
    <row r="77" spans="1:14" ht="18" customHeight="1">
      <c r="A77" s="9"/>
      <c r="B77" s="9"/>
      <c r="C77" s="9"/>
      <c r="D77" s="9"/>
      <c r="E77" s="9"/>
      <c r="F77" s="9"/>
      <c r="G77" s="7"/>
      <c r="H77" s="7"/>
      <c r="I77" s="7"/>
      <c r="J77" s="7"/>
      <c r="K77" s="6"/>
      <c r="L77" s="7"/>
      <c r="M77" s="6"/>
      <c r="N77" s="9"/>
    </row>
    <row r="78" spans="1:17" ht="18" customHeight="1">
      <c r="A78" s="9"/>
      <c r="B78" s="9"/>
      <c r="C78" s="9"/>
      <c r="D78" s="9"/>
      <c r="E78" s="9"/>
      <c r="F78" s="9"/>
      <c r="G78" s="7"/>
      <c r="H78" s="7"/>
      <c r="I78" s="7"/>
      <c r="J78" s="7"/>
      <c r="K78" s="6"/>
      <c r="L78" s="7"/>
      <c r="M78" s="6"/>
      <c r="N78" s="9"/>
      <c r="P78" s="5" t="s">
        <v>2</v>
      </c>
      <c r="Q78" s="5" t="s">
        <v>3</v>
      </c>
    </row>
    <row r="79" spans="1:14" ht="18" customHeight="1">
      <c r="A79" s="9"/>
      <c r="B79" s="9"/>
      <c r="C79" s="9"/>
      <c r="D79" s="9"/>
      <c r="E79" s="9"/>
      <c r="F79" s="9"/>
      <c r="G79" s="7"/>
      <c r="H79" s="7"/>
      <c r="I79" s="7"/>
      <c r="J79" s="7"/>
      <c r="K79" s="6"/>
      <c r="L79" s="7"/>
      <c r="M79" s="6"/>
      <c r="N79" s="9"/>
    </row>
    <row r="80" spans="1:14" ht="18" customHeight="1">
      <c r="A80" s="9"/>
      <c r="B80" s="9"/>
      <c r="C80" s="9"/>
      <c r="D80" s="9"/>
      <c r="E80" s="9"/>
      <c r="F80" s="9"/>
      <c r="G80" s="7"/>
      <c r="H80" s="7"/>
      <c r="I80" s="7"/>
      <c r="J80" s="7"/>
      <c r="K80" s="6"/>
      <c r="L80" s="7"/>
      <c r="M80" s="6"/>
      <c r="N80" s="9"/>
    </row>
    <row r="81" spans="1:14" ht="18" customHeight="1">
      <c r="A81" s="9"/>
      <c r="B81" s="9"/>
      <c r="C81" s="9"/>
      <c r="D81" s="9"/>
      <c r="E81" s="9"/>
      <c r="F81" s="9"/>
      <c r="G81" s="7"/>
      <c r="H81" s="7"/>
      <c r="I81" s="7"/>
      <c r="J81" s="7"/>
      <c r="K81" s="6"/>
      <c r="L81" s="7"/>
      <c r="M81" s="6"/>
      <c r="N81" s="9"/>
    </row>
    <row r="82" spans="1:14" ht="18" customHeight="1">
      <c r="A82" s="9"/>
      <c r="B82" s="9"/>
      <c r="C82" s="9"/>
      <c r="D82" s="9"/>
      <c r="E82" s="9"/>
      <c r="F82" s="9"/>
      <c r="G82" s="7"/>
      <c r="H82" s="7"/>
      <c r="I82" s="7"/>
      <c r="J82" s="7"/>
      <c r="K82" s="6"/>
      <c r="L82" s="7"/>
      <c r="M82" s="6"/>
      <c r="N82" s="9"/>
    </row>
    <row r="83" spans="1:14" ht="18" customHeight="1">
      <c r="A83" s="9"/>
      <c r="B83" s="9"/>
      <c r="C83" s="9"/>
      <c r="D83" s="9"/>
      <c r="E83" s="9"/>
      <c r="F83" s="9"/>
      <c r="G83" s="7"/>
      <c r="H83" s="7"/>
      <c r="I83" s="7"/>
      <c r="J83" s="7"/>
      <c r="K83" s="6"/>
      <c r="L83" s="7"/>
      <c r="M83" s="6"/>
      <c r="N83" s="9"/>
    </row>
    <row r="84" spans="1:14" ht="18" customHeight="1">
      <c r="A84" s="9"/>
      <c r="B84" s="9"/>
      <c r="C84" s="9"/>
      <c r="D84" s="9"/>
      <c r="E84" s="9"/>
      <c r="F84" s="9"/>
      <c r="G84" s="7"/>
      <c r="H84" s="7"/>
      <c r="I84" s="7"/>
      <c r="J84" s="7"/>
      <c r="K84" s="6"/>
      <c r="L84" s="7"/>
      <c r="M84" s="6"/>
      <c r="N84" s="9"/>
    </row>
    <row r="85" spans="1:14" ht="18" customHeight="1">
      <c r="A85" s="9"/>
      <c r="B85" s="9"/>
      <c r="C85" s="9"/>
      <c r="D85" s="9"/>
      <c r="E85" s="9"/>
      <c r="F85" s="9"/>
      <c r="G85" s="7"/>
      <c r="H85" s="7"/>
      <c r="I85" s="7"/>
      <c r="J85" s="7"/>
      <c r="K85" s="6"/>
      <c r="L85" s="7"/>
      <c r="M85" s="6"/>
      <c r="N85" s="9"/>
    </row>
    <row r="86" spans="1:14" ht="18" customHeight="1">
      <c r="A86" s="9"/>
      <c r="B86" s="9"/>
      <c r="C86" s="9"/>
      <c r="D86" s="9"/>
      <c r="E86" s="9"/>
      <c r="F86" s="9"/>
      <c r="G86" s="7"/>
      <c r="H86" s="7"/>
      <c r="I86" s="7"/>
      <c r="J86" s="7"/>
      <c r="K86" s="6"/>
      <c r="L86" s="7"/>
      <c r="M86" s="6"/>
      <c r="N86" s="9"/>
    </row>
    <row r="87" spans="1:14" ht="18" customHeight="1">
      <c r="A87" s="9"/>
      <c r="B87" s="9"/>
      <c r="C87" s="9"/>
      <c r="D87" s="9"/>
      <c r="E87" s="9"/>
      <c r="F87" s="9"/>
      <c r="G87" s="7"/>
      <c r="H87" s="7"/>
      <c r="I87" s="7"/>
      <c r="J87" s="7"/>
      <c r="K87" s="6"/>
      <c r="L87" s="7"/>
      <c r="M87" s="6"/>
      <c r="N87" s="9"/>
    </row>
    <row r="88" spans="1:14" ht="18" customHeight="1">
      <c r="A88" s="9"/>
      <c r="B88" s="9"/>
      <c r="C88" s="9"/>
      <c r="D88" s="9"/>
      <c r="E88" s="9"/>
      <c r="F88" s="9"/>
      <c r="G88" s="7"/>
      <c r="H88" s="7"/>
      <c r="I88" s="7"/>
      <c r="J88" s="7"/>
      <c r="K88" s="6"/>
      <c r="L88" s="7"/>
      <c r="M88" s="6"/>
      <c r="N88" s="9"/>
    </row>
    <row r="89" spans="1:14" ht="18" customHeight="1">
      <c r="A89" s="9"/>
      <c r="B89" s="9"/>
      <c r="C89" s="9"/>
      <c r="D89" s="9"/>
      <c r="E89" s="9"/>
      <c r="F89" s="9"/>
      <c r="G89" s="7"/>
      <c r="H89" s="7"/>
      <c r="I89" s="7"/>
      <c r="J89" s="7"/>
      <c r="K89" s="9"/>
      <c r="L89" s="9"/>
      <c r="M89" s="9"/>
      <c r="N89" s="9"/>
    </row>
    <row r="90" spans="1:14" ht="18" customHeight="1">
      <c r="A90" s="9"/>
      <c r="B90" s="9"/>
      <c r="C90" s="9"/>
      <c r="D90" s="9"/>
      <c r="E90" s="9"/>
      <c r="F90" s="9"/>
      <c r="G90" s="7"/>
      <c r="H90" s="7"/>
      <c r="I90" s="7"/>
      <c r="J90" s="7"/>
      <c r="K90" s="9"/>
      <c r="L90" s="9"/>
      <c r="M90" s="9"/>
      <c r="N90" s="9"/>
    </row>
    <row r="91" spans="1:14" ht="18" customHeight="1">
      <c r="A91" s="9"/>
      <c r="B91" s="9"/>
      <c r="C91" s="9"/>
      <c r="D91" s="9"/>
      <c r="E91" s="9"/>
      <c r="F91" s="9"/>
      <c r="G91" s="7"/>
      <c r="H91" s="7"/>
      <c r="I91" s="7"/>
      <c r="J91" s="7"/>
      <c r="K91" s="9"/>
      <c r="L91" s="9"/>
      <c r="M91" s="9"/>
      <c r="N91" s="9"/>
    </row>
    <row r="92" spans="1:14" ht="18" customHeight="1">
      <c r="A92" s="9"/>
      <c r="B92" s="9"/>
      <c r="C92" s="9"/>
      <c r="D92" s="9"/>
      <c r="E92" s="9"/>
      <c r="F92" s="9"/>
      <c r="G92" s="7"/>
      <c r="H92" s="7"/>
      <c r="I92" s="7"/>
      <c r="J92" s="7"/>
      <c r="K92" s="9"/>
      <c r="L92" s="9"/>
      <c r="M92" s="9"/>
      <c r="N92" s="9"/>
    </row>
    <row r="93" spans="1:14" ht="18" customHeight="1">
      <c r="A93" s="9"/>
      <c r="B93" s="9"/>
      <c r="C93" s="9"/>
      <c r="D93" s="9"/>
      <c r="E93" s="9"/>
      <c r="F93" s="9"/>
      <c r="G93" s="7"/>
      <c r="H93" s="7"/>
      <c r="I93" s="7"/>
      <c r="J93" s="7"/>
      <c r="K93" s="9"/>
      <c r="L93" s="9"/>
      <c r="M93" s="9"/>
      <c r="N93" s="9"/>
    </row>
    <row r="94" spans="1:14" ht="18" customHeight="1">
      <c r="A94" s="9"/>
      <c r="B94" s="9"/>
      <c r="C94" s="9"/>
      <c r="D94" s="9"/>
      <c r="E94" s="9"/>
      <c r="F94" s="9"/>
      <c r="G94" s="7"/>
      <c r="H94" s="7"/>
      <c r="I94" s="7"/>
      <c r="J94" s="7"/>
      <c r="K94" s="9"/>
      <c r="L94" s="9"/>
      <c r="M94" s="9"/>
      <c r="N94" s="9"/>
    </row>
    <row r="95" spans="1:14" ht="18" customHeight="1">
      <c r="A95" s="9"/>
      <c r="B95" s="9"/>
      <c r="C95" s="9"/>
      <c r="D95" s="9"/>
      <c r="E95" s="9"/>
      <c r="F95" s="9"/>
      <c r="G95" s="7"/>
      <c r="H95" s="7"/>
      <c r="I95" s="7"/>
      <c r="J95" s="7"/>
      <c r="K95" s="9"/>
      <c r="L95" s="9"/>
      <c r="M95" s="9"/>
      <c r="N95" s="9"/>
    </row>
    <row r="96" spans="1:14" ht="18" customHeight="1">
      <c r="A96" s="9"/>
      <c r="B96" s="9"/>
      <c r="C96" s="9"/>
      <c r="D96" s="9"/>
      <c r="E96" s="9"/>
      <c r="F96" s="9"/>
      <c r="G96" s="7"/>
      <c r="H96" s="7"/>
      <c r="I96" s="7"/>
      <c r="J96" s="7"/>
      <c r="K96" s="9"/>
      <c r="L96" s="9"/>
      <c r="M96" s="9"/>
      <c r="N96" s="9"/>
    </row>
    <row r="97" spans="1:14" ht="18" customHeight="1">
      <c r="A97" s="9"/>
      <c r="B97" s="9"/>
      <c r="C97" s="9"/>
      <c r="D97" s="9"/>
      <c r="E97" s="9"/>
      <c r="F97" s="9"/>
      <c r="G97" s="7"/>
      <c r="H97" s="7"/>
      <c r="I97" s="7"/>
      <c r="J97" s="7"/>
      <c r="K97" s="9"/>
      <c r="L97" s="9"/>
      <c r="M97" s="9"/>
      <c r="N97" s="9"/>
    </row>
    <row r="98" spans="1:14" ht="18" customHeight="1">
      <c r="A98" s="9"/>
      <c r="B98" s="9"/>
      <c r="C98" s="9"/>
      <c r="D98" s="9"/>
      <c r="E98" s="9"/>
      <c r="F98" s="9"/>
      <c r="G98" s="7"/>
      <c r="H98" s="7"/>
      <c r="I98" s="7"/>
      <c r="J98" s="7"/>
      <c r="K98" s="9"/>
      <c r="L98" s="9"/>
      <c r="M98" s="9"/>
      <c r="N98" s="9"/>
    </row>
    <row r="99" spans="1:14" ht="18" customHeight="1">
      <c r="A99" s="9"/>
      <c r="B99" s="9"/>
      <c r="C99" s="9"/>
      <c r="D99" s="9"/>
      <c r="E99" s="9"/>
      <c r="F99" s="9"/>
      <c r="G99" s="7"/>
      <c r="H99" s="7"/>
      <c r="I99" s="7"/>
      <c r="J99" s="7"/>
      <c r="K99" s="9"/>
      <c r="L99" s="9"/>
      <c r="M99" s="9"/>
      <c r="N99" s="9"/>
    </row>
    <row r="100" spans="1:14" ht="18" customHeight="1">
      <c r="A100" s="9"/>
      <c r="B100" s="9"/>
      <c r="C100" s="9"/>
      <c r="D100" s="9"/>
      <c r="E100" s="9"/>
      <c r="F100" s="9"/>
      <c r="G100" s="7"/>
      <c r="H100" s="7"/>
      <c r="I100" s="7"/>
      <c r="J100" s="7"/>
      <c r="K100" s="9"/>
      <c r="L100" s="9"/>
      <c r="M100" s="9"/>
      <c r="N100" s="9"/>
    </row>
    <row r="101" spans="1:14" ht="18" customHeight="1">
      <c r="A101" s="9"/>
      <c r="B101" s="9"/>
      <c r="C101" s="9"/>
      <c r="D101" s="9"/>
      <c r="E101" s="9"/>
      <c r="F101" s="9"/>
      <c r="G101" s="7"/>
      <c r="H101" s="7"/>
      <c r="I101" s="7"/>
      <c r="J101" s="7"/>
      <c r="K101" s="9"/>
      <c r="L101" s="9"/>
      <c r="M101" s="9"/>
      <c r="N101" s="9"/>
    </row>
    <row r="102" spans="1:14" ht="18" customHeight="1">
      <c r="A102" s="9"/>
      <c r="B102" s="9"/>
      <c r="C102" s="9"/>
      <c r="D102" s="9"/>
      <c r="E102" s="9"/>
      <c r="F102" s="9"/>
      <c r="G102" s="7"/>
      <c r="H102" s="7"/>
      <c r="I102" s="7"/>
      <c r="J102" s="7"/>
      <c r="K102" s="9"/>
      <c r="L102" s="9"/>
      <c r="M102" s="9"/>
      <c r="N102" s="9"/>
    </row>
    <row r="103" spans="1:14" ht="18" customHeight="1">
      <c r="A103" s="9"/>
      <c r="B103" s="9"/>
      <c r="C103" s="9"/>
      <c r="D103" s="9"/>
      <c r="E103" s="9"/>
      <c r="F103" s="9"/>
      <c r="G103" s="7"/>
      <c r="H103" s="7"/>
      <c r="I103" s="7"/>
      <c r="J103" s="7"/>
      <c r="K103" s="9"/>
      <c r="L103" s="9"/>
      <c r="M103" s="9"/>
      <c r="N103" s="9"/>
    </row>
    <row r="104" spans="1:14" ht="18" customHeight="1">
      <c r="A104" s="9"/>
      <c r="B104" s="9"/>
      <c r="C104" s="9"/>
      <c r="D104" s="9"/>
      <c r="E104" s="9"/>
      <c r="F104" s="9"/>
      <c r="G104" s="7"/>
      <c r="H104" s="7"/>
      <c r="I104" s="7"/>
      <c r="J104" s="7"/>
      <c r="K104" s="9"/>
      <c r="L104" s="9"/>
      <c r="M104" s="9"/>
      <c r="N104" s="9"/>
    </row>
    <row r="105" spans="1:14" ht="18" customHeight="1">
      <c r="A105" s="9"/>
      <c r="B105" s="9"/>
      <c r="C105" s="9"/>
      <c r="D105" s="9"/>
      <c r="E105" s="9"/>
      <c r="F105" s="9"/>
      <c r="G105" s="7"/>
      <c r="H105" s="7"/>
      <c r="I105" s="7"/>
      <c r="J105" s="7"/>
      <c r="K105" s="9"/>
      <c r="L105" s="9"/>
      <c r="M105" s="9"/>
      <c r="N105" s="9"/>
    </row>
    <row r="106" spans="1:14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 password="CC02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7"/>
  <sheetViews>
    <sheetView workbookViewId="0" topLeftCell="A1">
      <selection activeCell="B3" sqref="B3"/>
    </sheetView>
  </sheetViews>
  <sheetFormatPr defaultColWidth="9.140625" defaultRowHeight="12.75"/>
  <cols>
    <col min="2" max="2" width="9.140625" style="44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20" ht="12.75">
      <c r="A1" s="96"/>
      <c r="B1" s="112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19" ht="15.75">
      <c r="A2" s="96"/>
      <c r="B2" s="15" t="s">
        <v>13</v>
      </c>
      <c r="C2" s="13"/>
      <c r="D2" s="13"/>
      <c r="E2" s="14"/>
      <c r="F2" s="145" t="s">
        <v>72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96"/>
    </row>
    <row r="3" spans="1:18" ht="15.75">
      <c r="A3" s="96"/>
      <c r="B3" s="65" t="s">
        <v>90</v>
      </c>
      <c r="C3" s="66" t="s">
        <v>91</v>
      </c>
      <c r="D3" s="68" t="s">
        <v>6</v>
      </c>
      <c r="E3" s="10" t="s">
        <v>130</v>
      </c>
      <c r="F3" s="10" t="s">
        <v>12</v>
      </c>
      <c r="G3" s="148" t="s">
        <v>92</v>
      </c>
      <c r="H3" s="58" t="s">
        <v>25</v>
      </c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>
      <c r="A4" s="96"/>
      <c r="B4" s="62">
        <v>0</v>
      </c>
      <c r="C4" s="67">
        <v>0</v>
      </c>
      <c r="D4" s="43">
        <v>0</v>
      </c>
      <c r="E4" s="64"/>
      <c r="F4" s="12"/>
      <c r="G4" s="11"/>
      <c r="H4" s="12"/>
      <c r="J4" s="121"/>
      <c r="K4" s="120"/>
      <c r="L4" s="120"/>
      <c r="M4" s="120"/>
      <c r="N4" s="120"/>
      <c r="O4" s="120"/>
      <c r="P4" s="120"/>
      <c r="Q4" s="120"/>
      <c r="R4" s="120"/>
    </row>
    <row r="5" spans="1:18" ht="12.75">
      <c r="A5" s="96"/>
      <c r="B5" s="61">
        <f>B50</f>
        <v>1.2</v>
      </c>
      <c r="C5" s="60">
        <f>C50</f>
        <v>0.12250600612903458</v>
      </c>
      <c r="D5" s="195">
        <f>D50</f>
        <v>0.026196241943074062</v>
      </c>
      <c r="E5" s="59">
        <f>IF(B5&gt;0,B5-C5/F5,)</f>
        <v>0</v>
      </c>
      <c r="F5" s="57">
        <f>IF(C5&gt;0,(C5-C4)/(B5-B4),)</f>
        <v>0.10208833844086215</v>
      </c>
      <c r="G5" s="56">
        <f>B5-D5/H5</f>
        <v>0</v>
      </c>
      <c r="H5" s="57">
        <f>(D5-D4)/(B5-B4)</f>
        <v>0.021830201619228384</v>
      </c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.75">
      <c r="A6" s="96"/>
      <c r="B6" s="61">
        <f>B58</f>
        <v>2.16</v>
      </c>
      <c r="C6" s="60">
        <f>C58</f>
        <v>0.3382395563132213</v>
      </c>
      <c r="D6" s="195">
        <f>D58</f>
        <v>0.22044881637957017</v>
      </c>
      <c r="E6" s="59">
        <f>IF(B6&gt;0,B6-C6/F6,)</f>
        <v>0.6548563921399106</v>
      </c>
      <c r="F6" s="57">
        <f>IF(C6&gt;0,(C6-C5)/(B6-B5),)</f>
        <v>0.2247224481085278</v>
      </c>
      <c r="G6" s="56">
        <f>B6-D6/H6</f>
        <v>1.070537662945762</v>
      </c>
      <c r="H6" s="57">
        <f>(D6-D5)/(B6-B5)</f>
        <v>0.2023464317046834</v>
      </c>
      <c r="I6" s="196">
        <v>0.001</v>
      </c>
      <c r="J6" s="108" t="s">
        <v>66</v>
      </c>
      <c r="K6" s="120"/>
      <c r="L6" s="120"/>
      <c r="M6" s="120"/>
      <c r="N6" s="120"/>
      <c r="O6" s="120"/>
      <c r="P6" s="120"/>
      <c r="Q6" s="120"/>
      <c r="R6" s="120"/>
    </row>
    <row r="7" spans="1:18" ht="12.75">
      <c r="A7" s="96"/>
      <c r="B7" s="62">
        <f>B65</f>
        <v>3</v>
      </c>
      <c r="C7" s="63">
        <f>C65</f>
        <v>0.5841133114055931</v>
      </c>
      <c r="D7" s="43">
        <f>D65</f>
        <v>0.38426795956666476</v>
      </c>
      <c r="E7" s="59">
        <f>IF(B7&gt;0,B7-C7/F7,)</f>
        <v>1.004442640100547</v>
      </c>
      <c r="F7" s="57">
        <f>IF(C7&gt;0,(C7-C6)/(B7-B6),)</f>
        <v>0.29270685130044266</v>
      </c>
      <c r="G7" s="56">
        <f>B7-D7/H7</f>
        <v>1.0296253553996928</v>
      </c>
      <c r="H7" s="57">
        <f>(D7-D6)/(B7-B6)</f>
        <v>0.19502278950844598</v>
      </c>
      <c r="I7" s="197">
        <v>0.001</v>
      </c>
      <c r="J7" s="109" t="s">
        <v>67</v>
      </c>
      <c r="K7" s="120"/>
      <c r="L7" s="120"/>
      <c r="M7" s="120"/>
      <c r="N7" s="120"/>
      <c r="O7" s="120"/>
      <c r="P7" s="120"/>
      <c r="Q7" s="120"/>
      <c r="R7" s="120"/>
    </row>
    <row r="8" spans="1:18" ht="12.75">
      <c r="A8" s="96"/>
      <c r="B8" s="48"/>
      <c r="C8" s="47"/>
      <c r="D8" s="47"/>
      <c r="E8" s="47"/>
      <c r="F8" s="47"/>
      <c r="G8" s="47"/>
      <c r="H8" s="47"/>
      <c r="I8" s="47"/>
      <c r="J8" s="122"/>
      <c r="K8" s="122"/>
      <c r="L8" s="122"/>
      <c r="M8" s="122"/>
      <c r="N8" s="122"/>
      <c r="O8" s="122"/>
      <c r="P8" s="122"/>
      <c r="Q8" s="122"/>
      <c r="R8" s="120"/>
    </row>
    <row r="9" spans="1:18" ht="12.75">
      <c r="A9" s="96"/>
      <c r="B9" s="50"/>
      <c r="C9" s="51"/>
      <c r="D9" s="47"/>
      <c r="E9" s="47"/>
      <c r="F9" s="47"/>
      <c r="G9" s="47"/>
      <c r="H9" s="47"/>
      <c r="I9" s="47"/>
      <c r="J9" s="122"/>
      <c r="K9" s="122"/>
      <c r="L9" s="122"/>
      <c r="M9" s="122"/>
      <c r="N9" s="122"/>
      <c r="O9" s="122"/>
      <c r="P9" s="122"/>
      <c r="Q9" s="122"/>
      <c r="R9" s="120"/>
    </row>
    <row r="10" spans="1:18" ht="12.75">
      <c r="A10" s="96"/>
      <c r="B10" s="52"/>
      <c r="C10" s="51"/>
      <c r="D10" s="47"/>
      <c r="E10" s="47"/>
      <c r="F10" s="47"/>
      <c r="G10" s="47"/>
      <c r="H10" s="47"/>
      <c r="I10" s="47"/>
      <c r="J10" s="122"/>
      <c r="K10" s="122"/>
      <c r="L10" s="122"/>
      <c r="M10" s="122"/>
      <c r="N10" s="122"/>
      <c r="O10" s="122"/>
      <c r="P10" s="122"/>
      <c r="Q10" s="122"/>
      <c r="R10" s="120"/>
    </row>
    <row r="11" spans="1:18" ht="12.75">
      <c r="A11" s="96"/>
      <c r="B11" s="52"/>
      <c r="C11" s="53"/>
      <c r="D11" s="47"/>
      <c r="E11" s="47"/>
      <c r="F11" s="47"/>
      <c r="G11" s="47"/>
      <c r="H11" s="47"/>
      <c r="I11" s="47"/>
      <c r="J11" s="122"/>
      <c r="K11" s="122"/>
      <c r="L11" s="122"/>
      <c r="M11" s="122"/>
      <c r="N11" s="122"/>
      <c r="O11" s="122"/>
      <c r="P11" s="122"/>
      <c r="Q11" s="122"/>
      <c r="R11" s="120"/>
    </row>
    <row r="12" spans="1:18" ht="12.75">
      <c r="A12" s="96"/>
      <c r="B12" s="48"/>
      <c r="C12" s="49"/>
      <c r="D12" s="49"/>
      <c r="E12" s="49"/>
      <c r="F12" s="49"/>
      <c r="G12" s="49"/>
      <c r="H12" s="49"/>
      <c r="I12" s="49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ht="15.75">
      <c r="A13" s="96"/>
      <c r="B13" s="48"/>
      <c r="C13" s="49"/>
      <c r="D13" s="49"/>
      <c r="E13" s="49"/>
      <c r="F13" s="49"/>
      <c r="G13" s="49"/>
      <c r="H13" s="49"/>
      <c r="I13" s="49"/>
      <c r="J13" s="123"/>
      <c r="K13" s="124"/>
      <c r="L13" s="120"/>
      <c r="M13" s="120"/>
      <c r="N13" s="120"/>
      <c r="O13" s="120"/>
      <c r="P13" s="120"/>
      <c r="Q13" s="120"/>
      <c r="R13" s="120"/>
    </row>
    <row r="14" spans="1:18" ht="12.75">
      <c r="A14" s="96"/>
      <c r="B14" s="48"/>
      <c r="C14" s="49"/>
      <c r="D14" s="49"/>
      <c r="E14" s="49"/>
      <c r="F14" s="49"/>
      <c r="G14" s="49"/>
      <c r="H14" s="49"/>
      <c r="I14" s="49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96"/>
      <c r="B15" s="48"/>
      <c r="C15" s="49"/>
      <c r="D15" s="49"/>
      <c r="E15" s="49"/>
      <c r="F15" s="49"/>
      <c r="G15" s="49"/>
      <c r="H15" s="49"/>
      <c r="I15" s="49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2.75">
      <c r="A16" s="96"/>
      <c r="B16" s="48"/>
      <c r="C16" s="49"/>
      <c r="D16" s="49"/>
      <c r="E16" s="49"/>
      <c r="F16" s="49"/>
      <c r="G16" s="49"/>
      <c r="H16" s="49"/>
      <c r="I16" s="49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2.75">
      <c r="A17" s="96"/>
      <c r="B17" s="48"/>
      <c r="C17" s="49"/>
      <c r="D17" s="49"/>
      <c r="E17" s="49"/>
      <c r="F17" s="49"/>
      <c r="G17" s="49"/>
      <c r="H17" s="49"/>
      <c r="I17" s="49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2.75">
      <c r="A18" s="96"/>
      <c r="B18" s="48"/>
      <c r="C18" s="49"/>
      <c r="D18" s="49"/>
      <c r="E18" s="49"/>
      <c r="F18" s="49"/>
      <c r="G18" s="49"/>
      <c r="H18" s="49"/>
      <c r="I18" s="49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2.75">
      <c r="A19" s="96"/>
      <c r="B19" s="48"/>
      <c r="C19" s="49"/>
      <c r="D19" s="49"/>
      <c r="E19" s="49"/>
      <c r="F19" s="49"/>
      <c r="G19" s="49"/>
      <c r="H19" s="49"/>
      <c r="I19" s="49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2.75">
      <c r="A20" s="96"/>
      <c r="B20" s="48"/>
      <c r="C20" s="49"/>
      <c r="D20" s="49"/>
      <c r="E20" s="49"/>
      <c r="F20" s="49"/>
      <c r="G20" s="49"/>
      <c r="H20" s="49"/>
      <c r="I20" s="49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2.75">
      <c r="A21" s="120"/>
      <c r="B21" s="48"/>
      <c r="C21" s="49"/>
      <c r="D21" s="49"/>
      <c r="E21" s="49"/>
      <c r="F21" s="49"/>
      <c r="G21" s="49"/>
      <c r="H21" s="49"/>
      <c r="I21" s="49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2.75">
      <c r="A22" s="120"/>
      <c r="B22" s="48"/>
      <c r="C22" s="54"/>
      <c r="D22" s="55"/>
      <c r="E22" s="55"/>
      <c r="F22" s="55"/>
      <c r="G22" s="49"/>
      <c r="H22" s="49"/>
      <c r="I22" s="49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2.75">
      <c r="A23" s="120"/>
      <c r="B23" s="48"/>
      <c r="C23" s="54"/>
      <c r="D23" s="55"/>
      <c r="E23" s="55"/>
      <c r="F23" s="55"/>
      <c r="G23" s="49"/>
      <c r="H23" s="49"/>
      <c r="I23" s="49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ht="12.75">
      <c r="A24" s="120"/>
      <c r="B24" s="48"/>
      <c r="C24" s="54"/>
      <c r="D24" s="54"/>
      <c r="E24" s="54"/>
      <c r="F24" s="54"/>
      <c r="G24" s="49"/>
      <c r="H24" s="49"/>
      <c r="I24" s="49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2.75">
      <c r="A25" s="120"/>
      <c r="B25" s="48"/>
      <c r="C25" s="54"/>
      <c r="D25" s="54"/>
      <c r="E25" s="54"/>
      <c r="F25" s="54"/>
      <c r="G25" s="49"/>
      <c r="H25" s="46"/>
      <c r="I25" s="4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12.75">
      <c r="A26" s="120"/>
      <c r="B26" s="48"/>
      <c r="C26" s="54"/>
      <c r="D26" s="54"/>
      <c r="E26" s="54"/>
      <c r="F26" s="54"/>
      <c r="G26" s="49"/>
      <c r="H26" s="46"/>
      <c r="I26" s="46"/>
      <c r="J26" s="96"/>
      <c r="K26" s="96"/>
      <c r="L26" s="96"/>
      <c r="M26" s="96"/>
      <c r="N26" s="96"/>
      <c r="O26" s="96"/>
      <c r="P26" s="96"/>
      <c r="Q26" s="96"/>
      <c r="R26" s="96"/>
    </row>
    <row r="27" spans="1:18" ht="12.75">
      <c r="A27" s="120"/>
      <c r="B27" s="48"/>
      <c r="C27" s="49"/>
      <c r="D27" s="49"/>
      <c r="E27" s="49"/>
      <c r="F27" s="49"/>
      <c r="G27" s="49"/>
      <c r="H27" s="46"/>
      <c r="I27" s="4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12.75">
      <c r="A28" s="120"/>
      <c r="B28" s="48"/>
      <c r="C28" s="49"/>
      <c r="D28" s="49"/>
      <c r="E28" s="49"/>
      <c r="F28" s="49"/>
      <c r="G28" s="49"/>
      <c r="H28" s="46"/>
      <c r="I28" s="4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12.75">
      <c r="A29" s="120"/>
      <c r="B29" s="48"/>
      <c r="C29" s="49"/>
      <c r="D29" s="49"/>
      <c r="E29" s="49"/>
      <c r="F29" s="49"/>
      <c r="G29" s="49"/>
      <c r="H29" s="46"/>
      <c r="I29" s="46"/>
      <c r="J29" s="96"/>
      <c r="K29" s="96"/>
      <c r="L29" s="96"/>
      <c r="M29" s="96"/>
      <c r="N29" s="96"/>
      <c r="O29" s="96"/>
      <c r="P29" s="96"/>
      <c r="Q29" s="96"/>
      <c r="R29" s="96"/>
    </row>
    <row r="30" spans="1:18" ht="12.75">
      <c r="A30" s="120"/>
      <c r="B30" s="48"/>
      <c r="C30" s="49"/>
      <c r="D30" s="49"/>
      <c r="E30" s="49"/>
      <c r="F30" s="49"/>
      <c r="G30" s="49"/>
      <c r="H30" s="46"/>
      <c r="I30" s="46"/>
      <c r="J30" s="96"/>
      <c r="K30" s="96"/>
      <c r="L30" s="96"/>
      <c r="M30" s="96"/>
      <c r="N30" s="96"/>
      <c r="O30" s="96"/>
      <c r="P30" s="96"/>
      <c r="Q30" s="96"/>
      <c r="R30" s="96"/>
    </row>
    <row r="31" spans="1:18" ht="12.75">
      <c r="A31" s="120"/>
      <c r="B31" s="98"/>
      <c r="C31" s="120"/>
      <c r="D31" s="120"/>
      <c r="E31" s="120"/>
      <c r="F31" s="120"/>
      <c r="G31" s="120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ht="12.75">
      <c r="A32" s="120"/>
      <c r="B32" s="98"/>
      <c r="C32" s="120"/>
      <c r="D32" s="120"/>
      <c r="E32" s="120"/>
      <c r="F32" s="120"/>
      <c r="G32" s="120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12.75">
      <c r="A33" s="120"/>
      <c r="B33" s="98"/>
      <c r="C33" s="120"/>
      <c r="D33" s="120"/>
      <c r="E33" s="120"/>
      <c r="F33" s="120"/>
      <c r="G33" s="120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ht="12.75">
      <c r="A34" s="120"/>
      <c r="B34" s="98"/>
      <c r="C34" s="120"/>
      <c r="D34" s="120"/>
      <c r="E34" s="120"/>
      <c r="F34" s="120"/>
      <c r="G34" s="120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ht="12.75">
      <c r="A35" s="120"/>
      <c r="B35" s="98"/>
      <c r="C35" s="120"/>
      <c r="D35" s="120"/>
      <c r="E35" s="120"/>
      <c r="F35" s="120"/>
      <c r="G35" s="12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ht="12.75">
      <c r="A36" s="96"/>
      <c r="B36" s="11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ht="12.75">
      <c r="A37" s="96"/>
      <c r="B37" s="11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ht="12.75">
      <c r="A38" s="96"/>
    </row>
    <row r="39" spans="1:4" ht="15.75">
      <c r="A39" s="96"/>
      <c r="B39" s="44" t="s">
        <v>93</v>
      </c>
      <c r="C39" s="36" t="s">
        <v>94</v>
      </c>
      <c r="D39" s="36" t="s">
        <v>6</v>
      </c>
    </row>
    <row r="40" spans="1:4" ht="12.75">
      <c r="A40">
        <v>0</v>
      </c>
      <c r="B40" s="44">
        <f>A40*'Data Entry'!C$5/25</f>
        <v>0</v>
      </c>
      <c r="C40" s="40">
        <f>vo(B40,'Data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</v>
      </c>
      <c r="D40" s="70">
        <f>krob(B40,'Data Entry'!C$8,'Data Entry'!C$14,'Data Entry'!C$18,'Data Entry'!I$8,'Data Entry'!I$9,'Data Entry'!C$20,'Data Entry'!C$26,'Data Entry'!I$13,'Data Entry'!I$14,'Data Entry'!C$28,I$7)</f>
        <v>0</v>
      </c>
    </row>
    <row r="41" spans="1:4" ht="12.75">
      <c r="A41">
        <v>1</v>
      </c>
      <c r="B41" s="44">
        <f>A41*'Data Entry'!C$5/25</f>
        <v>0.12</v>
      </c>
      <c r="C41" s="40">
        <f>vo(B41,'Data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0.029630111964317835</v>
      </c>
      <c r="D41" s="70">
        <f>krob(B41,'Data Entry'!C$8,'Data Entry'!C$14,'Data Entry'!C$18,'Data Entry'!I$8,'Data Entry'!I$9,'Data Entry'!C$20,'Data Entry'!C$26,'Data Entry'!I$13,'Data Entry'!I$14,'Data Entry'!C$28,I$7)</f>
        <v>0.0004987961256544614</v>
      </c>
    </row>
    <row r="42" spans="1:4" ht="12.75">
      <c r="A42">
        <v>2</v>
      </c>
      <c r="B42" s="44">
        <f>A42*'Data Entry'!C$5/25</f>
        <v>0.24</v>
      </c>
      <c r="C42" s="40">
        <f>vo(B42,'Data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0.036024836907558026</v>
      </c>
      <c r="D42" s="70">
        <f>krob(B42,'Data Entry'!C$8,'Data Entry'!C$14,'Data Entry'!C$18,'Data Entry'!I$8,'Data Entry'!I$9,'Data Entry'!C$20,'Data Entry'!C$26,'Data Entry'!I$13,'Data Entry'!I$14,'Data Entry'!C$28,I$7)</f>
        <v>0.0017407436705948343</v>
      </c>
    </row>
    <row r="43" spans="1:4" ht="12.75">
      <c r="A43">
        <v>3</v>
      </c>
      <c r="B43" s="44">
        <f>A43*'Data Entry'!C$5/25</f>
        <v>0.36</v>
      </c>
      <c r="C43" s="40">
        <f>vo(B43,'Data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0.04281522732935405</v>
      </c>
      <c r="D43" s="70">
        <f>krob(B43,'Data Entry'!C$8,'Data Entry'!C$14,'Data Entry'!C$18,'Data Entry'!I$8,'Data Entry'!I$9,'Data Entry'!C$20,'Data Entry'!C$26,'Data Entry'!I$13,'Data Entry'!I$14,'Data Entry'!C$28,I$7)</f>
        <v>0.003493597959448896</v>
      </c>
    </row>
    <row r="44" spans="1:4" ht="12.75">
      <c r="A44">
        <v>4</v>
      </c>
      <c r="B44" s="44">
        <f>A44*'Data Entry'!C$5/25</f>
        <v>0.48</v>
      </c>
      <c r="C44" s="40">
        <f>vo(B44,'Data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0.050037843656328844</v>
      </c>
      <c r="D44" s="70">
        <f>krob(B44,'Data Entry'!C$8,'Data Entry'!C$14,'Data Entry'!C$18,'Data Entry'!I$8,'Data Entry'!I$9,'Data Entry'!C$20,'Data Entry'!C$26,'Data Entry'!I$13,'Data Entry'!I$14,'Data Entry'!C$28,I$7)</f>
        <v>0.005684493859240089</v>
      </c>
    </row>
    <row r="45" spans="1:4" ht="12.75">
      <c r="A45">
        <v>5</v>
      </c>
      <c r="B45" s="44">
        <f>A45*'Data Entry'!C$5/25</f>
        <v>0.6</v>
      </c>
      <c r="C45" s="40">
        <f>vo(B45,'Data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0.06028576112609921</v>
      </c>
      <c r="D45" s="70">
        <f>krob(B45,'Data Entry'!C$8,'Data Entry'!C$14,'Data Entry'!C$18,'Data Entry'!I$8,'Data Entry'!I$9,'Data Entry'!C$20,'Data Entry'!C$26,'Data Entry'!I$13,'Data Entry'!I$14,'Data Entry'!C$28,I$7)</f>
        <v>0.008175975199887144</v>
      </c>
    </row>
    <row r="46" spans="1:4" ht="12.75">
      <c r="A46">
        <v>6</v>
      </c>
      <c r="B46" s="44">
        <f>A46*'Data Entry'!C$5/25</f>
        <v>0.72</v>
      </c>
      <c r="C46" s="40">
        <f>vo(B46,'Data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0.07087014111225025</v>
      </c>
      <c r="D46" s="70">
        <f>krob(B46,'Data Entry'!C$8,'Data Entry'!C$14,'Data Entry'!C$18,'Data Entry'!I$8,'Data Entry'!I$9,'Data Entry'!C$20,'Data Entry'!C$26,'Data Entry'!I$13,'Data Entry'!I$14,'Data Entry'!C$28,I$7)</f>
        <v>0.010743531602564046</v>
      </c>
    </row>
    <row r="47" spans="1:4" ht="12.75">
      <c r="A47">
        <v>7</v>
      </c>
      <c r="B47" s="44">
        <f>A47*'Data Entry'!C$5/25</f>
        <v>0.84</v>
      </c>
      <c r="C47" s="40">
        <f>vo(B47,'Data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0.08184487923689066</v>
      </c>
      <c r="D47" s="70">
        <f>krob(B47,'Data Entry'!C$8,'Data Entry'!C$14,'Data Entry'!C$18,'Data Entry'!I$8,'Data Entry'!I$9,'Data Entry'!C$20,'Data Entry'!C$26,'Data Entry'!I$13,'Data Entry'!I$14,'Data Entry'!C$28,I$7)</f>
        <v>0.01340247042368872</v>
      </c>
    </row>
    <row r="48" spans="1:4" ht="12.75">
      <c r="A48">
        <v>8</v>
      </c>
      <c r="B48" s="44">
        <f>A48*'Data Entry'!C$5/25</f>
        <v>0.96</v>
      </c>
      <c r="C48" s="40">
        <f>vo(B48,'Data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0.09361610062904029</v>
      </c>
      <c r="D48" s="70">
        <f>krob(B48,'Data Entry'!C$8,'Data Entry'!C$14,'Data Entry'!C$18,'Data Entry'!I$8,'Data Entry'!I$9,'Data Entry'!C$20,'Data Entry'!C$26,'Data Entry'!I$13,'Data Entry'!I$14,'Data Entry'!C$28,I$7)</f>
        <v>0.01622505388413675</v>
      </c>
    </row>
    <row r="49" spans="1:4" ht="12.75">
      <c r="A49">
        <v>9</v>
      </c>
      <c r="B49" s="44">
        <f>A49*'Data Entry'!C$5/25</f>
        <v>1.08</v>
      </c>
      <c r="C49" s="40">
        <f>vo(B49,'Data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0.10699042700761431</v>
      </c>
      <c r="D49" s="70">
        <f>krob(B49,'Data Entry'!C$8,'Data Entry'!C$14,'Data Entry'!C$18,'Data Entry'!I$8,'Data Entry'!I$9,'Data Entry'!C$20,'Data Entry'!C$26,'Data Entry'!I$13,'Data Entry'!I$14,'Data Entry'!C$28,I$7)</f>
        <v>0.019961941609957786</v>
      </c>
    </row>
    <row r="50" spans="1:4" ht="12.75">
      <c r="A50">
        <v>10</v>
      </c>
      <c r="B50" s="44">
        <f>A50*'Data Entry'!C$5/25</f>
        <v>1.2</v>
      </c>
      <c r="C50" s="40">
        <f>vo(B50,'Data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0.12250600612903458</v>
      </c>
      <c r="D50" s="70">
        <f>krob(B50,'Data Entry'!C$8,'Data Entry'!C$14,'Data Entry'!C$18,'Data Entry'!I$8,'Data Entry'!I$9,'Data Entry'!C$20,'Data Entry'!C$26,'Data Entry'!I$13,'Data Entry'!I$14,'Data Entry'!C$28,I$7)</f>
        <v>0.026196241943074062</v>
      </c>
    </row>
    <row r="51" spans="1:4" ht="12.75">
      <c r="A51">
        <v>11</v>
      </c>
      <c r="B51" s="44">
        <f>A51*'Data Entry'!C$5/25</f>
        <v>1.32</v>
      </c>
      <c r="C51" s="40">
        <f>vo(B51,'Data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0.14081963760824825</v>
      </c>
      <c r="D51" s="70">
        <f>krob(B51,'Data Entry'!C$8,'Data Entry'!C$14,'Data Entry'!C$18,'Data Entry'!I$8,'Data Entry'!I$9,'Data Entry'!C$20,'Data Entry'!C$26,'Data Entry'!I$13,'Data Entry'!I$14,'Data Entry'!C$28,I$7)</f>
        <v>0.03700447128713972</v>
      </c>
    </row>
    <row r="52" spans="1:4" ht="12.75">
      <c r="A52">
        <v>12</v>
      </c>
      <c r="B52" s="44">
        <f>A52*'Data Entry'!C$5/25</f>
        <v>1.44</v>
      </c>
      <c r="C52" s="40">
        <f>vo(B52,'Data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0.16261197553677378</v>
      </c>
      <c r="D52" s="70">
        <f>krob(B52,'Data Entry'!C$8,'Data Entry'!C$14,'Data Entry'!C$18,'Data Entry'!I$8,'Data Entry'!I$9,'Data Entry'!C$20,'Data Entry'!C$26,'Data Entry'!I$13,'Data Entry'!I$14,'Data Entry'!C$28,I$7)</f>
        <v>0.053716771517741804</v>
      </c>
    </row>
    <row r="53" spans="1:4" ht="12.75">
      <c r="A53">
        <v>13</v>
      </c>
      <c r="B53" s="44">
        <f>A53*'Data Entry'!C$5/25</f>
        <v>1.56</v>
      </c>
      <c r="C53" s="40">
        <f>vo(B53,'Data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0.18699381112079558</v>
      </c>
      <c r="D53" s="70">
        <f>krob(B53,'Data Entry'!C$8,'Data Entry'!C$14,'Data Entry'!C$18,'Data Entry'!I$8,'Data Entry'!I$9,'Data Entry'!C$20,'Data Entry'!C$26,'Data Entry'!I$13,'Data Entry'!I$14,'Data Entry'!C$28,I$7)</f>
        <v>0.07602812215680727</v>
      </c>
    </row>
    <row r="54" spans="1:4" ht="12.75">
      <c r="A54">
        <v>14</v>
      </c>
      <c r="B54" s="44">
        <f>A54*'Data Entry'!C$5/25</f>
        <v>1.68</v>
      </c>
      <c r="C54" s="40">
        <f>vo(B54,'Data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0.21399162240670253</v>
      </c>
      <c r="D54" s="70">
        <f>krob(B54,'Data Entry'!C$8,'Data Entry'!C$14,'Data Entry'!C$18,'Data Entry'!I$8,'Data Entry'!I$9,'Data Entry'!C$20,'Data Entry'!C$26,'Data Entry'!I$13,'Data Entry'!I$14,'Data Entry'!C$28,I$7)</f>
        <v>0.10244065380317904</v>
      </c>
    </row>
    <row r="55" spans="1:4" ht="12.75">
      <c r="A55">
        <v>15</v>
      </c>
      <c r="B55" s="44">
        <f>A55*'Data Entry'!C$5/25</f>
        <v>1.8</v>
      </c>
      <c r="C55" s="40">
        <f>vo(B55,'Data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0.24331250404922497</v>
      </c>
      <c r="D55" s="70">
        <f>krob(B55,'Data Entry'!C$8,'Data Entry'!C$14,'Data Entry'!C$18,'Data Entry'!I$8,'Data Entry'!I$9,'Data Entry'!C$20,'Data Entry'!C$26,'Data Entry'!I$13,'Data Entry'!I$14,'Data Entry'!C$28,I$7)</f>
        <v>0.13168352435749972</v>
      </c>
    </row>
    <row r="56" spans="1:4" ht="12.75">
      <c r="A56">
        <v>16</v>
      </c>
      <c r="B56" s="44">
        <f>A56*'Data Entry'!C$5/25</f>
        <v>1.92</v>
      </c>
      <c r="C56" s="40">
        <f>vo(B56,'Data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0.27358031626878115</v>
      </c>
      <c r="D56" s="70">
        <f>krob(B56,'Data Entry'!C$8,'Data Entry'!C$14,'Data Entry'!C$18,'Data Entry'!I$8,'Data Entry'!I$9,'Data Entry'!C$20,'Data Entry'!C$26,'Data Entry'!I$13,'Data Entry'!I$14,'Data Entry'!C$28,I$7)</f>
        <v>0.16129363542219774</v>
      </c>
    </row>
    <row r="57" spans="1:4" ht="12.75">
      <c r="A57">
        <v>17</v>
      </c>
      <c r="B57" s="44">
        <f>A57*'Data Entry'!C$5/25</f>
        <v>2.04</v>
      </c>
      <c r="C57" s="40">
        <f>vo(B57,'Data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0.3056480051840104</v>
      </c>
      <c r="D57" s="70">
        <f>krob(B57,'Data Entry'!C$8,'Data Entry'!C$14,'Data Entry'!C$18,'Data Entry'!I$8,'Data Entry'!I$9,'Data Entry'!C$20,'Data Entry'!C$26,'Data Entry'!I$13,'Data Entry'!I$14,'Data Entry'!C$28,I$7)</f>
        <v>0.19116303903968682</v>
      </c>
    </row>
    <row r="58" spans="1:4" ht="12.75">
      <c r="A58">
        <v>18</v>
      </c>
      <c r="B58" s="44">
        <f>A58*'Data Entry'!C$5/25</f>
        <v>2.16</v>
      </c>
      <c r="C58" s="40">
        <f>vo(B58,'Data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0.3382395563132213</v>
      </c>
      <c r="D58" s="70">
        <f>krob(B58,'Data Entry'!C$8,'Data Entry'!C$14,'Data Entry'!C$18,'Data Entry'!I$8,'Data Entry'!I$9,'Data Entry'!C$20,'Data Entry'!C$26,'Data Entry'!I$13,'Data Entry'!I$14,'Data Entry'!C$28,I$7)</f>
        <v>0.22044881637957017</v>
      </c>
    </row>
    <row r="59" spans="1:4" ht="12.75">
      <c r="A59">
        <v>19</v>
      </c>
      <c r="B59" s="44">
        <f>A59*'Data Entry'!C$5/25</f>
        <v>2.28</v>
      </c>
      <c r="C59" s="40">
        <f>vo(B59,'Data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0.37213459571096624</v>
      </c>
      <c r="D59" s="70">
        <f>krob(B59,'Data Entry'!C$8,'Data Entry'!C$14,'Data Entry'!C$18,'Data Entry'!I$8,'Data Entry'!I$9,'Data Entry'!C$20,'Data Entry'!C$26,'Data Entry'!I$13,'Data Entry'!I$14,'Data Entry'!C$28,I$7)</f>
        <v>0.24822455780471814</v>
      </c>
    </row>
    <row r="60" spans="1:4" ht="12.75">
      <c r="A60">
        <v>20</v>
      </c>
      <c r="B60" s="44">
        <f>A60*'Data Entry'!C$5/25</f>
        <v>2.4</v>
      </c>
      <c r="C60" s="40">
        <f>vo(B60,'Data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0.4065512143585999</v>
      </c>
      <c r="D60" s="70">
        <f>krob(B60,'Data Entry'!C$8,'Data Entry'!C$14,'Data Entry'!C$18,'Data Entry'!I$8,'Data Entry'!I$9,'Data Entry'!C$20,'Data Entry'!C$26,'Data Entry'!I$13,'Data Entry'!I$14,'Data Entry'!C$28,I$7)</f>
        <v>0.27460390549391</v>
      </c>
    </row>
    <row r="61" spans="1:4" ht="12.75">
      <c r="A61">
        <v>21</v>
      </c>
      <c r="B61" s="44">
        <f>A61*'Data Entry'!C$5/25</f>
        <v>2.52</v>
      </c>
      <c r="C61" s="40">
        <f>vo(B61,'Data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0.440626134349019</v>
      </c>
      <c r="D61" s="70">
        <f>krob(B61,'Data Entry'!C$8,'Data Entry'!C$14,'Data Entry'!C$18,'Data Entry'!I$8,'Data Entry'!I$9,'Data Entry'!C$20,'Data Entry'!C$26,'Data Entry'!I$13,'Data Entry'!I$14,'Data Entry'!C$28,I$7)</f>
        <v>0.2990990103956473</v>
      </c>
    </row>
    <row r="62" spans="1:4" ht="12.75">
      <c r="A62">
        <v>22</v>
      </c>
      <c r="B62" s="44">
        <f>A62*'Data Entry'!C$5/25</f>
        <v>2.64</v>
      </c>
      <c r="C62" s="40">
        <f>vo(B62,'Data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0.4769533284063272</v>
      </c>
      <c r="D62" s="70">
        <f>krob(B62,'Data Entry'!C$8,'Data Entry'!C$14,'Data Entry'!C$18,'Data Entry'!I$8,'Data Entry'!I$9,'Data Entry'!C$20,'Data Entry'!C$26,'Data Entry'!I$13,'Data Entry'!I$14,'Data Entry'!C$28,I$7)</f>
        <v>0.3230769594046985</v>
      </c>
    </row>
    <row r="63" spans="1:4" ht="12.75">
      <c r="A63">
        <v>23</v>
      </c>
      <c r="B63" s="44">
        <f>A63*'Data Entry'!C$5/25</f>
        <v>2.76</v>
      </c>
      <c r="C63" s="40">
        <f>vo(B63,'Data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0.512033928657896</v>
      </c>
      <c r="D63" s="70">
        <f>krob(B63,'Data Entry'!C$8,'Data Entry'!C$14,'Data Entry'!C$18,'Data Entry'!I$8,'Data Entry'!I$9,'Data Entry'!C$20,'Data Entry'!C$26,'Data Entry'!I$13,'Data Entry'!I$14,'Data Entry'!C$28,I$7)</f>
        <v>0.3446654832545519</v>
      </c>
    </row>
    <row r="64" spans="1:4" ht="12.75">
      <c r="A64">
        <v>24</v>
      </c>
      <c r="B64" s="44">
        <f>A64*'Data Entry'!C$5/25</f>
        <v>2.88</v>
      </c>
      <c r="C64" s="40">
        <f>vo(B64,'Data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0.5474637302630194</v>
      </c>
      <c r="D64" s="70">
        <f>krob(B64,'Data Entry'!C$8,'Data Entry'!C$14,'Data Entry'!C$18,'Data Entry'!I$8,'Data Entry'!I$9,'Data Entry'!C$20,'Data Entry'!C$26,'Data Entry'!I$13,'Data Entry'!I$14,'Data Entry'!C$28,I$7)</f>
        <v>0.3653755649491512</v>
      </c>
    </row>
    <row r="65" spans="1:4" ht="12.75">
      <c r="A65">
        <v>25</v>
      </c>
      <c r="B65" s="44">
        <f>A65*'Data Entry'!C$5/25</f>
        <v>3</v>
      </c>
      <c r="C65" s="40">
        <f>vo(B65,'Data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0.5841133114055931</v>
      </c>
      <c r="D65" s="70">
        <f>krob(B65,'Data Entry'!C$8,'Data Entry'!C$14,'Data Entry'!C$18,'Data Entry'!I$8,'Data Entry'!I$9,'Data Entry'!C$20,'Data Entry'!C$26,'Data Entry'!I$13,'Data Entry'!I$14,'Data Entry'!C$28,I$7)</f>
        <v>0.38426795956666476</v>
      </c>
    </row>
    <row r="67" ht="12.75">
      <c r="D67" s="71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7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 topLeftCell="A1">
      <selection activeCell="C2" sqref="C2"/>
    </sheetView>
  </sheetViews>
  <sheetFormatPr defaultColWidth="9.140625" defaultRowHeight="12.75"/>
  <cols>
    <col min="7" max="7" width="9.140625" style="37" customWidth="1"/>
    <col min="12" max="12" width="9.140625" style="36" customWidth="1"/>
    <col min="13" max="13" width="13.00390625" style="40" customWidth="1"/>
    <col min="14" max="14" width="11.8515625" style="40" customWidth="1"/>
    <col min="15" max="16" width="10.140625" style="40" customWidth="1"/>
    <col min="17" max="17" width="13.140625" style="0" bestFit="1" customWidth="1"/>
    <col min="19" max="19" width="12.421875" style="0" bestFit="1" customWidth="1"/>
  </cols>
  <sheetData>
    <row r="1" spans="1:6" ht="16.5">
      <c r="A1" s="38" t="s">
        <v>95</v>
      </c>
      <c r="B1" s="39"/>
      <c r="C1" s="39"/>
      <c r="D1" s="39"/>
      <c r="E1" s="39"/>
      <c r="F1" s="198">
        <v>2</v>
      </c>
    </row>
    <row r="2" spans="3:19" ht="15.75">
      <c r="C2" s="110" t="s">
        <v>96</v>
      </c>
      <c r="D2" s="43">
        <f>vo(F1,'Data Entry'!C8,'Data Entry'!C14,'Data Entry'!C17,'Data Entry'!C18,'Data Entry'!I8,'Data Entry'!I9,'Data Entry'!C20,'Data Entry'!C21,'Data Entry'!C22,'Data Entry'!C25,'Data Entry'!C26,'Data Entry'!I13,'Data Entry'!I14,'Data Entry'!C28,'Data Entry'!C29,'Data Entry'!C30,'Layer Calcs'!I6)</f>
        <v>0.29480570505881015</v>
      </c>
      <c r="E2" s="45" t="s">
        <v>23</v>
      </c>
      <c r="F2" s="72">
        <f>krob(F1,'Data Entry'!C8,'Data Entry'!C14,'Data Entry'!C18,'Data Entry'!I8,'Data Entry'!I9,'Data Entry'!C20,'Data Entry'!C26,'Data Entry'!I13,'Data Entry'!I14,'Data Entry'!C28,'Layer Calcs'!I7)</f>
        <v>0.18149410886893044</v>
      </c>
      <c r="L2" s="36" t="s">
        <v>0</v>
      </c>
      <c r="M2" s="40" t="s">
        <v>1</v>
      </c>
      <c r="N2" s="40" t="s">
        <v>5</v>
      </c>
      <c r="O2" s="40" t="s">
        <v>4</v>
      </c>
      <c r="P2" s="40" t="s">
        <v>1</v>
      </c>
      <c r="Q2" s="40" t="s">
        <v>6</v>
      </c>
      <c r="S2" s="40" t="s">
        <v>34</v>
      </c>
    </row>
    <row r="3" spans="1:17" ht="15.75">
      <c r="A3" s="99"/>
      <c r="B3" s="145" t="s">
        <v>72</v>
      </c>
      <c r="D3" s="98"/>
      <c r="L3" s="36" t="s">
        <v>22</v>
      </c>
      <c r="M3" s="40">
        <f>zmax(F1,'Data Entry'!C8,'Data Entry'!C14,'Data Entry'!C18,'Data Entry'!I8,'Data Entry'!I9,'Data Entry'!C20,'Data Entry'!C21,'Data Entry'!C22,'Data Entry'!C26,'Data Entry'!I13,'Data Entry'!I14,'Data Entry'!C28,'Data Entry'!C29,'Data Entry'!C30)</f>
        <v>2.020000000000001</v>
      </c>
      <c r="N3" s="40">
        <v>0</v>
      </c>
      <c r="O3" s="40">
        <f>sw(M3,F$1,'Data Entry'!C$8,'Data Entry'!C$14,'Data Entry'!C$18,'Data Entry'!I$9,'Data Entry'!C$20,'Data Entry'!C$22,'Data Entry'!C$26,'Data Entry'!I$14,'Data Entry'!C$28,'Data Entry'!C$30)</f>
        <v>0.8263130775740719</v>
      </c>
      <c r="P3" s="40">
        <f>zmax(F1,'Data Entry'!C$8,'Data Entry'!C$14,'Data Entry'!C$18,'Data Entry'!I$8,'Data Entry'!I$9,'Data Entry'!C20,0,0,'Data Entry'!C$26,'Data Entry'!I$13,'Data Entry'!I$14,'Data Entry'!C28,0,0)</f>
        <v>1.1200000000000008</v>
      </c>
      <c r="Q3" s="44">
        <v>0</v>
      </c>
    </row>
    <row r="4" spans="12:24" ht="14.25">
      <c r="L4" s="36">
        <v>0</v>
      </c>
      <c r="M4" s="40">
        <f>elev(L4,F$1,'Data Entry'!C$8,'Data Entry'!C$14,'Data Entry'!C$18,'Data Entry'!I$8,'Data Entry'!I$9,'Data Entry'!C$20,'Data Entry'!C$21,'Data Entry'!C$22,'Data Entry'!C$26,'Data Entry'!I$13,'Data Entry'!I$14,'Data Entry'!C$28,'Data Entry'!C$29,'Data Entry'!C$30)</f>
        <v>2.020000000000001</v>
      </c>
      <c r="N4" s="40">
        <f>so(M4,F$1,'Data Entry'!C$8,'Data Entry'!C$14,'Data Entry'!C$18,'Data Entry'!I$8,'Data Entry'!I$9,'Data Entry'!C$20,'Data Entry'!C$21,'Data Entry'!C$22,'Data Entry'!C$26,'Data Entry'!I$13,'Data Entry'!I$14,'Data Entry'!C$28,'Data Entry'!C$29,'Data Entry'!C$30)</f>
        <v>0.05162845263934093</v>
      </c>
      <c r="O4" s="40">
        <f>sw(M4,F$1,'Data Entry'!C$8,'Data Entry'!C$14,'Data Entry'!C$18,'Data Entry'!I$9,'Data Entry'!C$20,'Data Entry'!C$22,'Data Entry'!C$26,'Data Entry'!I$14,'Data Entry'!C$28,'Data Entry'!C$30)</f>
        <v>0.8263130775740719</v>
      </c>
      <c r="P4" s="40">
        <f>elev(L4,F$1,'Data Entry'!C$8,'Data Entry'!C$14,'Data Entry'!C$18,'Data Entry'!I$8,'Data Entry'!I$9,'Data Entry'!C$20,0,0,'Data Entry'!C$26,'Data Entry'!I$13,'Data Entry'!I$14,'Data Entry'!C$28,0,0)</f>
        <v>1.1200000000000008</v>
      </c>
      <c r="Q4" s="44">
        <f>kro(P4,F$1,'Data Entry'!C$8,'Data Entry'!C$14,'Data Entry'!C$18,'Data Entry'!I$8,'Data Entry'!I$9,'Data Entry'!C$20,'Data Entry'!C$26,'Data Entry'!I$13,'Data Entry'!I$14,'Data Entry'!C$28)</f>
        <v>1.6413777073709627E-07</v>
      </c>
      <c r="S4" s="44">
        <f>so(P4,F$1,'Data Entry'!C$8,'Data Entry'!C$14,'Data Entry'!C$18,'Data Entry'!I$8,'Data Entry'!I$9,'Data Entry'!C$20,0,0,'Data Entry'!C$26,'Data Entry'!I$13,'Data Entry'!I$14,'Data Entry'!C$28,0,0)</f>
        <v>0.0008618964809531948</v>
      </c>
      <c r="V4">
        <v>0</v>
      </c>
      <c r="W4">
        <v>0</v>
      </c>
      <c r="X4">
        <f>'Data Entry'!C14</f>
        <v>-0.4</v>
      </c>
    </row>
    <row r="5" spans="12:24" ht="14.25">
      <c r="L5" s="36">
        <v>1</v>
      </c>
      <c r="M5" s="40">
        <f>elev(L5,F$1,'Data Entry'!C$8,'Data Entry'!C$14,'Data Entry'!C$18,'Data Entry'!I$8,'Data Entry'!I$9,'Data Entry'!C$20,'Data Entry'!C$21,'Data Entry'!C$22,'Data Entry'!C$26,'Data Entry'!I$13,'Data Entry'!I$14,'Data Entry'!C$28,'Data Entry'!C$29,'Data Entry'!C$30)</f>
        <v>1.9626666666666674</v>
      </c>
      <c r="N5" s="40">
        <f>so(M5,F$1,'Data Entry'!C$8,'Data Entry'!C$14,'Data Entry'!C$18,'Data Entry'!I$8,'Data Entry'!I$9,'Data Entry'!C$20,'Data Entry'!C$21,'Data Entry'!C$22,'Data Entry'!C$26,'Data Entry'!I$13,'Data Entry'!I$14,'Data Entry'!C$28,'Data Entry'!C$29,'Data Entry'!C$30)</f>
        <v>0.053421929339099644</v>
      </c>
      <c r="O5" s="40">
        <f>sw(M5,F$1,'Data Entry'!C$8,'Data Entry'!C$14,'Data Entry'!C$18,'Data Entry'!I$9,'Data Entry'!C$20,'Data Entry'!C$22,'Data Entry'!C$26,'Data Entry'!I$14,'Data Entry'!C$28,'Data Entry'!C$30)</f>
        <v>0.827313296762338</v>
      </c>
      <c r="P5" s="40">
        <f>elev(L5,F$1,'Data Entry'!C$8,'Data Entry'!C$14,'Data Entry'!C$18,'Data Entry'!I$8,'Data Entry'!I$9,'Data Entry'!C$20,0,0,'Data Entry'!C$26,'Data Entry'!I$13,'Data Entry'!I$14,'Data Entry'!C$28,0,0)</f>
        <v>1.0926666666666673</v>
      </c>
      <c r="Q5" s="44">
        <f>kro(P5,F$1,'Data Entry'!C$8,'Data Entry'!C$14,'Data Entry'!C$18,'Data Entry'!I$8,'Data Entry'!I$9,'Data Entry'!C$20,'Data Entry'!C$26,'Data Entry'!I$13,'Data Entry'!I$14,'Data Entry'!C$28)</f>
        <v>2.8499505753469466E-06</v>
      </c>
      <c r="S5" s="44">
        <f>so(P5,F$1,'Data Entry'!C$8,'Data Entry'!C$14,'Data Entry'!C$18,'Data Entry'!I$8,'Data Entry'!I$9,'Data Entry'!C$20,0,0,'Data Entry'!C$26,'Data Entry'!I$13,'Data Entry'!I$14,'Data Entry'!C$28,0,0)</f>
        <v>0.0026529447367212855</v>
      </c>
      <c r="V5">
        <v>1</v>
      </c>
      <c r="W5">
        <v>0</v>
      </c>
      <c r="X5">
        <f>X4</f>
        <v>-0.4</v>
      </c>
    </row>
    <row r="6" spans="12:19" ht="14.25">
      <c r="L6" s="36">
        <v>2</v>
      </c>
      <c r="M6" s="40">
        <f>elev(L6,F$1,'Data Entry'!C$8,'Data Entry'!C$14,'Data Entry'!C$18,'Data Entry'!I$8,'Data Entry'!I$9,'Data Entry'!C$20,'Data Entry'!C$21,'Data Entry'!C$22,'Data Entry'!C$26,'Data Entry'!I$13,'Data Entry'!I$14,'Data Entry'!C$28,'Data Entry'!C$29,'Data Entry'!C$30)</f>
        <v>1.9053333333333342</v>
      </c>
      <c r="N6" s="40">
        <f>so(M6,F$1,'Data Entry'!C$8,'Data Entry'!C$14,'Data Entry'!C$18,'Data Entry'!I$8,'Data Entry'!I$9,'Data Entry'!C$20,'Data Entry'!C$21,'Data Entry'!C$22,'Data Entry'!C$26,'Data Entry'!I$13,'Data Entry'!I$14,'Data Entry'!C$28,'Data Entry'!C$29,'Data Entry'!C$30)</f>
        <v>0.05529623645108259</v>
      </c>
      <c r="O6" s="40">
        <f>sw(M6,F$1,'Data Entry'!C$8,'Data Entry'!C$14,'Data Entry'!C$18,'Data Entry'!I$9,'Data Entry'!C$20,'Data Entry'!C$22,'Data Entry'!C$26,'Data Entry'!I$14,'Data Entry'!C$28,'Data Entry'!C$30)</f>
        <v>0.8283234275198406</v>
      </c>
      <c r="P6" s="40">
        <f>elev(L6,F$1,'Data Entry'!C$8,'Data Entry'!C$14,'Data Entry'!C$18,'Data Entry'!I$8,'Data Entry'!I$9,'Data Entry'!C$20,0,0,'Data Entry'!C$26,'Data Entry'!I$13,'Data Entry'!I$14,'Data Entry'!C$28,0,0)</f>
        <v>1.0653333333333341</v>
      </c>
      <c r="Q6" s="44">
        <f>kro(P6,F$1,'Data Entry'!C$8,'Data Entry'!C$14,'Data Entry'!C$18,'Data Entry'!I$8,'Data Entry'!I$9,'Data Entry'!C$20,'Data Entry'!C$26,'Data Entry'!I$13,'Data Entry'!I$14,'Data Entry'!C$28)</f>
        <v>1.1021792509628723E-05</v>
      </c>
      <c r="S6" s="44">
        <f>so(P6,F$1,'Data Entry'!C$8,'Data Entry'!C$14,'Data Entry'!C$18,'Data Entry'!I$8,'Data Entry'!I$9,'Data Entry'!C$20,0,0,'Data Entry'!C$26,'Data Entry'!I$13,'Data Entry'!I$14,'Data Entry'!C$28,0,0)</f>
        <v>0.004476075153368342</v>
      </c>
    </row>
    <row r="7" spans="12:19" ht="14.25">
      <c r="L7" s="36">
        <v>3</v>
      </c>
      <c r="M7" s="40">
        <f>elev(L7,F$1,'Data Entry'!C$8,'Data Entry'!C$14,'Data Entry'!C$18,'Data Entry'!I$8,'Data Entry'!I$9,'Data Entry'!C$20,'Data Entry'!C$21,'Data Entry'!C$22,'Data Entry'!C$26,'Data Entry'!I$13,'Data Entry'!I$14,'Data Entry'!C$28,'Data Entry'!C$29,'Data Entry'!C$30)</f>
        <v>1.8480000000000008</v>
      </c>
      <c r="N7" s="40">
        <f>so(M7,F$1,'Data Entry'!C$8,'Data Entry'!C$14,'Data Entry'!C$18,'Data Entry'!I$8,'Data Entry'!I$9,'Data Entry'!C$20,'Data Entry'!C$21,'Data Entry'!C$22,'Data Entry'!C$26,'Data Entry'!I$13,'Data Entry'!I$14,'Data Entry'!C$28,'Data Entry'!C$29,'Data Entry'!C$30)</f>
        <v>0.05725533647967723</v>
      </c>
      <c r="O7" s="40">
        <f>sw(M7,F$1,'Data Entry'!C$8,'Data Entry'!C$14,'Data Entry'!C$18,'Data Entry'!I$9,'Data Entry'!C$20,'Data Entry'!C$22,'Data Entry'!C$26,'Data Entry'!I$14,'Data Entry'!C$28,'Data Entry'!C$30)</f>
        <v>0.8293435390078978</v>
      </c>
      <c r="P7" s="40">
        <f>elev(L7,F$1,'Data Entry'!C$8,'Data Entry'!C$14,'Data Entry'!C$18,'Data Entry'!I$8,'Data Entry'!I$9,'Data Entry'!C$20,0,0,'Data Entry'!C$26,'Data Entry'!I$13,'Data Entry'!I$14,'Data Entry'!C$28,0,0)</f>
        <v>1.0380000000000007</v>
      </c>
      <c r="Q7" s="44">
        <f>kro(P7,F$1,'Data Entry'!C$8,'Data Entry'!C$14,'Data Entry'!C$18,'Data Entry'!I$8,'Data Entry'!I$9,'Data Entry'!C$20,'Data Entry'!C$26,'Data Entry'!I$13,'Data Entry'!I$14,'Data Entry'!C$28)</f>
        <v>2.7460012420373084E-05</v>
      </c>
      <c r="S7" s="44">
        <f>so(P7,F$1,'Data Entry'!C$8,'Data Entry'!C$14,'Data Entry'!C$18,'Data Entry'!I$8,'Data Entry'!I$9,'Data Entry'!C$20,0,0,'Data Entry'!C$26,'Data Entry'!I$13,'Data Entry'!I$14,'Data Entry'!C$28,0,0)</f>
        <v>0.006330657769712533</v>
      </c>
    </row>
    <row r="8" spans="12:19" ht="14.25">
      <c r="L8" s="36">
        <v>4</v>
      </c>
      <c r="M8" s="40">
        <f>elev(L8,F$1,'Data Entry'!C$8,'Data Entry'!C$14,'Data Entry'!C$18,'Data Entry'!I$8,'Data Entry'!I$9,'Data Entry'!C$20,'Data Entry'!C$21,'Data Entry'!C$22,'Data Entry'!C$26,'Data Entry'!I$13,'Data Entry'!I$14,'Data Entry'!C$28,'Data Entry'!C$29,'Data Entry'!C$30)</f>
        <v>1.7906666666666675</v>
      </c>
      <c r="N8" s="40">
        <f>so(M8,F$1,'Data Entry'!C$8,'Data Entry'!C$14,'Data Entry'!C$18,'Data Entry'!I$8,'Data Entry'!I$9,'Data Entry'!C$20,'Data Entry'!C$21,'Data Entry'!C$22,'Data Entry'!C$26,'Data Entry'!I$13,'Data Entry'!I$14,'Data Entry'!C$28,'Data Entry'!C$29,'Data Entry'!C$30)</f>
        <v>0.059303335195695916</v>
      </c>
      <c r="O8" s="40">
        <f>sw(M8,F$1,'Data Entry'!C$8,'Data Entry'!C$14,'Data Entry'!C$18,'Data Entry'!I$9,'Data Entry'!C$20,'Data Entry'!C$22,'Data Entry'!C$26,'Data Entry'!I$14,'Data Entry'!C$28,'Data Entry'!C$30)</f>
        <v>0.830373695885025</v>
      </c>
      <c r="P8" s="40">
        <f>elev(L8,F$1,'Data Entry'!C$8,'Data Entry'!C$14,'Data Entry'!C$18,'Data Entry'!I$8,'Data Entry'!I$9,'Data Entry'!C$20,0,0,'Data Entry'!C$26,'Data Entry'!I$13,'Data Entry'!I$14,'Data Entry'!C$28,0,0)</f>
        <v>1.0106666666666673</v>
      </c>
      <c r="Q8" s="44">
        <f>kro(P8,F$1,'Data Entry'!C$8,'Data Entry'!C$14,'Data Entry'!C$18,'Data Entry'!I$8,'Data Entry'!I$9,'Data Entry'!C$20,'Data Entry'!C$26,'Data Entry'!I$13,'Data Entry'!I$14,'Data Entry'!C$28)</f>
        <v>5.525789951445709E-05</v>
      </c>
      <c r="S8" s="44">
        <f>so(P8,F$1,'Data Entry'!C$8,'Data Entry'!C$14,'Data Entry'!C$18,'Data Entry'!I$8,'Data Entry'!I$9,'Data Entry'!C$20,0,0,'Data Entry'!C$26,'Data Entry'!I$13,'Data Entry'!I$14,'Data Entry'!C$28,0,0)</f>
        <v>0.008215865597787697</v>
      </c>
    </row>
    <row r="9" spans="12:23" ht="14.25">
      <c r="L9" s="36">
        <v>5</v>
      </c>
      <c r="M9" s="40">
        <f>elev(L9,F$1,'Data Entry'!C$8,'Data Entry'!C$14,'Data Entry'!C$18,'Data Entry'!I$8,'Data Entry'!I$9,'Data Entry'!C$20,'Data Entry'!C$21,'Data Entry'!C$22,'Data Entry'!C$26,'Data Entry'!I$13,'Data Entry'!I$14,'Data Entry'!C$28,'Data Entry'!C$29,'Data Entry'!C$30)</f>
        <v>1.733333333333334</v>
      </c>
      <c r="N9" s="40">
        <f>so(M9,F$1,'Data Entry'!C$8,'Data Entry'!C$14,'Data Entry'!C$18,'Data Entry'!I$8,'Data Entry'!I$9,'Data Entry'!C$20,'Data Entry'!C$21,'Data Entry'!C$22,'Data Entry'!C$26,'Data Entry'!I$13,'Data Entry'!I$14,'Data Entry'!C$28,'Data Entry'!C$29,'Data Entry'!C$30)</f>
        <v>0.06144446546973423</v>
      </c>
      <c r="O9" s="40">
        <f>sw(M9,F$1,'Data Entry'!C$8,'Data Entry'!C$14,'Data Entry'!C$18,'Data Entry'!I$9,'Data Entry'!C$20,'Data Entry'!C$22,'Data Entry'!C$26,'Data Entry'!I$14,'Data Entry'!C$28,'Data Entry'!C$30)</f>
        <v>0.8314139578170565</v>
      </c>
      <c r="P9" s="40">
        <f>elev(L9,F$1,'Data Entry'!C$8,'Data Entry'!C$14,'Data Entry'!C$18,'Data Entry'!I$8,'Data Entry'!I$9,'Data Entry'!C$20,0,0,'Data Entry'!C$26,'Data Entry'!I$13,'Data Entry'!I$14,'Data Entry'!C$28,0,0)</f>
        <v>0.9833333333333341</v>
      </c>
      <c r="Q9" s="44">
        <f>kro(P9,F$1,'Data Entry'!C$8,'Data Entry'!C$14,'Data Entry'!C$18,'Data Entry'!I$8,'Data Entry'!I$9,'Data Entry'!C$20,'Data Entry'!C$26,'Data Entry'!I$13,'Data Entry'!I$14,'Data Entry'!C$28)</f>
        <v>9.799117721949329E-05</v>
      </c>
      <c r="S9" s="44">
        <f>so(P9,F$1,'Data Entry'!C$8,'Data Entry'!C$14,'Data Entry'!C$18,'Data Entry'!I$8,'Data Entry'!I$9,'Data Entry'!C$20,0,0,'Data Entry'!C$26,'Data Entry'!I$13,'Data Entry'!I$14,'Data Entry'!C$28,0,0)</f>
        <v>0.010130647310791385</v>
      </c>
      <c r="V9" t="s">
        <v>70</v>
      </c>
      <c r="W9" t="s">
        <v>71</v>
      </c>
    </row>
    <row r="10" spans="12:23" ht="14.25">
      <c r="L10" s="36">
        <v>6</v>
      </c>
      <c r="M10" s="40">
        <f>elev(L10,F$1,'Data Entry'!C$8,'Data Entry'!C$14,'Data Entry'!C$18,'Data Entry'!I$8,'Data Entry'!I$9,'Data Entry'!C$20,'Data Entry'!C$21,'Data Entry'!C$22,'Data Entry'!C$26,'Data Entry'!I$13,'Data Entry'!I$14,'Data Entry'!C$28,'Data Entry'!C$29,'Data Entry'!C$30)</f>
        <v>1.6760000000000006</v>
      </c>
      <c r="N10" s="40">
        <f>so(M10,F$1,'Data Entry'!C$8,'Data Entry'!C$14,'Data Entry'!C$18,'Data Entry'!I$8,'Data Entry'!I$9,'Data Entry'!C$20,'Data Entry'!C$21,'Data Entry'!C$22,'Data Entry'!C$26,'Data Entry'!I$13,'Data Entry'!I$14,'Data Entry'!C$28,'Data Entry'!C$29,'Data Entry'!C$30)</f>
        <v>0.06368306333939774</v>
      </c>
      <c r="O10" s="40">
        <f>sw(M10,F$1,'Data Entry'!C$8,'Data Entry'!C$14,'Data Entry'!C$18,'Data Entry'!I$9,'Data Entry'!C$20,'Data Entry'!C$22,'Data Entry'!C$26,'Data Entry'!I$14,'Data Entry'!C$28,'Data Entry'!C$30)</f>
        <v>0.832464378948619</v>
      </c>
      <c r="P10" s="40">
        <f>elev(L10,F$1,'Data Entry'!C$8,'Data Entry'!C$14,'Data Entry'!C$18,'Data Entry'!I$8,'Data Entry'!I$9,'Data Entry'!C$20,0,0,'Data Entry'!C$26,'Data Entry'!I$13,'Data Entry'!I$14,'Data Entry'!C$28,0,0)</f>
        <v>0.9560000000000006</v>
      </c>
      <c r="Q10" s="44">
        <f>kro(P10,F$1,'Data Entry'!C$8,'Data Entry'!C$14,'Data Entry'!C$18,'Data Entry'!I$8,'Data Entry'!I$9,'Data Entry'!C$20,'Data Entry'!C$26,'Data Entry'!I$13,'Data Entry'!I$14,'Data Entry'!C$28)</f>
        <v>0.00015985255018403013</v>
      </c>
      <c r="S10" s="44">
        <f>so(P10,F$1,'Data Entry'!C$8,'Data Entry'!C$14,'Data Entry'!C$18,'Data Entry'!I$8,'Data Entry'!I$9,'Data Entry'!C$20,0,0,'Data Entry'!C$26,'Data Entry'!I$13,'Data Entry'!I$14,'Data Entry'!C$28,0,0)</f>
        <v>0.012073696518170363</v>
      </c>
      <c r="V10">
        <f>'Data Entry'!I6</f>
        <v>2.7499999999999853</v>
      </c>
      <c r="W10">
        <v>0</v>
      </c>
    </row>
    <row r="11" spans="12:23" ht="14.25">
      <c r="L11" s="36">
        <v>7</v>
      </c>
      <c r="M11" s="40">
        <f>elev(L11,F$1,'Data Entry'!C$8,'Data Entry'!C$14,'Data Entry'!C$18,'Data Entry'!I$8,'Data Entry'!I$9,'Data Entry'!C$20,'Data Entry'!C$21,'Data Entry'!C$22,'Data Entry'!C$26,'Data Entry'!I$13,'Data Entry'!I$14,'Data Entry'!C$28,'Data Entry'!C$29,'Data Entry'!C$30)</f>
        <v>1.6186666666666674</v>
      </c>
      <c r="N11" s="40">
        <f>so(M11,F$1,'Data Entry'!C$8,'Data Entry'!C$14,'Data Entry'!C$18,'Data Entry'!I$8,'Data Entry'!I$9,'Data Entry'!C$20,'Data Entry'!C$21,'Data Entry'!C$22,'Data Entry'!C$26,'Data Entry'!I$13,'Data Entry'!I$14,'Data Entry'!C$28,'Data Entry'!C$29,'Data Entry'!C$30)</f>
        <v>0.06602353400920555</v>
      </c>
      <c r="O11" s="40">
        <f>sw(M11,F$1,'Data Entry'!C$8,'Data Entry'!C$14,'Data Entry'!C$18,'Data Entry'!I$9,'Data Entry'!C$20,'Data Entry'!C$22,'Data Entry'!C$26,'Data Entry'!I$14,'Data Entry'!C$28,'Data Entry'!C$30)</f>
        <v>0.8335250073330762</v>
      </c>
      <c r="P11" s="40">
        <f>elev(L11,F$1,'Data Entry'!C$8,'Data Entry'!C$14,'Data Entry'!C$18,'Data Entry'!I$8,'Data Entry'!I$9,'Data Entry'!C$20,0,0,'Data Entry'!C$26,'Data Entry'!I$13,'Data Entry'!I$14,'Data Entry'!C$28,0,0)</f>
        <v>0.9286666666666672</v>
      </c>
      <c r="Q11" s="44">
        <f>kro(P11,F$1,'Data Entry'!C$8,'Data Entry'!C$14,'Data Entry'!C$18,'Data Entry'!I$8,'Data Entry'!I$9,'Data Entry'!C$20,'Data Entry'!C$26,'Data Entry'!I$13,'Data Entry'!I$14,'Data Entry'!C$28)</f>
        <v>0.00024578958140502417</v>
      </c>
      <c r="S11" s="44">
        <f>so(P11,F$1,'Data Entry'!C$8,'Data Entry'!C$14,'Data Entry'!C$18,'Data Entry'!I$8,'Data Entry'!I$9,'Data Entry'!C$20,0,0,'Data Entry'!C$26,'Data Entry'!I$13,'Data Entry'!I$14,'Data Entry'!C$28,0,0)</f>
        <v>0.014043417204402497</v>
      </c>
      <c r="V11">
        <f>V10</f>
        <v>2.7499999999999853</v>
      </c>
      <c r="W11">
        <f>IF(V10&gt;'Data Entry'!C14,'Data Entry'!C21,'Data Entry'!C29)</f>
        <v>0.05</v>
      </c>
    </row>
    <row r="12" spans="12:23" ht="14.25">
      <c r="L12" s="36">
        <v>8</v>
      </c>
      <c r="M12" s="40">
        <f>elev(L12,F$1,'Data Entry'!C$8,'Data Entry'!C$14,'Data Entry'!C$18,'Data Entry'!I$8,'Data Entry'!I$9,'Data Entry'!C$20,'Data Entry'!C$21,'Data Entry'!C$22,'Data Entry'!C$26,'Data Entry'!I$13,'Data Entry'!I$14,'Data Entry'!C$28,'Data Entry'!C$29,'Data Entry'!C$30)</f>
        <v>1.5613333333333341</v>
      </c>
      <c r="N12" s="40">
        <f>so(M12,F$1,'Data Entry'!C$8,'Data Entry'!C$14,'Data Entry'!C$18,'Data Entry'!I$8,'Data Entry'!I$9,'Data Entry'!C$20,'Data Entry'!C$21,'Data Entry'!C$22,'Data Entry'!C$26,'Data Entry'!I$13,'Data Entry'!I$14,'Data Entry'!C$28,'Data Entry'!C$29,'Data Entry'!C$30)</f>
        <v>0.06847030484512379</v>
      </c>
      <c r="O12" s="40">
        <f>sw(M12,F$1,'Data Entry'!C$8,'Data Entry'!C$14,'Data Entry'!C$18,'Data Entry'!I$9,'Data Entry'!C$20,'Data Entry'!C$22,'Data Entry'!C$26,'Data Entry'!I$14,'Data Entry'!C$28,'Data Entry'!C$30)</f>
        <v>0.8345958843178549</v>
      </c>
      <c r="P12" s="40">
        <f>elev(L12,F$1,'Data Entry'!C$8,'Data Entry'!C$14,'Data Entry'!C$18,'Data Entry'!I$8,'Data Entry'!I$9,'Data Entry'!C$20,0,0,'Data Entry'!C$26,'Data Entry'!I$13,'Data Entry'!I$14,'Data Entry'!C$28,0,0)</f>
        <v>0.9013333333333339</v>
      </c>
      <c r="Q12" s="44">
        <f>kro(P12,F$1,'Data Entry'!C$8,'Data Entry'!C$14,'Data Entry'!C$18,'Data Entry'!I$8,'Data Entry'!I$9,'Data Entry'!C$20,'Data Entry'!C$26,'Data Entry'!I$13,'Data Entry'!I$14,'Data Entry'!C$28)</f>
        <v>0.00036165924011719605</v>
      </c>
      <c r="S12" s="44">
        <f>so(P12,F$1,'Data Entry'!C$8,'Data Entry'!C$14,'Data Entry'!C$18,'Data Entry'!I$8,'Data Entry'!I$9,'Data Entry'!C$20,0,0,'Data Entry'!C$26,'Data Entry'!I$13,'Data Entry'!I$14,'Data Entry'!C$28,0,0)</f>
        <v>0.016037884850057416</v>
      </c>
      <c r="V12" s="71">
        <f>IF('Data Entry'!C14&gt;=0,'Data Entry'!C14,0)</f>
        <v>0</v>
      </c>
      <c r="W12">
        <f>W11</f>
        <v>0.05</v>
      </c>
    </row>
    <row r="13" spans="12:23" ht="14.25">
      <c r="L13" s="36">
        <v>9</v>
      </c>
      <c r="M13" s="40">
        <f>elev(L13,F$1,'Data Entry'!C$8,'Data Entry'!C$14,'Data Entry'!C$18,'Data Entry'!I$8,'Data Entry'!I$9,'Data Entry'!C$20,'Data Entry'!C$21,'Data Entry'!C$22,'Data Entry'!C$26,'Data Entry'!I$13,'Data Entry'!I$14,'Data Entry'!C$28,'Data Entry'!C$29,'Data Entry'!C$30)</f>
        <v>1.5040000000000007</v>
      </c>
      <c r="N13" s="40">
        <f>so(M13,F$1,'Data Entry'!C$8,'Data Entry'!C$14,'Data Entry'!C$18,'Data Entry'!I$8,'Data Entry'!I$9,'Data Entry'!C$20,'Data Entry'!C$21,'Data Entry'!C$22,'Data Entry'!C$26,'Data Entry'!I$13,'Data Entry'!I$14,'Data Entry'!C$28,'Data Entry'!C$29,'Data Entry'!C$30)</f>
        <v>0.07102776161355873</v>
      </c>
      <c r="O13" s="40">
        <f>sw(M13,F$1,'Data Entry'!C$8,'Data Entry'!C$14,'Data Entry'!C$18,'Data Entry'!I$9,'Data Entry'!C$20,'Data Entry'!C$22,'Data Entry'!C$26,'Data Entry'!I$14,'Data Entry'!C$28,'Data Entry'!C$30)</f>
        <v>0.8356770438818382</v>
      </c>
      <c r="P13" s="40">
        <f>elev(L13,F$1,'Data Entry'!C$8,'Data Entry'!C$14,'Data Entry'!C$18,'Data Entry'!I$8,'Data Entry'!I$9,'Data Entry'!C$20,0,0,'Data Entry'!C$26,'Data Entry'!I$13,'Data Entry'!I$14,'Data Entry'!C$28,0,0)</f>
        <v>0.8740000000000006</v>
      </c>
      <c r="Q13" s="44">
        <f>kro(P13,F$1,'Data Entry'!C$8,'Data Entry'!C$14,'Data Entry'!C$18,'Data Entry'!I$8,'Data Entry'!I$9,'Data Entry'!C$20,'Data Entry'!C$26,'Data Entry'!I$13,'Data Entry'!I$14,'Data Entry'!C$28)</f>
        <v>0.0005144076653529792</v>
      </c>
      <c r="S13" s="44">
        <f>so(P13,F$1,'Data Entry'!C$8,'Data Entry'!C$14,'Data Entry'!C$18,'Data Entry'!I$8,'Data Entry'!I$9,'Data Entry'!C$20,0,0,'Data Entry'!C$26,'Data Entry'!I$13,'Data Entry'!I$14,'Data Entry'!C$28,0,0)</f>
        <v>0.018054802684166038</v>
      </c>
      <c r="V13">
        <f>IF('Data Entry'!C14&gt;0,'Data Entry'!C14,0)</f>
        <v>0</v>
      </c>
      <c r="W13">
        <f>IF('Data Entry'!C14&gt;=0,'Data Entry'!C29,'Data Entry'!C21)</f>
        <v>0.05</v>
      </c>
    </row>
    <row r="14" spans="12:23" ht="14.25">
      <c r="L14" s="36">
        <v>10</v>
      </c>
      <c r="M14" s="40">
        <f>elev(L14,F$1,'Data Entry'!C$8,'Data Entry'!C$14,'Data Entry'!C$18,'Data Entry'!I$8,'Data Entry'!I$9,'Data Entry'!C$20,'Data Entry'!C$21,'Data Entry'!C$22,'Data Entry'!C$26,'Data Entry'!I$13,'Data Entry'!I$14,'Data Entry'!C$28,'Data Entry'!C$29,'Data Entry'!C$30)</f>
        <v>1.4466666666666672</v>
      </c>
      <c r="N14" s="40">
        <f>so(M14,F$1,'Data Entry'!C$8,'Data Entry'!C$14,'Data Entry'!C$18,'Data Entry'!I$8,'Data Entry'!I$9,'Data Entry'!C$20,'Data Entry'!C$21,'Data Entry'!C$22,'Data Entry'!C$26,'Data Entry'!I$13,'Data Entry'!I$14,'Data Entry'!C$28,'Data Entry'!C$29,'Data Entry'!C$30)</f>
        <v>0.07370016317921613</v>
      </c>
      <c r="O14" s="40">
        <f>sw(M14,F$1,'Data Entry'!C$8,'Data Entry'!C$14,'Data Entry'!C$18,'Data Entry'!I$9,'Data Entry'!C$20,'Data Entry'!C$22,'Data Entry'!C$26,'Data Entry'!I$14,'Data Entry'!C$28,'Data Entry'!C$30)</f>
        <v>0.8367685119212671</v>
      </c>
      <c r="P14" s="40">
        <f>elev(L14,F$1,'Data Entry'!C$8,'Data Entry'!C$14,'Data Entry'!C$18,'Data Entry'!I$8,'Data Entry'!I$9,'Data Entry'!C$20,0,0,'Data Entry'!C$26,'Data Entry'!I$13,'Data Entry'!I$14,'Data Entry'!C$28,0,0)</f>
        <v>0.8466666666666672</v>
      </c>
      <c r="Q14" s="44">
        <f>kro(P14,F$1,'Data Entry'!C$8,'Data Entry'!C$14,'Data Entry'!C$18,'Data Entry'!I$8,'Data Entry'!I$9,'Data Entry'!C$20,'Data Entry'!C$26,'Data Entry'!I$13,'Data Entry'!I$14,'Data Entry'!C$28)</f>
        <v>0.0007122831569744966</v>
      </c>
      <c r="S14" s="44">
        <f>so(P14,F$1,'Data Entry'!C$8,'Data Entry'!C$14,'Data Entry'!C$18,'Data Entry'!I$8,'Data Entry'!I$9,'Data Entry'!C$20,0,0,'Data Entry'!C$26,'Data Entry'!I$13,'Data Entry'!I$14,'Data Entry'!C$28,0,0)</f>
        <v>0.02009145243169308</v>
      </c>
      <c r="V14">
        <v>0</v>
      </c>
      <c r="W14">
        <f>IF('Data Entry'!C14&gt;=0,'Data Entry'!C29,'Data Entry'!C21)</f>
        <v>0.05</v>
      </c>
    </row>
    <row r="15" spans="12:19" ht="14.25">
      <c r="L15" s="36">
        <v>11</v>
      </c>
      <c r="M15" s="40">
        <f>elev(L15,F$1,'Data Entry'!C$8,'Data Entry'!C$14,'Data Entry'!C$18,'Data Entry'!I$8,'Data Entry'!I$9,'Data Entry'!C$20,'Data Entry'!C$21,'Data Entry'!C$22,'Data Entry'!C$26,'Data Entry'!I$13,'Data Entry'!I$14,'Data Entry'!C$28,'Data Entry'!C$29,'Data Entry'!C$30)</f>
        <v>1.389333333333334</v>
      </c>
      <c r="N15" s="40">
        <f>so(M15,F$1,'Data Entry'!C$8,'Data Entry'!C$14,'Data Entry'!C$18,'Data Entry'!I$8,'Data Entry'!I$9,'Data Entry'!C$20,'Data Entry'!C$21,'Data Entry'!C$22,'Data Entry'!C$26,'Data Entry'!I$13,'Data Entry'!I$14,'Data Entry'!C$28,'Data Entry'!C$29,'Data Entry'!C$30)</f>
        <v>0.07649152855670976</v>
      </c>
      <c r="O15" s="40">
        <f>sw(M15,F$1,'Data Entry'!C$8,'Data Entry'!C$14,'Data Entry'!C$18,'Data Entry'!I$9,'Data Entry'!C$20,'Data Entry'!C$22,'Data Entry'!C$26,'Data Entry'!I$14,'Data Entry'!C$28,'Data Entry'!C$30)</f>
        <v>0.8378703054803347</v>
      </c>
      <c r="P15" s="40">
        <f>elev(L15,F$1,'Data Entry'!C$8,'Data Entry'!C$14,'Data Entry'!C$18,'Data Entry'!I$8,'Data Entry'!I$9,'Data Entry'!C$20,0,0,'Data Entry'!C$26,'Data Entry'!I$13,'Data Entry'!I$14,'Data Entry'!C$28,0,0)</f>
        <v>0.8193333333333338</v>
      </c>
      <c r="Q15" s="44">
        <f>kro(P15,F$1,'Data Entry'!C$8,'Data Entry'!C$14,'Data Entry'!C$18,'Data Entry'!I$8,'Data Entry'!I$9,'Data Entry'!C$20,'Data Entry'!C$26,'Data Entry'!I$13,'Data Entry'!I$14,'Data Entry'!C$28)</f>
        <v>0.0009650914920938105</v>
      </c>
      <c r="S15" s="44">
        <f>so(P15,F$1,'Data Entry'!C$8,'Data Entry'!C$14,'Data Entry'!C$18,'Data Entry'!I$8,'Data Entry'!I$9,'Data Entry'!C$20,0,0,'Data Entry'!C$26,'Data Entry'!I$13,'Data Entry'!I$14,'Data Entry'!C$28,0,0)</f>
        <v>0.022144638812827855</v>
      </c>
    </row>
    <row r="16" spans="12:23" ht="14.25">
      <c r="L16" s="36">
        <v>12</v>
      </c>
      <c r="M16" s="40">
        <f>elev(L16,F$1,'Data Entry'!C$8,'Data Entry'!C$14,'Data Entry'!C$18,'Data Entry'!I$8,'Data Entry'!I$9,'Data Entry'!C$20,'Data Entry'!C$21,'Data Entry'!C$22,'Data Entry'!C$26,'Data Entry'!I$13,'Data Entry'!I$14,'Data Entry'!C$28,'Data Entry'!C$29,'Data Entry'!C$30)</f>
        <v>1.3320000000000005</v>
      </c>
      <c r="N16" s="40">
        <f>so(M16,F$1,'Data Entry'!C$8,'Data Entry'!C$14,'Data Entry'!C$18,'Data Entry'!I$8,'Data Entry'!I$9,'Data Entry'!C$20,'Data Entry'!C$21,'Data Entry'!C$22,'Data Entry'!C$26,'Data Entry'!I$13,'Data Entry'!I$14,'Data Entry'!C$28,'Data Entry'!C$29,'Data Entry'!C$30)</f>
        <v>0.0794054885304773</v>
      </c>
      <c r="O16" s="40">
        <f>sw(M16,F$1,'Data Entry'!C$8,'Data Entry'!C$14,'Data Entry'!C$18,'Data Entry'!I$9,'Data Entry'!C$20,'Data Entry'!C$22,'Data Entry'!C$26,'Data Entry'!I$14,'Data Entry'!C$28,'Data Entry'!C$30)</f>
        <v>0.8389824319223756</v>
      </c>
      <c r="P16" s="40">
        <f>elev(L16,F$1,'Data Entry'!C$8,'Data Entry'!C$14,'Data Entry'!C$18,'Data Entry'!I$8,'Data Entry'!I$9,'Data Entry'!C$20,0,0,'Data Entry'!C$26,'Data Entry'!I$13,'Data Entry'!I$14,'Data Entry'!C$28,0,0)</f>
        <v>0.7920000000000005</v>
      </c>
      <c r="Q16" s="44">
        <f>kro(P16,F$1,'Data Entry'!C$8,'Data Entry'!C$14,'Data Entry'!C$18,'Data Entry'!I$8,'Data Entry'!I$9,'Data Entry'!C$20,'Data Entry'!C$26,'Data Entry'!I$13,'Data Entry'!I$14,'Data Entry'!C$28)</f>
        <v>0.0012845048517580893</v>
      </c>
      <c r="S16" s="44">
        <f>so(P16,F$1,'Data Entry'!C$8,'Data Entry'!C$14,'Data Entry'!C$18,'Data Entry'!I$8,'Data Entry'!I$9,'Data Entry'!C$20,0,0,'Data Entry'!C$26,'Data Entry'!I$13,'Data Entry'!I$14,'Data Entry'!C$28,0,0)</f>
        <v>0.02421062691256748</v>
      </c>
      <c r="V16">
        <f>'Data Entry'!I5</f>
        <v>-2.55</v>
      </c>
      <c r="W16">
        <v>0</v>
      </c>
    </row>
    <row r="17" spans="12:23" ht="14.25">
      <c r="L17" s="36">
        <v>13</v>
      </c>
      <c r="M17" s="40">
        <f>elev(L17,F$1,'Data Entry'!C$8,'Data Entry'!C$14,'Data Entry'!C$18,'Data Entry'!I$8,'Data Entry'!I$9,'Data Entry'!C$20,'Data Entry'!C$21,'Data Entry'!C$22,'Data Entry'!C$26,'Data Entry'!I$13,'Data Entry'!I$14,'Data Entry'!C$28,'Data Entry'!C$29,'Data Entry'!C$30)</f>
        <v>1.2746666666666673</v>
      </c>
      <c r="N17" s="40">
        <f>so(M17,F$1,'Data Entry'!C$8,'Data Entry'!C$14,'Data Entry'!C$18,'Data Entry'!I$8,'Data Entry'!I$9,'Data Entry'!C$20,'Data Entry'!C$21,'Data Entry'!C$22,'Data Entry'!C$26,'Data Entry'!I$13,'Data Entry'!I$14,'Data Entry'!C$28,'Data Entry'!C$29,'Data Entry'!C$30)</f>
        <v>0.08244509192004179</v>
      </c>
      <c r="O17" s="40">
        <f>sw(M17,F$1,'Data Entry'!C$8,'Data Entry'!C$14,'Data Entry'!C$18,'Data Entry'!I$9,'Data Entry'!C$20,'Data Entry'!C$22,'Data Entry'!C$26,'Data Entry'!I$14,'Data Entry'!C$28,'Data Entry'!C$30)</f>
        <v>0.8401048880372588</v>
      </c>
      <c r="P17" s="40">
        <f>elev(L17,F$1,'Data Entry'!C$8,'Data Entry'!C$14,'Data Entry'!C$18,'Data Entry'!I$8,'Data Entry'!I$9,'Data Entry'!C$20,0,0,'Data Entry'!C$26,'Data Entry'!I$13,'Data Entry'!I$14,'Data Entry'!C$28,0,0)</f>
        <v>0.7646666666666672</v>
      </c>
      <c r="Q17" s="44">
        <f>kro(P17,F$1,'Data Entry'!C$8,'Data Entry'!C$14,'Data Entry'!C$18,'Data Entry'!I$8,'Data Entry'!I$9,'Data Entry'!C$20,'Data Entry'!C$26,'Data Entry'!I$13,'Data Entry'!I$14,'Data Entry'!C$28)</f>
        <v>0.0016844390176121147</v>
      </c>
      <c r="S17" s="44">
        <f>so(P17,F$1,'Data Entry'!C$8,'Data Entry'!C$14,'Data Entry'!C$18,'Data Entry'!I$8,'Data Entry'!I$9,'Data Entry'!C$20,0,0,'Data Entry'!C$26,'Data Entry'!I$13,'Data Entry'!I$14,'Data Entry'!C$28,0,0)</f>
        <v>0.026285071355312495</v>
      </c>
      <c r="V17">
        <f>V16</f>
        <v>-2.55</v>
      </c>
      <c r="W17">
        <f>IF(V16&lt;'Data Entry'!C14,'Data Entry'!C30,'Data Entry'!C22)</f>
        <v>0.2</v>
      </c>
    </row>
    <row r="18" spans="12:23" ht="14.25">
      <c r="L18" s="36">
        <v>14</v>
      </c>
      <c r="M18" s="40">
        <f>elev(L18,F$1,'Data Entry'!C$8,'Data Entry'!C$14,'Data Entry'!C$18,'Data Entry'!I$8,'Data Entry'!I$9,'Data Entry'!C$20,'Data Entry'!C$21,'Data Entry'!C$22,'Data Entry'!C$26,'Data Entry'!I$13,'Data Entry'!I$14,'Data Entry'!C$28,'Data Entry'!C$29,'Data Entry'!C$30)</f>
        <v>1.2173333333333338</v>
      </c>
      <c r="N18" s="40">
        <f>so(M18,F$1,'Data Entry'!C$8,'Data Entry'!C$14,'Data Entry'!C$18,'Data Entry'!I$8,'Data Entry'!I$9,'Data Entry'!C$20,'Data Entry'!C$21,'Data Entry'!C$22,'Data Entry'!C$26,'Data Entry'!I$13,'Data Entry'!I$14,'Data Entry'!C$28,'Data Entry'!C$29,'Data Entry'!C$30)</f>
        <v>0.0856125538520145</v>
      </c>
      <c r="O18" s="40">
        <f>sw(M18,F$1,'Data Entry'!C$8,'Data Entry'!C$14,'Data Entry'!C$18,'Data Entry'!I$9,'Data Entry'!C$20,'Data Entry'!C$22,'Data Entry'!C$26,'Data Entry'!I$14,'Data Entry'!C$28,'Data Entry'!C$30)</f>
        <v>0.841237659080268</v>
      </c>
      <c r="P18" s="40">
        <f>elev(L18,F$1,'Data Entry'!C$8,'Data Entry'!C$14,'Data Entry'!C$18,'Data Entry'!I$8,'Data Entry'!I$9,'Data Entry'!C$20,0,0,'Data Entry'!C$26,'Data Entry'!I$13,'Data Entry'!I$14,'Data Entry'!C$28,0,0)</f>
        <v>0.7373333333333337</v>
      </c>
      <c r="Q18" s="44">
        <f>kro(P18,F$1,'Data Entry'!C$8,'Data Entry'!C$14,'Data Entry'!C$18,'Data Entry'!I$8,'Data Entry'!I$9,'Data Entry'!C$20,'Data Entry'!C$26,'Data Entry'!I$13,'Data Entry'!I$14,'Data Entry'!C$28)</f>
        <v>0.0021815184861720296</v>
      </c>
      <c r="S18" s="44">
        <f>so(P18,F$1,'Data Entry'!C$8,'Data Entry'!C$14,'Data Entry'!C$18,'Data Entry'!I$8,'Data Entry'!I$9,'Data Entry'!C$20,0,0,'Data Entry'!C$26,'Data Entry'!I$13,'Data Entry'!I$14,'Data Entry'!C$28,0,0)</f>
        <v>0.028362935967583658</v>
      </c>
      <c r="V18" s="71">
        <f>IF('Data Entry'!C14&lt;0,'Data Entry'!C14,0)</f>
        <v>-0.4</v>
      </c>
      <c r="W18">
        <f>W17</f>
        <v>0.2</v>
      </c>
    </row>
    <row r="19" spans="12:23" ht="14.25">
      <c r="L19" s="36">
        <v>15</v>
      </c>
      <c r="M19" s="40">
        <f>elev(L19,F$1,'Data Entry'!C$8,'Data Entry'!C$14,'Data Entry'!C$18,'Data Entry'!I$8,'Data Entry'!I$9,'Data Entry'!C$20,'Data Entry'!C$21,'Data Entry'!C$22,'Data Entry'!C$26,'Data Entry'!I$13,'Data Entry'!I$14,'Data Entry'!C$28,'Data Entry'!C$29,'Data Entry'!C$30)</f>
        <v>1.1600000000000006</v>
      </c>
      <c r="N19" s="40">
        <f>so(M19,F$1,'Data Entry'!C$8,'Data Entry'!C$14,'Data Entry'!C$18,'Data Entry'!I$8,'Data Entry'!I$9,'Data Entry'!C$20,'Data Entry'!C$21,'Data Entry'!C$22,'Data Entry'!C$26,'Data Entry'!I$13,'Data Entry'!I$14,'Data Entry'!C$28,'Data Entry'!C$29,'Data Entry'!C$30)</f>
        <v>0.08890892995472605</v>
      </c>
      <c r="O19" s="40">
        <f>sw(M19,F$1,'Data Entry'!C$8,'Data Entry'!C$14,'Data Entry'!C$18,'Data Entry'!I$9,'Data Entry'!C$20,'Data Entry'!C$22,'Data Entry'!C$26,'Data Entry'!I$14,'Data Entry'!C$28,'Data Entry'!C$30)</f>
        <v>0.8423807177374125</v>
      </c>
      <c r="P19" s="40">
        <f>elev(L19,F$1,'Data Entry'!C$8,'Data Entry'!C$14,'Data Entry'!C$18,'Data Entry'!I$8,'Data Entry'!I$9,'Data Entry'!C$20,0,0,'Data Entry'!C$26,'Data Entry'!I$13,'Data Entry'!I$14,'Data Entry'!C$28,0,0)</f>
        <v>0.7100000000000004</v>
      </c>
      <c r="Q19" s="44">
        <f>kro(P19,F$1,'Data Entry'!C$8,'Data Entry'!C$14,'Data Entry'!C$18,'Data Entry'!I$8,'Data Entry'!I$9,'Data Entry'!C$20,'Data Entry'!C$26,'Data Entry'!I$13,'Data Entry'!I$14,'Data Entry'!C$28)</f>
        <v>0.002795656546436412</v>
      </c>
      <c r="S19" s="44">
        <f>so(P19,F$1,'Data Entry'!C$8,'Data Entry'!C$14,'Data Entry'!C$18,'Data Entry'!I$8,'Data Entry'!I$9,'Data Entry'!C$20,0,0,'Data Entry'!C$26,'Data Entry'!I$13,'Data Entry'!I$14,'Data Entry'!C$28,0,0)</f>
        <v>0.030438402257152886</v>
      </c>
      <c r="V19" s="71">
        <f>IF('Data Entry'!C14&lt;0,'Data Entry'!C14,0)</f>
        <v>-0.4</v>
      </c>
      <c r="W19">
        <f>IF('Data Entry'!C14&lt;0,'Data Entry'!C22,'Data Entry'!C30)</f>
        <v>0.1</v>
      </c>
    </row>
    <row r="20" spans="12:23" ht="14.25">
      <c r="L20" s="36">
        <v>16</v>
      </c>
      <c r="M20" s="40">
        <f>elev(L20,F$1,'Data Entry'!C$8,'Data Entry'!C$14,'Data Entry'!C$18,'Data Entry'!I$8,'Data Entry'!I$9,'Data Entry'!C$20,'Data Entry'!C$21,'Data Entry'!C$22,'Data Entry'!C$26,'Data Entry'!I$13,'Data Entry'!I$14,'Data Entry'!C$28,'Data Entry'!C$29,'Data Entry'!C$30)</f>
        <v>1.1026666666666671</v>
      </c>
      <c r="N20" s="40">
        <f>so(M20,F$1,'Data Entry'!C$8,'Data Entry'!C$14,'Data Entry'!C$18,'Data Entry'!I$8,'Data Entry'!I$9,'Data Entry'!C$20,'Data Entry'!C$21,'Data Entry'!C$22,'Data Entry'!C$26,'Data Entry'!I$13,'Data Entry'!I$14,'Data Entry'!C$28,'Data Entry'!C$29,'Data Entry'!C$30)</f>
        <v>0.09233369602399483</v>
      </c>
      <c r="O20" s="40">
        <f>sw(M20,F$1,'Data Entry'!C$8,'Data Entry'!C$14,'Data Entry'!C$18,'Data Entry'!I$9,'Data Entry'!C$20,'Data Entry'!C$22,'Data Entry'!C$26,'Data Entry'!I$14,'Data Entry'!C$28,'Data Entry'!C$30)</f>
        <v>0.8435340230117405</v>
      </c>
      <c r="P20" s="40">
        <f>elev(L20,F$1,'Data Entry'!C$8,'Data Entry'!C$14,'Data Entry'!C$18,'Data Entry'!I$8,'Data Entry'!I$9,'Data Entry'!C$20,0,0,'Data Entry'!C$26,'Data Entry'!I$13,'Data Entry'!I$14,'Data Entry'!C$28,0,0)</f>
        <v>0.682666666666667</v>
      </c>
      <c r="Q20" s="44">
        <f>kro(P20,F$1,'Data Entry'!C$8,'Data Entry'!C$14,'Data Entry'!C$18,'Data Entry'!I$8,'Data Entry'!I$9,'Data Entry'!C$20,'Data Entry'!C$26,'Data Entry'!I$13,'Data Entry'!I$14,'Data Entry'!C$28)</f>
        <v>0.0035507885437221975</v>
      </c>
      <c r="S20" s="44">
        <f>so(P20,F$1,'Data Entry'!C$8,'Data Entry'!C$14,'Data Entry'!C$18,'Data Entry'!I$8,'Data Entry'!I$9,'Data Entry'!C$20,0,0,'Data Entry'!C$26,'Data Entry'!I$13,'Data Entry'!I$14,'Data Entry'!C$28,0,0)</f>
        <v>0.03250476452197587</v>
      </c>
      <c r="V20">
        <v>0</v>
      </c>
      <c r="W20">
        <f>IF('Data Entry'!C14&lt;0,'Data Entry'!C22,'Data Entry'!C30)</f>
        <v>0.1</v>
      </c>
    </row>
    <row r="21" spans="12:23" ht="14.25">
      <c r="L21" s="36">
        <v>17</v>
      </c>
      <c r="M21" s="40">
        <f>elev(L21,F$1,'Data Entry'!C$8,'Data Entry'!C$14,'Data Entry'!C$18,'Data Entry'!I$8,'Data Entry'!I$9,'Data Entry'!C$20,'Data Entry'!C$21,'Data Entry'!C$22,'Data Entry'!C$26,'Data Entry'!I$13,'Data Entry'!I$14,'Data Entry'!C$28,'Data Entry'!C$29,'Data Entry'!C$30)</f>
        <v>1.0453333333333337</v>
      </c>
      <c r="N21" s="40">
        <f>so(M21,F$1,'Data Entry'!C$8,'Data Entry'!C$14,'Data Entry'!C$18,'Data Entry'!I$8,'Data Entry'!I$9,'Data Entry'!C$20,'Data Entry'!C$21,'Data Entry'!C$22,'Data Entry'!C$26,'Data Entry'!I$13,'Data Entry'!I$14,'Data Entry'!C$28,'Data Entry'!C$29,'Data Entry'!C$30)</f>
        <v>0.09588420717096308</v>
      </c>
      <c r="O21" s="40">
        <f>sw(M21,F$1,'Data Entry'!C$8,'Data Entry'!C$14,'Data Entry'!C$18,'Data Entry'!I$9,'Data Entry'!C$20,'Data Entry'!C$22,'Data Entry'!C$26,'Data Entry'!I$14,'Data Entry'!C$28,'Data Entry'!C$30)</f>
        <v>0.8446975190248323</v>
      </c>
      <c r="P21" s="40">
        <f>elev(L21,F$1,'Data Entry'!C$8,'Data Entry'!C$14,'Data Entry'!C$18,'Data Entry'!I$8,'Data Entry'!I$9,'Data Entry'!C$20,0,0,'Data Entry'!C$26,'Data Entry'!I$13,'Data Entry'!I$14,'Data Entry'!C$28,0,0)</f>
        <v>0.6553333333333338</v>
      </c>
      <c r="Q21" s="44">
        <f>kro(P21,F$1,'Data Entry'!C$8,'Data Entry'!C$14,'Data Entry'!C$18,'Data Entry'!I$8,'Data Entry'!I$9,'Data Entry'!C$20,'Data Entry'!C$26,'Data Entry'!I$13,'Data Entry'!I$14,'Data Entry'!C$28)</f>
        <v>0.004475813865714858</v>
      </c>
      <c r="S21" s="44">
        <f>so(P21,F$1,'Data Entry'!C$8,'Data Entry'!C$14,'Data Entry'!C$18,'Data Entry'!I$8,'Data Entry'!I$9,'Data Entry'!C$20,0,0,'Data Entry'!C$26,'Data Entry'!I$13,'Data Entry'!I$14,'Data Entry'!C$28,0,0)</f>
        <v>0.03455430863405862</v>
      </c>
      <c r="V21">
        <v>0</v>
      </c>
      <c r="W21">
        <f>W14</f>
        <v>0.05</v>
      </c>
    </row>
    <row r="22" spans="12:19" ht="14.25">
      <c r="L22" s="36">
        <v>18</v>
      </c>
      <c r="M22" s="40">
        <f>elev(L22,F$1,'Data Entry'!C$8,'Data Entry'!C$14,'Data Entry'!C$18,'Data Entry'!I$8,'Data Entry'!I$9,'Data Entry'!C$20,'Data Entry'!C$21,'Data Entry'!C$22,'Data Entry'!C$26,'Data Entry'!I$13,'Data Entry'!I$14,'Data Entry'!C$28,'Data Entry'!C$29,'Data Entry'!C$30)</f>
        <v>0.9880000000000004</v>
      </c>
      <c r="N22" s="40">
        <f>so(M22,F$1,'Data Entry'!C$8,'Data Entry'!C$14,'Data Entry'!C$18,'Data Entry'!I$8,'Data Entry'!I$9,'Data Entry'!C$20,'Data Entry'!C$21,'Data Entry'!C$22,'Data Entry'!C$26,'Data Entry'!I$13,'Data Entry'!I$14,'Data Entry'!C$28,'Data Entry'!C$29,'Data Entry'!C$30)</f>
        <v>0.09955500341875922</v>
      </c>
      <c r="O22" s="40">
        <f>sw(M22,F$1,'Data Entry'!C$8,'Data Entry'!C$14,'Data Entry'!C$18,'Data Entry'!I$9,'Data Entry'!C$20,'Data Entry'!C$22,'Data Entry'!C$26,'Data Entry'!I$14,'Data Entry'!C$28,'Data Entry'!C$30)</f>
        <v>0.8458711337272198</v>
      </c>
      <c r="P22" s="40">
        <f>elev(L22,F$1,'Data Entry'!C$8,'Data Entry'!C$14,'Data Entry'!C$18,'Data Entry'!I$8,'Data Entry'!I$9,'Data Entry'!C$20,0,0,'Data Entry'!C$26,'Data Entry'!I$13,'Data Entry'!I$14,'Data Entry'!C$28,0,0)</f>
        <v>0.6280000000000003</v>
      </c>
      <c r="Q22" s="44">
        <f>kro(P22,F$1,'Data Entry'!C$8,'Data Entry'!C$14,'Data Entry'!C$18,'Data Entry'!I$8,'Data Entry'!I$9,'Data Entry'!C$20,'Data Entry'!C$26,'Data Entry'!I$13,'Data Entry'!I$14,'Data Entry'!C$28)</f>
        <v>0.005605829795173768</v>
      </c>
      <c r="S22" s="44">
        <f>so(P22,F$1,'Data Entry'!C$8,'Data Entry'!C$14,'Data Entry'!C$18,'Data Entry'!I$8,'Data Entry'!I$9,'Data Entry'!C$20,0,0,'Data Entry'!C$26,'Data Entry'!I$13,'Data Entry'!I$14,'Data Entry'!C$28,0,0)</f>
        <v>0.03657817036521127</v>
      </c>
    </row>
    <row r="23" spans="12:19" ht="14.25">
      <c r="L23" s="36">
        <v>19</v>
      </c>
      <c r="M23" s="40">
        <f>elev(L23,F$1,'Data Entry'!C$8,'Data Entry'!C$14,'Data Entry'!C$18,'Data Entry'!I$8,'Data Entry'!I$9,'Data Entry'!C$20,'Data Entry'!C$21,'Data Entry'!C$22,'Data Entry'!C$26,'Data Entry'!I$13,'Data Entry'!I$14,'Data Entry'!C$28,'Data Entry'!C$29,'Data Entry'!C$30)</f>
        <v>0.9306666666666672</v>
      </c>
      <c r="N23" s="40">
        <f>so(M23,F$1,'Data Entry'!C$8,'Data Entry'!C$14,'Data Entry'!C$18,'Data Entry'!I$8,'Data Entry'!I$9,'Data Entry'!C$20,'Data Entry'!C$21,'Data Entry'!C$22,'Data Entry'!C$26,'Data Entry'!I$13,'Data Entry'!I$14,'Data Entry'!C$28,'Data Entry'!C$29,'Data Entry'!C$30)</f>
        <v>0.10333691967034037</v>
      </c>
      <c r="O23" s="40">
        <f>sw(M23,F$1,'Data Entry'!C$8,'Data Entry'!C$14,'Data Entry'!C$18,'Data Entry'!I$9,'Data Entry'!C$20,'Data Entry'!C$22,'Data Entry'!C$26,'Data Entry'!I$14,'Data Entry'!C$28,'Data Entry'!C$30)</f>
        <v>0.8470547775110235</v>
      </c>
      <c r="P23" s="40">
        <f>elev(L23,F$1,'Data Entry'!C$8,'Data Entry'!C$14,'Data Entry'!C$18,'Data Entry'!I$8,'Data Entry'!I$9,'Data Entry'!C$20,0,0,'Data Entry'!C$26,'Data Entry'!I$13,'Data Entry'!I$14,'Data Entry'!C$28,0,0)</f>
        <v>0.600666666666667</v>
      </c>
      <c r="Q23" s="44">
        <f>kro(P23,F$1,'Data Entry'!C$8,'Data Entry'!C$14,'Data Entry'!C$18,'Data Entry'!I$8,'Data Entry'!I$9,'Data Entry'!C$20,'Data Entry'!C$26,'Data Entry'!I$13,'Data Entry'!I$14,'Data Entry'!C$28)</f>
        <v>0.006983785870041855</v>
      </c>
      <c r="S23" s="44">
        <f>so(P23,F$1,'Data Entry'!C$8,'Data Entry'!C$14,'Data Entry'!C$18,'Data Entry'!I$8,'Data Entry'!I$9,'Data Entry'!C$20,0,0,'Data Entry'!C$26,'Data Entry'!I$13,'Data Entry'!I$14,'Data Entry'!C$28,0,0)</f>
        <v>0.03856616726353107</v>
      </c>
    </row>
    <row r="24" spans="12:19" ht="14.25">
      <c r="L24" s="36">
        <v>20</v>
      </c>
      <c r="M24" s="40">
        <f>elev(L24,F$1,'Data Entry'!C$8,'Data Entry'!C$14,'Data Entry'!C$18,'Data Entry'!I$8,'Data Entry'!I$9,'Data Entry'!C$20,'Data Entry'!C$21,'Data Entry'!C$22,'Data Entry'!C$26,'Data Entry'!I$13,'Data Entry'!I$14,'Data Entry'!C$28,'Data Entry'!C$29,'Data Entry'!C$30)</f>
        <v>0.8733333333333335</v>
      </c>
      <c r="N24" s="40">
        <f>so(M24,F$1,'Data Entry'!C$8,'Data Entry'!C$14,'Data Entry'!C$18,'Data Entry'!I$8,'Data Entry'!I$9,'Data Entry'!C$20,'Data Entry'!C$21,'Data Entry'!C$22,'Data Entry'!C$26,'Data Entry'!I$13,'Data Entry'!I$14,'Data Entry'!C$28,'Data Entry'!C$29,'Data Entry'!C$30)</f>
        <v>0.10721594611504304</v>
      </c>
      <c r="O24" s="40">
        <f>sw(M24,F$1,'Data Entry'!C$8,'Data Entry'!C$14,'Data Entry'!C$18,'Data Entry'!I$9,'Data Entry'!C$20,'Data Entry'!C$22,'Data Entry'!C$26,'Data Entry'!I$14,'Data Entry'!C$28,'Data Entry'!C$30)</f>
        <v>0.8482483417175974</v>
      </c>
      <c r="P24" s="40">
        <f>elev(L24,F$1,'Data Entry'!C$8,'Data Entry'!C$14,'Data Entry'!C$18,'Data Entry'!I$8,'Data Entry'!I$9,'Data Entry'!C$20,0,0,'Data Entry'!C$26,'Data Entry'!I$13,'Data Entry'!I$14,'Data Entry'!C$28,0,0)</f>
        <v>0.5733333333333337</v>
      </c>
      <c r="Q24" s="44">
        <f>kro(P24,F$1,'Data Entry'!C$8,'Data Entry'!C$14,'Data Entry'!C$18,'Data Entry'!I$8,'Data Entry'!I$9,'Data Entry'!C$20,'Data Entry'!C$26,'Data Entry'!I$13,'Data Entry'!I$14,'Data Entry'!C$28)</f>
        <v>0.00866276520573659</v>
      </c>
      <c r="S24" s="44">
        <f>so(P24,F$1,'Data Entry'!C$8,'Data Entry'!C$14,'Data Entry'!C$18,'Data Entry'!I$8,'Data Entry'!I$9,'Data Entry'!C$20,0,0,'Data Entry'!C$26,'Data Entry'!I$13,'Data Entry'!I$14,'Data Entry'!C$28,0,0)</f>
        <v>0.04050659507029719</v>
      </c>
    </row>
    <row r="25" spans="12:19" ht="14.25">
      <c r="L25" s="36">
        <v>21</v>
      </c>
      <c r="M25" s="40">
        <f>elev(L25,F$1,'Data Entry'!C$8,'Data Entry'!C$14,'Data Entry'!C$18,'Data Entry'!I$8,'Data Entry'!I$9,'Data Entry'!C$20,'Data Entry'!C$21,'Data Entry'!C$22,'Data Entry'!C$26,'Data Entry'!I$13,'Data Entry'!I$14,'Data Entry'!C$28,'Data Entry'!C$29,'Data Entry'!C$30)</f>
        <v>0.8160000000000003</v>
      </c>
      <c r="N25" s="40">
        <f>so(M25,F$1,'Data Entry'!C$8,'Data Entry'!C$14,'Data Entry'!C$18,'Data Entry'!I$8,'Data Entry'!I$9,'Data Entry'!C$20,'Data Entry'!C$21,'Data Entry'!C$22,'Data Entry'!C$26,'Data Entry'!I$13,'Data Entry'!I$14,'Data Entry'!C$28,'Data Entry'!C$29,'Data Entry'!C$30)</f>
        <v>0.11117176896984299</v>
      </c>
      <c r="O25" s="40">
        <f>sw(M25,F$1,'Data Entry'!C$8,'Data Entry'!C$14,'Data Entry'!C$18,'Data Entry'!I$9,'Data Entry'!C$20,'Data Entry'!C$22,'Data Entry'!C$26,'Data Entry'!I$14,'Data Entry'!C$28,'Data Entry'!C$30)</f>
        <v>0.8494516970324362</v>
      </c>
      <c r="P25" s="40">
        <f>elev(L25,F$1,'Data Entry'!C$8,'Data Entry'!C$14,'Data Entry'!C$18,'Data Entry'!I$8,'Data Entry'!I$9,'Data Entry'!C$20,0,0,'Data Entry'!C$26,'Data Entry'!I$13,'Data Entry'!I$14,'Data Entry'!C$28,0,0)</f>
        <v>0.5460000000000003</v>
      </c>
      <c r="Q25" s="44">
        <f>kro(P25,F$1,'Data Entry'!C$8,'Data Entry'!C$14,'Data Entry'!C$18,'Data Entry'!I$8,'Data Entry'!I$9,'Data Entry'!C$20,'Data Entry'!C$26,'Data Entry'!I$13,'Data Entry'!I$14,'Data Entry'!C$28)</f>
        <v>0.010709238119463792</v>
      </c>
      <c r="S25" s="44">
        <f>so(P25,F$1,'Data Entry'!C$8,'Data Entry'!C$14,'Data Entry'!C$18,'Data Entry'!I$8,'Data Entry'!I$9,'Data Entry'!C$20,0,0,'Data Entry'!C$26,'Data Entry'!I$13,'Data Entry'!I$14,'Data Entry'!C$28,0,0)</f>
        <v>0.04238597459531718</v>
      </c>
    </row>
    <row r="26" spans="12:19" ht="14.25">
      <c r="L26" s="36">
        <v>22</v>
      </c>
      <c r="M26" s="40">
        <f>elev(L26,F$1,'Data Entry'!C$8,'Data Entry'!C$14,'Data Entry'!C$18,'Data Entry'!I$8,'Data Entry'!I$9,'Data Entry'!C$20,'Data Entry'!C$21,'Data Entry'!C$22,'Data Entry'!C$26,'Data Entry'!I$13,'Data Entry'!I$14,'Data Entry'!C$28,'Data Entry'!C$29,'Data Entry'!C$30)</f>
        <v>0.758666666666667</v>
      </c>
      <c r="N26" s="40">
        <f>so(M26,F$1,'Data Entry'!C$8,'Data Entry'!C$14,'Data Entry'!C$18,'Data Entry'!I$8,'Data Entry'!I$9,'Data Entry'!C$20,'Data Entry'!C$21,'Data Entry'!C$22,'Data Entry'!C$26,'Data Entry'!I$13,'Data Entry'!I$14,'Data Entry'!C$28,'Data Entry'!C$29,'Data Entry'!C$30)</f>
        <v>0.11517589783291038</v>
      </c>
      <c r="O26" s="40">
        <f>sw(M26,F$1,'Data Entry'!C$8,'Data Entry'!C$14,'Data Entry'!C$18,'Data Entry'!I$9,'Data Entry'!C$20,'Data Entry'!C$22,'Data Entry'!C$26,'Data Entry'!I$14,'Data Entry'!C$28,'Data Entry'!C$30)</f>
        <v>0.8506646917590168</v>
      </c>
      <c r="P26" s="40">
        <f>elev(L26,F$1,'Data Entry'!C$8,'Data Entry'!C$14,'Data Entry'!C$18,'Data Entry'!I$8,'Data Entry'!I$9,'Data Entry'!C$20,0,0,'Data Entry'!C$26,'Data Entry'!I$13,'Data Entry'!I$14,'Data Entry'!C$28,0,0)</f>
        <v>0.5186666666666668</v>
      </c>
      <c r="Q26" s="44">
        <f>kro(P26,F$1,'Data Entry'!C$8,'Data Entry'!C$14,'Data Entry'!C$18,'Data Entry'!I$8,'Data Entry'!I$9,'Data Entry'!C$20,'Data Entry'!C$26,'Data Entry'!I$13,'Data Entry'!I$14,'Data Entry'!C$28)</f>
        <v>0.01320789393429684</v>
      </c>
      <c r="S26" s="44">
        <f>so(P26,F$1,'Data Entry'!C$8,'Data Entry'!C$14,'Data Entry'!C$18,'Data Entry'!I$8,'Data Entry'!I$9,'Data Entry'!C$20,0,0,'Data Entry'!C$26,'Data Entry'!I$13,'Data Entry'!I$14,'Data Entry'!C$28,0,0)</f>
        <v>0.04418872611336888</v>
      </c>
    </row>
    <row r="27" spans="12:19" ht="14.25">
      <c r="L27" s="36">
        <v>23</v>
      </c>
      <c r="M27" s="40">
        <f>elev(L27,F$1,'Data Entry'!C$8,'Data Entry'!C$14,'Data Entry'!C$18,'Data Entry'!I$8,'Data Entry'!I$9,'Data Entry'!C$20,'Data Entry'!C$21,'Data Entry'!C$22,'Data Entry'!C$26,'Data Entry'!I$13,'Data Entry'!I$14,'Data Entry'!C$28,'Data Entry'!C$29,'Data Entry'!C$30)</f>
        <v>0.7013333333333336</v>
      </c>
      <c r="N27" s="40">
        <f>so(M27,F$1,'Data Entry'!C$8,'Data Entry'!C$14,'Data Entry'!C$18,'Data Entry'!I$8,'Data Entry'!I$9,'Data Entry'!C$20,'Data Entry'!C$21,'Data Entry'!C$22,'Data Entry'!C$26,'Data Entry'!I$13,'Data Entry'!I$14,'Data Entry'!C$28,'Data Entry'!C$29,'Data Entry'!C$30)</f>
        <v>0.11918924776526396</v>
      </c>
      <c r="O27" s="40">
        <f>sw(M27,F$1,'Data Entry'!C$8,'Data Entry'!C$14,'Data Entry'!C$18,'Data Entry'!I$9,'Data Entry'!C$20,'Data Entry'!C$22,'Data Entry'!C$26,'Data Entry'!I$14,'Data Entry'!C$28,'Data Entry'!C$30)</f>
        <v>0.851887149962612</v>
      </c>
      <c r="P27" s="40">
        <f>elev(L27,F$1,'Data Entry'!C$8,'Data Entry'!C$14,'Data Entry'!C$18,'Data Entry'!I$8,'Data Entry'!I$9,'Data Entry'!C$20,0,0,'Data Entry'!C$26,'Data Entry'!I$13,'Data Entry'!I$14,'Data Entry'!C$28,0,0)</f>
        <v>0.4913333333333335</v>
      </c>
      <c r="Q27" s="44">
        <f>kro(P27,F$1,'Data Entry'!C$8,'Data Entry'!C$14,'Data Entry'!C$18,'Data Entry'!I$8,'Data Entry'!I$9,'Data Entry'!C$20,'Data Entry'!C$26,'Data Entry'!I$13,'Data Entry'!I$14,'Data Entry'!C$28)</f>
        <v>0.016269175471509773</v>
      </c>
      <c r="S27" s="44">
        <f>so(P27,F$1,'Data Entry'!C$8,'Data Entry'!C$14,'Data Entry'!C$18,'Data Entry'!I$8,'Data Entry'!I$9,'Data Entry'!C$20,0,0,'Data Entry'!C$26,'Data Entry'!I$13,'Data Entry'!I$14,'Data Entry'!C$28,0,0)</f>
        <v>0.04589673214527795</v>
      </c>
    </row>
    <row r="28" spans="12:23" ht="14.25">
      <c r="L28" s="36">
        <v>24</v>
      </c>
      <c r="M28" s="40">
        <f>elev(L28,F$1,'Data Entry'!C$8,'Data Entry'!C$14,'Data Entry'!C$18,'Data Entry'!I$8,'Data Entry'!I$9,'Data Entry'!C$20,'Data Entry'!C$21,'Data Entry'!C$22,'Data Entry'!C$26,'Data Entry'!I$13,'Data Entry'!I$14,'Data Entry'!C$28,'Data Entry'!C$29,'Data Entry'!C$30)</f>
        <v>0.6440000000000001</v>
      </c>
      <c r="N28" s="40">
        <f>so(M28,F$1,'Data Entry'!C$8,'Data Entry'!C$14,'Data Entry'!C$18,'Data Entry'!I$8,'Data Entry'!I$9,'Data Entry'!C$20,'Data Entry'!C$21,'Data Entry'!C$22,'Data Entry'!C$26,'Data Entry'!I$13,'Data Entry'!I$14,'Data Entry'!C$28,'Data Entry'!C$29,'Data Entry'!C$30)</f>
        <v>0.12315897424972139</v>
      </c>
      <c r="O28" s="40">
        <f>sw(M28,F$1,'Data Entry'!C$8,'Data Entry'!C$14,'Data Entry'!C$18,'Data Entry'!I$9,'Data Entry'!C$20,'Data Entry'!C$22,'Data Entry'!C$26,'Data Entry'!I$14,'Data Entry'!C$28,'Data Entry'!C$30)</f>
        <v>0.8531188694744203</v>
      </c>
      <c r="P28" s="40">
        <f>elev(L28,F$1,'Data Entry'!C$8,'Data Entry'!C$14,'Data Entry'!C$18,'Data Entry'!I$8,'Data Entry'!I$9,'Data Entry'!C$20,0,0,'Data Entry'!C$26,'Data Entry'!I$13,'Data Entry'!I$14,'Data Entry'!C$28,0,0)</f>
        <v>0.4640000000000002</v>
      </c>
      <c r="Q28" s="44">
        <f>kro(P28,F$1,'Data Entry'!C$8,'Data Entry'!C$14,'Data Entry'!C$18,'Data Entry'!I$8,'Data Entry'!I$9,'Data Entry'!C$20,'Data Entry'!C$26,'Data Entry'!I$13,'Data Entry'!I$14,'Data Entry'!C$28)</f>
        <v>0.02004175070712255</v>
      </c>
      <c r="S28" s="44">
        <f>so(P28,F$1,'Data Entry'!C$8,'Data Entry'!C$14,'Data Entry'!C$18,'Data Entry'!I$8,'Data Entry'!I$9,'Data Entry'!C$20,0,0,'Data Entry'!C$26,'Data Entry'!I$13,'Data Entry'!I$14,'Data Entry'!C$28,0,0)</f>
        <v>0.04748871809286248</v>
      </c>
      <c r="V28">
        <f>V29</f>
        <v>0.30000000000000004</v>
      </c>
      <c r="W28">
        <v>0.99</v>
      </c>
    </row>
    <row r="29" spans="12:23" ht="14.25">
      <c r="L29" s="36">
        <v>25</v>
      </c>
      <c r="M29" s="40">
        <f>elev(L29,F$1,'Data Entry'!C$8,'Data Entry'!C$14,'Data Entry'!C$18,'Data Entry'!I$8,'Data Entry'!I$9,'Data Entry'!C$20,'Data Entry'!C$21,'Data Entry'!C$22,'Data Entry'!C$26,'Data Entry'!I$13,'Data Entry'!I$14,'Data Entry'!C$28,'Data Entry'!C$29,'Data Entry'!C$30)</f>
        <v>0.5866666666666669</v>
      </c>
      <c r="N29" s="40">
        <f>so(M29,F$1,'Data Entry'!C$8,'Data Entry'!C$14,'Data Entry'!C$18,'Data Entry'!I$8,'Data Entry'!I$9,'Data Entry'!C$20,'Data Entry'!C$21,'Data Entry'!C$22,'Data Entry'!C$26,'Data Entry'!I$13,'Data Entry'!I$14,'Data Entry'!C$28,'Data Entry'!C$29,'Data Entry'!C$30)</f>
        <v>0.12701421237631394</v>
      </c>
      <c r="O29" s="40">
        <f>sw(M29,F$1,'Data Entry'!C$8,'Data Entry'!C$14,'Data Entry'!C$18,'Data Entry'!I$9,'Data Entry'!C$20,'Data Entry'!C$22,'Data Entry'!C$26,'Data Entry'!I$14,'Data Entry'!C$28,'Data Entry'!C$30)</f>
        <v>0.854359619745598</v>
      </c>
      <c r="P29" s="40">
        <f>elev(L29,F$1,'Data Entry'!C$8,'Data Entry'!C$14,'Data Entry'!C$18,'Data Entry'!I$8,'Data Entry'!I$9,'Data Entry'!C$20,0,0,'Data Entry'!C$26,'Data Entry'!I$13,'Data Entry'!I$14,'Data Entry'!C$28,0,0)</f>
        <v>0.43666666666666687</v>
      </c>
      <c r="Q29" s="44">
        <f>kro(P29,F$1,'Data Entry'!C$8,'Data Entry'!C$14,'Data Entry'!C$18,'Data Entry'!I$8,'Data Entry'!I$9,'Data Entry'!C$20,'Data Entry'!C$26,'Data Entry'!I$13,'Data Entry'!I$14,'Data Entry'!C$28)</f>
        <v>0.024734757912282697</v>
      </c>
      <c r="S29" s="44">
        <f>so(P29,F$1,'Data Entry'!C$8,'Data Entry'!C$14,'Data Entry'!C$18,'Data Entry'!I$8,'Data Entry'!I$9,'Data Entry'!C$20,0,0,'Data Entry'!C$26,'Data Entry'!I$13,'Data Entry'!I$14,'Data Entry'!C$28,0,0)</f>
        <v>0.04893931470633717</v>
      </c>
      <c r="V29">
        <f>(1-'Data Entry'!C8)*'Distribution Charts'!F1</f>
        <v>0.30000000000000004</v>
      </c>
      <c r="W29">
        <v>1</v>
      </c>
    </row>
    <row r="30" spans="12:23" ht="14.25">
      <c r="L30" s="36">
        <v>26</v>
      </c>
      <c r="M30" s="40">
        <f>elev(L30,F$1,'Data Entry'!C$8,'Data Entry'!C$14,'Data Entry'!C$18,'Data Entry'!I$8,'Data Entry'!I$9,'Data Entry'!C$20,'Data Entry'!C$21,'Data Entry'!C$22,'Data Entry'!C$26,'Data Entry'!I$13,'Data Entry'!I$14,'Data Entry'!C$28,'Data Entry'!C$29,'Data Entry'!C$30)</f>
        <v>0.5293333333333337</v>
      </c>
      <c r="N30" s="40">
        <f>so(M30,F$1,'Data Entry'!C$8,'Data Entry'!C$14,'Data Entry'!C$18,'Data Entry'!I$8,'Data Entry'!I$9,'Data Entry'!C$20,'Data Entry'!C$21,'Data Entry'!C$22,'Data Entry'!C$26,'Data Entry'!I$13,'Data Entry'!I$14,'Data Entry'!C$28,'Data Entry'!C$29,'Data Entry'!C$30)</f>
        <v>0.13066001970433527</v>
      </c>
      <c r="O30" s="40">
        <f>sw(M30,F$1,'Data Entry'!C$8,'Data Entry'!C$14,'Data Entry'!C$18,'Data Entry'!I$9,'Data Entry'!C$20,'Data Entry'!C$22,'Data Entry'!C$26,'Data Entry'!I$14,'Data Entry'!C$28,'Data Entry'!C$30)</f>
        <v>0.8556091395399417</v>
      </c>
      <c r="P30" s="40">
        <f>elev(L30,F$1,'Data Entry'!C$8,'Data Entry'!C$14,'Data Entry'!C$18,'Data Entry'!I$8,'Data Entry'!I$9,'Data Entry'!C$20,0,0,'Data Entry'!C$26,'Data Entry'!I$13,'Data Entry'!I$14,'Data Entry'!C$28,0,0)</f>
        <v>0.40933333333333355</v>
      </c>
      <c r="Q30" s="44">
        <f>kro(P30,F$1,'Data Entry'!C$8,'Data Entry'!C$14,'Data Entry'!C$18,'Data Entry'!I$8,'Data Entry'!I$9,'Data Entry'!C$20,'Data Entry'!C$26,'Data Entry'!I$13,'Data Entry'!I$14,'Data Entry'!C$28)</f>
        <v>0.0306615269724492</v>
      </c>
      <c r="S30" s="44">
        <f>so(P30,F$1,'Data Entry'!C$8,'Data Entry'!C$14,'Data Entry'!C$18,'Data Entry'!I$8,'Data Entry'!I$9,'Data Entry'!C$20,0,0,'Data Entry'!C$26,'Data Entry'!I$13,'Data Entry'!I$14,'Data Entry'!C$28,0,0)</f>
        <v>0.050217515854727945</v>
      </c>
      <c r="V30">
        <f>-F1*'Data Entry'!C8</f>
        <v>-1.7</v>
      </c>
      <c r="W30">
        <v>1</v>
      </c>
    </row>
    <row r="31" spans="12:23" ht="14.25">
      <c r="L31" s="36">
        <v>27</v>
      </c>
      <c r="M31" s="40">
        <f>elev(L31,F$1,'Data Entry'!C$8,'Data Entry'!C$14,'Data Entry'!C$18,'Data Entry'!I$8,'Data Entry'!I$9,'Data Entry'!C$20,'Data Entry'!C$21,'Data Entry'!C$22,'Data Entry'!C$26,'Data Entry'!I$13,'Data Entry'!I$14,'Data Entry'!C$28,'Data Entry'!C$29,'Data Entry'!C$30)</f>
        <v>0.472</v>
      </c>
      <c r="N31" s="40">
        <f>so(M31,F$1,'Data Entry'!C$8,'Data Entry'!C$14,'Data Entry'!C$18,'Data Entry'!I$8,'Data Entry'!I$9,'Data Entry'!C$20,'Data Entry'!C$21,'Data Entry'!C$22,'Data Entry'!C$26,'Data Entry'!I$13,'Data Entry'!I$14,'Data Entry'!C$28,'Data Entry'!C$29,'Data Entry'!C$30)</f>
        <v>0.133967850152794</v>
      </c>
      <c r="O31" s="40">
        <f>sw(M31,F$1,'Data Entry'!C$8,'Data Entry'!C$14,'Data Entry'!C$18,'Data Entry'!I$9,'Data Entry'!C$20,'Data Entry'!C$22,'Data Entry'!C$26,'Data Entry'!I$14,'Data Entry'!C$28,'Data Entry'!C$30)</f>
        <v>0.8568671344530385</v>
      </c>
      <c r="P31" s="40">
        <f>elev(L31,F$1,'Data Entry'!C$8,'Data Entry'!C$14,'Data Entry'!C$18,'Data Entry'!I$8,'Data Entry'!I$9,'Data Entry'!C$20,0,0,'Data Entry'!C$26,'Data Entry'!I$13,'Data Entry'!I$14,'Data Entry'!C$28,0,0)</f>
        <v>0.3820000000000001</v>
      </c>
      <c r="Q31" s="44">
        <f>kro(P31,F$1,'Data Entry'!C$8,'Data Entry'!C$14,'Data Entry'!C$18,'Data Entry'!I$8,'Data Entry'!I$9,'Data Entry'!C$20,'Data Entry'!C$26,'Data Entry'!I$13,'Data Entry'!I$14,'Data Entry'!C$28)</f>
        <v>0.038337798450592805</v>
      </c>
      <c r="S31" s="44">
        <f>so(P31,F$1,'Data Entry'!C$8,'Data Entry'!C$14,'Data Entry'!C$18,'Data Entry'!I$8,'Data Entry'!I$9,'Data Entry'!C$20,0,0,'Data Entry'!C$26,'Data Entry'!I$13,'Data Entry'!I$14,'Data Entry'!C$28,0,0)</f>
        <v>0.05128384998325419</v>
      </c>
      <c r="V31">
        <f>V30</f>
        <v>-1.7</v>
      </c>
      <c r="W31">
        <v>0.99</v>
      </c>
    </row>
    <row r="32" spans="12:23" ht="14.25">
      <c r="L32" s="36">
        <v>28</v>
      </c>
      <c r="M32" s="40">
        <f>elev(L32,F$1,'Data Entry'!C$8,'Data Entry'!C$14,'Data Entry'!C$18,'Data Entry'!I$8,'Data Entry'!I$9,'Data Entry'!C$20,'Data Entry'!C$21,'Data Entry'!C$22,'Data Entry'!C$26,'Data Entry'!I$13,'Data Entry'!I$14,'Data Entry'!C$28,'Data Entry'!C$29,'Data Entry'!C$30)</f>
        <v>0.41466666666666674</v>
      </c>
      <c r="N32" s="40">
        <f>so(M32,F$1,'Data Entry'!C$8,'Data Entry'!C$14,'Data Entry'!C$18,'Data Entry'!I$8,'Data Entry'!I$9,'Data Entry'!C$20,'Data Entry'!C$21,'Data Entry'!C$22,'Data Entry'!C$26,'Data Entry'!I$13,'Data Entry'!I$14,'Data Entry'!C$28,'Data Entry'!C$29,'Data Entry'!C$30)</f>
        <v>0.13675765243363147</v>
      </c>
      <c r="O32" s="40">
        <f>sw(M32,F$1,'Data Entry'!C$8,'Data Entry'!C$14,'Data Entry'!C$18,'Data Entry'!I$9,'Data Entry'!C$20,'Data Entry'!C$22,'Data Entry'!C$26,'Data Entry'!I$14,'Data Entry'!C$28,'Data Entry'!C$30)</f>
        <v>0.8581332742446686</v>
      </c>
      <c r="P32" s="40">
        <f>elev(L32,F$1,'Data Entry'!C$8,'Data Entry'!C$14,'Data Entry'!C$18,'Data Entry'!I$8,'Data Entry'!I$9,'Data Entry'!C$20,0,0,'Data Entry'!C$26,'Data Entry'!I$13,'Data Entry'!I$14,'Data Entry'!C$28,0,0)</f>
        <v>0.3546666666666667</v>
      </c>
      <c r="Q32" s="44">
        <f>kro(P32,F$1,'Data Entry'!C$8,'Data Entry'!C$14,'Data Entry'!C$18,'Data Entry'!I$8,'Data Entry'!I$9,'Data Entry'!C$20,'Data Entry'!C$26,'Data Entry'!I$13,'Data Entry'!I$14,'Data Entry'!C$28)</f>
        <v>0.04875177978870743</v>
      </c>
      <c r="S32" s="44">
        <f>so(P32,F$1,'Data Entry'!C$8,'Data Entry'!C$14,'Data Entry'!C$18,'Data Entry'!I$8,'Data Entry'!I$9,'Data Entry'!C$20,0,0,'Data Entry'!C$26,'Data Entry'!I$13,'Data Entry'!I$14,'Data Entry'!C$28,0,0)</f>
        <v>0.05208432225059384</v>
      </c>
      <c r="V32">
        <f>V28</f>
        <v>0.30000000000000004</v>
      </c>
      <c r="W32">
        <v>0.99</v>
      </c>
    </row>
    <row r="33" spans="12:19" ht="14.25">
      <c r="L33" s="36">
        <v>29</v>
      </c>
      <c r="M33" s="40">
        <f>elev(L33,F$1,'Data Entry'!C$8,'Data Entry'!C$14,'Data Entry'!C$18,'Data Entry'!I$8,'Data Entry'!I$9,'Data Entry'!C$20,'Data Entry'!C$21,'Data Entry'!C$22,'Data Entry'!C$26,'Data Entry'!I$13,'Data Entry'!I$14,'Data Entry'!C$28,'Data Entry'!C$29,'Data Entry'!C$30)</f>
        <v>0.3573333333333335</v>
      </c>
      <c r="N33" s="40">
        <f>so(M33,F$1,'Data Entry'!C$8,'Data Entry'!C$14,'Data Entry'!C$18,'Data Entry'!I$8,'Data Entry'!I$9,'Data Entry'!C$20,'Data Entry'!C$21,'Data Entry'!C$22,'Data Entry'!C$26,'Data Entry'!I$13,'Data Entry'!I$14,'Data Entry'!C$28,'Data Entry'!C$29,'Data Entry'!C$30)</f>
        <v>0.13875196797649925</v>
      </c>
      <c r="O33" s="40">
        <f>sw(M33,F$1,'Data Entry'!C$8,'Data Entry'!C$14,'Data Entry'!C$18,'Data Entry'!I$9,'Data Entry'!C$20,'Data Entry'!C$22,'Data Entry'!C$26,'Data Entry'!I$14,'Data Entry'!C$28,'Data Entry'!C$30)</f>
        <v>0.8594071899700696</v>
      </c>
      <c r="P33" s="40">
        <f>elev(L33,F$1,'Data Entry'!C$8,'Data Entry'!C$14,'Data Entry'!C$18,'Data Entry'!I$8,'Data Entry'!I$9,'Data Entry'!C$20,0,0,'Data Entry'!C$26,'Data Entry'!I$13,'Data Entry'!I$14,'Data Entry'!C$28,0,0)</f>
        <v>0.32733333333333337</v>
      </c>
      <c r="Q33" s="44">
        <f>kro(P33,F$1,'Data Entry'!C$8,'Data Entry'!C$14,'Data Entry'!C$18,'Data Entry'!I$8,'Data Entry'!I$9,'Data Entry'!C$20,'Data Entry'!C$26,'Data Entry'!I$13,'Data Entry'!I$14,'Data Entry'!C$28)</f>
        <v>0.06443316686121285</v>
      </c>
      <c r="S33" s="44">
        <f>so(P33,F$1,'Data Entry'!C$8,'Data Entry'!C$14,'Data Entry'!C$18,'Data Entry'!I$8,'Data Entry'!I$9,'Data Entry'!C$20,0,0,'Data Entry'!C$26,'Data Entry'!I$13,'Data Entry'!I$14,'Data Entry'!C$28,0,0)</f>
        <v>0.052533580886700126</v>
      </c>
    </row>
    <row r="34" spans="12:19" ht="14.25">
      <c r="L34" s="36">
        <v>30</v>
      </c>
      <c r="M34" s="40">
        <f>elev(L34,F$1,'Data Entry'!C$8,'Data Entry'!C$14,'Data Entry'!C$18,'Data Entry'!I$8,'Data Entry'!I$9,'Data Entry'!C$20,'Data Entry'!C$21,'Data Entry'!C$22,'Data Entry'!C$26,'Data Entry'!I$13,'Data Entry'!I$14,'Data Entry'!C$28,'Data Entry'!C$29,'Data Entry'!C$30)</f>
        <v>0.30000000000000004</v>
      </c>
      <c r="N34" s="40">
        <f>so(M34,F$1,'Data Entry'!C$8,'Data Entry'!C$14,'Data Entry'!C$18,'Data Entry'!I$8,'Data Entry'!I$9,'Data Entry'!C$20,'Data Entry'!C$21,'Data Entry'!C$22,'Data Entry'!C$26,'Data Entry'!I$13,'Data Entry'!I$14,'Data Entry'!C$28,'Data Entry'!C$29,'Data Entry'!C$30)</f>
        <v>0.1393115291056462</v>
      </c>
      <c r="O34" s="40">
        <f>sw(M34,F$1,'Data Entry'!C$8,'Data Entry'!C$14,'Data Entry'!C$18,'Data Entry'!I$9,'Data Entry'!C$20,'Data Entry'!C$22,'Data Entry'!C$26,'Data Entry'!I$14,'Data Entry'!C$28,'Data Entry'!C$30)</f>
        <v>0.8606884708943539</v>
      </c>
      <c r="P34" s="40">
        <f>elev(L34,F$1,'Data Entry'!C$8,'Data Entry'!C$14,'Data Entry'!C$18,'Data Entry'!I$8,'Data Entry'!I$9,'Data Entry'!C$20,0,0,'Data Entry'!C$26,'Data Entry'!I$13,'Data Entry'!I$14,'Data Entry'!C$28,0,0)</f>
        <v>0.30000000000000004</v>
      </c>
      <c r="Q34" s="44">
        <f>kro(P34,F$1,'Data Entry'!C$8,'Data Entry'!C$14,'Data Entry'!C$18,'Data Entry'!I$8,'Data Entry'!I$9,'Data Entry'!C$20,'Data Entry'!C$26,'Data Entry'!I$13,'Data Entry'!I$14,'Data Entry'!C$28)</f>
        <v>0.11236830588609695</v>
      </c>
      <c r="S34" s="44">
        <f>so(P34,F$1,'Data Entry'!C$8,'Data Entry'!C$14,'Data Entry'!C$18,'Data Entry'!I$8,'Data Entry'!I$9,'Data Entry'!C$20,0,0,'Data Entry'!C$26,'Data Entry'!I$13,'Data Entry'!I$14,'Data Entry'!C$28,0,0)</f>
        <v>0.05241537214086145</v>
      </c>
    </row>
    <row r="35" spans="12:19" ht="14.25">
      <c r="L35" s="36">
        <v>31</v>
      </c>
      <c r="M35" s="40">
        <f>elev(L35,F$1,'Data Entry'!C$8,'Data Entry'!C$14,'Data Entry'!C$18,'Data Entry'!I$8,'Data Entry'!I$9,'Data Entry'!C$20,'Data Entry'!C$21,'Data Entry'!C$22,'Data Entry'!C$26,'Data Entry'!I$13,'Data Entry'!I$14,'Data Entry'!C$28,'Data Entry'!C$29,'Data Entry'!C$30)</f>
        <v>0.265</v>
      </c>
      <c r="N35" s="40">
        <f>so(M35,F$1,'Data Entry'!C$8,'Data Entry'!C$14,'Data Entry'!C$18,'Data Entry'!I$8,'Data Entry'!I$9,'Data Entry'!C$20,'Data Entry'!C$21,'Data Entry'!C$22,'Data Entry'!C$26,'Data Entry'!I$13,'Data Entry'!I$14,'Data Entry'!C$28,'Data Entry'!C$29,'Data Entry'!C$30)</f>
        <v>0.13852592431089472</v>
      </c>
      <c r="O35" s="40">
        <f>sw(M35,F$1,'Data Entry'!C$8,'Data Entry'!C$14,'Data Entry'!C$18,'Data Entry'!I$9,'Data Entry'!C$20,'Data Entry'!C$22,'Data Entry'!C$26,'Data Entry'!I$14,'Data Entry'!C$28,'Data Entry'!C$30)</f>
        <v>0.8614740756891053</v>
      </c>
      <c r="P35" s="40">
        <f>elev(L35,F$1,'Data Entry'!C$8,'Data Entry'!C$14,'Data Entry'!C$18,'Data Entry'!I$8,'Data Entry'!I$9,'Data Entry'!C$20,0,0,'Data Entry'!C$26,'Data Entry'!I$13,'Data Entry'!I$14,'Data Entry'!C$28,0,0)</f>
        <v>0.265</v>
      </c>
      <c r="Q35" s="44">
        <f>kro(P35,F$1,'Data Entry'!C$8,'Data Entry'!C$14,'Data Entry'!C$18,'Data Entry'!I$8,'Data Entry'!I$9,'Data Entry'!C$20,'Data Entry'!C$26,'Data Entry'!I$13,'Data Entry'!I$14,'Data Entry'!C$28)</f>
        <v>0.10995287281910107</v>
      </c>
      <c r="S35" s="44">
        <f>so(P35,F$1,'Data Entry'!C$8,'Data Entry'!C$14,'Data Entry'!C$18,'Data Entry'!I$8,'Data Entry'!I$9,'Data Entry'!C$20,0,0,'Data Entry'!C$26,'Data Entry'!I$13,'Data Entry'!I$14,'Data Entry'!C$28,0,0)</f>
        <v>0.05136789908119299</v>
      </c>
    </row>
    <row r="36" spans="12:19" ht="14.25">
      <c r="L36" s="36">
        <v>32</v>
      </c>
      <c r="M36" s="40">
        <f>elev(L36,F$1,'Data Entry'!C$8,'Data Entry'!C$14,'Data Entry'!C$18,'Data Entry'!I$8,'Data Entry'!I$9,'Data Entry'!C$20,'Data Entry'!C$21,'Data Entry'!C$22,'Data Entry'!C$26,'Data Entry'!I$13,'Data Entry'!I$14,'Data Entry'!C$28,'Data Entry'!C$29,'Data Entry'!C$30)</f>
        <v>0.23000000000000004</v>
      </c>
      <c r="N36" s="40">
        <f>so(M36,F$1,'Data Entry'!C$8,'Data Entry'!C$14,'Data Entry'!C$18,'Data Entry'!I$8,'Data Entry'!I$9,'Data Entry'!C$20,'Data Entry'!C$21,'Data Entry'!C$22,'Data Entry'!C$26,'Data Entry'!I$13,'Data Entry'!I$14,'Data Entry'!C$28,'Data Entry'!C$29,'Data Entry'!C$30)</f>
        <v>0.13773785616442846</v>
      </c>
      <c r="O36" s="40">
        <f>sw(M36,F$1,'Data Entry'!C$8,'Data Entry'!C$14,'Data Entry'!C$18,'Data Entry'!I$9,'Data Entry'!C$20,'Data Entry'!C$22,'Data Entry'!C$26,'Data Entry'!I$14,'Data Entry'!C$28,'Data Entry'!C$30)</f>
        <v>0.8622621438355715</v>
      </c>
      <c r="P36" s="40">
        <f>elev(L36,F$1,'Data Entry'!C$8,'Data Entry'!C$14,'Data Entry'!C$18,'Data Entry'!I$8,'Data Entry'!I$9,'Data Entry'!C$20,0,0,'Data Entry'!C$26,'Data Entry'!I$13,'Data Entry'!I$14,'Data Entry'!C$28,0,0)</f>
        <v>0.23000000000000004</v>
      </c>
      <c r="Q36" s="44">
        <f>kro(P36,F$1,'Data Entry'!C$8,'Data Entry'!C$14,'Data Entry'!C$18,'Data Entry'!I$8,'Data Entry'!I$9,'Data Entry'!C$20,'Data Entry'!C$26,'Data Entry'!I$13,'Data Entry'!I$14,'Data Entry'!C$28)</f>
        <v>0.10752943286737042</v>
      </c>
      <c r="S36" s="44">
        <f>so(P36,F$1,'Data Entry'!C$8,'Data Entry'!C$14,'Data Entry'!C$18,'Data Entry'!I$8,'Data Entry'!I$9,'Data Entry'!C$20,0,0,'Data Entry'!C$26,'Data Entry'!I$13,'Data Entry'!I$14,'Data Entry'!C$28,0,0)</f>
        <v>0.05031714155257139</v>
      </c>
    </row>
    <row r="37" spans="12:19" ht="14.25">
      <c r="L37" s="36">
        <v>33</v>
      </c>
      <c r="M37" s="40">
        <f>elev(L37,F$1,'Data Entry'!C$8,'Data Entry'!C$14,'Data Entry'!C$18,'Data Entry'!I$8,'Data Entry'!I$9,'Data Entry'!C$20,'Data Entry'!C$21,'Data Entry'!C$22,'Data Entry'!C$26,'Data Entry'!I$13,'Data Entry'!I$14,'Data Entry'!C$28,'Data Entry'!C$29,'Data Entry'!C$30)</f>
        <v>0.19500000000000003</v>
      </c>
      <c r="N37" s="40">
        <f>so(M37,F$1,'Data Entry'!C$8,'Data Entry'!C$14,'Data Entry'!C$18,'Data Entry'!I$8,'Data Entry'!I$9,'Data Entry'!C$20,'Data Entry'!C$21,'Data Entry'!C$22,'Data Entry'!C$26,'Data Entry'!I$13,'Data Entry'!I$14,'Data Entry'!C$28,'Data Entry'!C$29,'Data Entry'!C$30)</f>
        <v>0.13694744423350724</v>
      </c>
      <c r="O37" s="40">
        <f>sw(M37,F$1,'Data Entry'!C$8,'Data Entry'!C$14,'Data Entry'!C$18,'Data Entry'!I$9,'Data Entry'!C$20,'Data Entry'!C$22,'Data Entry'!C$26,'Data Entry'!I$14,'Data Entry'!C$28,'Data Entry'!C$30)</f>
        <v>0.8630525557664928</v>
      </c>
      <c r="P37" s="40">
        <f>elev(L37,F$1,'Data Entry'!C$8,'Data Entry'!C$14,'Data Entry'!C$18,'Data Entry'!I$8,'Data Entry'!I$9,'Data Entry'!C$20,0,0,'Data Entry'!C$26,'Data Entry'!I$13,'Data Entry'!I$14,'Data Entry'!C$28,0,0)</f>
        <v>0.19500000000000003</v>
      </c>
      <c r="Q37" s="44">
        <f>kro(P37,F$1,'Data Entry'!C$8,'Data Entry'!C$14,'Data Entry'!C$18,'Data Entry'!I$8,'Data Entry'!I$9,'Data Entry'!C$20,'Data Entry'!C$26,'Data Entry'!I$13,'Data Entry'!I$14,'Data Entry'!C$28)</f>
        <v>0.10509854088958265</v>
      </c>
      <c r="S37" s="44">
        <f>so(P37,F$1,'Data Entry'!C$8,'Data Entry'!C$14,'Data Entry'!C$18,'Data Entry'!I$8,'Data Entry'!I$9,'Data Entry'!C$20,0,0,'Data Entry'!C$26,'Data Entry'!I$13,'Data Entry'!I$14,'Data Entry'!C$28,0,0)</f>
        <v>0.04926325897800965</v>
      </c>
    </row>
    <row r="38" spans="12:19" ht="14.25">
      <c r="L38" s="36">
        <v>34</v>
      </c>
      <c r="M38" s="40">
        <f>elev(L38,F$1,'Data Entry'!C$8,'Data Entry'!C$14,'Data Entry'!C$18,'Data Entry'!I$8,'Data Entry'!I$9,'Data Entry'!C$20,'Data Entry'!C$21,'Data Entry'!C$22,'Data Entry'!C$26,'Data Entry'!I$13,'Data Entry'!I$14,'Data Entry'!C$28,'Data Entry'!C$29,'Data Entry'!C$30)</f>
        <v>0.16000000000000003</v>
      </c>
      <c r="N38" s="40">
        <f>so(M38,F$1,'Data Entry'!C$8,'Data Entry'!C$14,'Data Entry'!C$18,'Data Entry'!I$8,'Data Entry'!I$9,'Data Entry'!C$20,'Data Entry'!C$21,'Data Entry'!C$22,'Data Entry'!C$26,'Data Entry'!I$13,'Data Entry'!I$14,'Data Entry'!C$28,'Data Entry'!C$29,'Data Entry'!C$30)</f>
        <v>0.13615481549981823</v>
      </c>
      <c r="O38" s="40">
        <f>sw(M38,F$1,'Data Entry'!C$8,'Data Entry'!C$14,'Data Entry'!C$18,'Data Entry'!I$9,'Data Entry'!C$20,'Data Entry'!C$22,'Data Entry'!C$26,'Data Entry'!I$14,'Data Entry'!C$28,'Data Entry'!C$30)</f>
        <v>0.8638451845001818</v>
      </c>
      <c r="P38" s="40">
        <f>elev(L38,F$1,'Data Entry'!C$8,'Data Entry'!C$14,'Data Entry'!C$18,'Data Entry'!I$8,'Data Entry'!I$9,'Data Entry'!C$20,0,0,'Data Entry'!C$26,'Data Entry'!I$13,'Data Entry'!I$14,'Data Entry'!C$28,0,0)</f>
        <v>0.16000000000000003</v>
      </c>
      <c r="Q38" s="44">
        <f>kro(P38,F$1,'Data Entry'!C$8,'Data Entry'!C$14,'Data Entry'!C$18,'Data Entry'!I$8,'Data Entry'!I$9,'Data Entry'!C$20,'Data Entry'!C$26,'Data Entry'!I$13,'Data Entry'!I$14,'Data Entry'!C$28)</f>
        <v>0.10266078557853495</v>
      </c>
      <c r="S38" s="44">
        <f>so(P38,F$1,'Data Entry'!C$8,'Data Entry'!C$14,'Data Entry'!C$18,'Data Entry'!I$8,'Data Entry'!I$9,'Data Entry'!C$20,0,0,'Data Entry'!C$26,'Data Entry'!I$13,'Data Entry'!I$14,'Data Entry'!C$28,0,0)</f>
        <v>0.04820642066642433</v>
      </c>
    </row>
    <row r="39" spans="12:19" ht="14.25">
      <c r="L39" s="36">
        <v>35</v>
      </c>
      <c r="M39" s="40">
        <f>elev(L39,F$1,'Data Entry'!C$8,'Data Entry'!C$14,'Data Entry'!C$18,'Data Entry'!I$8,'Data Entry'!I$9,'Data Entry'!C$20,'Data Entry'!C$21,'Data Entry'!C$22,'Data Entry'!C$26,'Data Entry'!I$13,'Data Entry'!I$14,'Data Entry'!C$28,'Data Entry'!C$29,'Data Entry'!C$30)</f>
        <v>0.12500000000000003</v>
      </c>
      <c r="N39" s="40">
        <f>so(M39,F$1,'Data Entry'!C$8,'Data Entry'!C$14,'Data Entry'!C$18,'Data Entry'!I$8,'Data Entry'!I$9,'Data Entry'!C$20,'Data Entry'!C$21,'Data Entry'!C$22,'Data Entry'!C$26,'Data Entry'!I$13,'Data Entry'!I$14,'Data Entry'!C$28,'Data Entry'!C$29,'Data Entry'!C$30)</f>
        <v>0.13536010471124538</v>
      </c>
      <c r="O39" s="40">
        <f>sw(M39,F$1,'Data Entry'!C$8,'Data Entry'!C$14,'Data Entry'!C$18,'Data Entry'!I$9,'Data Entry'!C$20,'Data Entry'!C$22,'Data Entry'!C$26,'Data Entry'!I$14,'Data Entry'!C$28,'Data Entry'!C$30)</f>
        <v>0.8646398952887546</v>
      </c>
      <c r="P39" s="40">
        <f>elev(L39,F$1,'Data Entry'!C$8,'Data Entry'!C$14,'Data Entry'!C$18,'Data Entry'!I$8,'Data Entry'!I$9,'Data Entry'!C$20,0,0,'Data Entry'!C$26,'Data Entry'!I$13,'Data Entry'!I$14,'Data Entry'!C$28,0,0)</f>
        <v>0.12500000000000003</v>
      </c>
      <c r="Q39" s="44">
        <f>kro(P39,F$1,'Data Entry'!C$8,'Data Entry'!C$14,'Data Entry'!C$18,'Data Entry'!I$8,'Data Entry'!I$9,'Data Entry'!C$20,'Data Entry'!C$26,'Data Entry'!I$13,'Data Entry'!I$14,'Data Entry'!C$28)</f>
        <v>0.10021679091727294</v>
      </c>
      <c r="S39" s="44">
        <f>so(P39,F$1,'Data Entry'!C$8,'Data Entry'!C$14,'Data Entry'!C$18,'Data Entry'!I$8,'Data Entry'!I$9,'Data Entry'!C$20,0,0,'Data Entry'!C$26,'Data Entry'!I$13,'Data Entry'!I$14,'Data Entry'!C$28,0,0)</f>
        <v>0.04714680628166057</v>
      </c>
    </row>
    <row r="40" spans="12:19" ht="14.25">
      <c r="L40" s="36">
        <v>36</v>
      </c>
      <c r="M40" s="40">
        <f>elev(L40,F$1,'Data Entry'!C$8,'Data Entry'!C$14,'Data Entry'!C$18,'Data Entry'!I$8,'Data Entry'!I$9,'Data Entry'!C$20,'Data Entry'!C$21,'Data Entry'!C$22,'Data Entry'!C$26,'Data Entry'!I$13,'Data Entry'!I$14,'Data Entry'!C$28,'Data Entry'!C$29,'Data Entry'!C$30)</f>
        <v>0.09000000000000002</v>
      </c>
      <c r="N40" s="40">
        <f>so(M40,F$1,'Data Entry'!C$8,'Data Entry'!C$14,'Data Entry'!C$18,'Data Entry'!I$8,'Data Entry'!I$9,'Data Entry'!C$20,'Data Entry'!C$21,'Data Entry'!C$22,'Data Entry'!C$26,'Data Entry'!I$13,'Data Entry'!I$14,'Data Entry'!C$28,'Data Entry'!C$29,'Data Entry'!C$30)</f>
        <v>0.13456345475013565</v>
      </c>
      <c r="O40" s="40">
        <f>sw(M40,F$1,'Data Entry'!C$8,'Data Entry'!C$14,'Data Entry'!C$18,'Data Entry'!I$9,'Data Entry'!C$20,'Data Entry'!C$22,'Data Entry'!C$26,'Data Entry'!I$14,'Data Entry'!C$28,'Data Entry'!C$30)</f>
        <v>0.8654365452498644</v>
      </c>
      <c r="P40" s="40">
        <f>elev(L40,F$1,'Data Entry'!C$8,'Data Entry'!C$14,'Data Entry'!C$18,'Data Entry'!I$8,'Data Entry'!I$9,'Data Entry'!C$20,0,0,'Data Entry'!C$26,'Data Entry'!I$13,'Data Entry'!I$14,'Data Entry'!C$28,0,0)</f>
        <v>0.09000000000000002</v>
      </c>
      <c r="Q40" s="44">
        <f>kro(P40,F$1,'Data Entry'!C$8,'Data Entry'!C$14,'Data Entry'!C$18,'Data Entry'!I$8,'Data Entry'!I$9,'Data Entry'!C$20,'Data Entry'!C$26,'Data Entry'!I$13,'Data Entry'!I$14,'Data Entry'!C$28)</f>
        <v>0.09776721768370164</v>
      </c>
      <c r="S40" s="44">
        <f>so(P40,F$1,'Data Entry'!C$8,'Data Entry'!C$14,'Data Entry'!C$18,'Data Entry'!I$8,'Data Entry'!I$9,'Data Entry'!C$20,0,0,'Data Entry'!C$26,'Data Entry'!I$13,'Data Entry'!I$14,'Data Entry'!C$28,0,0)</f>
        <v>0.04608460633351419</v>
      </c>
    </row>
    <row r="41" spans="12:19" ht="14.25">
      <c r="L41" s="36">
        <v>37</v>
      </c>
      <c r="M41" s="40">
        <f>elev(L41,F$1,'Data Entry'!C$8,'Data Entry'!C$14,'Data Entry'!C$18,'Data Entry'!I$8,'Data Entry'!I$9,'Data Entry'!C$20,'Data Entry'!C$21,'Data Entry'!C$22,'Data Entry'!C$26,'Data Entry'!I$13,'Data Entry'!I$14,'Data Entry'!C$28,'Data Entry'!C$29,'Data Entry'!C$30)</f>
        <v>0.05500000000000002</v>
      </c>
      <c r="N41" s="40">
        <f>so(M41,F$1,'Data Entry'!C$8,'Data Entry'!C$14,'Data Entry'!C$18,'Data Entry'!I$8,'Data Entry'!I$9,'Data Entry'!C$20,'Data Entry'!C$21,'Data Entry'!C$22,'Data Entry'!C$26,'Data Entry'!I$13,'Data Entry'!I$14,'Data Entry'!C$28,'Data Entry'!C$29,'Data Entry'!C$30)</f>
        <v>0.13376501701896015</v>
      </c>
      <c r="O41" s="40">
        <f>sw(M41,F$1,'Data Entry'!C$8,'Data Entry'!C$14,'Data Entry'!C$18,'Data Entry'!I$9,'Data Entry'!C$20,'Data Entry'!C$22,'Data Entry'!C$26,'Data Entry'!I$14,'Data Entry'!C$28,'Data Entry'!C$30)</f>
        <v>0.8662349829810398</v>
      </c>
      <c r="P41" s="40">
        <f>elev(L41,F$1,'Data Entry'!C$8,'Data Entry'!C$14,'Data Entry'!C$18,'Data Entry'!I$8,'Data Entry'!I$9,'Data Entry'!C$20,0,0,'Data Entry'!C$26,'Data Entry'!I$13,'Data Entry'!I$14,'Data Entry'!C$28,0,0)</f>
        <v>0.05500000000000002</v>
      </c>
      <c r="Q41" s="44">
        <f>kro(P41,F$1,'Data Entry'!C$8,'Data Entry'!C$14,'Data Entry'!C$18,'Data Entry'!I$8,'Data Entry'!I$9,'Data Entry'!C$20,'Data Entry'!C$26,'Data Entry'!I$13,'Data Entry'!I$14,'Data Entry'!C$28)</f>
        <v>0.0953127650043846</v>
      </c>
      <c r="S41" s="44">
        <f>so(P41,F$1,'Data Entry'!C$8,'Data Entry'!C$14,'Data Entry'!C$18,'Data Entry'!I$8,'Data Entry'!I$9,'Data Entry'!C$20,0,0,'Data Entry'!C$26,'Data Entry'!I$13,'Data Entry'!I$14,'Data Entry'!C$28,0,0)</f>
        <v>0.045020022691946826</v>
      </c>
    </row>
    <row r="42" spans="12:19" ht="14.25">
      <c r="L42" s="36">
        <v>38</v>
      </c>
      <c r="M42" s="40">
        <f>elev(L42,F$1,'Data Entry'!C$8,'Data Entry'!C$14,'Data Entry'!C$18,'Data Entry'!I$8,'Data Entry'!I$9,'Data Entry'!C$20,'Data Entry'!C$21,'Data Entry'!C$22,'Data Entry'!C$26,'Data Entry'!I$13,'Data Entry'!I$14,'Data Entry'!C$28,'Data Entry'!C$29,'Data Entry'!C$30)</f>
        <v>0.020000000000000018</v>
      </c>
      <c r="N42" s="40">
        <f>so(M42,F$1,'Data Entry'!C$8,'Data Entry'!C$14,'Data Entry'!C$18,'Data Entry'!I$8,'Data Entry'!I$9,'Data Entry'!C$20,'Data Entry'!C$21,'Data Entry'!C$22,'Data Entry'!C$26,'Data Entry'!I$13,'Data Entry'!I$14,'Data Entry'!C$28,'Data Entry'!C$29,'Data Entry'!C$30)</f>
        <v>0.13296495184434098</v>
      </c>
      <c r="O42" s="40">
        <f>sw(M42,F$1,'Data Entry'!C$8,'Data Entry'!C$14,'Data Entry'!C$18,'Data Entry'!I$9,'Data Entry'!C$20,'Data Entry'!C$22,'Data Entry'!C$26,'Data Entry'!I$14,'Data Entry'!C$28,'Data Entry'!C$30)</f>
        <v>0.867035048155659</v>
      </c>
      <c r="P42" s="40">
        <f>elev(L42,F$1,'Data Entry'!C$8,'Data Entry'!C$14,'Data Entry'!C$18,'Data Entry'!I$8,'Data Entry'!I$9,'Data Entry'!C$20,0,0,'Data Entry'!C$26,'Data Entry'!I$13,'Data Entry'!I$14,'Data Entry'!C$28,0,0)</f>
        <v>0.020000000000000018</v>
      </c>
      <c r="Q42" s="44">
        <f>kro(P42,F$1,'Data Entry'!C$8,'Data Entry'!C$14,'Data Entry'!C$18,'Data Entry'!I$8,'Data Entry'!I$9,'Data Entry'!C$20,'Data Entry'!C$26,'Data Entry'!I$13,'Data Entry'!I$14,'Data Entry'!C$28)</f>
        <v>0.09285417195818305</v>
      </c>
      <c r="S42" s="44">
        <f>so(P42,F$1,'Data Entry'!C$8,'Data Entry'!C$14,'Data Entry'!C$18,'Data Entry'!I$8,'Data Entry'!I$9,'Data Entry'!C$20,0,0,'Data Entry'!C$26,'Data Entry'!I$13,'Data Entry'!I$14,'Data Entry'!C$28,0,0)</f>
        <v>0.04395326912578801</v>
      </c>
    </row>
    <row r="43" spans="12:19" ht="14.25">
      <c r="L43" s="36">
        <v>39</v>
      </c>
      <c r="M43" s="40">
        <f>elev(L43,F$1,'Data Entry'!C$8,'Data Entry'!C$14,'Data Entry'!C$18,'Data Entry'!I$8,'Data Entry'!I$9,'Data Entry'!C$20,'Data Entry'!C$21,'Data Entry'!C$22,'Data Entry'!C$26,'Data Entry'!I$13,'Data Entry'!I$14,'Data Entry'!C$28,'Data Entry'!C$29,'Data Entry'!C$30)</f>
        <v>-0.015000000000000013</v>
      </c>
      <c r="N43" s="40">
        <f>so(M43,F$1,'Data Entry'!C$8,'Data Entry'!C$14,'Data Entry'!C$18,'Data Entry'!I$8,'Data Entry'!I$9,'Data Entry'!C$20,'Data Entry'!C$21,'Data Entry'!C$22,'Data Entry'!C$26,'Data Entry'!I$13,'Data Entry'!I$14,'Data Entry'!C$28,'Data Entry'!C$29,'Data Entry'!C$30)</f>
        <v>0.1321634289004966</v>
      </c>
      <c r="O43" s="40">
        <f>sw(M43,F$1,'Data Entry'!C$8,'Data Entry'!C$14,'Data Entry'!C$18,'Data Entry'!I$9,'Data Entry'!C$20,'Data Entry'!C$22,'Data Entry'!C$26,'Data Entry'!I$14,'Data Entry'!C$28,'Data Entry'!C$30)</f>
        <v>0.8678365710995034</v>
      </c>
      <c r="P43" s="40">
        <f>elev(L43,F$1,'Data Entry'!C$8,'Data Entry'!C$14,'Data Entry'!C$18,'Data Entry'!I$8,'Data Entry'!I$9,'Data Entry'!C$20,0,0,'Data Entry'!C$26,'Data Entry'!I$13,'Data Entry'!I$14,'Data Entry'!C$28,0,0)</f>
        <v>-0.015000000000000013</v>
      </c>
      <c r="Q43" s="44">
        <f>kro(P43,F$1,'Data Entry'!C$8,'Data Entry'!C$14,'Data Entry'!C$18,'Data Entry'!I$8,'Data Entry'!I$9,'Data Entry'!C$20,'Data Entry'!C$26,'Data Entry'!I$13,'Data Entry'!I$14,'Data Entry'!C$28)</f>
        <v>0.0903922192303288</v>
      </c>
      <c r="S43" s="44">
        <f>so(P43,F$1,'Data Entry'!C$8,'Data Entry'!C$14,'Data Entry'!C$18,'Data Entry'!I$8,'Data Entry'!I$9,'Data Entry'!C$20,0,0,'Data Entry'!C$26,'Data Entry'!I$13,'Data Entry'!I$14,'Data Entry'!C$28,0,0)</f>
        <v>0.04288457186732886</v>
      </c>
    </row>
    <row r="44" spans="12:19" ht="14.25">
      <c r="L44" s="36">
        <v>40</v>
      </c>
      <c r="M44" s="40">
        <f>elev(L44,F$1,'Data Entry'!C$8,'Data Entry'!C$14,'Data Entry'!C$18,'Data Entry'!I$8,'Data Entry'!I$9,'Data Entry'!C$20,'Data Entry'!C$21,'Data Entry'!C$22,'Data Entry'!C$26,'Data Entry'!I$13,'Data Entry'!I$14,'Data Entry'!C$28,'Data Entry'!C$29,'Data Entry'!C$30)</f>
        <v>-0.04999999999999999</v>
      </c>
      <c r="N44" s="40">
        <f>so(M44,F$1,'Data Entry'!C$8,'Data Entry'!C$14,'Data Entry'!C$18,'Data Entry'!I$8,'Data Entry'!I$9,'Data Entry'!C$20,'Data Entry'!C$21,'Data Entry'!C$22,'Data Entry'!C$26,'Data Entry'!I$13,'Data Entry'!I$14,'Data Entry'!C$28,'Data Entry'!C$29,'Data Entry'!C$30)</f>
        <v>0.13136062765325285</v>
      </c>
      <c r="O44" s="40">
        <f>sw(M44,F$1,'Data Entry'!C$8,'Data Entry'!C$14,'Data Entry'!C$18,'Data Entry'!I$9,'Data Entry'!C$20,'Data Entry'!C$22,'Data Entry'!C$26,'Data Entry'!I$14,'Data Entry'!C$28,'Data Entry'!C$30)</f>
        <v>0.8686393723467472</v>
      </c>
      <c r="P44" s="40">
        <f>elev(L44,F$1,'Data Entry'!C$8,'Data Entry'!C$14,'Data Entry'!C$18,'Data Entry'!I$8,'Data Entry'!I$9,'Data Entry'!C$20,0,0,'Data Entry'!C$26,'Data Entry'!I$13,'Data Entry'!I$14,'Data Entry'!C$28,0,0)</f>
        <v>-0.04999999999999999</v>
      </c>
      <c r="Q44" s="44">
        <f>kro(P44,F$1,'Data Entry'!C$8,'Data Entry'!C$14,'Data Entry'!C$18,'Data Entry'!I$8,'Data Entry'!I$9,'Data Entry'!C$20,'Data Entry'!C$26,'Data Entry'!I$13,'Data Entry'!I$14,'Data Entry'!C$28)</f>
        <v>0.08792773081746523</v>
      </c>
      <c r="S44" s="44">
        <f>so(P44,F$1,'Data Entry'!C$8,'Data Entry'!C$14,'Data Entry'!C$18,'Data Entry'!I$8,'Data Entry'!I$9,'Data Entry'!C$20,0,0,'Data Entry'!C$26,'Data Entry'!I$13,'Data Entry'!I$14,'Data Entry'!C$28,0,0)</f>
        <v>0.0418141702043372</v>
      </c>
    </row>
    <row r="45" spans="12:19" ht="14.25">
      <c r="L45" s="36">
        <v>41</v>
      </c>
      <c r="M45" s="40">
        <f>elev(L45,F$1,'Data Entry'!C$8,'Data Entry'!C$14,'Data Entry'!C$18,'Data Entry'!I$8,'Data Entry'!I$9,'Data Entry'!C$20,'Data Entry'!C$21,'Data Entry'!C$22,'Data Entry'!C$26,'Data Entry'!I$13,'Data Entry'!I$14,'Data Entry'!C$28,'Data Entry'!C$29,'Data Entry'!C$30)</f>
        <v>-0.08500000000000002</v>
      </c>
      <c r="N45" s="40">
        <f>so(M45,F$1,'Data Entry'!C$8,'Data Entry'!C$14,'Data Entry'!C$18,'Data Entry'!I$8,'Data Entry'!I$9,'Data Entry'!C$20,'Data Entry'!C$21,'Data Entry'!C$22,'Data Entry'!C$26,'Data Entry'!I$13,'Data Entry'!I$14,'Data Entry'!C$28,'Data Entry'!C$29,'Data Entry'!C$30)</f>
        <v>0.13055673782587518</v>
      </c>
      <c r="O45" s="40">
        <f>sw(M45,F$1,'Data Entry'!C$8,'Data Entry'!C$14,'Data Entry'!C$18,'Data Entry'!I$9,'Data Entry'!C$20,'Data Entry'!C$22,'Data Entry'!C$26,'Data Entry'!I$14,'Data Entry'!C$28,'Data Entry'!C$30)</f>
        <v>0.8694432621741248</v>
      </c>
      <c r="P45" s="40">
        <f>elev(L45,F$1,'Data Entry'!C$8,'Data Entry'!C$14,'Data Entry'!C$18,'Data Entry'!I$8,'Data Entry'!I$9,'Data Entry'!C$20,0,0,'Data Entry'!C$26,'Data Entry'!I$13,'Data Entry'!I$14,'Data Entry'!C$28,0,0)</f>
        <v>-0.08500000000000002</v>
      </c>
      <c r="Q45" s="44">
        <f>kro(P45,F$1,'Data Entry'!C$8,'Data Entry'!C$14,'Data Entry'!C$18,'Data Entry'!I$8,'Data Entry'!I$9,'Data Entry'!C$20,'Data Entry'!C$26,'Data Entry'!I$13,'Data Entry'!I$14,'Data Entry'!C$28)</f>
        <v>0.08546157578413169</v>
      </c>
      <c r="S45" s="44">
        <f>so(P45,F$1,'Data Entry'!C$8,'Data Entry'!C$14,'Data Entry'!C$18,'Data Entry'!I$8,'Data Entry'!I$9,'Data Entry'!C$20,0,0,'Data Entry'!C$26,'Data Entry'!I$13,'Data Entry'!I$14,'Data Entry'!C$28,0,0)</f>
        <v>0.040742317101166825</v>
      </c>
    </row>
    <row r="46" spans="12:19" ht="14.25">
      <c r="L46" s="36">
        <v>42</v>
      </c>
      <c r="M46" s="40">
        <f>elev(L46,F$1,'Data Entry'!C$8,'Data Entry'!C$14,'Data Entry'!C$18,'Data Entry'!I$8,'Data Entry'!I$9,'Data Entry'!C$20,'Data Entry'!C$21,'Data Entry'!C$22,'Data Entry'!C$26,'Data Entry'!I$13,'Data Entry'!I$14,'Data Entry'!C$28,'Data Entry'!C$29,'Data Entry'!C$30)</f>
        <v>-0.12</v>
      </c>
      <c r="N46" s="40">
        <f>so(M46,F$1,'Data Entry'!C$8,'Data Entry'!C$14,'Data Entry'!C$18,'Data Entry'!I$8,'Data Entry'!I$9,'Data Entry'!C$20,'Data Entry'!C$21,'Data Entry'!C$22,'Data Entry'!C$26,'Data Entry'!I$13,'Data Entry'!I$14,'Data Entry'!C$28,'Data Entry'!C$29,'Data Entry'!C$30)</f>
        <v>0.1297519598880985</v>
      </c>
      <c r="O46" s="40">
        <f>sw(M46,F$1,'Data Entry'!C$8,'Data Entry'!C$14,'Data Entry'!C$18,'Data Entry'!I$9,'Data Entry'!C$20,'Data Entry'!C$22,'Data Entry'!C$26,'Data Entry'!I$14,'Data Entry'!C$28,'Data Entry'!C$30)</f>
        <v>0.8702480401119015</v>
      </c>
      <c r="P46" s="40">
        <f>elev(L46,F$1,'Data Entry'!C$8,'Data Entry'!C$14,'Data Entry'!C$18,'Data Entry'!I$8,'Data Entry'!I$9,'Data Entry'!C$20,0,0,'Data Entry'!C$26,'Data Entry'!I$13,'Data Entry'!I$14,'Data Entry'!C$28,0,0)</f>
        <v>-0.12</v>
      </c>
      <c r="Q46" s="44">
        <f>kro(P46,F$1,'Data Entry'!C$8,'Data Entry'!C$14,'Data Entry'!C$18,'Data Entry'!I$8,'Data Entry'!I$9,'Data Entry'!C$20,'Data Entry'!C$26,'Data Entry'!I$13,'Data Entry'!I$14,'Data Entry'!C$28)</f>
        <v>0.08299467007111258</v>
      </c>
      <c r="S46" s="44">
        <f>so(P46,F$1,'Data Entry'!C$8,'Data Entry'!C$14,'Data Entry'!C$18,'Data Entry'!I$8,'Data Entry'!I$9,'Data Entry'!C$20,0,0,'Data Entry'!C$26,'Data Entry'!I$13,'Data Entry'!I$14,'Data Entry'!C$28,0,0)</f>
        <v>0.039669279850798045</v>
      </c>
    </row>
    <row r="47" spans="12:19" ht="14.25">
      <c r="L47" s="36">
        <v>43</v>
      </c>
      <c r="M47" s="40">
        <f>elev(L47,F$1,'Data Entry'!C$8,'Data Entry'!C$14,'Data Entry'!C$18,'Data Entry'!I$8,'Data Entry'!I$9,'Data Entry'!C$20,'Data Entry'!C$21,'Data Entry'!C$22,'Data Entry'!C$26,'Data Entry'!I$13,'Data Entry'!I$14,'Data Entry'!C$28,'Data Entry'!C$29,'Data Entry'!C$30)</f>
        <v>-0.15500000000000003</v>
      </c>
      <c r="N47" s="40">
        <f>so(M47,F$1,'Data Entry'!C$8,'Data Entry'!C$14,'Data Entry'!C$18,'Data Entry'!I$8,'Data Entry'!I$9,'Data Entry'!C$20,'Data Entry'!C$21,'Data Entry'!C$22,'Data Entry'!C$26,'Data Entry'!I$13,'Data Entry'!I$14,'Data Entry'!C$28,'Data Entry'!C$29,'Data Entry'!C$30)</f>
        <v>0.12894650556987608</v>
      </c>
      <c r="O47" s="40">
        <f>sw(M47,F$1,'Data Entry'!C$8,'Data Entry'!C$14,'Data Entry'!C$18,'Data Entry'!I$9,'Data Entry'!C$20,'Data Entry'!C$22,'Data Entry'!C$26,'Data Entry'!I$14,'Data Entry'!C$28,'Data Entry'!C$30)</f>
        <v>0.8710534944301239</v>
      </c>
      <c r="P47" s="40">
        <f>elev(L47,F$1,'Data Entry'!C$8,'Data Entry'!C$14,'Data Entry'!C$18,'Data Entry'!I$8,'Data Entry'!I$9,'Data Entry'!C$20,0,0,'Data Entry'!C$26,'Data Entry'!I$13,'Data Entry'!I$14,'Data Entry'!C$28,0,0)</f>
        <v>-0.15500000000000003</v>
      </c>
      <c r="Q47" s="44">
        <f>kro(P47,F$1,'Data Entry'!C$8,'Data Entry'!C$14,'Data Entry'!C$18,'Data Entry'!I$8,'Data Entry'!I$9,'Data Entry'!C$20,'Data Entry'!C$26,'Data Entry'!I$13,'Data Entry'!I$14,'Data Entry'!C$28)</f>
        <v>0.08052797835602096</v>
      </c>
      <c r="S47" s="44">
        <f>so(P47,F$1,'Data Entry'!C$8,'Data Entry'!C$14,'Data Entry'!C$18,'Data Entry'!I$8,'Data Entry'!I$9,'Data Entry'!C$20,0,0,'Data Entry'!C$26,'Data Entry'!I$13,'Data Entry'!I$14,'Data Entry'!C$28,0,0)</f>
        <v>0.03859534075983473</v>
      </c>
    </row>
    <row r="48" spans="12:19" ht="14.25">
      <c r="L48" s="36">
        <v>44</v>
      </c>
      <c r="M48" s="40">
        <f>elev(L48,F$1,'Data Entry'!C$8,'Data Entry'!C$14,'Data Entry'!C$18,'Data Entry'!I$8,'Data Entry'!I$9,'Data Entry'!C$20,'Data Entry'!C$21,'Data Entry'!C$22,'Data Entry'!C$26,'Data Entry'!I$13,'Data Entry'!I$14,'Data Entry'!C$28,'Data Entry'!C$29,'Data Entry'!C$30)</f>
        <v>-0.19</v>
      </c>
      <c r="N48" s="40">
        <f>so(M48,F$1,'Data Entry'!C$8,'Data Entry'!C$14,'Data Entry'!C$18,'Data Entry'!I$8,'Data Entry'!I$9,'Data Entry'!C$20,'Data Entry'!C$21,'Data Entry'!C$22,'Data Entry'!C$26,'Data Entry'!I$13,'Data Entry'!I$14,'Data Entry'!C$28,'Data Entry'!C$29,'Data Entry'!C$30)</f>
        <v>0.12814059840152692</v>
      </c>
      <c r="O48" s="40">
        <f>sw(M48,F$1,'Data Entry'!C$8,'Data Entry'!C$14,'Data Entry'!C$18,'Data Entry'!I$9,'Data Entry'!C$20,'Data Entry'!C$22,'Data Entry'!C$26,'Data Entry'!I$14,'Data Entry'!C$28,'Data Entry'!C$30)</f>
        <v>0.8718594015984731</v>
      </c>
      <c r="P48" s="40">
        <f>elev(L48,F$1,'Data Entry'!C$8,'Data Entry'!C$14,'Data Entry'!C$18,'Data Entry'!I$8,'Data Entry'!I$9,'Data Entry'!C$20,0,0,'Data Entry'!C$26,'Data Entry'!I$13,'Data Entry'!I$14,'Data Entry'!C$28,0,0)</f>
        <v>-0.19</v>
      </c>
      <c r="Q48" s="44">
        <f>kro(P48,F$1,'Data Entry'!C$8,'Data Entry'!C$14,'Data Entry'!C$18,'Data Entry'!I$8,'Data Entry'!I$9,'Data Entry'!C$20,'Data Entry'!C$26,'Data Entry'!I$13,'Data Entry'!I$14,'Data Entry'!C$28)</f>
        <v>0.07806251596645077</v>
      </c>
      <c r="S48" s="44">
        <f>so(P48,F$1,'Data Entry'!C$8,'Data Entry'!C$14,'Data Entry'!C$18,'Data Entry'!I$8,'Data Entry'!I$9,'Data Entry'!C$20,0,0,'Data Entry'!C$26,'Data Entry'!I$13,'Data Entry'!I$14,'Data Entry'!C$28,0,0)</f>
        <v>0.03752079786870255</v>
      </c>
    </row>
    <row r="49" spans="12:19" ht="14.25">
      <c r="L49" s="36">
        <v>45</v>
      </c>
      <c r="M49" s="40">
        <f>elev(L49,F$1,'Data Entry'!C$8,'Data Entry'!C$14,'Data Entry'!C$18,'Data Entry'!I$8,'Data Entry'!I$9,'Data Entry'!C$20,'Data Entry'!C$21,'Data Entry'!C$22,'Data Entry'!C$26,'Data Entry'!I$13,'Data Entry'!I$14,'Data Entry'!C$28,'Data Entry'!C$29,'Data Entry'!C$30)</f>
        <v>-0.2250000000000001</v>
      </c>
      <c r="N49" s="40">
        <f>so(M49,F$1,'Data Entry'!C$8,'Data Entry'!C$14,'Data Entry'!C$18,'Data Entry'!I$8,'Data Entry'!I$9,'Data Entry'!C$20,'Data Entry'!C$21,'Data Entry'!C$22,'Data Entry'!C$26,'Data Entry'!I$13,'Data Entry'!I$14,'Data Entry'!C$28,'Data Entry'!C$29,'Data Entry'!C$30)</f>
        <v>0.12733447428215672</v>
      </c>
      <c r="O49" s="40">
        <f>sw(M49,F$1,'Data Entry'!C$8,'Data Entry'!C$14,'Data Entry'!C$18,'Data Entry'!I$9,'Data Entry'!C$20,'Data Entry'!C$22,'Data Entry'!C$26,'Data Entry'!I$14,'Data Entry'!C$28,'Data Entry'!C$30)</f>
        <v>0.8726655257178433</v>
      </c>
      <c r="P49" s="40">
        <f>elev(L49,F$1,'Data Entry'!C$8,'Data Entry'!C$14,'Data Entry'!C$18,'Data Entry'!I$8,'Data Entry'!I$9,'Data Entry'!C$20,0,0,'Data Entry'!C$26,'Data Entry'!I$13,'Data Entry'!I$14,'Data Entry'!C$28,0,0)</f>
        <v>-0.2250000000000001</v>
      </c>
      <c r="Q49" s="44">
        <f>kro(P49,F$1,'Data Entry'!C$8,'Data Entry'!C$14,'Data Entry'!C$18,'Data Entry'!I$8,'Data Entry'!I$9,'Data Entry'!C$20,'Data Entry'!C$26,'Data Entry'!I$13,'Data Entry'!I$14,'Data Entry'!C$28)</f>
        <v>0.0755993508459981</v>
      </c>
      <c r="S49" s="44">
        <f>so(P49,F$1,'Data Entry'!C$8,'Data Entry'!C$14,'Data Entry'!C$18,'Data Entry'!I$8,'Data Entry'!I$9,'Data Entry'!C$20,0,0,'Data Entry'!C$26,'Data Entry'!I$13,'Data Entry'!I$14,'Data Entry'!C$28,0,0)</f>
        <v>0.03644596570954217</v>
      </c>
    </row>
    <row r="50" spans="12:19" ht="14.25">
      <c r="L50" s="36">
        <v>46</v>
      </c>
      <c r="M50" s="40">
        <f>elev(L50,F$1,'Data Entry'!C$8,'Data Entry'!C$14,'Data Entry'!C$18,'Data Entry'!I$8,'Data Entry'!I$9,'Data Entry'!C$20,'Data Entry'!C$21,'Data Entry'!C$22,'Data Entry'!C$26,'Data Entry'!I$13,'Data Entry'!I$14,'Data Entry'!C$28,'Data Entry'!C$29,'Data Entry'!C$30)</f>
        <v>-0.26</v>
      </c>
      <c r="N50" s="40">
        <f>so(M50,F$1,'Data Entry'!C$8,'Data Entry'!C$14,'Data Entry'!C$18,'Data Entry'!I$8,'Data Entry'!I$9,'Data Entry'!C$20,'Data Entry'!C$21,'Data Entry'!C$22,'Data Entry'!C$26,'Data Entry'!I$13,'Data Entry'!I$14,'Data Entry'!C$28,'Data Entry'!C$29,'Data Entry'!C$30)</f>
        <v>0.12652838207844241</v>
      </c>
      <c r="O50" s="40">
        <f>sw(M50,F$1,'Data Entry'!C$8,'Data Entry'!C$14,'Data Entry'!C$18,'Data Entry'!I$9,'Data Entry'!C$20,'Data Entry'!C$22,'Data Entry'!C$26,'Data Entry'!I$14,'Data Entry'!C$28,'Data Entry'!C$30)</f>
        <v>0.8734716179215576</v>
      </c>
      <c r="P50" s="40">
        <f>elev(L50,F$1,'Data Entry'!C$8,'Data Entry'!C$14,'Data Entry'!C$18,'Data Entry'!I$8,'Data Entry'!I$9,'Data Entry'!C$20,0,0,'Data Entry'!C$26,'Data Entry'!I$13,'Data Entry'!I$14,'Data Entry'!C$28,0,0)</f>
        <v>-0.26</v>
      </c>
      <c r="Q50" s="44">
        <f>kro(P50,F$1,'Data Entry'!C$8,'Data Entry'!C$14,'Data Entry'!C$18,'Data Entry'!I$8,'Data Entry'!I$9,'Data Entry'!C$20,'Data Entry'!C$26,'Data Entry'!I$13,'Data Entry'!I$14,'Data Entry'!C$28)</f>
        <v>0.07313960557345718</v>
      </c>
      <c r="S50" s="44">
        <f>so(P50,F$1,'Data Entry'!C$8,'Data Entry'!C$14,'Data Entry'!C$18,'Data Entry'!I$8,'Data Entry'!I$9,'Data Entry'!C$20,0,0,'Data Entry'!C$26,'Data Entry'!I$13,'Data Entry'!I$14,'Data Entry'!C$28,0,0)</f>
        <v>0.03537117610458984</v>
      </c>
    </row>
    <row r="51" spans="12:19" ht="14.25">
      <c r="L51" s="36">
        <v>47</v>
      </c>
      <c r="M51" s="40">
        <f>elev(L51,F$1,'Data Entry'!C$8,'Data Entry'!C$14,'Data Entry'!C$18,'Data Entry'!I$8,'Data Entry'!I$9,'Data Entry'!C$20,'Data Entry'!C$21,'Data Entry'!C$22,'Data Entry'!C$26,'Data Entry'!I$13,'Data Entry'!I$14,'Data Entry'!C$28,'Data Entry'!C$29,'Data Entry'!C$30)</f>
        <v>-0.29499999999999993</v>
      </c>
      <c r="N51" s="40">
        <f>so(M51,F$1,'Data Entry'!C$8,'Data Entry'!C$14,'Data Entry'!C$18,'Data Entry'!I$8,'Data Entry'!I$9,'Data Entry'!C$20,'Data Entry'!C$21,'Data Entry'!C$22,'Data Entry'!C$26,'Data Entry'!I$13,'Data Entry'!I$14,'Data Entry'!C$28,'Data Entry'!C$29,'Data Entry'!C$30)</f>
        <v>0.12572258425613259</v>
      </c>
      <c r="O51" s="40">
        <f>sw(M51,F$1,'Data Entry'!C$8,'Data Entry'!C$14,'Data Entry'!C$18,'Data Entry'!I$9,'Data Entry'!C$20,'Data Entry'!C$22,'Data Entry'!C$26,'Data Entry'!I$14,'Data Entry'!C$28,'Data Entry'!C$30)</f>
        <v>0.8742774157438674</v>
      </c>
      <c r="P51" s="40">
        <f>elev(L51,F$1,'Data Entry'!C$8,'Data Entry'!C$14,'Data Entry'!C$18,'Data Entry'!I$8,'Data Entry'!I$9,'Data Entry'!C$20,0,0,'Data Entry'!C$26,'Data Entry'!I$13,'Data Entry'!I$14,'Data Entry'!C$28,0,0)</f>
        <v>-0.29499999999999993</v>
      </c>
      <c r="Q51" s="44">
        <f>kro(P51,F$1,'Data Entry'!C$8,'Data Entry'!C$14,'Data Entry'!C$18,'Data Entry'!I$8,'Data Entry'!I$9,'Data Entry'!C$20,'Data Entry'!C$26,'Data Entry'!I$13,'Data Entry'!I$14,'Data Entry'!C$28)</f>
        <v>0.07068445943550991</v>
      </c>
      <c r="S51" s="44">
        <f>so(P51,F$1,'Data Entry'!C$8,'Data Entry'!C$14,'Data Entry'!C$18,'Data Entry'!I$8,'Data Entry'!I$9,'Data Entry'!C$20,0,0,'Data Entry'!C$26,'Data Entry'!I$13,'Data Entry'!I$14,'Data Entry'!C$28,0,0)</f>
        <v>0.03429677900817685</v>
      </c>
    </row>
    <row r="52" spans="12:19" ht="14.25">
      <c r="L52" s="36">
        <v>48</v>
      </c>
      <c r="M52" s="40">
        <f>elev(L52,F$1,'Data Entry'!C$8,'Data Entry'!C$14,'Data Entry'!C$18,'Data Entry'!I$8,'Data Entry'!I$9,'Data Entry'!C$20,'Data Entry'!C$21,'Data Entry'!C$22,'Data Entry'!C$26,'Data Entry'!I$13,'Data Entry'!I$14,'Data Entry'!C$28,'Data Entry'!C$29,'Data Entry'!C$30)</f>
        <v>-0.33000000000000007</v>
      </c>
      <c r="N52" s="40">
        <f>so(M52,F$1,'Data Entry'!C$8,'Data Entry'!C$14,'Data Entry'!C$18,'Data Entry'!I$8,'Data Entry'!I$9,'Data Entry'!C$20,'Data Entry'!C$21,'Data Entry'!C$22,'Data Entry'!C$26,'Data Entry'!I$13,'Data Entry'!I$14,'Data Entry'!C$28,'Data Entry'!C$29,'Data Entry'!C$30)</f>
        <v>0.12491735754691269</v>
      </c>
      <c r="O52" s="40">
        <f>sw(M52,F$1,'Data Entry'!C$8,'Data Entry'!C$14,'Data Entry'!C$18,'Data Entry'!I$9,'Data Entry'!C$20,'Data Entry'!C$22,'Data Entry'!C$26,'Data Entry'!I$14,'Data Entry'!C$28,'Data Entry'!C$30)</f>
        <v>0.8750826424530873</v>
      </c>
      <c r="P52" s="40">
        <f>elev(L52,F$1,'Data Entry'!C$8,'Data Entry'!C$14,'Data Entry'!C$18,'Data Entry'!I$8,'Data Entry'!I$9,'Data Entry'!C$20,0,0,'Data Entry'!C$26,'Data Entry'!I$13,'Data Entry'!I$14,'Data Entry'!C$28,0,0)</f>
        <v>-0.33000000000000007</v>
      </c>
      <c r="Q52" s="44">
        <f>kro(P52,F$1,'Data Entry'!C$8,'Data Entry'!C$14,'Data Entry'!C$18,'Data Entry'!I$8,'Data Entry'!I$9,'Data Entry'!C$20,'Data Entry'!C$26,'Data Entry'!I$13,'Data Entry'!I$14,'Data Entry'!C$28)</f>
        <v>0.06823515055329081</v>
      </c>
      <c r="S52" s="44">
        <f>so(P52,F$1,'Data Entry'!C$8,'Data Entry'!C$14,'Data Entry'!C$18,'Data Entry'!I$8,'Data Entry'!I$9,'Data Entry'!C$20,0,0,'Data Entry'!C$26,'Data Entry'!I$13,'Data Entry'!I$14,'Data Entry'!C$28,0,0)</f>
        <v>0.033223143395883614</v>
      </c>
    </row>
    <row r="53" spans="12:19" ht="14.25">
      <c r="L53" s="36">
        <v>49</v>
      </c>
      <c r="M53" s="40">
        <f>elev(L53,F$1,'Data Entry'!C$8,'Data Entry'!C$14,'Data Entry'!C$18,'Data Entry'!I$8,'Data Entry'!I$9,'Data Entry'!C$20,'Data Entry'!C$21,'Data Entry'!C$22,'Data Entry'!C$26,'Data Entry'!I$13,'Data Entry'!I$14,'Data Entry'!C$28,'Data Entry'!C$29,'Data Entry'!C$30)</f>
        <v>-0.365</v>
      </c>
      <c r="N53" s="40">
        <f>so(M53,F$1,'Data Entry'!C$8,'Data Entry'!C$14,'Data Entry'!C$18,'Data Entry'!I$8,'Data Entry'!I$9,'Data Entry'!C$20,'Data Entry'!C$21,'Data Entry'!C$22,'Data Entry'!C$26,'Data Entry'!I$13,'Data Entry'!I$14,'Data Entry'!C$28,'Data Entry'!C$29,'Data Entry'!C$30)</f>
        <v>0.12411299365364492</v>
      </c>
      <c r="O53" s="40">
        <f>sw(M53,F$1,'Data Entry'!C$8,'Data Entry'!C$14,'Data Entry'!C$18,'Data Entry'!I$9,'Data Entry'!C$20,'Data Entry'!C$22,'Data Entry'!C$26,'Data Entry'!I$14,'Data Entry'!C$28,'Data Entry'!C$30)</f>
        <v>0.8758870063463551</v>
      </c>
      <c r="P53" s="40">
        <f>elev(L53,F$1,'Data Entry'!C$8,'Data Entry'!C$14,'Data Entry'!C$18,'Data Entry'!I$8,'Data Entry'!I$9,'Data Entry'!C$20,0,0,'Data Entry'!C$26,'Data Entry'!I$13,'Data Entry'!I$14,'Data Entry'!C$28,0,0)</f>
        <v>-0.365</v>
      </c>
      <c r="Q53" s="44">
        <f>kro(P53,F$1,'Data Entry'!C$8,'Data Entry'!C$14,'Data Entry'!C$18,'Data Entry'!I$8,'Data Entry'!I$9,'Data Entry'!C$20,'Data Entry'!C$26,'Data Entry'!I$13,'Data Entry'!I$14,'Data Entry'!C$28)</f>
        <v>0.06579297806332081</v>
      </c>
      <c r="S53" s="44">
        <f>so(P53,F$1,'Data Entry'!C$8,'Data Entry'!C$14,'Data Entry'!C$18,'Data Entry'!I$8,'Data Entry'!I$9,'Data Entry'!C$20,0,0,'Data Entry'!C$26,'Data Entry'!I$13,'Data Entry'!I$14,'Data Entry'!C$28,0,0)</f>
        <v>0.03215065820485985</v>
      </c>
    </row>
    <row r="54" spans="12:19" ht="14.25">
      <c r="L54" s="36">
        <v>50</v>
      </c>
      <c r="M54" s="40">
        <f>elev(L54,F$1,'Data Entry'!C$8,'Data Entry'!C$14,'Data Entry'!C$18,'Data Entry'!I$8,'Data Entry'!I$9,'Data Entry'!C$20,'Data Entry'!C$21,'Data Entry'!C$22,'Data Entry'!C$26,'Data Entry'!I$13,'Data Entry'!I$14,'Data Entry'!C$28,'Data Entry'!C$29,'Data Entry'!C$30)</f>
        <v>-0.4</v>
      </c>
      <c r="N54" s="40">
        <f>so(M54,F$1,'Data Entry'!C$8,'Data Entry'!C$14,'Data Entry'!C$18,'Data Entry'!I$8,'Data Entry'!I$9,'Data Entry'!C$20,'Data Entry'!C$21,'Data Entry'!C$22,'Data Entry'!C$26,'Data Entry'!I$13,'Data Entry'!I$14,'Data Entry'!C$28,'Data Entry'!C$29,'Data Entry'!C$30)</f>
        <v>0.12330979999740754</v>
      </c>
      <c r="O54" s="40">
        <f>sw(M54,F$1,'Data Entry'!C$8,'Data Entry'!C$14,'Data Entry'!C$18,'Data Entry'!I$9,'Data Entry'!C$20,'Data Entry'!C$22,'Data Entry'!C$26,'Data Entry'!I$14,'Data Entry'!C$28,'Data Entry'!C$30)</f>
        <v>0.8766902000025925</v>
      </c>
      <c r="P54" s="40">
        <f>elev(L54,F$1,'Data Entry'!C$8,'Data Entry'!C$14,'Data Entry'!C$18,'Data Entry'!I$8,'Data Entry'!I$9,'Data Entry'!C$20,0,0,'Data Entry'!C$26,'Data Entry'!I$13,'Data Entry'!I$14,'Data Entry'!C$28,0,0)</f>
        <v>-0.4</v>
      </c>
      <c r="Q54" s="44">
        <f>kro(P54,F$1,'Data Entry'!C$8,'Data Entry'!C$14,'Data Entry'!C$18,'Data Entry'!I$8,'Data Entry'!I$9,'Data Entry'!C$20,'Data Entry'!C$26,'Data Entry'!I$13,'Data Entry'!I$14,'Data Entry'!C$28)</f>
        <v>0.06335930435346415</v>
      </c>
      <c r="S54" s="44">
        <f>so(P54,F$1,'Data Entry'!C$8,'Data Entry'!C$14,'Data Entry'!C$18,'Data Entry'!I$8,'Data Entry'!I$9,'Data Entry'!C$20,0,0,'Data Entry'!C$26,'Data Entry'!I$13,'Data Entry'!I$14,'Data Entry'!C$28,0,0)</f>
        <v>0.03107973332987668</v>
      </c>
    </row>
    <row r="55" spans="12:19" ht="14.25">
      <c r="L55" s="36">
        <v>51</v>
      </c>
      <c r="M55" s="40">
        <f>elev(L55,F$1,'Data Entry'!C$8,'Data Entry'!C$14,'Data Entry'!C$18,'Data Entry'!I$8,'Data Entry'!I$9,'Data Entry'!C$20,'Data Entry'!C$21,'Data Entry'!C$22,'Data Entry'!C$26,'Data Entry'!I$13,'Data Entry'!I$14,'Data Entry'!C$28,'Data Entry'!C$29,'Data Entry'!C$30)</f>
        <v>-0.465</v>
      </c>
      <c r="N55" s="40">
        <f>so(M55,F$1,'Data Entry'!C$8,'Data Entry'!C$14,'Data Entry'!C$18,'Data Entry'!I$8,'Data Entry'!I$9,'Data Entry'!C$20,'Data Entry'!C$21,'Data Entry'!C$22,'Data Entry'!C$26,'Data Entry'!I$13,'Data Entry'!I$14,'Data Entry'!C$28,'Data Entry'!C$29,'Data Entry'!C$30)</f>
        <v>0.7477350448033635</v>
      </c>
      <c r="O55" s="40">
        <f>sw(M55,F$1,'Data Entry'!C$8,'Data Entry'!C$14,'Data Entry'!C$18,'Data Entry'!I$9,'Data Entry'!C$20,'Data Entry'!C$22,'Data Entry'!C$26,'Data Entry'!I$14,'Data Entry'!C$28,'Data Entry'!C$30)</f>
        <v>0.25226495519663644</v>
      </c>
      <c r="P55" s="40">
        <f>elev(L55,F$1,'Data Entry'!C$8,'Data Entry'!C$14,'Data Entry'!C$18,'Data Entry'!I$8,'Data Entry'!I$9,'Data Entry'!C$20,0,0,'Data Entry'!C$26,'Data Entry'!I$13,'Data Entry'!I$14,'Data Entry'!C$28,0,0)</f>
        <v>-0.465</v>
      </c>
      <c r="Q55" s="44">
        <f>kro(P55,F$1,'Data Entry'!C$8,'Data Entry'!C$14,'Data Entry'!C$18,'Data Entry'!I$8,'Data Entry'!I$9,'Data Entry'!C$20,'Data Entry'!C$26,'Data Entry'!I$13,'Data Entry'!I$14,'Data Entry'!C$28)</f>
        <v>0.6800223652599333</v>
      </c>
      <c r="S55" s="44">
        <f>so(P55,F$1,'Data Entry'!C$8,'Data Entry'!C$14,'Data Entry'!C$18,'Data Entry'!I$8,'Data Entry'!I$9,'Data Entry'!C$20,0,0,'Data Entry'!C$26,'Data Entry'!I$13,'Data Entry'!I$14,'Data Entry'!C$28,0,0)</f>
        <v>0.7042307718900389</v>
      </c>
    </row>
    <row r="56" spans="12:19" ht="14.25">
      <c r="L56" s="36">
        <v>52</v>
      </c>
      <c r="M56" s="40">
        <f>elev(L56,F$1,'Data Entry'!C$8,'Data Entry'!C$14,'Data Entry'!C$18,'Data Entry'!I$8,'Data Entry'!I$9,'Data Entry'!C$20,'Data Entry'!C$21,'Data Entry'!C$22,'Data Entry'!C$26,'Data Entry'!I$13,'Data Entry'!I$14,'Data Entry'!C$28,'Data Entry'!C$29,'Data Entry'!C$30)</f>
        <v>-0.53</v>
      </c>
      <c r="N56" s="40">
        <f>so(M56,F$1,'Data Entry'!C$8,'Data Entry'!C$14,'Data Entry'!C$18,'Data Entry'!I$8,'Data Entry'!I$9,'Data Entry'!C$20,'Data Entry'!C$21,'Data Entry'!C$22,'Data Entry'!C$26,'Data Entry'!I$13,'Data Entry'!I$14,'Data Entry'!C$28,'Data Entry'!C$29,'Data Entry'!C$30)</f>
        <v>0.7250496973609653</v>
      </c>
      <c r="O56" s="40">
        <f>sw(M56,F$1,'Data Entry'!C$8,'Data Entry'!C$14,'Data Entry'!C$18,'Data Entry'!I$9,'Data Entry'!C$20,'Data Entry'!C$22,'Data Entry'!C$26,'Data Entry'!I$14,'Data Entry'!C$28,'Data Entry'!C$30)</f>
        <v>0.2749503026390347</v>
      </c>
      <c r="P56" s="40">
        <f>elev(L56,F$1,'Data Entry'!C$8,'Data Entry'!C$14,'Data Entry'!C$18,'Data Entry'!I$8,'Data Entry'!I$9,'Data Entry'!C$20,0,0,'Data Entry'!C$26,'Data Entry'!I$13,'Data Entry'!I$14,'Data Entry'!C$28,0,0)</f>
        <v>-0.53</v>
      </c>
      <c r="Q56" s="44">
        <f>kro(P56,F$1,'Data Entry'!C$8,'Data Entry'!C$14,'Data Entry'!C$18,'Data Entry'!I$8,'Data Entry'!I$9,'Data Entry'!C$20,'Data Entry'!C$26,'Data Entry'!I$13,'Data Entry'!I$14,'Data Entry'!C$28)</f>
        <v>0.6354494986936928</v>
      </c>
      <c r="S56" s="44">
        <f>so(P56,F$1,'Data Entry'!C$8,'Data Entry'!C$14,'Data Entry'!C$18,'Data Entry'!I$8,'Data Entry'!I$9,'Data Entry'!C$20,0,0,'Data Entry'!C$26,'Data Entry'!I$13,'Data Entry'!I$14,'Data Entry'!C$28,0,0)</f>
        <v>0.6750638966069553</v>
      </c>
    </row>
    <row r="57" spans="12:19" ht="14.25">
      <c r="L57" s="36">
        <v>53</v>
      </c>
      <c r="M57" s="40">
        <f>elev(L57,F$1,'Data Entry'!C$8,'Data Entry'!C$14,'Data Entry'!C$18,'Data Entry'!I$8,'Data Entry'!I$9,'Data Entry'!C$20,'Data Entry'!C$21,'Data Entry'!C$22,'Data Entry'!C$26,'Data Entry'!I$13,'Data Entry'!I$14,'Data Entry'!C$28,'Data Entry'!C$29,'Data Entry'!C$30)</f>
        <v>-0.595</v>
      </c>
      <c r="N57" s="40">
        <f>so(M57,F$1,'Data Entry'!C$8,'Data Entry'!C$14,'Data Entry'!C$18,'Data Entry'!I$8,'Data Entry'!I$9,'Data Entry'!C$20,'Data Entry'!C$21,'Data Entry'!C$22,'Data Entry'!C$26,'Data Entry'!I$13,'Data Entry'!I$14,'Data Entry'!C$28,'Data Entry'!C$29,'Data Entry'!C$30)</f>
        <v>0.6984084328614272</v>
      </c>
      <c r="O57" s="40">
        <f>sw(M57,F$1,'Data Entry'!C$8,'Data Entry'!C$14,'Data Entry'!C$18,'Data Entry'!I$9,'Data Entry'!C$20,'Data Entry'!C$22,'Data Entry'!C$26,'Data Entry'!I$14,'Data Entry'!C$28,'Data Entry'!C$30)</f>
        <v>0.3015915671385728</v>
      </c>
      <c r="P57" s="40">
        <f>elev(L57,F$1,'Data Entry'!C$8,'Data Entry'!C$14,'Data Entry'!C$18,'Data Entry'!I$8,'Data Entry'!I$9,'Data Entry'!C$20,0,0,'Data Entry'!C$26,'Data Entry'!I$13,'Data Entry'!I$14,'Data Entry'!C$28,0,0)</f>
        <v>-0.595</v>
      </c>
      <c r="Q57" s="44">
        <f>kro(P57,F$1,'Data Entry'!C$8,'Data Entry'!C$14,'Data Entry'!C$18,'Data Entry'!I$8,'Data Entry'!I$9,'Data Entry'!C$20,'Data Entry'!C$26,'Data Entry'!I$13,'Data Entry'!I$14,'Data Entry'!C$28)</f>
        <v>0.5833743762565676</v>
      </c>
      <c r="S57" s="44">
        <f>so(P57,F$1,'Data Entry'!C$8,'Data Entry'!C$14,'Data Entry'!C$18,'Data Entry'!I$8,'Data Entry'!I$9,'Data Entry'!C$20,0,0,'Data Entry'!C$26,'Data Entry'!I$13,'Data Entry'!I$14,'Data Entry'!C$28,0,0)</f>
        <v>0.6408108422504064</v>
      </c>
    </row>
    <row r="58" spans="12:19" ht="14.25">
      <c r="L58" s="36">
        <v>54</v>
      </c>
      <c r="M58" s="40">
        <f>elev(L58,F$1,'Data Entry'!C$8,'Data Entry'!C$14,'Data Entry'!C$18,'Data Entry'!I$8,'Data Entry'!I$9,'Data Entry'!C$20,'Data Entry'!C$21,'Data Entry'!C$22,'Data Entry'!C$26,'Data Entry'!I$13,'Data Entry'!I$14,'Data Entry'!C$28,'Data Entry'!C$29,'Data Entry'!C$30)</f>
        <v>-0.6599999999999999</v>
      </c>
      <c r="N58" s="40">
        <f>so(M58,F$1,'Data Entry'!C$8,'Data Entry'!C$14,'Data Entry'!C$18,'Data Entry'!I$8,'Data Entry'!I$9,'Data Entry'!C$20,'Data Entry'!C$21,'Data Entry'!C$22,'Data Entry'!C$26,'Data Entry'!I$13,'Data Entry'!I$14,'Data Entry'!C$28,'Data Entry'!C$29,'Data Entry'!C$30)</f>
        <v>0.6672507898850041</v>
      </c>
      <c r="O58" s="40">
        <f>sw(M58,F$1,'Data Entry'!C$8,'Data Entry'!C$14,'Data Entry'!C$18,'Data Entry'!I$9,'Data Entry'!C$20,'Data Entry'!C$22,'Data Entry'!C$26,'Data Entry'!I$14,'Data Entry'!C$28,'Data Entry'!C$30)</f>
        <v>0.3327492101149959</v>
      </c>
      <c r="P58" s="40">
        <f>elev(L58,F$1,'Data Entry'!C$8,'Data Entry'!C$14,'Data Entry'!C$18,'Data Entry'!I$8,'Data Entry'!I$9,'Data Entry'!C$20,0,0,'Data Entry'!C$26,'Data Entry'!I$13,'Data Entry'!I$14,'Data Entry'!C$28,0,0)</f>
        <v>-0.6599999999999999</v>
      </c>
      <c r="Q58" s="44">
        <f>kro(P58,F$1,'Data Entry'!C$8,'Data Entry'!C$14,'Data Entry'!C$18,'Data Entry'!I$8,'Data Entry'!I$9,'Data Entry'!C$20,'Data Entry'!C$26,'Data Entry'!I$13,'Data Entry'!I$14,'Data Entry'!C$28)</f>
        <v>0.5233446128071629</v>
      </c>
      <c r="S58" s="44">
        <f>so(P58,F$1,'Data Entry'!C$8,'Data Entry'!C$14,'Data Entry'!C$18,'Data Entry'!I$8,'Data Entry'!I$9,'Data Entry'!C$20,0,0,'Data Entry'!C$26,'Data Entry'!I$13,'Data Entry'!I$14,'Data Entry'!C$28,0,0)</f>
        <v>0.6007510155664337</v>
      </c>
    </row>
    <row r="59" spans="12:19" ht="14.25">
      <c r="L59" s="36">
        <v>55</v>
      </c>
      <c r="M59" s="40">
        <f>elev(L59,F$1,'Data Entry'!C$8,'Data Entry'!C$14,'Data Entry'!C$18,'Data Entry'!I$8,'Data Entry'!I$9,'Data Entry'!C$20,'Data Entry'!C$21,'Data Entry'!C$22,'Data Entry'!C$26,'Data Entry'!I$13,'Data Entry'!I$14,'Data Entry'!C$28,'Data Entry'!C$29,'Data Entry'!C$30)</f>
        <v>-0.725</v>
      </c>
      <c r="N59" s="40">
        <f>so(M59,F$1,'Data Entry'!C$8,'Data Entry'!C$14,'Data Entry'!C$18,'Data Entry'!I$8,'Data Entry'!I$9,'Data Entry'!C$20,'Data Entry'!C$21,'Data Entry'!C$22,'Data Entry'!C$26,'Data Entry'!I$13,'Data Entry'!I$14,'Data Entry'!C$28,'Data Entry'!C$29,'Data Entry'!C$30)</f>
        <v>0.6310988196081785</v>
      </c>
      <c r="O59" s="40">
        <f>sw(M59,F$1,'Data Entry'!C$8,'Data Entry'!C$14,'Data Entry'!C$18,'Data Entry'!I$9,'Data Entry'!C$20,'Data Entry'!C$22,'Data Entry'!C$26,'Data Entry'!I$14,'Data Entry'!C$28,'Data Entry'!C$30)</f>
        <v>0.3689011803918215</v>
      </c>
      <c r="P59" s="40">
        <f>elev(L59,F$1,'Data Entry'!C$8,'Data Entry'!C$14,'Data Entry'!C$18,'Data Entry'!I$8,'Data Entry'!I$9,'Data Entry'!C$20,0,0,'Data Entry'!C$26,'Data Entry'!I$13,'Data Entry'!I$14,'Data Entry'!C$28,0,0)</f>
        <v>-0.725</v>
      </c>
      <c r="Q59" s="44">
        <f>kro(P59,F$1,'Data Entry'!C$8,'Data Entry'!C$14,'Data Entry'!C$18,'Data Entry'!I$8,'Data Entry'!I$9,'Data Entry'!C$20,'Data Entry'!C$26,'Data Entry'!I$13,'Data Entry'!I$14,'Data Entry'!C$28)</f>
        <v>0.4555518313391751</v>
      </c>
      <c r="S59" s="44">
        <f>so(P59,F$1,'Data Entry'!C$8,'Data Entry'!C$14,'Data Entry'!C$18,'Data Entry'!I$8,'Data Entry'!I$9,'Data Entry'!C$20,0,0,'Data Entry'!C$26,'Data Entry'!I$13,'Data Entry'!I$14,'Data Entry'!C$28,0,0)</f>
        <v>0.5542699109248008</v>
      </c>
    </row>
    <row r="60" spans="12:19" ht="14.25">
      <c r="L60" s="36">
        <v>56</v>
      </c>
      <c r="M60" s="40">
        <f>elev(L60,F$1,'Data Entry'!C$8,'Data Entry'!C$14,'Data Entry'!C$18,'Data Entry'!I$8,'Data Entry'!I$9,'Data Entry'!C$20,'Data Entry'!C$21,'Data Entry'!C$22,'Data Entry'!C$26,'Data Entry'!I$13,'Data Entry'!I$14,'Data Entry'!C$28,'Data Entry'!C$29,'Data Entry'!C$30)</f>
        <v>-0.79</v>
      </c>
      <c r="N60" s="40">
        <f>so(M60,F$1,'Data Entry'!C$8,'Data Entry'!C$14,'Data Entry'!C$18,'Data Entry'!I$8,'Data Entry'!I$9,'Data Entry'!C$20,'Data Entry'!C$21,'Data Entry'!C$22,'Data Entry'!C$26,'Data Entry'!I$13,'Data Entry'!I$14,'Data Entry'!C$28,'Data Entry'!C$29,'Data Entry'!C$30)</f>
        <v>0.5896964726213635</v>
      </c>
      <c r="O60" s="40">
        <f>sw(M60,F$1,'Data Entry'!C$8,'Data Entry'!C$14,'Data Entry'!C$18,'Data Entry'!I$9,'Data Entry'!C$20,'Data Entry'!C$22,'Data Entry'!C$26,'Data Entry'!I$14,'Data Entry'!C$28,'Data Entry'!C$30)</f>
        <v>0.4103035273786365</v>
      </c>
      <c r="P60" s="40">
        <f>elev(L60,F$1,'Data Entry'!C$8,'Data Entry'!C$14,'Data Entry'!C$18,'Data Entry'!I$8,'Data Entry'!I$9,'Data Entry'!C$20,0,0,'Data Entry'!C$26,'Data Entry'!I$13,'Data Entry'!I$14,'Data Entry'!C$28,0,0)</f>
        <v>-0.79</v>
      </c>
      <c r="Q60" s="44">
        <f>kro(P60,F$1,'Data Entry'!C$8,'Data Entry'!C$14,'Data Entry'!C$18,'Data Entry'!I$8,'Data Entry'!I$9,'Data Entry'!C$20,'Data Entry'!C$26,'Data Entry'!I$13,'Data Entry'!I$14,'Data Entry'!C$28)</f>
        <v>0.38126003617610826</v>
      </c>
      <c r="S60" s="44">
        <f>so(P60,F$1,'Data Entry'!C$8,'Data Entry'!C$14,'Data Entry'!C$18,'Data Entry'!I$8,'Data Entry'!I$9,'Data Entry'!C$20,0,0,'Data Entry'!C$26,'Data Entry'!I$13,'Data Entry'!I$14,'Data Entry'!C$28,0,0)</f>
        <v>0.501038321941753</v>
      </c>
    </row>
    <row r="61" spans="12:19" ht="14.25">
      <c r="L61" s="36">
        <v>57</v>
      </c>
      <c r="M61" s="40">
        <f>elev(L61,F$1,'Data Entry'!C$8,'Data Entry'!C$14,'Data Entry'!C$18,'Data Entry'!I$8,'Data Entry'!I$9,'Data Entry'!C$20,'Data Entry'!C$21,'Data Entry'!C$22,'Data Entry'!C$26,'Data Entry'!I$13,'Data Entry'!I$14,'Data Entry'!C$28,'Data Entry'!C$29,'Data Entry'!C$30)</f>
        <v>-0.855</v>
      </c>
      <c r="N61" s="40">
        <f>so(M61,F$1,'Data Entry'!C$8,'Data Entry'!C$14,'Data Entry'!C$18,'Data Entry'!I$8,'Data Entry'!I$9,'Data Entry'!C$20,'Data Entry'!C$21,'Data Entry'!C$22,'Data Entry'!C$26,'Data Entry'!I$13,'Data Entry'!I$14,'Data Entry'!C$28,'Data Entry'!C$29,'Data Entry'!C$30)</f>
        <v>0.5432126193591821</v>
      </c>
      <c r="O61" s="40">
        <f>sw(M61,F$1,'Data Entry'!C$8,'Data Entry'!C$14,'Data Entry'!C$18,'Data Entry'!I$9,'Data Entry'!C$20,'Data Entry'!C$22,'Data Entry'!C$26,'Data Entry'!I$14,'Data Entry'!C$28,'Data Entry'!C$30)</f>
        <v>0.4567873806408179</v>
      </c>
      <c r="P61" s="40">
        <f>elev(L61,F$1,'Data Entry'!C$8,'Data Entry'!C$14,'Data Entry'!C$18,'Data Entry'!I$8,'Data Entry'!I$9,'Data Entry'!C$20,0,0,'Data Entry'!C$26,'Data Entry'!I$13,'Data Entry'!I$14,'Data Entry'!C$28,0,0)</f>
        <v>-0.855</v>
      </c>
      <c r="Q61" s="44">
        <f>kro(P61,F$1,'Data Entry'!C$8,'Data Entry'!C$14,'Data Entry'!C$18,'Data Entry'!I$8,'Data Entry'!I$9,'Data Entry'!C$20,'Data Entry'!C$26,'Data Entry'!I$13,'Data Entry'!I$14,'Data Entry'!C$28)</f>
        <v>0.3032334566276267</v>
      </c>
      <c r="S61" s="44">
        <f>so(P61,F$1,'Data Entry'!C$8,'Data Entry'!C$14,'Data Entry'!C$18,'Data Entry'!I$8,'Data Entry'!I$9,'Data Entry'!C$20,0,0,'Data Entry'!C$26,'Data Entry'!I$13,'Data Entry'!I$14,'Data Entry'!C$28,0,0)</f>
        <v>0.4412733677475198</v>
      </c>
    </row>
    <row r="62" spans="12:19" ht="14.25">
      <c r="L62" s="36">
        <v>58</v>
      </c>
      <c r="M62" s="40">
        <f>elev(L62,F$1,'Data Entry'!C$8,'Data Entry'!C$14,'Data Entry'!C$18,'Data Entry'!I$8,'Data Entry'!I$9,'Data Entry'!C$20,'Data Entry'!C$21,'Data Entry'!C$22,'Data Entry'!C$26,'Data Entry'!I$13,'Data Entry'!I$14,'Data Entry'!C$28,'Data Entry'!C$29,'Data Entry'!C$30)</f>
        <v>-0.9199999999999999</v>
      </c>
      <c r="N62" s="40">
        <f>so(M62,F$1,'Data Entry'!C$8,'Data Entry'!C$14,'Data Entry'!C$18,'Data Entry'!I$8,'Data Entry'!I$9,'Data Entry'!C$20,'Data Entry'!C$21,'Data Entry'!C$22,'Data Entry'!C$26,'Data Entry'!I$13,'Data Entry'!I$14,'Data Entry'!C$28,'Data Entry'!C$29,'Data Entry'!C$30)</f>
        <v>0.4924858348971437</v>
      </c>
      <c r="O62" s="40">
        <f>sw(M62,F$1,'Data Entry'!C$8,'Data Entry'!C$14,'Data Entry'!C$18,'Data Entry'!I$9,'Data Entry'!C$20,'Data Entry'!C$22,'Data Entry'!C$26,'Data Entry'!I$14,'Data Entry'!C$28,'Data Entry'!C$30)</f>
        <v>0.5075141651028563</v>
      </c>
      <c r="P62" s="40">
        <f>elev(L62,F$1,'Data Entry'!C$8,'Data Entry'!C$14,'Data Entry'!C$18,'Data Entry'!I$8,'Data Entry'!I$9,'Data Entry'!C$20,0,0,'Data Entry'!C$26,'Data Entry'!I$13,'Data Entry'!I$14,'Data Entry'!C$28,0,0)</f>
        <v>-0.9199999999999999</v>
      </c>
      <c r="Q62" s="44">
        <f>kro(P62,F$1,'Data Entry'!C$8,'Data Entry'!C$14,'Data Entry'!C$18,'Data Entry'!I$8,'Data Entry'!I$9,'Data Entry'!C$20,'Data Entry'!C$26,'Data Entry'!I$13,'Data Entry'!I$14,'Data Entry'!C$28)</f>
        <v>0.22591325984130822</v>
      </c>
      <c r="S62" s="44">
        <f>so(P62,F$1,'Data Entry'!C$8,'Data Entry'!C$14,'Data Entry'!C$18,'Data Entry'!I$8,'Data Entry'!I$9,'Data Entry'!C$20,0,0,'Data Entry'!C$26,'Data Entry'!I$13,'Data Entry'!I$14,'Data Entry'!C$28,0,0)</f>
        <v>0.3760532162963276</v>
      </c>
    </row>
    <row r="63" spans="12:19" ht="14.25">
      <c r="L63" s="36">
        <v>59</v>
      </c>
      <c r="M63" s="40">
        <f>elev(L63,F$1,'Data Entry'!C$8,'Data Entry'!C$14,'Data Entry'!C$18,'Data Entry'!I$8,'Data Entry'!I$9,'Data Entry'!C$20,'Data Entry'!C$21,'Data Entry'!C$22,'Data Entry'!C$26,'Data Entry'!I$13,'Data Entry'!I$14,'Data Entry'!C$28,'Data Entry'!C$29,'Data Entry'!C$30)</f>
        <v>-0.985</v>
      </c>
      <c r="N63" s="40">
        <f>so(M63,F$1,'Data Entry'!C$8,'Data Entry'!C$14,'Data Entry'!C$18,'Data Entry'!I$8,'Data Entry'!I$9,'Data Entry'!C$20,'Data Entry'!C$21,'Data Entry'!C$22,'Data Entry'!C$26,'Data Entry'!I$13,'Data Entry'!I$14,'Data Entry'!C$28,'Data Entry'!C$29,'Data Entry'!C$30)</f>
        <v>0.43923240204764324</v>
      </c>
      <c r="O63" s="40">
        <f>sw(M63,F$1,'Data Entry'!C$8,'Data Entry'!C$14,'Data Entry'!C$18,'Data Entry'!I$9,'Data Entry'!C$20,'Data Entry'!C$22,'Data Entry'!C$26,'Data Entry'!I$14,'Data Entry'!C$28,'Data Entry'!C$30)</f>
        <v>0.5607675979523568</v>
      </c>
      <c r="P63" s="40">
        <f>elev(L63,F$1,'Data Entry'!C$8,'Data Entry'!C$14,'Data Entry'!C$18,'Data Entry'!I$8,'Data Entry'!I$9,'Data Entry'!C$20,0,0,'Data Entry'!C$26,'Data Entry'!I$13,'Data Entry'!I$14,'Data Entry'!C$28,0,0)</f>
        <v>-0.985</v>
      </c>
      <c r="Q63" s="44">
        <f>kro(P63,F$1,'Data Entry'!C$8,'Data Entry'!C$14,'Data Entry'!C$18,'Data Entry'!I$8,'Data Entry'!I$9,'Data Entry'!C$20,'Data Entry'!C$26,'Data Entry'!I$13,'Data Entry'!I$14,'Data Entry'!C$28)</f>
        <v>0.1549695535687934</v>
      </c>
      <c r="S63" s="44">
        <f>so(P63,F$1,'Data Entry'!C$8,'Data Entry'!C$14,'Data Entry'!C$18,'Data Entry'!I$8,'Data Entry'!I$9,'Data Entry'!C$20,0,0,'Data Entry'!C$26,'Data Entry'!I$13,'Data Entry'!I$14,'Data Entry'!C$28,0,0)</f>
        <v>0.3075845169183985</v>
      </c>
    </row>
    <row r="64" spans="12:19" ht="14.25">
      <c r="L64" s="36">
        <v>60</v>
      </c>
      <c r="M64" s="40">
        <f>elev(L64,F$1,'Data Entry'!C$8,'Data Entry'!C$14,'Data Entry'!C$18,'Data Entry'!I$8,'Data Entry'!I$9,'Data Entry'!C$20,'Data Entry'!C$21,'Data Entry'!C$22,'Data Entry'!C$26,'Data Entry'!I$13,'Data Entry'!I$14,'Data Entry'!C$28,'Data Entry'!C$29,'Data Entry'!C$30)</f>
        <v>-1.0499999999999998</v>
      </c>
      <c r="N64" s="40">
        <f>so(M64,F$1,'Data Entry'!C$8,'Data Entry'!C$14,'Data Entry'!C$18,'Data Entry'!I$8,'Data Entry'!I$9,'Data Entry'!C$20,'Data Entry'!C$21,'Data Entry'!C$22,'Data Entry'!C$26,'Data Entry'!I$13,'Data Entry'!I$14,'Data Entry'!C$28,'Data Entry'!C$29,'Data Entry'!C$30)</f>
        <v>0.38607276258402046</v>
      </c>
      <c r="O64" s="40">
        <f>sw(M64,F$1,'Data Entry'!C$8,'Data Entry'!C$14,'Data Entry'!C$18,'Data Entry'!I$9,'Data Entry'!C$20,'Data Entry'!C$22,'Data Entry'!C$26,'Data Entry'!I$14,'Data Entry'!C$28,'Data Entry'!C$30)</f>
        <v>0.6139272374159795</v>
      </c>
      <c r="P64" s="40">
        <f>elev(L64,F$1,'Data Entry'!C$8,'Data Entry'!C$14,'Data Entry'!C$18,'Data Entry'!I$8,'Data Entry'!I$9,'Data Entry'!C$20,0,0,'Data Entry'!C$26,'Data Entry'!I$13,'Data Entry'!I$14,'Data Entry'!C$28,0,0)</f>
        <v>-1.0499999999999998</v>
      </c>
      <c r="Q64" s="44">
        <f>kro(P64,F$1,'Data Entry'!C$8,'Data Entry'!C$14,'Data Entry'!C$18,'Data Entry'!I$8,'Data Entry'!I$9,'Data Entry'!C$20,'Data Entry'!C$26,'Data Entry'!I$13,'Data Entry'!I$14,'Data Entry'!C$28)</f>
        <v>0.09597565434383452</v>
      </c>
      <c r="S64" s="44">
        <f>so(P64,F$1,'Data Entry'!C$8,'Data Entry'!C$14,'Data Entry'!C$18,'Data Entry'!I$8,'Data Entry'!I$9,'Data Entry'!C$20,0,0,'Data Entry'!C$26,'Data Entry'!I$13,'Data Entry'!I$14,'Data Entry'!C$28,0,0)</f>
        <v>0.2392364090365976</v>
      </c>
    </row>
    <row r="65" spans="12:19" ht="14.25">
      <c r="L65" s="36">
        <v>61</v>
      </c>
      <c r="M65" s="40">
        <f>elev(L65,F$1,'Data Entry'!C$8,'Data Entry'!C$14,'Data Entry'!C$18,'Data Entry'!I$8,'Data Entry'!I$9,'Data Entry'!C$20,'Data Entry'!C$21,'Data Entry'!C$22,'Data Entry'!C$26,'Data Entry'!I$13,'Data Entry'!I$14,'Data Entry'!C$28,'Data Entry'!C$29,'Data Entry'!C$30)</f>
        <v>-1.1149999999999998</v>
      </c>
      <c r="N65" s="40">
        <f>so(M65,F$1,'Data Entry'!C$8,'Data Entry'!C$14,'Data Entry'!C$18,'Data Entry'!I$8,'Data Entry'!I$9,'Data Entry'!C$20,'Data Entry'!C$21,'Data Entry'!C$22,'Data Entry'!C$26,'Data Entry'!I$13,'Data Entry'!I$14,'Data Entry'!C$28,'Data Entry'!C$29,'Data Entry'!C$30)</f>
        <v>0.3362209088752881</v>
      </c>
      <c r="O65" s="40">
        <f>sw(M65,F$1,'Data Entry'!C$8,'Data Entry'!C$14,'Data Entry'!C$18,'Data Entry'!I$9,'Data Entry'!C$20,'Data Entry'!C$22,'Data Entry'!C$26,'Data Entry'!I$14,'Data Entry'!C$28,'Data Entry'!C$30)</f>
        <v>0.6637790911247119</v>
      </c>
      <c r="P65" s="40">
        <f>elev(L65,F$1,'Data Entry'!C$8,'Data Entry'!C$14,'Data Entry'!C$18,'Data Entry'!I$8,'Data Entry'!I$9,'Data Entry'!C$20,0,0,'Data Entry'!C$26,'Data Entry'!I$13,'Data Entry'!I$14,'Data Entry'!C$28,0,0)</f>
        <v>-1.1149999999999998</v>
      </c>
      <c r="Q65" s="44">
        <f>kro(P65,F$1,'Data Entry'!C$8,'Data Entry'!C$14,'Data Entry'!C$18,'Data Entry'!I$8,'Data Entry'!I$9,'Data Entry'!C$20,'Data Entry'!C$26,'Data Entry'!I$13,'Data Entry'!I$14,'Data Entry'!C$28)</f>
        <v>0.0525183752716895</v>
      </c>
      <c r="S65" s="44">
        <f>so(P65,F$1,'Data Entry'!C$8,'Data Entry'!C$14,'Data Entry'!C$18,'Data Entry'!I$8,'Data Entry'!I$9,'Data Entry'!C$20,0,0,'Data Entry'!C$26,'Data Entry'!I$13,'Data Entry'!I$14,'Data Entry'!C$28,0,0)</f>
        <v>0.1751411685539418</v>
      </c>
    </row>
    <row r="66" spans="12:19" ht="14.25">
      <c r="L66" s="36">
        <v>62</v>
      </c>
      <c r="M66" s="40">
        <f>elev(L66,F$1,'Data Entry'!C$8,'Data Entry'!C$14,'Data Entry'!C$18,'Data Entry'!I$8,'Data Entry'!I$9,'Data Entry'!C$20,'Data Entry'!C$21,'Data Entry'!C$22,'Data Entry'!C$26,'Data Entry'!I$13,'Data Entry'!I$14,'Data Entry'!C$28,'Data Entry'!C$29,'Data Entry'!C$30)</f>
        <v>-1.18</v>
      </c>
      <c r="N66" s="40">
        <f>so(M66,F$1,'Data Entry'!C$8,'Data Entry'!C$14,'Data Entry'!C$18,'Data Entry'!I$8,'Data Entry'!I$9,'Data Entry'!C$20,'Data Entry'!C$21,'Data Entry'!C$22,'Data Entry'!C$26,'Data Entry'!I$13,'Data Entry'!I$14,'Data Entry'!C$28,'Data Entry'!C$29,'Data Entry'!C$30)</f>
        <v>0.29280958278477887</v>
      </c>
      <c r="O66" s="40">
        <f>sw(M66,F$1,'Data Entry'!C$8,'Data Entry'!C$14,'Data Entry'!C$18,'Data Entry'!I$9,'Data Entry'!C$20,'Data Entry'!C$22,'Data Entry'!C$26,'Data Entry'!I$14,'Data Entry'!C$28,'Data Entry'!C$30)</f>
        <v>0.7071904172152211</v>
      </c>
      <c r="P66" s="40">
        <f>elev(L66,F$1,'Data Entry'!C$8,'Data Entry'!C$14,'Data Entry'!C$18,'Data Entry'!I$8,'Data Entry'!I$9,'Data Entry'!C$20,0,0,'Data Entry'!C$26,'Data Entry'!I$13,'Data Entry'!I$14,'Data Entry'!C$28,0,0)</f>
        <v>-1.18</v>
      </c>
      <c r="Q66" s="44">
        <f>kro(P66,F$1,'Data Entry'!C$8,'Data Entry'!C$14,'Data Entry'!C$18,'Data Entry'!I$8,'Data Entry'!I$9,'Data Entry'!C$20,'Data Entry'!C$26,'Data Entry'!I$13,'Data Entry'!I$14,'Data Entry'!C$28)</f>
        <v>0.0248029054757193</v>
      </c>
      <c r="S66" s="44">
        <f>so(P66,F$1,'Data Entry'!C$8,'Data Entry'!C$14,'Data Entry'!C$18,'Data Entry'!I$8,'Data Entry'!I$9,'Data Entry'!C$20,0,0,'Data Entry'!C$26,'Data Entry'!I$13,'Data Entry'!I$14,'Data Entry'!C$28,0,0)</f>
        <v>0.11932660643757276</v>
      </c>
    </row>
    <row r="67" spans="12:19" ht="14.25">
      <c r="L67" s="36">
        <v>63</v>
      </c>
      <c r="M67" s="40">
        <f>elev(L67,F$1,'Data Entry'!C$8,'Data Entry'!C$14,'Data Entry'!C$18,'Data Entry'!I$8,'Data Entry'!I$9,'Data Entry'!C$20,'Data Entry'!C$21,'Data Entry'!C$22,'Data Entry'!C$26,'Data Entry'!I$13,'Data Entry'!I$14,'Data Entry'!C$28,'Data Entry'!C$29,'Data Entry'!C$30)</f>
        <v>-1.245</v>
      </c>
      <c r="N67" s="40">
        <f>so(M67,F$1,'Data Entry'!C$8,'Data Entry'!C$14,'Data Entry'!C$18,'Data Entry'!I$8,'Data Entry'!I$9,'Data Entry'!C$20,'Data Entry'!C$21,'Data Entry'!C$22,'Data Entry'!C$26,'Data Entry'!I$13,'Data Entry'!I$14,'Data Entry'!C$28,'Data Entry'!C$29,'Data Entry'!C$30)</f>
        <v>0.25807509882427804</v>
      </c>
      <c r="O67" s="40">
        <f>sw(M67,F$1,'Data Entry'!C$8,'Data Entry'!C$14,'Data Entry'!C$18,'Data Entry'!I$9,'Data Entry'!C$20,'Data Entry'!C$22,'Data Entry'!C$26,'Data Entry'!I$14,'Data Entry'!C$28,'Data Entry'!C$30)</f>
        <v>0.741924901175722</v>
      </c>
      <c r="P67" s="40">
        <f>elev(L67,F$1,'Data Entry'!C$8,'Data Entry'!C$14,'Data Entry'!C$18,'Data Entry'!I$8,'Data Entry'!I$9,'Data Entry'!C$20,0,0,'Data Entry'!C$26,'Data Entry'!I$13,'Data Entry'!I$14,'Data Entry'!C$28,0,0)</f>
        <v>-1.245</v>
      </c>
      <c r="Q67" s="44">
        <f>kro(P67,F$1,'Data Entry'!C$8,'Data Entry'!C$14,'Data Entry'!C$18,'Data Entry'!I$8,'Data Entry'!I$9,'Data Entry'!C$20,'Data Entry'!C$26,'Data Entry'!I$13,'Data Entry'!I$14,'Data Entry'!C$28)</f>
        <v>0.00984165355639172</v>
      </c>
      <c r="S67" s="44">
        <f>so(P67,F$1,'Data Entry'!C$8,'Data Entry'!C$14,'Data Entry'!C$18,'Data Entry'!I$8,'Data Entry'!I$9,'Data Entry'!C$20,0,0,'Data Entry'!C$26,'Data Entry'!I$13,'Data Entry'!I$14,'Data Entry'!C$28,0,0)</f>
        <v>0.07466798420264309</v>
      </c>
    </row>
    <row r="68" spans="12:19" ht="14.25">
      <c r="L68" s="36">
        <v>64</v>
      </c>
      <c r="M68" s="40">
        <f>elev(L68,F$1,'Data Entry'!C$8,'Data Entry'!C$14,'Data Entry'!C$18,'Data Entry'!I$8,'Data Entry'!I$9,'Data Entry'!C$20,'Data Entry'!C$21,'Data Entry'!C$22,'Data Entry'!C$26,'Data Entry'!I$13,'Data Entry'!I$14,'Data Entry'!C$28,'Data Entry'!C$29,'Data Entry'!C$30)</f>
        <v>-1.3099999999999998</v>
      </c>
      <c r="N68" s="40">
        <f>so(M68,F$1,'Data Entry'!C$8,'Data Entry'!C$14,'Data Entry'!C$18,'Data Entry'!I$8,'Data Entry'!I$9,'Data Entry'!C$20,'Data Entry'!C$21,'Data Entry'!C$22,'Data Entry'!C$26,'Data Entry'!I$13,'Data Entry'!I$14,'Data Entry'!C$28,'Data Entry'!C$29,'Data Entry'!C$30)</f>
        <v>0.23279780146216822</v>
      </c>
      <c r="O68" s="40">
        <f>sw(M68,F$1,'Data Entry'!C$8,'Data Entry'!C$14,'Data Entry'!C$18,'Data Entry'!I$9,'Data Entry'!C$20,'Data Entry'!C$22,'Data Entry'!C$26,'Data Entry'!I$14,'Data Entry'!C$28,'Data Entry'!C$30)</f>
        <v>0.7672021985378318</v>
      </c>
      <c r="P68" s="40">
        <f>elev(L68,F$1,'Data Entry'!C$8,'Data Entry'!C$14,'Data Entry'!C$18,'Data Entry'!I$8,'Data Entry'!I$9,'Data Entry'!C$20,0,0,'Data Entry'!C$26,'Data Entry'!I$13,'Data Entry'!I$14,'Data Entry'!C$28,0,0)</f>
        <v>-1.3099999999999998</v>
      </c>
      <c r="Q68" s="44">
        <f>kro(P68,F$1,'Data Entry'!C$8,'Data Entry'!C$14,'Data Entry'!C$18,'Data Entry'!I$8,'Data Entry'!I$9,'Data Entry'!C$20,'Data Entry'!C$26,'Data Entry'!I$13,'Data Entry'!I$14,'Data Entry'!C$28)</f>
        <v>0.0031685547398355124</v>
      </c>
      <c r="S68" s="44">
        <f>so(P68,F$1,'Data Entry'!C$8,'Data Entry'!C$14,'Data Entry'!C$18,'Data Entry'!I$8,'Data Entry'!I$9,'Data Entry'!C$20,0,0,'Data Entry'!C$26,'Data Entry'!I$13,'Data Entry'!I$14,'Data Entry'!C$28,0,0)</f>
        <v>0.042168601879930434</v>
      </c>
    </row>
    <row r="69" spans="12:19" ht="14.25">
      <c r="L69" s="36">
        <v>65</v>
      </c>
      <c r="M69" s="40">
        <f>elev(L69,F$1,'Data Entry'!C$8,'Data Entry'!C$14,'Data Entry'!C$18,'Data Entry'!I$8,'Data Entry'!I$9,'Data Entry'!C$20,'Data Entry'!C$21,'Data Entry'!C$22,'Data Entry'!C$26,'Data Entry'!I$13,'Data Entry'!I$14,'Data Entry'!C$28,'Data Entry'!C$29,'Data Entry'!C$30)</f>
        <v>-1.375</v>
      </c>
      <c r="N69" s="40">
        <f>so(M69,F$1,'Data Entry'!C$8,'Data Entry'!C$14,'Data Entry'!C$18,'Data Entry'!I$8,'Data Entry'!I$9,'Data Entry'!C$20,'Data Entry'!C$21,'Data Entry'!C$22,'Data Entry'!C$26,'Data Entry'!I$13,'Data Entry'!I$14,'Data Entry'!C$28,'Data Entry'!C$29,'Data Entry'!C$30)</f>
        <v>0.21627565729544063</v>
      </c>
      <c r="O69" s="40">
        <f>sw(M69,F$1,'Data Entry'!C$8,'Data Entry'!C$14,'Data Entry'!C$18,'Data Entry'!I$9,'Data Entry'!C$20,'Data Entry'!C$22,'Data Entry'!C$26,'Data Entry'!I$14,'Data Entry'!C$28,'Data Entry'!C$30)</f>
        <v>0.7837243427045594</v>
      </c>
      <c r="P69" s="40">
        <f>elev(L69,F$1,'Data Entry'!C$8,'Data Entry'!C$14,'Data Entry'!C$18,'Data Entry'!I$8,'Data Entry'!I$9,'Data Entry'!C$20,0,0,'Data Entry'!C$26,'Data Entry'!I$13,'Data Entry'!I$14,'Data Entry'!C$28,0,0)</f>
        <v>-1.375</v>
      </c>
      <c r="Q69" s="44">
        <f>kro(P69,F$1,'Data Entry'!C$8,'Data Entry'!C$14,'Data Entry'!C$18,'Data Entry'!I$8,'Data Entry'!I$9,'Data Entry'!C$20,'Data Entry'!C$26,'Data Entry'!I$13,'Data Entry'!I$14,'Data Entry'!C$28)</f>
        <v>0.0007849966213557502</v>
      </c>
      <c r="S69" s="44">
        <f>so(P69,F$1,'Data Entry'!C$8,'Data Entry'!C$14,'Data Entry'!C$18,'Data Entry'!I$8,'Data Entry'!I$9,'Data Entry'!C$20,0,0,'Data Entry'!C$26,'Data Entry'!I$13,'Data Entry'!I$14,'Data Entry'!C$28,0,0)</f>
        <v>0.020925845094137863</v>
      </c>
    </row>
    <row r="70" spans="12:19" ht="14.25">
      <c r="L70" s="36">
        <v>66</v>
      </c>
      <c r="M70" s="40">
        <f>elev(L70,F$1,'Data Entry'!C$8,'Data Entry'!C$14,'Data Entry'!C$18,'Data Entry'!I$8,'Data Entry'!I$9,'Data Entry'!C$20,'Data Entry'!C$21,'Data Entry'!C$22,'Data Entry'!C$26,'Data Entry'!I$13,'Data Entry'!I$14,'Data Entry'!C$28,'Data Entry'!C$29,'Data Entry'!C$30)</f>
        <v>-1.44</v>
      </c>
      <c r="N70" s="40">
        <f>so(M70,F$1,'Data Entry'!C$8,'Data Entry'!C$14,'Data Entry'!C$18,'Data Entry'!I$8,'Data Entry'!I$9,'Data Entry'!C$20,'Data Entry'!C$21,'Data Entry'!C$22,'Data Entry'!C$26,'Data Entry'!I$13,'Data Entry'!I$14,'Data Entry'!C$28,'Data Entry'!C$29,'Data Entry'!C$30)</f>
        <v>0.20677480997062825</v>
      </c>
      <c r="O70" s="40">
        <f>sw(M70,F$1,'Data Entry'!C$8,'Data Entry'!C$14,'Data Entry'!C$18,'Data Entry'!I$9,'Data Entry'!C$20,'Data Entry'!C$22,'Data Entry'!C$26,'Data Entry'!I$14,'Data Entry'!C$28,'Data Entry'!C$30)</f>
        <v>0.7932251900293718</v>
      </c>
      <c r="P70" s="40">
        <f>elev(L70,F$1,'Data Entry'!C$8,'Data Entry'!C$14,'Data Entry'!C$18,'Data Entry'!I$8,'Data Entry'!I$9,'Data Entry'!C$20,0,0,'Data Entry'!C$26,'Data Entry'!I$13,'Data Entry'!I$14,'Data Entry'!C$28,0,0)</f>
        <v>-1.44</v>
      </c>
      <c r="Q70" s="44">
        <f>kro(P70,F$1,'Data Entry'!C$8,'Data Entry'!C$14,'Data Entry'!C$18,'Data Entry'!I$8,'Data Entry'!I$9,'Data Entry'!C$20,'Data Entry'!C$26,'Data Entry'!I$13,'Data Entry'!I$14,'Data Entry'!C$28)</f>
        <v>0.00013648143694437208</v>
      </c>
      <c r="S70" s="44">
        <f>so(P70,F$1,'Data Entry'!C$8,'Data Entry'!C$14,'Data Entry'!C$18,'Data Entry'!I$8,'Data Entry'!I$9,'Data Entry'!C$20,0,0,'Data Entry'!C$26,'Data Entry'!I$13,'Data Entry'!I$14,'Data Entry'!C$28,0,0)</f>
        <v>0.008710469962236234</v>
      </c>
    </row>
    <row r="71" spans="12:19" ht="14.25">
      <c r="L71" s="36">
        <v>67</v>
      </c>
      <c r="M71" s="40">
        <f>elev(L71,F$1,'Data Entry'!C$8,'Data Entry'!C$14,'Data Entry'!C$18,'Data Entry'!I$8,'Data Entry'!I$9,'Data Entry'!C$20,'Data Entry'!C$21,'Data Entry'!C$22,'Data Entry'!C$26,'Data Entry'!I$13,'Data Entry'!I$14,'Data Entry'!C$28,'Data Entry'!C$29,'Data Entry'!C$30)</f>
        <v>-1.505</v>
      </c>
      <c r="N71" s="40">
        <f>so(M71,F$1,'Data Entry'!C$8,'Data Entry'!C$14,'Data Entry'!C$18,'Data Entry'!I$8,'Data Entry'!I$9,'Data Entry'!C$20,'Data Entry'!C$21,'Data Entry'!C$22,'Data Entry'!C$26,'Data Entry'!I$13,'Data Entry'!I$14,'Data Entry'!C$28,'Data Entry'!C$29,'Data Entry'!C$30)</f>
        <v>0.20216025471340004</v>
      </c>
      <c r="O71" s="40">
        <f>sw(M71,F$1,'Data Entry'!C$8,'Data Entry'!C$14,'Data Entry'!C$18,'Data Entry'!I$9,'Data Entry'!C$20,'Data Entry'!C$22,'Data Entry'!C$26,'Data Entry'!I$14,'Data Entry'!C$28,'Data Entry'!C$30)</f>
        <v>0.7978397452866</v>
      </c>
      <c r="P71" s="40">
        <f>elev(L71,F$1,'Data Entry'!C$8,'Data Entry'!C$14,'Data Entry'!C$18,'Data Entry'!I$8,'Data Entry'!I$9,'Data Entry'!C$20,0,0,'Data Entry'!C$26,'Data Entry'!I$13,'Data Entry'!I$14,'Data Entry'!C$28,0,0)</f>
        <v>-1.505</v>
      </c>
      <c r="Q71" s="44">
        <f>kro(P71,F$1,'Data Entry'!C$8,'Data Entry'!C$14,'Data Entry'!C$18,'Data Entry'!I$8,'Data Entry'!I$9,'Data Entry'!C$20,'Data Entry'!C$26,'Data Entry'!I$13,'Data Entry'!I$14,'Data Entry'!C$28)</f>
        <v>1.3899776569533418E-05</v>
      </c>
      <c r="S71" s="44">
        <f>so(P71,F$1,'Data Entry'!C$8,'Data Entry'!C$14,'Data Entry'!C$18,'Data Entry'!I$8,'Data Entry'!I$9,'Data Entry'!C$20,0,0,'Data Entry'!C$26,'Data Entry'!I$13,'Data Entry'!I$14,'Data Entry'!C$28,0,0)</f>
        <v>0.002777470345800004</v>
      </c>
    </row>
    <row r="72" spans="12:19" ht="14.25">
      <c r="L72" s="36">
        <v>68</v>
      </c>
      <c r="M72" s="40">
        <f>elev(L72,F$1,'Data Entry'!C$8,'Data Entry'!C$14,'Data Entry'!C$18,'Data Entry'!I$8,'Data Entry'!I$9,'Data Entry'!C$20,'Data Entry'!C$21,'Data Entry'!C$22,'Data Entry'!C$26,'Data Entry'!I$13,'Data Entry'!I$14,'Data Entry'!C$28,'Data Entry'!C$29,'Data Entry'!C$30)</f>
        <v>-1.5699999999999998</v>
      </c>
      <c r="N72" s="40">
        <f>so(M72,F$1,'Data Entry'!C$8,'Data Entry'!C$14,'Data Entry'!C$18,'Data Entry'!I$8,'Data Entry'!I$9,'Data Entry'!C$20,'Data Entry'!C$21,'Data Entry'!C$22,'Data Entry'!C$26,'Data Entry'!I$13,'Data Entry'!I$14,'Data Entry'!C$28,'Data Entry'!C$29,'Data Entry'!C$30)</f>
        <v>0.20042795318116546</v>
      </c>
      <c r="O72" s="40">
        <f>sw(M72,F$1,'Data Entry'!C$8,'Data Entry'!C$14,'Data Entry'!C$18,'Data Entry'!I$9,'Data Entry'!C$20,'Data Entry'!C$22,'Data Entry'!C$26,'Data Entry'!I$14,'Data Entry'!C$28,'Data Entry'!C$30)</f>
        <v>0.7995720468188345</v>
      </c>
      <c r="P72" s="40">
        <f>elev(L72,F$1,'Data Entry'!C$8,'Data Entry'!C$14,'Data Entry'!C$18,'Data Entry'!I$8,'Data Entry'!I$9,'Data Entry'!C$20,0,0,'Data Entry'!C$26,'Data Entry'!I$13,'Data Entry'!I$14,'Data Entry'!C$28,0,0)</f>
        <v>-1.5699999999999998</v>
      </c>
      <c r="Q72" s="44">
        <f>kro(P72,F$1,'Data Entry'!C$8,'Data Entry'!C$14,'Data Entry'!C$18,'Data Entry'!I$8,'Data Entry'!I$9,'Data Entry'!C$20,'Data Entry'!C$26,'Data Entry'!I$13,'Data Entry'!I$14,'Data Entry'!C$28)</f>
        <v>5.458325208705824E-07</v>
      </c>
      <c r="S72" s="44">
        <f>so(P72,F$1,'Data Entry'!C$8,'Data Entry'!C$14,'Data Entry'!C$18,'Data Entry'!I$8,'Data Entry'!I$9,'Data Entry'!C$20,0,0,'Data Entry'!C$26,'Data Entry'!I$13,'Data Entry'!I$14,'Data Entry'!C$28,0,0)</f>
        <v>0.0005502255186412564</v>
      </c>
    </row>
    <row r="73" spans="12:19" ht="14.25">
      <c r="L73" s="36">
        <v>69</v>
      </c>
      <c r="M73" s="40">
        <f>elev(L73,F$1,'Data Entry'!C$8,'Data Entry'!C$14,'Data Entry'!C$18,'Data Entry'!I$8,'Data Entry'!I$9,'Data Entry'!C$20,'Data Entry'!C$21,'Data Entry'!C$22,'Data Entry'!C$26,'Data Entry'!I$13,'Data Entry'!I$14,'Data Entry'!C$28,'Data Entry'!C$29,'Data Entry'!C$30)</f>
        <v>-1.6349999999999998</v>
      </c>
      <c r="N73" s="40">
        <f>so(M73,F$1,'Data Entry'!C$8,'Data Entry'!C$14,'Data Entry'!C$18,'Data Entry'!I$8,'Data Entry'!I$9,'Data Entry'!C$20,'Data Entry'!C$21,'Data Entry'!C$22,'Data Entry'!C$26,'Data Entry'!I$13,'Data Entry'!I$14,'Data Entry'!C$28,'Data Entry'!C$29,'Data Entry'!C$30)</f>
        <v>0.20002676497029281</v>
      </c>
      <c r="O73" s="40">
        <f>sw(M73,F$1,'Data Entry'!C$8,'Data Entry'!C$14,'Data Entry'!C$18,'Data Entry'!I$9,'Data Entry'!C$20,'Data Entry'!C$22,'Data Entry'!C$26,'Data Entry'!I$14,'Data Entry'!C$28,'Data Entry'!C$30)</f>
        <v>0.7999732350297072</v>
      </c>
      <c r="P73" s="40">
        <f>elev(L73,F$1,'Data Entry'!C$8,'Data Entry'!C$14,'Data Entry'!C$18,'Data Entry'!I$8,'Data Entry'!I$9,'Data Entry'!C$20,0,0,'Data Entry'!C$26,'Data Entry'!I$13,'Data Entry'!I$14,'Data Entry'!C$28,0,0)</f>
        <v>-1.6349999999999998</v>
      </c>
      <c r="Q73" s="44">
        <f>kro(P73,F$1,'Data Entry'!C$8,'Data Entry'!C$14,'Data Entry'!C$18,'Data Entry'!I$8,'Data Entry'!I$9,'Data Entry'!C$20,'Data Entry'!C$26,'Data Entry'!I$13,'Data Entry'!I$14,'Data Entry'!C$28)</f>
        <v>2.1353184843345466E-09</v>
      </c>
      <c r="S73" s="44">
        <f>so(P73,F$1,'Data Entry'!C$8,'Data Entry'!C$14,'Data Entry'!C$18,'Data Entry'!I$8,'Data Entry'!I$9,'Data Entry'!C$20,0,0,'Data Entry'!C$26,'Data Entry'!I$13,'Data Entry'!I$14,'Data Entry'!C$28,0,0)</f>
        <v>3.44121046621515E-05</v>
      </c>
    </row>
    <row r="74" spans="12:19" ht="14.25">
      <c r="L74" s="36">
        <v>70</v>
      </c>
      <c r="M74" s="40">
        <f>elev(L74,F$1,'Data Entry'!C$8,'Data Entry'!C$14,'Data Entry'!C$18,'Data Entry'!I$8,'Data Entry'!I$9,'Data Entry'!C$20,'Data Entry'!C$21,'Data Entry'!C$22,'Data Entry'!C$26,'Data Entry'!I$13,'Data Entry'!I$14,'Data Entry'!C$28,'Data Entry'!C$29,'Data Entry'!C$30)</f>
        <v>-1.6999999999999997</v>
      </c>
      <c r="N74" s="40">
        <f>so(M74,F$1,'Data Entry'!C$8,'Data Entry'!C$14,'Data Entry'!C$18,'Data Entry'!I$8,'Data Entry'!I$9,'Data Entry'!C$20,'Data Entry'!C$21,'Data Entry'!C$22,'Data Entry'!C$26,'Data Entry'!I$13,'Data Entry'!I$14,'Data Entry'!C$28,'Data Entry'!C$29,'Data Entry'!C$30)</f>
        <v>0.20000000000000007</v>
      </c>
      <c r="O74" s="40">
        <f>sw(M74,F$1,'Data Entry'!C$8,'Data Entry'!C$14,'Data Entry'!C$18,'Data Entry'!I$9,'Data Entry'!C$20,'Data Entry'!C$22,'Data Entry'!C$26,'Data Entry'!I$14,'Data Entry'!C$28,'Data Entry'!C$30)</f>
        <v>0.7999999999999999</v>
      </c>
      <c r="P74" s="40">
        <f>elev(L74,F$1,'Data Entry'!C$8,'Data Entry'!C$14,'Data Entry'!C$18,'Data Entry'!I$8,'Data Entry'!I$9,'Data Entry'!C$20,0,0,'Data Entry'!C$26,'Data Entry'!I$13,'Data Entry'!I$14,'Data Entry'!C$28,0,0)</f>
        <v>-1.6999999999999997</v>
      </c>
      <c r="Q74" s="44">
        <f>kro(P74,F$1,'Data Entry'!C$8,'Data Entry'!C$14,'Data Entry'!C$18,'Data Entry'!I$8,'Data Entry'!I$9,'Data Entry'!C$20,'Data Entry'!C$26,'Data Entry'!I$13,'Data Entry'!I$14,'Data Entry'!C$28)</f>
        <v>0</v>
      </c>
      <c r="S74" s="44">
        <f>so(P74,F$1,'Data Entry'!C$8,'Data Entry'!C$14,'Data Entry'!C$18,'Data Entry'!I$8,'Data Entry'!I$9,'Data Entry'!C$20,0,0,'Data Entry'!C$26,'Data Entry'!I$13,'Data Entry'!I$14,'Data Entry'!C$28,0,0)</f>
        <v>0</v>
      </c>
    </row>
    <row r="75" spans="13:14" ht="14.25">
      <c r="M75" s="40">
        <f>-F1*'Data Entry'!C8</f>
        <v>-1.7</v>
      </c>
      <c r="N75" s="4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2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36" customWidth="1"/>
    <col min="4" max="4" width="3.7109375" style="36" customWidth="1"/>
    <col min="5" max="5" width="12.7109375" style="3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6" max="16" width="9.140625" style="36" customWidth="1"/>
    <col min="17" max="17" width="9.57421875" style="36" bestFit="1" customWidth="1"/>
  </cols>
  <sheetData>
    <row r="1" spans="1:15" ht="12.75">
      <c r="A1" s="96"/>
      <c r="B1" s="111"/>
      <c r="C1" s="111"/>
      <c r="D1" s="111"/>
      <c r="E1" s="111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.75">
      <c r="A2" s="118"/>
      <c r="B2" s="119" t="s">
        <v>26</v>
      </c>
      <c r="C2" s="111"/>
      <c r="D2" s="111"/>
      <c r="E2" s="111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6"/>
      <c r="B3" s="111"/>
      <c r="C3" s="111"/>
      <c r="D3" s="111"/>
      <c r="E3" s="111"/>
      <c r="F3" s="96"/>
      <c r="G3" s="96"/>
      <c r="H3" s="96"/>
      <c r="I3" s="96"/>
      <c r="J3" s="96"/>
      <c r="K3" s="153" t="s">
        <v>30</v>
      </c>
      <c r="L3" s="154"/>
      <c r="M3" s="96"/>
      <c r="N3" s="96"/>
      <c r="O3" s="96"/>
    </row>
    <row r="4" spans="1:14" ht="15.75">
      <c r="A4" s="96"/>
      <c r="B4" s="137" t="s">
        <v>97</v>
      </c>
      <c r="C4" s="199">
        <v>30</v>
      </c>
      <c r="D4" s="111"/>
      <c r="E4" s="150" t="s">
        <v>27</v>
      </c>
      <c r="F4" s="138"/>
      <c r="G4" s="96"/>
      <c r="H4" s="150" t="s">
        <v>28</v>
      </c>
      <c r="I4" s="138"/>
      <c r="J4" s="96"/>
      <c r="K4" s="155" t="s">
        <v>110</v>
      </c>
      <c r="L4" s="156"/>
      <c r="M4" s="96"/>
      <c r="N4" s="96"/>
    </row>
    <row r="5" spans="1:14" ht="15.75">
      <c r="A5" s="96"/>
      <c r="B5" s="140" t="s">
        <v>98</v>
      </c>
      <c r="C5" s="200">
        <v>20</v>
      </c>
      <c r="D5" s="111"/>
      <c r="E5" s="140" t="s">
        <v>103</v>
      </c>
      <c r="F5" s="200">
        <v>0</v>
      </c>
      <c r="G5" s="96"/>
      <c r="H5" s="140" t="s">
        <v>107</v>
      </c>
      <c r="I5" s="195">
        <v>0</v>
      </c>
      <c r="J5" s="96"/>
      <c r="K5" s="157" t="s">
        <v>111</v>
      </c>
      <c r="L5" s="158"/>
      <c r="M5" s="114" t="s">
        <v>22</v>
      </c>
      <c r="N5" s="96"/>
    </row>
    <row r="6" spans="1:14" ht="15.75">
      <c r="A6" s="96"/>
      <c r="B6" s="149" t="s">
        <v>99</v>
      </c>
      <c r="C6" s="201">
        <v>2</v>
      </c>
      <c r="D6" s="111"/>
      <c r="E6" s="141" t="s">
        <v>104</v>
      </c>
      <c r="F6" s="201">
        <v>10</v>
      </c>
      <c r="G6" s="96"/>
      <c r="H6" s="140" t="s">
        <v>108</v>
      </c>
      <c r="I6" s="200">
        <v>10</v>
      </c>
      <c r="J6" s="96"/>
      <c r="M6" s="115" t="s">
        <v>22</v>
      </c>
      <c r="N6" s="96"/>
    </row>
    <row r="7" spans="1:14" ht="15.75">
      <c r="A7" s="96"/>
      <c r="B7" s="140" t="s">
        <v>100</v>
      </c>
      <c r="C7" s="200">
        <v>5</v>
      </c>
      <c r="D7" s="111"/>
      <c r="E7" s="141" t="s">
        <v>105</v>
      </c>
      <c r="F7" s="201">
        <v>200</v>
      </c>
      <c r="G7" s="96"/>
      <c r="H7" s="151" t="s">
        <v>29</v>
      </c>
      <c r="I7" s="201">
        <v>0.9</v>
      </c>
      <c r="J7" s="96"/>
      <c r="K7" s="159" t="s">
        <v>112</v>
      </c>
      <c r="L7" s="160"/>
      <c r="M7" s="96"/>
      <c r="N7" s="96"/>
    </row>
    <row r="8" spans="1:17" ht="15.75">
      <c r="A8" s="96"/>
      <c r="B8" s="140" t="s">
        <v>101</v>
      </c>
      <c r="C8" s="200">
        <v>5</v>
      </c>
      <c r="D8" s="111"/>
      <c r="E8" s="144" t="s">
        <v>106</v>
      </c>
      <c r="F8" s="166">
        <f>swell(1440*F5/7.48,F6,C7,C8,'Data Entry'!C14,F7,C9)</f>
        <v>0</v>
      </c>
      <c r="G8" s="96"/>
      <c r="H8" s="152" t="s">
        <v>109</v>
      </c>
      <c r="I8" s="165">
        <f>qair(I9,I6,I7,C7,C8,C9,C5,'Data Entry'!C14)</f>
        <v>0</v>
      </c>
      <c r="J8" s="96"/>
      <c r="K8" s="161" t="s">
        <v>113</v>
      </c>
      <c r="L8" s="162"/>
      <c r="M8" s="96"/>
      <c r="N8" s="96"/>
      <c r="O8" s="96"/>
      <c r="P8" s="36" t="s">
        <v>32</v>
      </c>
      <c r="Q8" s="36" t="s">
        <v>24</v>
      </c>
    </row>
    <row r="9" spans="1:17" ht="15.75">
      <c r="A9" s="96"/>
      <c r="B9" s="141" t="s">
        <v>102</v>
      </c>
      <c r="C9" s="201">
        <v>0.33</v>
      </c>
      <c r="D9" s="111"/>
      <c r="E9" s="111"/>
      <c r="F9" s="96"/>
      <c r="G9" s="96"/>
      <c r="H9" s="144" t="s">
        <v>128</v>
      </c>
      <c r="I9" s="166">
        <f>-33.89*I5</f>
        <v>0</v>
      </c>
      <c r="J9" s="96"/>
      <c r="K9" s="163" t="s">
        <v>114</v>
      </c>
      <c r="L9" s="164">
        <f>F8*((C5^2*LN(F7/C5)-C9^2*LN(F7/C9))/((C5^2-C9^2)*LN(F7/C9))+1/(2*LN(F7/C9)))+I9*((C5^2*LN(C5/C5)-C9^2*LN(C5/C9))/((C5^2-C9^2)*LN(C5/C9))+1/(2*LN(C5/C9)))</f>
        <v>0</v>
      </c>
      <c r="M9" s="96"/>
      <c r="N9" s="96"/>
      <c r="O9" s="96"/>
      <c r="P9" s="44">
        <f>IF(C33&lt;C4,C33,)</f>
        <v>1.4722537531706634</v>
      </c>
      <c r="Q9" s="36">
        <f>IF(C33&lt;C4,'Layer Calcs'!B6,0)</f>
        <v>2.16</v>
      </c>
    </row>
    <row r="10" spans="1:17" ht="12.75">
      <c r="A10" s="96"/>
      <c r="B10" s="111"/>
      <c r="C10" s="111"/>
      <c r="D10" s="111"/>
      <c r="E10" s="111"/>
      <c r="F10" s="96"/>
      <c r="G10" s="96"/>
      <c r="H10" s="96"/>
      <c r="I10" s="96"/>
      <c r="J10" s="96"/>
      <c r="K10" s="96"/>
      <c r="L10" s="96"/>
      <c r="M10" s="96"/>
      <c r="N10" s="96"/>
      <c r="P10" s="44">
        <f>IF(C34&lt;C4,C34,P9)</f>
        <v>12.782552192230668</v>
      </c>
      <c r="Q10" s="36">
        <f>IF(P10&gt;P9,'Layer Calcs'!B5,Q9)</f>
        <v>1.2</v>
      </c>
    </row>
    <row r="11" spans="1:17" ht="15.75">
      <c r="A11" s="96"/>
      <c r="B11" s="145" t="s">
        <v>72</v>
      </c>
      <c r="C11" s="111"/>
      <c r="D11" s="111"/>
      <c r="E11" s="111"/>
      <c r="F11" s="96"/>
      <c r="G11" s="96"/>
      <c r="H11" s="96"/>
      <c r="I11" s="96"/>
      <c r="J11" s="96"/>
      <c r="K11" s="96"/>
      <c r="L11" s="96"/>
      <c r="M11" s="96"/>
      <c r="N11" s="96"/>
      <c r="P11" s="112">
        <f>IF(C35&lt;C4,C35,0)</f>
        <v>0</v>
      </c>
      <c r="Q11" s="113">
        <f>IF('Data Entry'!C14&gt;0,'Data Entry'!C14/(1-'Data Entry'!C8),-'Data Entry'!C14/'Data Entry'!C8)</f>
        <v>0.4705882352941177</v>
      </c>
    </row>
    <row r="12" spans="1:14" ht="12.75">
      <c r="A12" s="96"/>
      <c r="B12" s="111"/>
      <c r="C12" s="111"/>
      <c r="D12" s="111"/>
      <c r="E12" s="111"/>
      <c r="F12" s="96"/>
      <c r="G12" s="96"/>
      <c r="H12" s="96"/>
      <c r="I12" s="96"/>
      <c r="J12" s="96"/>
      <c r="K12" s="96"/>
      <c r="L12" s="96"/>
      <c r="M12" s="96"/>
      <c r="N12" s="96"/>
    </row>
    <row r="13" spans="1:17" ht="12.75">
      <c r="A13" s="96"/>
      <c r="B13" s="111"/>
      <c r="C13" s="111"/>
      <c r="D13" s="111"/>
      <c r="E13" s="111"/>
      <c r="F13" s="96"/>
      <c r="G13" s="96"/>
      <c r="H13" s="96"/>
      <c r="I13" s="96"/>
      <c r="J13" s="96"/>
      <c r="K13" s="96"/>
      <c r="L13" s="96"/>
      <c r="M13" s="96"/>
      <c r="N13" s="96"/>
      <c r="P13" s="36" t="s">
        <v>32</v>
      </c>
      <c r="Q13" s="36" t="s">
        <v>33</v>
      </c>
    </row>
    <row r="14" spans="1:17" ht="12.75">
      <c r="A14" s="96"/>
      <c r="B14" s="111"/>
      <c r="C14" s="111"/>
      <c r="D14" s="111"/>
      <c r="E14" s="111"/>
      <c r="F14" s="96"/>
      <c r="G14" s="96"/>
      <c r="H14" s="96"/>
      <c r="I14" s="96"/>
      <c r="J14" s="96"/>
      <c r="K14" s="96"/>
      <c r="L14" s="96"/>
      <c r="M14" s="96"/>
      <c r="N14" s="96"/>
      <c r="P14" s="36">
        <v>0</v>
      </c>
      <c r="Q14" s="36">
        <f>PI()*C5^2*'Layer Calcs'!C7*7.48</f>
        <v>5490.45789522365</v>
      </c>
    </row>
    <row r="15" spans="1:17" ht="12.75">
      <c r="A15" s="96"/>
      <c r="B15" s="69"/>
      <c r="C15" s="69"/>
      <c r="D15" s="69"/>
      <c r="E15" s="69"/>
      <c r="F15" s="46"/>
      <c r="G15" s="46"/>
      <c r="H15" s="46"/>
      <c r="I15" s="46"/>
      <c r="J15" s="46"/>
      <c r="K15" s="46"/>
      <c r="L15" s="46"/>
      <c r="M15" s="46"/>
      <c r="N15" s="46"/>
      <c r="P15" s="36">
        <f>C4</f>
        <v>30</v>
      </c>
      <c r="Q15" s="36">
        <f>Q14</f>
        <v>5490.45789522365</v>
      </c>
    </row>
    <row r="16" spans="1:14" ht="12.75">
      <c r="A16" s="96"/>
      <c r="B16" s="69"/>
      <c r="C16" s="69"/>
      <c r="D16" s="69"/>
      <c r="E16" s="69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2.75">
      <c r="A17" s="96"/>
      <c r="B17" s="69"/>
      <c r="C17" s="69"/>
      <c r="D17" s="69"/>
      <c r="E17" s="69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2.75">
      <c r="A18" s="96"/>
      <c r="B18" s="69"/>
      <c r="C18" s="69"/>
      <c r="D18" s="69"/>
      <c r="E18" s="69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2.75">
      <c r="A19" s="96"/>
      <c r="B19" s="69"/>
      <c r="C19" s="69"/>
      <c r="D19" s="69"/>
      <c r="E19" s="69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2.75">
      <c r="A20" s="96"/>
      <c r="B20" s="69"/>
      <c r="C20" s="69"/>
      <c r="D20" s="69"/>
      <c r="E20" s="69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>
      <c r="A21" s="96"/>
      <c r="B21" s="69"/>
      <c r="C21" s="69"/>
      <c r="D21" s="69"/>
      <c r="E21" s="69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96"/>
      <c r="B22" s="69"/>
      <c r="C22" s="69"/>
      <c r="D22" s="69"/>
      <c r="E22" s="69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2.75">
      <c r="A23" s="96"/>
      <c r="B23" s="69"/>
      <c r="C23" s="69"/>
      <c r="D23" s="69"/>
      <c r="E23" s="69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2.75">
      <c r="A24" s="96"/>
      <c r="B24" s="111"/>
      <c r="C24" s="111"/>
      <c r="D24" s="111"/>
      <c r="E24" s="111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2.75">
      <c r="A25" s="96"/>
      <c r="B25" s="111"/>
      <c r="C25" s="111"/>
      <c r="D25" s="111"/>
      <c r="E25" s="111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2.75">
      <c r="A26" s="96"/>
      <c r="B26" s="111"/>
      <c r="C26" s="111"/>
      <c r="D26" s="111"/>
      <c r="E26" s="111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2.75">
      <c r="A27" s="96"/>
      <c r="B27" s="111"/>
      <c r="C27" s="111"/>
      <c r="D27" s="111"/>
      <c r="E27" s="111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2.75">
      <c r="A28" s="96"/>
      <c r="B28" s="111"/>
      <c r="C28" s="111"/>
      <c r="D28" s="111"/>
      <c r="E28" s="111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2.75">
      <c r="A29" s="96"/>
      <c r="B29"/>
      <c r="C29"/>
      <c r="D29" s="111"/>
      <c r="E29" s="111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75">
      <c r="A30" s="96"/>
      <c r="B30" s="111" t="s">
        <v>115</v>
      </c>
      <c r="C30" s="167">
        <f>('Data Entry'!C8*(1440*F5/7.48)/(PI()*C5^2*C6*F6))</f>
        <v>0</v>
      </c>
      <c r="D30" s="111"/>
      <c r="E30" s="111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75">
      <c r="A31" s="96"/>
      <c r="B31" s="111" t="s">
        <v>116</v>
      </c>
      <c r="C31" s="167">
        <f>'Data Entry'!C8*0.018*(1440*I8)/(PI()*C5^2*C6*I7*I6)</f>
        <v>0</v>
      </c>
      <c r="D31" s="111"/>
      <c r="E31" s="111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75">
      <c r="A32" s="96"/>
      <c r="B32" s="111" t="s">
        <v>129</v>
      </c>
      <c r="C32" s="167">
        <f>(1-'Data Entry'!C8)*'Data Entry'!C8/(C5^2*C6*LN(C5/C9))</f>
        <v>3.883032796740026E-05</v>
      </c>
      <c r="D32" s="111"/>
      <c r="E32" s="111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75">
      <c r="A33" s="96"/>
      <c r="B33" s="111" t="s">
        <v>117</v>
      </c>
      <c r="C33" s="116">
        <f>tt2('Layer Calcs'!B6,'Layer Calcs'!B7,'Layer Calcs'!F7,'Layer Calcs'!G7,'Layer Calcs'!H7,C30,C31,C32,'Data Entry'!C8,'Data Entry'!C14,'Data Entry'!C17,'Data Entry'!C21,'Data Entry'!C22,'Data Entry'!C25,'Data Entry'!C29,'Data Entry'!C30,C7,C8)</f>
        <v>1.4722537531706634</v>
      </c>
      <c r="D33" s="111"/>
      <c r="E33" s="111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75">
      <c r="A34" s="96"/>
      <c r="B34" s="111" t="s">
        <v>118</v>
      </c>
      <c r="C34" s="116">
        <f>tt1('Layer Calcs'!B5,'Layer Calcs'!B6,'Layer Calcs'!F6,'Layer Calcs'!G6,'Layer Calcs'!H6,Well!C30,Well!C31,Well!C32,Well!C33,'Data Entry'!C8,'Data Entry'!C14,'Data Entry'!C17,'Data Entry'!C21,'Data Entry'!C22,'Data Entry'!C25,'Data Entry'!C29,'Data Entry'!C30,C7,C8)</f>
        <v>12.782552192230668</v>
      </c>
      <c r="D34" s="111"/>
      <c r="E34" s="111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75">
      <c r="A35" s="96"/>
      <c r="B35" s="111" t="s">
        <v>119</v>
      </c>
      <c r="C35" s="116">
        <f>tt3('Layer Calcs'!B5,'Layer Calcs'!B6,'Layer Calcs'!B7,'Layer Calcs'!F5,'Layer Calcs'!F6,'Layer Calcs'!F7,'Layer Calcs'!G6,'Layer Calcs'!G7,'Layer Calcs'!H5,'Layer Calcs'!H6,'Layer Calcs'!H7,Well!C30,Well!C31,Well!C32,'Data Entry'!C8,'Data Entry'!C14,'Data Entry'!C17,'Data Entry'!C21,'Data Entry'!C22,'Data Entry'!C25,'Data Entry'!C29,'Data Entry'!C30,C7,C8)</f>
        <v>61.67515567162938</v>
      </c>
      <c r="D35" s="111"/>
      <c r="E35" s="111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2.75">
      <c r="A36" s="96"/>
      <c r="B36" s="111"/>
      <c r="C36" s="111"/>
      <c r="D36" s="111"/>
      <c r="E36" s="111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96"/>
      <c r="B37" s="111" t="s">
        <v>31</v>
      </c>
      <c r="C37" s="111" t="s">
        <v>120</v>
      </c>
      <c r="D37" s="111"/>
      <c r="E37" s="111" t="s">
        <v>121</v>
      </c>
      <c r="F37" s="111" t="s">
        <v>122</v>
      </c>
      <c r="G37" s="96"/>
      <c r="H37" s="111" t="s">
        <v>123</v>
      </c>
      <c r="I37" s="111" t="s">
        <v>124</v>
      </c>
      <c r="J37" s="96"/>
      <c r="K37" s="96"/>
      <c r="L37" s="96"/>
      <c r="M37" s="96"/>
      <c r="N37" s="96"/>
      <c r="O37" s="96"/>
    </row>
    <row r="38" spans="1:15" ht="12.75">
      <c r="A38" s="96"/>
      <c r="B38" s="111">
        <v>0</v>
      </c>
      <c r="C38" s="113">
        <f>tmrec(B38,C$34,C$33,C$35,C$4)</f>
        <v>0</v>
      </c>
      <c r="D38" s="111"/>
      <c r="E38" s="117">
        <f aca="true" t="shared" si="0" ref="E38:E78">C38*365</f>
        <v>0</v>
      </c>
      <c r="F38" s="116">
        <f>bot(E38,365*C$35,365*C$33,365*C$34,'Layer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2.999794921875</v>
      </c>
      <c r="G38" s="96"/>
      <c r="H38" s="117">
        <f>7.48*PI()*C$5^2*vorecov(F38,'Layer Calcs'!B$5,'Layer Calcs'!B$6,'Layer Calcs'!B$7,'Layer Calcs'!F$5,'Layer Calcs'!F$6,'Layer Calcs'!F$7,'Data Entry'!C$8,'Data Entry'!C$14,'Data Entry'!C$17,'Data Entry'!C$21,'Data Entry'!C$22,'Data Entry'!C$25,'Data Entry'!C$29,'Data Entry'!C$30)</f>
        <v>0.4437609112888073</v>
      </c>
      <c r="I38" s="116">
        <f>IF((C$30+C$31)&gt;0,('Data Entry'!C$8*F38/C$6)*1440*((F$5/7.48)/F$6+0.018*I$8/(I$7*I$6)),PI()*(1-'Data Entry'!C$8)*'Data Entry'!C$8*hycon(F38,'Data Entry'!C$8,'Data Entry'!C$14,C$7,C$8)*F38^2/(C$6*LN(C$5/C$9)))*kro_b(F38,'Layer Calcs'!B$5,'Layer Calcs'!B$6,'Layer Calcs'!G$6,'Layer Calcs'!G$7,'Layer Calcs'!H$5,'Layer Calcs'!H$6,'Layer Calcs'!H$7)*7.48</f>
        <v>6.309931234906517</v>
      </c>
      <c r="J38" s="96"/>
      <c r="K38" s="96"/>
      <c r="L38" s="111">
        <v>0</v>
      </c>
      <c r="M38" s="96"/>
      <c r="N38" s="96"/>
      <c r="O38" s="96"/>
    </row>
    <row r="39" spans="1:15" ht="12.75">
      <c r="A39" s="96"/>
      <c r="B39" s="111">
        <v>1</v>
      </c>
      <c r="C39" s="113">
        <f aca="true" t="shared" si="1" ref="C39:C78">tmrec(B39,C$34,C$33,C$35,C$4)</f>
        <v>0.14722537531706634</v>
      </c>
      <c r="D39" s="111"/>
      <c r="E39" s="117">
        <f>C39*365</f>
        <v>53.737261990729216</v>
      </c>
      <c r="F39" s="116">
        <f>bot(E39,365*C$35,365*C$33,365*C$34,'Layer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2.8564453125</v>
      </c>
      <c r="G39" s="96"/>
      <c r="H39" s="117">
        <f>7.48*PI()*C$5^2*vorecov(F39,'Layer Calcs'!B$5,'Layer Calcs'!B$6,'Layer Calcs'!B$7,'Layer Calcs'!F$5,'Layer Calcs'!F$6,'Layer Calcs'!F$7,'Data Entry'!C$8,'Data Entry'!C$14,'Data Entry'!C$17,'Data Entry'!C$21,'Data Entry'!C$22,'Data Entry'!C$25,'Data Entry'!C$29,'Data Entry'!C$30)</f>
        <v>310.6326379021113</v>
      </c>
      <c r="I39" s="116">
        <f>IF((C$30+C$31)&gt;0,('Data Entry'!C$8*F39/C$6)*1440*((F$5/7.48)/F$6+0.018*I$8/(I$7*I$6)),PI()*(1-'Data Entry'!C$8)*'Data Entry'!C$8*hycon(F39,'Data Entry'!C$8,'Data Entry'!C$14,C$7,C$8)*F39^2/(C$6*LN(C$5/C$9)))*kro_b(F39,'Layer Calcs'!B$5,'Layer Calcs'!B$6,'Layer Calcs'!G$6,'Layer Calcs'!G$7,'Layer Calcs'!H$5,'Layer Calcs'!H$6,'Layer Calcs'!H$7)*7.48</f>
        <v>5.3050009248977394</v>
      </c>
      <c r="J39" s="96"/>
      <c r="K39" s="96"/>
      <c r="L39" s="117">
        <f>L38+(I39+I38)*(E39-E38)/2</f>
        <v>312.07732623797386</v>
      </c>
      <c r="M39" s="96"/>
      <c r="N39" s="96"/>
      <c r="O39" s="96"/>
    </row>
    <row r="40" spans="1:15" ht="12.75">
      <c r="A40" s="96"/>
      <c r="B40" s="111">
        <v>2</v>
      </c>
      <c r="C40" s="113">
        <f t="shared" si="1"/>
        <v>0.2944507506341327</v>
      </c>
      <c r="D40" s="111"/>
      <c r="E40" s="117">
        <f t="shared" si="0"/>
        <v>107.47452398145843</v>
      </c>
      <c r="F40" s="116">
        <f>bot(E40,365*C$35,365*C$33,365*C$34,'Layer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2.7346289062499993</v>
      </c>
      <c r="G40" s="96"/>
      <c r="H40" s="117">
        <f>7.48*PI()*C$5^2*vorecov(F40,'Layer Calcs'!B$5,'Layer Calcs'!B$6,'Layer Calcs'!B$7,'Layer Calcs'!F$5,'Layer Calcs'!F$6,'Layer Calcs'!F$7,'Data Entry'!C$8,'Data Entry'!C$14,'Data Entry'!C$17,'Data Entry'!C$21,'Data Entry'!C$22,'Data Entry'!C$25,'Data Entry'!C$29,'Data Entry'!C$30)</f>
        <v>574.2266192076186</v>
      </c>
      <c r="I40" s="116">
        <f>IF((C$30+C$31)&gt;0,('Data Entry'!C$8*F40/C$6)*1440*((F$5/7.48)/F$6+0.018*I$8/(I$7*I$6)),PI()*(1-'Data Entry'!C$8)*'Data Entry'!C$8*hycon(F40,'Data Entry'!C$8,'Data Entry'!C$14,C$7,C$8)*F40^2/(C$6*LN(C$5/C$9)))*kro_b(F40,'Layer Calcs'!B$5,'Layer Calcs'!B$6,'Layer Calcs'!G$6,'Layer Calcs'!G$7,'Layer Calcs'!H$5,'Layer Calcs'!H$6,'Layer Calcs'!H$7)*7.48</f>
        <v>4.537952828476036</v>
      </c>
      <c r="J40" s="96"/>
      <c r="K40" s="96"/>
      <c r="L40" s="117">
        <f aca="true" t="shared" si="2" ref="L40:L78">L39+(I40+I39)*(E40-E39)/2</f>
        <v>576.5440185418129</v>
      </c>
      <c r="M40" s="96"/>
      <c r="N40" s="96"/>
      <c r="O40" s="96"/>
    </row>
    <row r="41" spans="1:15" ht="12.75">
      <c r="A41" s="96"/>
      <c r="B41" s="111">
        <v>3</v>
      </c>
      <c r="C41" s="113">
        <f t="shared" si="1"/>
        <v>0.441676125951199</v>
      </c>
      <c r="D41" s="111"/>
      <c r="E41" s="117">
        <f t="shared" si="0"/>
        <v>161.21178597218764</v>
      </c>
      <c r="F41" s="116">
        <f>bot(E41,365*C$35,365*C$33,365*C$34,'Layer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2.62962890625</v>
      </c>
      <c r="G41" s="96"/>
      <c r="H41" s="117">
        <f>7.48*PI()*C$5^2*vorecov(F41,'Layer Calcs'!B$5,'Layer Calcs'!B$6,'Layer Calcs'!B$7,'Layer Calcs'!F$5,'Layer Calcs'!F$6,'Layer Calcs'!F$7,'Data Entry'!C$8,'Data Entry'!C$14,'Data Entry'!C$17,'Data Entry'!C$21,'Data Entry'!C$22,'Data Entry'!C$25,'Data Entry'!C$29,'Data Entry'!C$30)</f>
        <v>801.4322057874475</v>
      </c>
      <c r="I41" s="116">
        <f>IF((C$30+C$31)&gt;0,('Data Entry'!C$8*F41/C$6)*1440*((F$5/7.48)/F$6+0.018*I$8/(I$7*I$6)),PI()*(1-'Data Entry'!C$8)*'Data Entry'!C$8*hycon(F41,'Data Entry'!C$8,'Data Entry'!C$14,C$7,C$8)*F41^2/(C$6*LN(C$5/C$9)))*kro_b(F41,'Layer Calcs'!B$5,'Layer Calcs'!B$6,'Layer Calcs'!G$6,'Layer Calcs'!G$7,'Layer Calcs'!H$5,'Layer Calcs'!H$6,'Layer Calcs'!H$7)*7.48</f>
        <v>3.9377466041205587</v>
      </c>
      <c r="J41" s="96"/>
      <c r="K41" s="96"/>
      <c r="L41" s="117">
        <f t="shared" si="2"/>
        <v>804.2744590238719</v>
      </c>
      <c r="M41" s="96"/>
      <c r="N41" s="96"/>
      <c r="O41" s="96"/>
    </row>
    <row r="42" spans="1:15" ht="12.75">
      <c r="A42" s="96"/>
      <c r="B42" s="111">
        <v>4</v>
      </c>
      <c r="C42" s="113">
        <f t="shared" si="1"/>
        <v>0.5889015012682653</v>
      </c>
      <c r="D42" s="111"/>
      <c r="E42" s="117">
        <f t="shared" si="0"/>
        <v>214.94904796291686</v>
      </c>
      <c r="F42" s="116">
        <f>bot(E42,365*C$35,365*C$33,365*C$34,'Layer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2.537958984375</v>
      </c>
      <c r="G42" s="96"/>
      <c r="H42" s="117">
        <f>7.48*PI()*C$5^2*vorecov(F42,'Layer Calcs'!B$5,'Layer Calcs'!B$6,'Layer Calcs'!B$7,'Layer Calcs'!F$5,'Layer Calcs'!F$6,'Layer Calcs'!F$7,'Data Entry'!C$8,'Data Entry'!C$14,'Data Entry'!C$17,'Data Entry'!C$21,'Data Entry'!C$22,'Data Entry'!C$25,'Data Entry'!C$29,'Data Entry'!C$30)</f>
        <v>999.7933331335098</v>
      </c>
      <c r="I42" s="116">
        <f>IF((C$30+C$31)&gt;0,('Data Entry'!C$8*F42/C$6)*1440*((F$5/7.48)/F$6+0.018*I$8/(I$7*I$6)),PI()*(1-'Data Entry'!C$8)*'Data Entry'!C$8*hycon(F42,'Data Entry'!C$8,'Data Entry'!C$14,C$7,C$8)*F42^2/(C$6*LN(C$5/C$9)))*kro_b(F42,'Layer Calcs'!B$5,'Layer Calcs'!B$6,'Layer Calcs'!G$6,'Layer Calcs'!G$7,'Layer Calcs'!H$5,'Layer Calcs'!H$6,'Layer Calcs'!H$7)*7.48</f>
        <v>3.457836875187725</v>
      </c>
      <c r="J42" s="96"/>
      <c r="K42" s="96"/>
      <c r="L42" s="117">
        <f t="shared" si="2"/>
        <v>1002.9836625248209</v>
      </c>
      <c r="M42" s="96"/>
      <c r="N42" s="96"/>
      <c r="O42" s="96"/>
    </row>
    <row r="43" spans="1:15" ht="12.75">
      <c r="A43" s="96"/>
      <c r="B43" s="111">
        <v>5</v>
      </c>
      <c r="C43" s="113">
        <f t="shared" si="1"/>
        <v>0.7361268765853317</v>
      </c>
      <c r="D43" s="111"/>
      <c r="E43" s="117">
        <f t="shared" si="0"/>
        <v>268.68630995364606</v>
      </c>
      <c r="F43" s="116">
        <f>bot(E43,365*C$35,365*C$33,365*C$34,'Layer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2.457158203125</v>
      </c>
      <c r="G43" s="96"/>
      <c r="H43" s="117">
        <f>7.48*PI()*C$5^2*vorecov(F43,'Layer Calcs'!B$5,'Layer Calcs'!B$6,'Layer Calcs'!B$7,'Layer Calcs'!F$5,'Layer Calcs'!F$6,'Layer Calcs'!F$7,'Data Entry'!C$8,'Data Entry'!C$14,'Data Entry'!C$17,'Data Entry'!C$21,'Data Entry'!C$22,'Data Entry'!C$25,'Data Entry'!C$29,'Data Entry'!C$30)</f>
        <v>1174.635132181269</v>
      </c>
      <c r="I43" s="116">
        <f>IF((C$30+C$31)&gt;0,('Data Entry'!C$8*F43/C$6)*1440*((F$5/7.48)/F$6+0.018*I$8/(I$7*I$6)),PI()*(1-'Data Entry'!C$8)*'Data Entry'!C$8*hycon(F43,'Data Entry'!C$8,'Data Entry'!C$14,C$7,C$8)*F43^2/(C$6*LN(C$5/C$9)))*kro_b(F43,'Layer Calcs'!B$5,'Layer Calcs'!B$6,'Layer Calcs'!G$6,'Layer Calcs'!G$7,'Layer Calcs'!H$5,'Layer Calcs'!H$6,'Layer Calcs'!H$7)*7.48</f>
        <v>3.067540022353576</v>
      </c>
      <c r="J43" s="96"/>
      <c r="K43" s="96"/>
      <c r="L43" s="117">
        <f t="shared" si="2"/>
        <v>1178.3116064905353</v>
      </c>
      <c r="M43" s="96"/>
      <c r="N43" s="96"/>
      <c r="O43" s="96"/>
    </row>
    <row r="44" spans="1:15" ht="12.75">
      <c r="A44" s="96"/>
      <c r="B44" s="111">
        <v>6</v>
      </c>
      <c r="C44" s="113">
        <f t="shared" si="1"/>
        <v>0.883352251902398</v>
      </c>
      <c r="D44" s="111"/>
      <c r="E44" s="117">
        <f t="shared" si="0"/>
        <v>322.4235719443753</v>
      </c>
      <c r="F44" s="116">
        <f>bot(E44,365*C$35,365*C$33,365*C$34,'Layer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2.38517578125</v>
      </c>
      <c r="G44" s="96"/>
      <c r="H44" s="117">
        <f>7.48*PI()*C$5^2*vorecov(F44,'Layer Calcs'!B$5,'Layer Calcs'!B$6,'Layer Calcs'!B$7,'Layer Calcs'!F$5,'Layer Calcs'!F$6,'Layer Calcs'!F$7,'Data Entry'!C$8,'Data Entry'!C$14,'Data Entry'!C$17,'Data Entry'!C$21,'Data Entry'!C$22,'Data Entry'!C$25,'Data Entry'!C$29,'Data Entry'!C$30)</f>
        <v>1330.3952120436136</v>
      </c>
      <c r="I44" s="116">
        <f>IF((C$30+C$31)&gt;0,('Data Entry'!C$8*F44/C$6)*1440*((F$5/7.48)/F$6+0.018*I$8/(I$7*I$6)),PI()*(1-'Data Entry'!C$8)*'Data Entry'!C$8*hycon(F44,'Data Entry'!C$8,'Data Entry'!C$14,C$7,C$8)*F44^2/(C$6*LN(C$5/C$9)))*kro_b(F44,'Layer Calcs'!B$5,'Layer Calcs'!B$6,'Layer Calcs'!G$6,'Layer Calcs'!G$7,'Layer Calcs'!H$5,'Layer Calcs'!H$6,'Layer Calcs'!H$7)*7.48</f>
        <v>2.74469662706958</v>
      </c>
      <c r="J44" s="96"/>
      <c r="K44" s="96"/>
      <c r="L44" s="117">
        <f t="shared" si="2"/>
        <v>1334.4784482816203</v>
      </c>
      <c r="M44" s="96"/>
      <c r="N44" s="96"/>
      <c r="O44" s="96"/>
    </row>
    <row r="45" spans="1:15" ht="12.75">
      <c r="A45" s="96"/>
      <c r="B45" s="111">
        <v>7</v>
      </c>
      <c r="C45" s="113">
        <f t="shared" si="1"/>
        <v>1.0305776272194644</v>
      </c>
      <c r="D45" s="111"/>
      <c r="E45" s="117">
        <f t="shared" si="0"/>
        <v>376.1608339351045</v>
      </c>
      <c r="F45" s="116">
        <f>bot(E45,365*C$35,365*C$33,365*C$34,'Layer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2.3203710937500004</v>
      </c>
      <c r="G45" s="96"/>
      <c r="H45" s="117">
        <f>7.48*PI()*C$5^2*vorecov(F45,'Layer Calcs'!B$5,'Layer Calcs'!B$6,'Layer Calcs'!B$7,'Layer Calcs'!F$5,'Layer Calcs'!F$6,'Layer Calcs'!F$7,'Data Entry'!C$8,'Data Entry'!C$14,'Data Entry'!C$17,'Data Entry'!C$21,'Data Entry'!C$22,'Data Entry'!C$25,'Data Entry'!C$29,'Data Entry'!C$30)</f>
        <v>1470.6236600108516</v>
      </c>
      <c r="I45" s="116">
        <f>IF((C$30+C$31)&gt;0,('Data Entry'!C$8*F45/C$6)*1440*((F$5/7.48)/F$6+0.018*I$8/(I$7*I$6)),PI()*(1-'Data Entry'!C$8)*'Data Entry'!C$8*hycon(F45,'Data Entry'!C$8,'Data Entry'!C$14,C$7,C$8)*F45^2/(C$6*LN(C$5/C$9)))*kro_b(F45,'Layer Calcs'!B$5,'Layer Calcs'!B$6,'Layer Calcs'!G$6,'Layer Calcs'!G$7,'Layer Calcs'!H$5,'Layer Calcs'!H$6,'Layer Calcs'!H$7)*7.48</f>
        <v>2.473395019384922</v>
      </c>
      <c r="J45" s="96"/>
      <c r="K45" s="96"/>
      <c r="L45" s="117">
        <f t="shared" si="2"/>
        <v>1474.6814272302008</v>
      </c>
      <c r="M45" s="96"/>
      <c r="N45" s="96"/>
      <c r="O45" s="96"/>
    </row>
    <row r="46" spans="1:15" ht="12.75">
      <c r="A46" s="96"/>
      <c r="B46" s="111">
        <v>8</v>
      </c>
      <c r="C46" s="113">
        <f t="shared" si="1"/>
        <v>1.1778030025365307</v>
      </c>
      <c r="D46" s="111"/>
      <c r="E46" s="117">
        <f t="shared" si="0"/>
        <v>429.89809592583373</v>
      </c>
      <c r="F46" s="116">
        <f>bot(E46,365*C$35,365*C$33,365*C$34,'Layer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2.261923828125</v>
      </c>
      <c r="G46" s="96"/>
      <c r="H46" s="117">
        <f>7.48*PI()*C$5^2*vorecov(F46,'Layer Calcs'!B$5,'Layer Calcs'!B$6,'Layer Calcs'!B$7,'Layer Calcs'!F$5,'Layer Calcs'!F$6,'Layer Calcs'!F$7,'Data Entry'!C$8,'Data Entry'!C$14,'Data Entry'!C$17,'Data Entry'!C$21,'Data Entry'!C$22,'Data Entry'!C$25,'Data Entry'!C$29,'Data Entry'!C$30)</f>
        <v>1597.0955197281407</v>
      </c>
      <c r="I46" s="116">
        <f>IF((C$30+C$31)&gt;0,('Data Entry'!C$8*F46/C$6)*1440*((F$5/7.48)/F$6+0.018*I$8/(I$7*I$6)),PI()*(1-'Data Entry'!C$8)*'Data Entry'!C$8*hycon(F46,'Data Entry'!C$8,'Data Entry'!C$14,C$7,C$8)*F46^2/(C$6*LN(C$5/C$9)))*kro_b(F46,'Layer Calcs'!B$5,'Layer Calcs'!B$6,'Layer Calcs'!G$6,'Layer Calcs'!G$7,'Layer Calcs'!H$5,'Layer Calcs'!H$6,'Layer Calcs'!H$7)*7.48</f>
        <v>2.2439323027576914</v>
      </c>
      <c r="J46" s="96"/>
      <c r="K46" s="96"/>
      <c r="L46" s="117">
        <f t="shared" si="2"/>
        <v>1601.4295543332023</v>
      </c>
      <c r="M46" s="96"/>
      <c r="N46" s="96"/>
      <c r="O46" s="96"/>
    </row>
    <row r="47" spans="1:15" ht="12.75">
      <c r="A47" s="96"/>
      <c r="B47" s="111">
        <v>9</v>
      </c>
      <c r="C47" s="113">
        <f t="shared" si="1"/>
        <v>1.3250283778535972</v>
      </c>
      <c r="D47" s="111"/>
      <c r="E47" s="117">
        <f t="shared" si="0"/>
        <v>483.63535791656295</v>
      </c>
      <c r="F47" s="116">
        <f>bot(E47,365*C$35,365*C$33,365*C$34,'Layer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2.2086035156250006</v>
      </c>
      <c r="G47" s="96"/>
      <c r="H47" s="117">
        <f>7.48*PI()*C$5^2*vorecov(F47,'Layer Calcs'!B$5,'Layer Calcs'!B$6,'Layer Calcs'!B$7,'Layer Calcs'!F$5,'Layer Calcs'!F$6,'Layer Calcs'!F$7,'Data Entry'!C$8,'Data Entry'!C$14,'Data Entry'!C$17,'Data Entry'!C$21,'Data Entry'!C$22,'Data Entry'!C$25,'Data Entry'!C$29,'Data Entry'!C$30)</f>
        <v>1712.4733566632094</v>
      </c>
      <c r="I47" s="116">
        <f>IF((C$30+C$31)&gt;0,('Data Entry'!C$8*F47/C$6)*1440*((F$5/7.48)/F$6+0.018*I$8/(I$7*I$6)),PI()*(1-'Data Entry'!C$8)*'Data Entry'!C$8*hycon(F47,'Data Entry'!C$8,'Data Entry'!C$14,C$7,C$8)*F47^2/(C$6*LN(C$5/C$9)))*kro_b(F47,'Layer Calcs'!B$5,'Layer Calcs'!B$6,'Layer Calcs'!G$6,'Layer Calcs'!G$7,'Layer Calcs'!H$5,'Layer Calcs'!H$6,'Layer Calcs'!H$7)*7.48</f>
        <v>2.0468177165142802</v>
      </c>
      <c r="J47" s="96"/>
      <c r="K47" s="96"/>
      <c r="L47" s="117">
        <f t="shared" si="2"/>
        <v>1716.7161332943745</v>
      </c>
      <c r="M47" s="96"/>
      <c r="N47" s="96"/>
      <c r="O47" s="96"/>
    </row>
    <row r="48" spans="1:15" ht="12.75">
      <c r="A48" s="96"/>
      <c r="B48" s="111">
        <v>10</v>
      </c>
      <c r="C48" s="113">
        <f t="shared" si="1"/>
        <v>1.4722537531706634</v>
      </c>
      <c r="D48" s="111"/>
      <c r="E48" s="117">
        <f t="shared" si="0"/>
        <v>537.3726199072921</v>
      </c>
      <c r="F48" s="116">
        <f>bot(E48,365*C$35,365*C$33,365*C$34,'Layer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2.1598828125000002</v>
      </c>
      <c r="G48" s="96"/>
      <c r="H48" s="117">
        <f>7.48*PI()*C$5^2*vorecov(F48,'Layer Calcs'!B$5,'Layer Calcs'!B$6,'Layer Calcs'!B$7,'Layer Calcs'!F$5,'Layer Calcs'!F$6,'Layer Calcs'!F$7,'Data Entry'!C$8,'Data Entry'!C$14,'Data Entry'!C$17,'Data Entry'!C$21,'Data Entry'!C$22,'Data Entry'!C$25,'Data Entry'!C$29,'Data Entry'!C$30)</f>
        <v>1817.8233840596001</v>
      </c>
      <c r="I48" s="116">
        <f>IF((C$30+C$31)&gt;0,('Data Entry'!C$8*F48/C$6)*1440*((F$5/7.48)/F$6+0.018*I$8/(I$7*I$6)),PI()*(1-'Data Entry'!C$8)*'Data Entry'!C$8*hycon(F48,'Data Entry'!C$8,'Data Entry'!C$14,C$7,C$8)*F48^2/(C$6*LN(C$5/C$9)))*kro_b(F48,'Layer Calcs'!B$5,'Layer Calcs'!B$6,'Layer Calcs'!G$6,'Layer Calcs'!G$7,'Layer Calcs'!H$5,'Layer Calcs'!H$6,'Layer Calcs'!H$7)*7.48</f>
        <v>1.8766096971200676</v>
      </c>
      <c r="J48" s="96"/>
      <c r="K48" s="96"/>
      <c r="L48" s="117">
        <f t="shared" si="2"/>
        <v>1822.1332567084135</v>
      </c>
      <c r="M48" s="96"/>
      <c r="N48" s="96"/>
      <c r="O48" s="96"/>
    </row>
    <row r="49" spans="1:15" ht="12.75">
      <c r="A49" s="96"/>
      <c r="B49" s="111">
        <v>11</v>
      </c>
      <c r="C49" s="113">
        <f t="shared" si="1"/>
        <v>2.603283597076664</v>
      </c>
      <c r="D49" s="111"/>
      <c r="E49" s="117">
        <f t="shared" si="0"/>
        <v>950.1985129329823</v>
      </c>
      <c r="F49" s="116">
        <f>bot(E49,365*C$35,365*C$33,365*C$34,'Layer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1.8106640625000003</v>
      </c>
      <c r="G49" s="96"/>
      <c r="H49" s="117">
        <f>7.48*PI()*C$5^2*vorecov(F49,'Layer Calcs'!B$5,'Layer Calcs'!B$6,'Layer Calcs'!B$7,'Layer Calcs'!F$5,'Layer Calcs'!F$6,'Layer Calcs'!F$7,'Data Entry'!C$8,'Data Entry'!C$14,'Data Entry'!C$17,'Data Entry'!C$21,'Data Entry'!C$22,'Data Entry'!C$25,'Data Entry'!C$29,'Data Entry'!C$30)</f>
        <v>2350.3238185227883</v>
      </c>
      <c r="I49" s="116">
        <f>IF((C$30+C$31)&gt;0,('Data Entry'!C$8*F49/C$6)*1440*((F$5/7.48)/F$6+0.018*I$8/(I$7*I$6)),PI()*(1-'Data Entry'!C$8)*'Data Entry'!C$8*hycon(F49,'Data Entry'!C$8,'Data Entry'!C$14,C$7,C$8)*F49^2/(C$6*LN(C$5/C$9)))*kro_b(F49,'Layer Calcs'!B$5,'Layer Calcs'!B$6,'Layer Calcs'!G$6,'Layer Calcs'!G$7,'Layer Calcs'!H$5,'Layer Calcs'!H$6,'Layer Calcs'!H$7)*7.48</f>
        <v>0.8960448215645358</v>
      </c>
      <c r="J49" s="96"/>
      <c r="K49" s="96"/>
      <c r="L49" s="117">
        <f t="shared" si="2"/>
        <v>2394.4450455722567</v>
      </c>
      <c r="M49" s="96"/>
      <c r="N49" s="96"/>
      <c r="O49" s="96"/>
    </row>
    <row r="50" spans="1:15" ht="12.75">
      <c r="A50" s="96"/>
      <c r="B50" s="111">
        <v>12</v>
      </c>
      <c r="C50" s="113">
        <f t="shared" si="1"/>
        <v>3.7343134409826644</v>
      </c>
      <c r="D50" s="111"/>
      <c r="E50" s="117">
        <f t="shared" si="0"/>
        <v>1363.0244059586726</v>
      </c>
      <c r="F50" s="116">
        <f>bot(E50,365*C$35,365*C$33,365*C$34,'Layer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1.6231054687500004</v>
      </c>
      <c r="G50" s="96"/>
      <c r="H50" s="117">
        <f>7.48*PI()*C$5^2*vorecov(F50,'Layer Calcs'!B$5,'Layer Calcs'!B$6,'Layer Calcs'!B$7,'Layer Calcs'!F$5,'Layer Calcs'!F$6,'Layer Calcs'!F$7,'Data Entry'!C$8,'Data Entry'!C$14,'Data Entry'!C$17,'Data Entry'!C$21,'Data Entry'!C$22,'Data Entry'!C$25,'Data Entry'!C$29,'Data Entry'!C$30)</f>
        <v>2636.3194377705513</v>
      </c>
      <c r="I50" s="116">
        <f>IF((C$30+C$31)&gt;0,('Data Entry'!C$8*F50/C$6)*1440*((F$5/7.48)/F$6+0.018*I$8/(I$7*I$6)),PI()*(1-'Data Entry'!C$8)*'Data Entry'!C$8*hycon(F50,'Data Entry'!C$8,'Data Entry'!C$14,C$7,C$8)*F50^2/(C$6*LN(C$5/C$9)))*kro_b(F50,'Layer Calcs'!B$5,'Layer Calcs'!B$6,'Layer Calcs'!G$6,'Layer Calcs'!G$7,'Layer Calcs'!H$5,'Layer Calcs'!H$6,'Layer Calcs'!H$7)*7.48</f>
        <v>0.537560235120441</v>
      </c>
      <c r="J50" s="96"/>
      <c r="K50" s="96"/>
      <c r="L50" s="117">
        <f t="shared" si="2"/>
        <v>2690.359689458317</v>
      </c>
      <c r="M50" s="96"/>
      <c r="N50" s="96"/>
      <c r="O50" s="96"/>
    </row>
    <row r="51" spans="1:15" ht="12.75">
      <c r="A51" s="96"/>
      <c r="B51" s="111">
        <v>13</v>
      </c>
      <c r="C51" s="113">
        <f t="shared" si="1"/>
        <v>4.865343284888665</v>
      </c>
      <c r="D51" s="111"/>
      <c r="E51" s="117">
        <f t="shared" si="0"/>
        <v>1775.8502989843628</v>
      </c>
      <c r="F51" s="116">
        <f>bot(E51,365*C$35,365*C$33,365*C$34,'Layer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1.50380859375</v>
      </c>
      <c r="G51" s="96"/>
      <c r="H51" s="117">
        <f>7.48*PI()*C$5^2*vorecov(F51,'Layer Calcs'!B$5,'Layer Calcs'!B$6,'Layer Calcs'!B$7,'Layer Calcs'!F$5,'Layer Calcs'!F$6,'Layer Calcs'!F$7,'Data Entry'!C$8,'Data Entry'!C$14,'Data Entry'!C$17,'Data Entry'!C$21,'Data Entry'!C$22,'Data Entry'!C$25,'Data Entry'!C$29,'Data Entry'!C$30)</f>
        <v>2818.2273043086475</v>
      </c>
      <c r="I51" s="116">
        <f>IF((C$30+C$31)&gt;0,('Data Entry'!C$8*F51/C$6)*1440*((F$5/7.48)/F$6+0.018*I$8/(I$7*I$6)),PI()*(1-'Data Entry'!C$8)*'Data Entry'!C$8*hycon(F51,'Data Entry'!C$8,'Data Entry'!C$14,C$7,C$8)*F51^2/(C$6*LN(C$5/C$9)))*kro_b(F51,'Layer Calcs'!B$5,'Layer Calcs'!B$6,'Layer Calcs'!G$6,'Layer Calcs'!G$7,'Layer Calcs'!H$5,'Layer Calcs'!H$6,'Layer Calcs'!H$7)*7.48</f>
        <v>0.3618201521530711</v>
      </c>
      <c r="J51" s="96"/>
      <c r="K51" s="96"/>
      <c r="L51" s="117">
        <f t="shared" si="2"/>
        <v>2876.0034452313066</v>
      </c>
      <c r="M51" s="96"/>
      <c r="N51" s="96"/>
      <c r="O51" s="96"/>
    </row>
    <row r="52" spans="1:15" ht="12.75">
      <c r="A52" s="96"/>
      <c r="B52" s="111">
        <v>14</v>
      </c>
      <c r="C52" s="113">
        <f t="shared" si="1"/>
        <v>5.996373128794666</v>
      </c>
      <c r="D52" s="111"/>
      <c r="E52" s="117">
        <f t="shared" si="0"/>
        <v>2188.676192010053</v>
      </c>
      <c r="F52" s="116">
        <f>bot(E52,365*C$35,365*C$33,365*C$34,'Layer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1.4206054687500003</v>
      </c>
      <c r="G52" s="96"/>
      <c r="H52" s="117">
        <f>7.48*PI()*C$5^2*vorecov(F52,'Layer Calcs'!B$5,'Layer Calcs'!B$6,'Layer Calcs'!B$7,'Layer Calcs'!F$5,'Layer Calcs'!F$6,'Layer Calcs'!F$7,'Data Entry'!C$8,'Data Entry'!C$14,'Data Entry'!C$17,'Data Entry'!C$21,'Data Entry'!C$22,'Data Entry'!C$25,'Data Entry'!C$29,'Data Entry'!C$30)</f>
        <v>2945.0982131908163</v>
      </c>
      <c r="I52" s="116">
        <f>IF((C$30+C$31)&gt;0,('Data Entry'!C$8*F52/C$6)*1440*((F$5/7.48)/F$6+0.018*I$8/(I$7*I$6)),PI()*(1-'Data Entry'!C$8)*'Data Entry'!C$8*hycon(F52,'Data Entry'!C$8,'Data Entry'!C$14,C$7,C$8)*F52^2/(C$6*LN(C$5/C$9)))*kro_b(F52,'Layer Calcs'!B$5,'Layer Calcs'!B$6,'Layer Calcs'!G$6,'Layer Calcs'!G$7,'Layer Calcs'!H$5,'Layer Calcs'!H$6,'Layer Calcs'!H$7)*7.48</f>
        <v>0.26088386020144155</v>
      </c>
      <c r="J52" s="96"/>
      <c r="K52" s="96"/>
      <c r="L52" s="117">
        <f t="shared" si="2"/>
        <v>3004.5376152267727</v>
      </c>
      <c r="M52" s="96"/>
      <c r="N52" s="96"/>
      <c r="O52" s="96"/>
    </row>
    <row r="53" spans="1:15" ht="12.75">
      <c r="A53" s="96"/>
      <c r="B53" s="111">
        <v>15</v>
      </c>
      <c r="C53" s="113">
        <f t="shared" si="1"/>
        <v>7.127402972700665</v>
      </c>
      <c r="D53" s="111"/>
      <c r="E53" s="117">
        <f t="shared" si="0"/>
        <v>2601.5020850357428</v>
      </c>
      <c r="F53" s="116">
        <f>bot(E53,365*C$35,365*C$33,365*C$34,'Layer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1.3592285156250001</v>
      </c>
      <c r="G53" s="96"/>
      <c r="H53" s="117">
        <f>7.48*PI()*C$5^2*vorecov(F53,'Layer Calcs'!B$5,'Layer Calcs'!B$6,'Layer Calcs'!B$7,'Layer Calcs'!F$5,'Layer Calcs'!F$6,'Layer Calcs'!F$7,'Data Entry'!C$8,'Data Entry'!C$14,'Data Entry'!C$17,'Data Entry'!C$21,'Data Entry'!C$22,'Data Entry'!C$25,'Data Entry'!C$29,'Data Entry'!C$30)</f>
        <v>3038.6878449190367</v>
      </c>
      <c r="I53" s="116">
        <f>IF((C$30+C$31)&gt;0,('Data Entry'!C$8*F53/C$6)*1440*((F$5/7.48)/F$6+0.018*I$8/(I$7*I$6)),PI()*(1-'Data Entry'!C$8)*'Data Entry'!C$8*hycon(F53,'Data Entry'!C$8,'Data Entry'!C$14,C$7,C$8)*F53^2/(C$6*LN(C$5/C$9)))*kro_b(F53,'Layer Calcs'!B$5,'Layer Calcs'!B$6,'Layer Calcs'!G$6,'Layer Calcs'!G$7,'Layer Calcs'!H$5,'Layer Calcs'!H$6,'Layer Calcs'!H$7)*7.48</f>
        <v>0.19695456559726948</v>
      </c>
      <c r="J53" s="96"/>
      <c r="K53" s="96"/>
      <c r="L53" s="117">
        <f t="shared" si="2"/>
        <v>3099.041393722687</v>
      </c>
      <c r="M53" s="96"/>
      <c r="N53" s="96"/>
      <c r="O53" s="96"/>
    </row>
    <row r="54" spans="1:15" ht="12.75">
      <c r="A54" s="96"/>
      <c r="B54" s="111">
        <v>16</v>
      </c>
      <c r="C54" s="113">
        <f t="shared" si="1"/>
        <v>8.258432816606666</v>
      </c>
      <c r="D54" s="111"/>
      <c r="E54" s="117">
        <f t="shared" si="0"/>
        <v>3014.327978061433</v>
      </c>
      <c r="F54" s="116">
        <f>bot(E54,365*C$35,365*C$33,365*C$34,'Layer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1.3121337890625</v>
      </c>
      <c r="G54" s="96"/>
      <c r="H54" s="117">
        <f>7.48*PI()*C$5^2*vorecov(F54,'Layer Calcs'!B$5,'Layer Calcs'!B$6,'Layer Calcs'!B$7,'Layer Calcs'!F$5,'Layer Calcs'!F$6,'Layer Calcs'!F$7,'Data Entry'!C$8,'Data Entry'!C$14,'Data Entry'!C$17,'Data Entry'!C$21,'Data Entry'!C$22,'Data Entry'!C$25,'Data Entry'!C$29,'Data Entry'!C$30)</f>
        <v>3110.4994597176587</v>
      </c>
      <c r="I54" s="116">
        <f>IF((C$30+C$31)&gt;0,('Data Entry'!C$8*F54/C$6)*1440*((F$5/7.48)/F$6+0.018*I$8/(I$7*I$6)),PI()*(1-'Data Entry'!C$8)*'Data Entry'!C$8*hycon(F54,'Data Entry'!C$8,'Data Entry'!C$14,C$7,C$8)*F54^2/(C$6*LN(C$5/C$9)))*kro_b(F54,'Layer Calcs'!B$5,'Layer Calcs'!B$6,'Layer Calcs'!G$6,'Layer Calcs'!G$7,'Layer Calcs'!H$5,'Layer Calcs'!H$6,'Layer Calcs'!H$7)*7.48</f>
        <v>0.15360108374250897</v>
      </c>
      <c r="J54" s="96"/>
      <c r="K54" s="96"/>
      <c r="L54" s="117">
        <f t="shared" si="2"/>
        <v>3171.4006182196345</v>
      </c>
      <c r="M54" s="96"/>
      <c r="N54" s="96"/>
      <c r="O54" s="96"/>
    </row>
    <row r="55" spans="1:15" ht="12.75">
      <c r="A55" s="96"/>
      <c r="B55" s="111">
        <v>17</v>
      </c>
      <c r="C55" s="113">
        <f t="shared" si="1"/>
        <v>9.389462660512667</v>
      </c>
      <c r="D55" s="111"/>
      <c r="E55" s="117">
        <f t="shared" si="0"/>
        <v>3427.153871087123</v>
      </c>
      <c r="F55" s="116">
        <f>bot(E55,365*C$35,365*C$33,365*C$34,'Layer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1.2749560546874998</v>
      </c>
      <c r="G55" s="96"/>
      <c r="H55" s="117">
        <f>7.48*PI()*C$5^2*vorecov(F55,'Layer Calcs'!B$5,'Layer Calcs'!B$6,'Layer Calcs'!B$7,'Layer Calcs'!F$5,'Layer Calcs'!F$6,'Layer Calcs'!F$7,'Data Entry'!C$8,'Data Entry'!C$14,'Data Entry'!C$17,'Data Entry'!C$21,'Data Entry'!C$22,'Data Entry'!C$25,'Data Entry'!C$29,'Data Entry'!C$30)</f>
        <v>3167.189313017473</v>
      </c>
      <c r="I55" s="116">
        <f>IF((C$30+C$31)&gt;0,('Data Entry'!C$8*F55/C$6)*1440*((F$5/7.48)/F$6+0.018*I$8/(I$7*I$6)),PI()*(1-'Data Entry'!C$8)*'Data Entry'!C$8*hycon(F55,'Data Entry'!C$8,'Data Entry'!C$14,C$7,C$8)*F55^2/(C$6*LN(C$5/C$9)))*kro_b(F55,'Layer Calcs'!B$5,'Layer Calcs'!B$6,'Layer Calcs'!G$6,'Layer Calcs'!G$7,'Layer Calcs'!H$5,'Layer Calcs'!H$6,'Layer Calcs'!H$7)*7.48</f>
        <v>0.12270393029246297</v>
      </c>
      <c r="J55" s="96"/>
      <c r="K55" s="96"/>
      <c r="L55" s="117">
        <f t="shared" si="2"/>
        <v>3228.433550302866</v>
      </c>
      <c r="M55" s="96"/>
      <c r="N55" s="96"/>
      <c r="O55" s="96"/>
    </row>
    <row r="56" spans="1:15" ht="12.75">
      <c r="A56" s="96"/>
      <c r="B56" s="111">
        <v>18</v>
      </c>
      <c r="C56" s="113">
        <f t="shared" si="1"/>
        <v>10.520492504418668</v>
      </c>
      <c r="D56" s="111"/>
      <c r="E56" s="117">
        <f t="shared" si="0"/>
        <v>3839.979764112814</v>
      </c>
      <c r="F56" s="116">
        <f>bot(E56,365*C$35,365*C$33,365*C$34,'Layer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1.244970703125</v>
      </c>
      <c r="G56" s="96"/>
      <c r="H56" s="117">
        <f>7.48*PI()*C$5^2*vorecov(F56,'Layer Calcs'!B$5,'Layer Calcs'!B$6,'Layer Calcs'!B$7,'Layer Calcs'!F$5,'Layer Calcs'!F$6,'Layer Calcs'!F$7,'Data Entry'!C$8,'Data Entry'!C$14,'Data Entry'!C$17,'Data Entry'!C$21,'Data Entry'!C$22,'Data Entry'!C$25,'Data Entry'!C$29,'Data Entry'!C$30)</f>
        <v>3212.9119803558183</v>
      </c>
      <c r="I56" s="116">
        <f>IF((C$30+C$31)&gt;0,('Data Entry'!C$8*F56/C$6)*1440*((F$5/7.48)/F$6+0.018*I$8/(I$7*I$6)),PI()*(1-'Data Entry'!C$8)*'Data Entry'!C$8*hycon(F56,'Data Entry'!C$8,'Data Entry'!C$14,C$7,C$8)*F56^2/(C$6*LN(C$5/C$9)))*kro_b(F56,'Layer Calcs'!B$5,'Layer Calcs'!B$6,'Layer Calcs'!G$6,'Layer Calcs'!G$7,'Layer Calcs'!H$5,'Layer Calcs'!H$6,'Layer Calcs'!H$7)*7.48</f>
        <v>0.0998378197952826</v>
      </c>
      <c r="J56" s="96"/>
      <c r="K56" s="96"/>
      <c r="L56" s="117">
        <f t="shared" si="2"/>
        <v>3274.369048660603</v>
      </c>
      <c r="M56" s="96"/>
      <c r="N56" s="96"/>
      <c r="O56" s="96"/>
    </row>
    <row r="57" spans="1:15" ht="12.75">
      <c r="A57" s="96"/>
      <c r="B57" s="111">
        <v>19</v>
      </c>
      <c r="C57" s="113">
        <f t="shared" si="1"/>
        <v>11.651522348324667</v>
      </c>
      <c r="D57" s="111"/>
      <c r="E57" s="117">
        <f t="shared" si="0"/>
        <v>4252.805657138503</v>
      </c>
      <c r="F57" s="116">
        <f>bot(E57,365*C$35,365*C$33,365*C$34,'Layer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1.2204052734375002</v>
      </c>
      <c r="G57" s="96"/>
      <c r="H57" s="117">
        <f>7.48*PI()*C$5^2*vorecov(F57,'Layer Calcs'!B$5,'Layer Calcs'!B$6,'Layer Calcs'!B$7,'Layer Calcs'!F$5,'Layer Calcs'!F$6,'Layer Calcs'!F$7,'Data Entry'!C$8,'Data Entry'!C$14,'Data Entry'!C$17,'Data Entry'!C$21,'Data Entry'!C$22,'Data Entry'!C$25,'Data Entry'!C$29,'Data Entry'!C$30)</f>
        <v>3250.370169474726</v>
      </c>
      <c r="I57" s="116">
        <f>IF((C$30+C$31)&gt;0,('Data Entry'!C$8*F57/C$6)*1440*((F$5/7.48)/F$6+0.018*I$8/(I$7*I$6)),PI()*(1-'Data Entry'!C$8)*'Data Entry'!C$8*hycon(F57,'Data Entry'!C$8,'Data Entry'!C$14,C$7,C$8)*F57^2/(C$6*LN(C$5/C$9)))*kro_b(F57,'Layer Calcs'!B$5,'Layer Calcs'!B$6,'Layer Calcs'!G$6,'Layer Calcs'!G$7,'Layer Calcs'!H$5,'Layer Calcs'!H$6,'Layer Calcs'!H$7)*7.48</f>
        <v>0.08242595908774207</v>
      </c>
      <c r="J57" s="96"/>
      <c r="K57" s="96"/>
      <c r="L57" s="117">
        <f t="shared" si="2"/>
        <v>3311.9906523024138</v>
      </c>
      <c r="M57" s="96"/>
      <c r="N57" s="96"/>
      <c r="O57" s="96"/>
    </row>
    <row r="58" spans="1:15" ht="12.75">
      <c r="A58" s="96"/>
      <c r="B58" s="111">
        <v>20</v>
      </c>
      <c r="C58" s="113">
        <f t="shared" si="1"/>
        <v>12.782552192230668</v>
      </c>
      <c r="D58" s="111"/>
      <c r="E58" s="117">
        <f t="shared" si="0"/>
        <v>4665.631550164194</v>
      </c>
      <c r="F58" s="116">
        <f>bot(E58,365*C$35,365*C$33,365*C$34,'Layer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</v>
      </c>
      <c r="G58" s="96"/>
      <c r="H58" s="117">
        <f>7.48*PI()*C$5^2*vorecov(F58,'Layer Calcs'!B$5,'Layer Calcs'!B$6,'Layer Calcs'!B$7,'Layer Calcs'!F$5,'Layer Calcs'!F$6,'Layer Calcs'!F$7,'Data Entry'!C$8,'Data Entry'!C$14,'Data Entry'!C$17,'Data Entry'!C$21,'Data Entry'!C$22,'Data Entry'!C$25,'Data Entry'!C$29,'Data Entry'!C$30)</f>
        <v>3281.484813149526</v>
      </c>
      <c r="I58" s="116">
        <f>IF((C$30+C$31)&gt;0,('Data Entry'!C$8*F58/C$6)*1440*((F$5/7.48)/F$6+0.018*I$8/(I$7*I$6)),PI()*(1-'Data Entry'!C$8)*'Data Entry'!C$8*hycon(F58,'Data Entry'!C$8,'Data Entry'!C$14,C$7,C$8)*F58^2/(C$6*LN(C$5/C$9)))*kro_b(F58,'Layer Calcs'!B$5,'Layer Calcs'!B$6,'Layer Calcs'!G$6,'Layer Calcs'!G$7,'Layer Calcs'!H$5,'Layer Calcs'!H$6,'Layer Calcs'!H$7)*7.48</f>
        <v>0.06884208414845094</v>
      </c>
      <c r="J58" s="96"/>
      <c r="K58" s="96"/>
      <c r="L58" s="117">
        <f t="shared" si="2"/>
        <v>3343.214334820029</v>
      </c>
      <c r="M58" s="96"/>
      <c r="N58" s="96"/>
      <c r="O58" s="96"/>
    </row>
    <row r="59" spans="1:15" ht="12.75">
      <c r="A59" s="96"/>
      <c r="B59" s="111">
        <v>21</v>
      </c>
      <c r="C59" s="113">
        <f t="shared" si="1"/>
        <v>14.504296973007602</v>
      </c>
      <c r="D59" s="111"/>
      <c r="E59" s="117">
        <f t="shared" si="0"/>
        <v>5294.068395147775</v>
      </c>
      <c r="F59" s="116">
        <f>bot(E59,365*C$35,365*C$33,365*C$34,'Layer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1.098300008209322</v>
      </c>
      <c r="G59" s="96"/>
      <c r="H59" s="117">
        <f>7.48*PI()*C$5^2*vorecov(F59,'Layer Calcs'!B$5,'Layer Calcs'!B$6,'Layer Calcs'!B$7,'Layer Calcs'!F$5,'Layer Calcs'!F$6,'Layer Calcs'!F$7,'Data Entry'!C$8,'Data Entry'!C$14,'Data Entry'!C$17,'Data Entry'!C$21,'Data Entry'!C$22,'Data Entry'!C$25,'Data Entry'!C$29,'Data Entry'!C$30)</f>
        <v>3319.3290414837215</v>
      </c>
      <c r="I59" s="116">
        <f>IF((C$30+C$31)&gt;0,('Data Entry'!C$8*F59/C$6)*1440*((F$5/7.48)/F$6+0.018*I$8/(I$7*I$6)),PI()*(1-'Data Entry'!C$8)*'Data Entry'!C$8*hycon(F59,'Data Entry'!C$8,'Data Entry'!C$14,C$7,C$8)*F59^2/(C$6*LN(C$5/C$9)))*kro_b(F59,'Layer Calcs'!B$5,'Layer Calcs'!B$6,'Layer Calcs'!G$6,'Layer Calcs'!G$7,'Layer Calcs'!H$5,'Layer Calcs'!H$6,'Layer Calcs'!H$7)*7.48</f>
        <v>0.052780467450341685</v>
      </c>
      <c r="J59" s="96"/>
      <c r="K59" s="96"/>
      <c r="L59" s="117">
        <f t="shared" si="2"/>
        <v>3381.430381122828</v>
      </c>
      <c r="M59" s="96"/>
      <c r="N59" s="96"/>
      <c r="O59" s="96"/>
    </row>
    <row r="60" spans="1:15" ht="12.75">
      <c r="A60" s="96"/>
      <c r="B60" s="111">
        <v>22</v>
      </c>
      <c r="C60" s="113">
        <f t="shared" si="1"/>
        <v>16.226041753784536</v>
      </c>
      <c r="D60" s="111"/>
      <c r="E60" s="117">
        <f t="shared" si="0"/>
        <v>5922.505240131355</v>
      </c>
      <c r="F60" s="116">
        <f>bot(E60,365*C$35,365*C$33,365*C$34,'Layer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1.0187288667931245</v>
      </c>
      <c r="G60" s="96"/>
      <c r="H60" s="117">
        <f>7.48*PI()*C$5^2*vorecov(F60,'Layer Calcs'!B$5,'Layer Calcs'!B$6,'Layer Calcs'!B$7,'Layer Calcs'!F$5,'Layer Calcs'!F$6,'Layer Calcs'!F$7,'Data Entry'!C$8,'Data Entry'!C$14,'Data Entry'!C$17,'Data Entry'!C$21,'Data Entry'!C$22,'Data Entry'!C$25,'Data Entry'!C$29,'Data Entry'!C$30)</f>
        <v>3348.9387630927963</v>
      </c>
      <c r="I60" s="116">
        <f>IF((C$30+C$31)&gt;0,('Data Entry'!C$8*F60/C$6)*1440*((F$5/7.48)/F$6+0.018*I$8/(I$7*I$6)),PI()*(1-'Data Entry'!C$8)*'Data Entry'!C$8*hycon(F60,'Data Entry'!C$8,'Data Entry'!C$14,C$7,C$8)*F60^2/(C$6*LN(C$5/C$9)))*kro_b(F60,'Layer Calcs'!B$5,'Layer Calcs'!B$6,'Layer Calcs'!G$6,'Layer Calcs'!G$7,'Layer Calcs'!H$5,'Layer Calcs'!H$6,'Layer Calcs'!H$7)*7.48</f>
        <v>0.04211978147391065</v>
      </c>
      <c r="J60" s="96"/>
      <c r="K60" s="96"/>
      <c r="L60" s="117">
        <f t="shared" si="2"/>
        <v>3411.249787633885</v>
      </c>
      <c r="M60" s="96"/>
      <c r="N60" s="96"/>
      <c r="O60" s="96"/>
    </row>
    <row r="61" spans="1:15" ht="12.75">
      <c r="A61" s="96"/>
      <c r="B61" s="111">
        <v>23</v>
      </c>
      <c r="C61" s="113">
        <f t="shared" si="1"/>
        <v>17.947786534561466</v>
      </c>
      <c r="D61" s="111"/>
      <c r="E61" s="117">
        <f t="shared" si="0"/>
        <v>6550.942085114935</v>
      </c>
      <c r="F61" s="116">
        <f>bot(E61,365*C$35,365*C$33,365*C$34,'Layer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0.9542735763587546</v>
      </c>
      <c r="G61" s="96"/>
      <c r="H61" s="117">
        <f>7.48*PI()*C$5^2*vorecov(F61,'Layer Calcs'!B$5,'Layer Calcs'!B$6,'Layer Calcs'!B$7,'Layer Calcs'!F$5,'Layer Calcs'!F$6,'Layer Calcs'!F$7,'Data Entry'!C$8,'Data Entry'!C$14,'Data Entry'!C$17,'Data Entry'!C$21,'Data Entry'!C$22,'Data Entry'!C$25,'Data Entry'!C$29,'Data Entry'!C$30)</f>
        <v>3372.923629616343</v>
      </c>
      <c r="I61" s="116">
        <f>IF((C$30+C$31)&gt;0,('Data Entry'!C$8*F61/C$6)*1440*((F$5/7.48)/F$6+0.018*I$8/(I$7*I$6)),PI()*(1-'Data Entry'!C$8)*'Data Entry'!C$8*hycon(F61,'Data Entry'!C$8,'Data Entry'!C$14,C$7,C$8)*F61^2/(C$6*LN(C$5/C$9)))*kro_b(F61,'Layer Calcs'!B$5,'Layer Calcs'!B$6,'Layer Calcs'!G$6,'Layer Calcs'!G$7,'Layer Calcs'!H$5,'Layer Calcs'!H$6,'Layer Calcs'!H$7)*7.48</f>
        <v>0.03462015174297954</v>
      </c>
      <c r="J61" s="96"/>
      <c r="K61" s="96"/>
      <c r="L61" s="117">
        <f t="shared" si="2"/>
        <v>3435.362888391421</v>
      </c>
      <c r="M61" s="96"/>
      <c r="N61" s="96"/>
      <c r="O61" s="96"/>
    </row>
    <row r="62" spans="1:15" ht="12.75">
      <c r="A62" s="96"/>
      <c r="B62" s="111">
        <v>24</v>
      </c>
      <c r="C62" s="113">
        <f t="shared" si="1"/>
        <v>19.6695313153384</v>
      </c>
      <c r="D62" s="111"/>
      <c r="E62" s="117">
        <f t="shared" si="0"/>
        <v>7179.378930098516</v>
      </c>
      <c r="F62" s="116">
        <f>bot(E62,365*C$35,365*C$33,365*C$34,'Layer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0.9006840500335065</v>
      </c>
      <c r="G62" s="96"/>
      <c r="H62" s="117">
        <f>7.48*PI()*C$5^2*vorecov(F62,'Layer Calcs'!B$5,'Layer Calcs'!B$6,'Layer Calcs'!B$7,'Layer Calcs'!F$5,'Layer Calcs'!F$6,'Layer Calcs'!F$7,'Data Entry'!C$8,'Data Entry'!C$14,'Data Entry'!C$17,'Data Entry'!C$21,'Data Entry'!C$22,'Data Entry'!C$25,'Data Entry'!C$29,'Data Entry'!C$30)</f>
        <v>3392.8651678098595</v>
      </c>
      <c r="I62" s="116">
        <f>IF((C$30+C$31)&gt;0,('Data Entry'!C$8*F62/C$6)*1440*((F$5/7.48)/F$6+0.018*I$8/(I$7*I$6)),PI()*(1-'Data Entry'!C$8)*'Data Entry'!C$8*hycon(F62,'Data Entry'!C$8,'Data Entry'!C$14,C$7,C$8)*F62^2/(C$6*LN(C$5/C$9)))*kro_b(F62,'Layer Calcs'!B$5,'Layer Calcs'!B$6,'Layer Calcs'!G$6,'Layer Calcs'!G$7,'Layer Calcs'!H$5,'Layer Calcs'!H$6,'Layer Calcs'!H$7)*7.48</f>
        <v>0.029109026918919943</v>
      </c>
      <c r="J62" s="96"/>
      <c r="K62" s="96"/>
      <c r="L62" s="117">
        <f t="shared" si="2"/>
        <v>3455.3877703772605</v>
      </c>
      <c r="M62" s="96"/>
      <c r="N62" s="96"/>
      <c r="O62" s="96"/>
    </row>
    <row r="63" spans="1:15" ht="12.75">
      <c r="A63" s="96"/>
      <c r="B63" s="111">
        <v>25</v>
      </c>
      <c r="C63" s="113">
        <f t="shared" si="1"/>
        <v>21.391276096115334</v>
      </c>
      <c r="D63" s="111"/>
      <c r="E63" s="117">
        <f t="shared" si="0"/>
        <v>7807.8157750820965</v>
      </c>
      <c r="F63" s="116">
        <f>bot(E63,365*C$35,365*C$33,365*C$34,'Layer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0.8552146793338352</v>
      </c>
      <c r="G63" s="96"/>
      <c r="H63" s="117">
        <f>7.48*PI()*C$5^2*vorecov(F63,'Layer Calcs'!B$5,'Layer Calcs'!B$6,'Layer Calcs'!B$7,'Layer Calcs'!F$5,'Layer Calcs'!F$6,'Layer Calcs'!F$7,'Data Entry'!C$8,'Data Entry'!C$14,'Data Entry'!C$17,'Data Entry'!C$21,'Data Entry'!C$22,'Data Entry'!C$25,'Data Entry'!C$29,'Data Entry'!C$30)</f>
        <v>3409.785063442813</v>
      </c>
      <c r="I63" s="116">
        <f>IF((C$30+C$31)&gt;0,('Data Entry'!C$8*F63/C$6)*1440*((F$5/7.48)/F$6+0.018*I$8/(I$7*I$6)),PI()*(1-'Data Entry'!C$8)*'Data Entry'!C$8*hycon(F63,'Data Entry'!C$8,'Data Entry'!C$14,C$7,C$8)*F63^2/(C$6*LN(C$5/C$9)))*kro_b(F63,'Layer Calcs'!B$5,'Layer Calcs'!B$6,'Layer Calcs'!G$6,'Layer Calcs'!G$7,'Layer Calcs'!H$5,'Layer Calcs'!H$6,'Layer Calcs'!H$7)*7.48</f>
        <v>0.02491929272986501</v>
      </c>
      <c r="J63" s="96"/>
      <c r="K63" s="96"/>
      <c r="L63" s="117">
        <f t="shared" si="2"/>
        <v>3472.364463747184</v>
      </c>
      <c r="M63" s="96"/>
      <c r="N63" s="96"/>
      <c r="O63" s="96"/>
    </row>
    <row r="64" spans="1:15" ht="12.75">
      <c r="A64" s="96"/>
      <c r="B64" s="111">
        <v>26</v>
      </c>
      <c r="C64" s="113">
        <f t="shared" si="1"/>
        <v>23.113020876892268</v>
      </c>
      <c r="D64" s="111"/>
      <c r="E64" s="117">
        <f t="shared" si="0"/>
        <v>8436.252620065678</v>
      </c>
      <c r="F64" s="116">
        <f>bot(E64,365*C$35,365*C$33,365*C$34,'Layer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0.8160022835688313</v>
      </c>
      <c r="G64" s="96"/>
      <c r="H64" s="117">
        <f>7.48*PI()*C$5^2*vorecov(F64,'Layer Calcs'!B$5,'Layer Calcs'!B$6,'Layer Calcs'!B$7,'Layer Calcs'!F$5,'Layer Calcs'!F$6,'Layer Calcs'!F$7,'Data Entry'!C$8,'Data Entry'!C$14,'Data Entry'!C$17,'Data Entry'!C$21,'Data Entry'!C$22,'Data Entry'!C$25,'Data Entry'!C$29,'Data Entry'!C$30)</f>
        <v>3424.3766364875387</v>
      </c>
      <c r="I64" s="116">
        <f>IF((C$30+C$31)&gt;0,('Data Entry'!C$8*F64/C$6)*1440*((F$5/7.48)/F$6+0.018*I$8/(I$7*I$6)),PI()*(1-'Data Entry'!C$8)*'Data Entry'!C$8*hycon(F64,'Data Entry'!C$8,'Data Entry'!C$14,C$7,C$8)*F64^2/(C$6*LN(C$5/C$9)))*kro_b(F64,'Layer Calcs'!B$5,'Layer Calcs'!B$6,'Layer Calcs'!G$6,'Layer Calcs'!G$7,'Layer Calcs'!H$5,'Layer Calcs'!H$6,'Layer Calcs'!H$7)*7.48</f>
        <v>0.021646335933191412</v>
      </c>
      <c r="J64" s="96"/>
      <c r="K64" s="96"/>
      <c r="L64" s="117">
        <f t="shared" si="2"/>
        <v>3486.996242128028</v>
      </c>
      <c r="M64" s="96"/>
      <c r="N64" s="96"/>
      <c r="O64" s="96"/>
    </row>
    <row r="65" spans="1:15" ht="12.75">
      <c r="A65" s="96"/>
      <c r="B65" s="111">
        <v>27</v>
      </c>
      <c r="C65" s="113">
        <f t="shared" si="1"/>
        <v>24.8347656576692</v>
      </c>
      <c r="D65" s="111"/>
      <c r="E65" s="117">
        <f t="shared" si="0"/>
        <v>9064.68946504926</v>
      </c>
      <c r="F65" s="116">
        <f>bot(E65,365*C$35,365*C$33,365*C$34,'Layer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0.7817320409404881</v>
      </c>
      <c r="G65" s="96"/>
      <c r="H65" s="117">
        <f>7.48*PI()*C$5^2*vorecov(F65,'Layer Calcs'!B$5,'Layer Calcs'!B$6,'Layer Calcs'!B$7,'Layer Calcs'!F$5,'Layer Calcs'!F$6,'Layer Calcs'!F$7,'Data Entry'!C$8,'Data Entry'!C$14,'Data Entry'!C$17,'Data Entry'!C$21,'Data Entry'!C$22,'Data Entry'!C$25,'Data Entry'!C$29,'Data Entry'!C$30)</f>
        <v>3437.1291536142335</v>
      </c>
      <c r="I65" s="116">
        <f>IF((C$30+C$31)&gt;0,('Data Entry'!C$8*F65/C$6)*1440*((F$5/7.48)/F$6+0.018*I$8/(I$7*I$6)),PI()*(1-'Data Entry'!C$8)*'Data Entry'!C$8*hycon(F65,'Data Entry'!C$8,'Data Entry'!C$14,C$7,C$8)*F65^2/(C$6*LN(C$5/C$9)))*kro_b(F65,'Layer Calcs'!B$5,'Layer Calcs'!B$6,'Layer Calcs'!G$6,'Layer Calcs'!G$7,'Layer Calcs'!H$5,'Layer Calcs'!H$6,'Layer Calcs'!H$7)*7.48</f>
        <v>0.01903198164081403</v>
      </c>
      <c r="J65" s="96"/>
      <c r="K65" s="96"/>
      <c r="L65" s="117">
        <f t="shared" si="2"/>
        <v>3499.778118905752</v>
      </c>
      <c r="M65" s="96"/>
      <c r="N65" s="96"/>
      <c r="O65" s="96"/>
    </row>
    <row r="66" spans="1:15" ht="12.75">
      <c r="A66" s="96"/>
      <c r="B66" s="111">
        <v>28</v>
      </c>
      <c r="C66" s="113">
        <f t="shared" si="1"/>
        <v>26.556510438446132</v>
      </c>
      <c r="D66" s="111"/>
      <c r="E66" s="117">
        <f t="shared" si="0"/>
        <v>9693.126310032838</v>
      </c>
      <c r="F66" s="116">
        <f>bot(E66,365*C$35,365*C$33,365*C$34,'Layer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0.7514460358385603</v>
      </c>
      <c r="G66" s="96"/>
      <c r="H66" s="117">
        <f>7.48*PI()*C$5^2*vorecov(F66,'Layer Calcs'!B$5,'Layer Calcs'!B$6,'Layer Calcs'!B$7,'Layer Calcs'!F$5,'Layer Calcs'!F$6,'Layer Calcs'!F$7,'Data Entry'!C$8,'Data Entry'!C$14,'Data Entry'!C$17,'Data Entry'!C$21,'Data Entry'!C$22,'Data Entry'!C$25,'Data Entry'!C$29,'Data Entry'!C$30)</f>
        <v>3448.3990708701463</v>
      </c>
      <c r="I66" s="116">
        <f>IF((C$30+C$31)&gt;0,('Data Entry'!C$8*F66/C$6)*1440*((F$5/7.48)/F$6+0.018*I$8/(I$7*I$6)),PI()*(1-'Data Entry'!C$8)*'Data Entry'!C$8*hycon(F66,'Data Entry'!C$8,'Data Entry'!C$14,C$7,C$8)*F66^2/(C$6*LN(C$5/C$9)))*kro_b(F66,'Layer Calcs'!B$5,'Layer Calcs'!B$6,'Layer Calcs'!G$6,'Layer Calcs'!G$7,'Layer Calcs'!H$5,'Layer Calcs'!H$6,'Layer Calcs'!H$7)*7.48</f>
        <v>0.016904551967655133</v>
      </c>
      <c r="J66" s="96"/>
      <c r="K66" s="96"/>
      <c r="L66" s="117">
        <f t="shared" si="2"/>
        <v>3511.070039806028</v>
      </c>
      <c r="M66" s="96"/>
      <c r="N66" s="96"/>
      <c r="O66" s="96"/>
    </row>
    <row r="67" spans="1:15" ht="12.75">
      <c r="A67" s="96"/>
      <c r="B67" s="111">
        <v>29</v>
      </c>
      <c r="C67" s="113">
        <f t="shared" si="1"/>
        <v>28.278255219223066</v>
      </c>
      <c r="D67" s="111"/>
      <c r="E67" s="117">
        <f t="shared" si="0"/>
        <v>10321.56315501642</v>
      </c>
      <c r="F67" s="116">
        <f>bot(E67,365*C$35,365*C$33,365*C$34,'Layer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0.7244276374255146</v>
      </c>
      <c r="G67" s="96"/>
      <c r="H67" s="117">
        <f>7.48*PI()*C$5^2*vorecov(F67,'Layer Calcs'!B$5,'Layer Calcs'!B$6,'Layer Calcs'!B$7,'Layer Calcs'!F$5,'Layer Calcs'!F$6,'Layer Calcs'!F$7,'Data Entry'!C$8,'Data Entry'!C$14,'Data Entry'!C$17,'Data Entry'!C$21,'Data Entry'!C$22,'Data Entry'!C$25,'Data Entry'!C$29,'Data Entry'!C$30)</f>
        <v>3458.4530582969305</v>
      </c>
      <c r="I67" s="116">
        <f>IF((C$30+C$31)&gt;0,('Data Entry'!C$8*F67/C$6)*1440*((F$5/7.48)/F$6+0.018*I$8/(I$7*I$6)),PI()*(1-'Data Entry'!C$8)*'Data Entry'!C$8*hycon(F67,'Data Entry'!C$8,'Data Entry'!C$14,C$7,C$8)*F67^2/(C$6*LN(C$5/C$9)))*kro_b(F67,'Layer Calcs'!B$5,'Layer Calcs'!B$6,'Layer Calcs'!G$6,'Layer Calcs'!G$7,'Layer Calcs'!H$5,'Layer Calcs'!H$6,'Layer Calcs'!H$7)*7.48</f>
        <v>0.015145907616443724</v>
      </c>
      <c r="J67" s="96"/>
      <c r="K67" s="96"/>
      <c r="L67" s="117">
        <f t="shared" si="2"/>
        <v>3521.1408846566806</v>
      </c>
      <c r="M67" s="96"/>
      <c r="N67" s="96"/>
      <c r="O67" s="96"/>
    </row>
    <row r="68" spans="1:15" ht="12.75">
      <c r="A68" s="96"/>
      <c r="B68" s="111">
        <v>30</v>
      </c>
      <c r="C68" s="113">
        <f t="shared" si="1"/>
        <v>30</v>
      </c>
      <c r="D68" s="111"/>
      <c r="E68" s="117">
        <f t="shared" si="0"/>
        <v>10950</v>
      </c>
      <c r="F68" s="116">
        <f>bot(E68,365*C$35,365*C$33,365*C$34,'Layer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8" s="96"/>
      <c r="H68" s="117">
        <f>7.48*PI()*C$5^2*vorecov(F68,'Layer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8" s="116">
        <f>IF((C$30+C$31)&gt;0,('Data Entry'!C$8*F68/C$6)*1440*((F$5/7.48)/F$6+0.018*I$8/(I$7*I$6)),PI()*(1-'Data Entry'!C$8)*'Data Entry'!C$8*hycon(F68,'Data Entry'!C$8,'Data Entry'!C$14,C$7,C$8)*F68^2/(C$6*LN(C$5/C$9)))*kro_b(F68,'Layer Calcs'!B$5,'Layer Calcs'!B$6,'Layer Calcs'!G$6,'Layer Calcs'!G$7,'Layer Calcs'!H$5,'Layer Calcs'!H$6,'Layer Calcs'!H$7)*7.48</f>
        <v>0.013672367148827035</v>
      </c>
      <c r="J68" s="96"/>
      <c r="K68" s="96"/>
      <c r="L68" s="117">
        <f t="shared" si="2"/>
        <v>3530.196117492359</v>
      </c>
      <c r="M68" s="96"/>
      <c r="N68" s="96"/>
      <c r="O68" s="96"/>
    </row>
    <row r="69" spans="1:15" ht="12.75">
      <c r="A69" s="96"/>
      <c r="B69" s="111">
        <v>31</v>
      </c>
      <c r="C69" s="113">
        <f t="shared" si="1"/>
        <v>30</v>
      </c>
      <c r="D69" s="111"/>
      <c r="E69" s="117">
        <f t="shared" si="0"/>
        <v>10950</v>
      </c>
      <c r="F69" s="116">
        <f>bot(E69,365*C$35,365*C$33,365*C$34,'Layer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9" s="96"/>
      <c r="H69" s="117">
        <f>7.48*PI()*C$5^2*vorecov(F69,'Layer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9" s="116">
        <f>IF((C$30+C$31)&gt;0,('Data Entry'!C$8*F69/C$6)*1440*((F$5/7.48)/F$6+0.018*I$8/(I$7*I$6)),PI()*(1-'Data Entry'!C$8)*'Data Entry'!C$8*hycon(F69,'Data Entry'!C$8,'Data Entry'!C$14,C$7,C$8)*F69^2/(C$6*LN(C$5/C$9)))*kro_b(F69,'Layer Calcs'!B$5,'Layer Calcs'!B$6,'Layer Calcs'!G$6,'Layer Calcs'!G$7,'Layer Calcs'!H$5,'Layer Calcs'!H$6,'Layer Calcs'!H$7)*7.48</f>
        <v>0.013672367148827035</v>
      </c>
      <c r="J69" s="96"/>
      <c r="K69" s="96"/>
      <c r="L69" s="117">
        <f t="shared" si="2"/>
        <v>3530.196117492359</v>
      </c>
      <c r="M69" s="96"/>
      <c r="N69" s="96"/>
      <c r="O69" s="96"/>
    </row>
    <row r="70" spans="1:15" ht="12.75">
      <c r="A70" s="96"/>
      <c r="B70" s="111">
        <v>32</v>
      </c>
      <c r="C70" s="113">
        <f t="shared" si="1"/>
        <v>30</v>
      </c>
      <c r="D70" s="111"/>
      <c r="E70" s="117">
        <f t="shared" si="0"/>
        <v>10950</v>
      </c>
      <c r="F70" s="116">
        <f>bot(E70,365*C$35,365*C$33,365*C$34,'Layer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0" s="96"/>
      <c r="H70" s="117">
        <f>7.48*PI()*C$5^2*vorecov(F70,'Layer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0" s="116">
        <f>IF((C$30+C$31)&gt;0,('Data Entry'!C$8*F70/C$6)*1440*((F$5/7.48)/F$6+0.018*I$8/(I$7*I$6)),PI()*(1-'Data Entry'!C$8)*'Data Entry'!C$8*hycon(F70,'Data Entry'!C$8,'Data Entry'!C$14,C$7,C$8)*F70^2/(C$6*LN(C$5/C$9)))*kro_b(F70,'Layer Calcs'!B$5,'Layer Calcs'!B$6,'Layer Calcs'!G$6,'Layer Calcs'!G$7,'Layer Calcs'!H$5,'Layer Calcs'!H$6,'Layer Calcs'!H$7)*7.48</f>
        <v>0.013672367148827035</v>
      </c>
      <c r="J70" s="96"/>
      <c r="K70" s="96"/>
      <c r="L70" s="117">
        <f t="shared" si="2"/>
        <v>3530.196117492359</v>
      </c>
      <c r="M70" s="96"/>
      <c r="N70" s="96"/>
      <c r="O70" s="96"/>
    </row>
    <row r="71" spans="1:15" ht="12.75">
      <c r="A71" s="96"/>
      <c r="B71" s="111">
        <v>33</v>
      </c>
      <c r="C71" s="113">
        <f t="shared" si="1"/>
        <v>30</v>
      </c>
      <c r="D71" s="111"/>
      <c r="E71" s="117">
        <f t="shared" si="0"/>
        <v>10950</v>
      </c>
      <c r="F71" s="116">
        <f>bot(E71,365*C$35,365*C$33,365*C$34,'Layer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1" s="96"/>
      <c r="H71" s="117">
        <f>7.48*PI()*C$5^2*vorecov(F71,'Layer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1" s="116">
        <f>IF((C$30+C$31)&gt;0,('Data Entry'!C$8*F71/C$6)*1440*((F$5/7.48)/F$6+0.018*I$8/(I$7*I$6)),PI()*(1-'Data Entry'!C$8)*'Data Entry'!C$8*hycon(F71,'Data Entry'!C$8,'Data Entry'!C$14,C$7,C$8)*F71^2/(C$6*LN(C$5/C$9)))*kro_b(F71,'Layer Calcs'!B$5,'Layer Calcs'!B$6,'Layer Calcs'!G$6,'Layer Calcs'!G$7,'Layer Calcs'!H$5,'Layer Calcs'!H$6,'Layer Calcs'!H$7)*7.48</f>
        <v>0.013672367148827035</v>
      </c>
      <c r="J71" s="96"/>
      <c r="K71" s="96"/>
      <c r="L71" s="117">
        <f t="shared" si="2"/>
        <v>3530.196117492359</v>
      </c>
      <c r="M71" s="96"/>
      <c r="N71" s="96"/>
      <c r="O71" s="96"/>
    </row>
    <row r="72" spans="1:15" ht="12.75">
      <c r="A72" s="96"/>
      <c r="B72" s="111">
        <v>34</v>
      </c>
      <c r="C72" s="113">
        <f t="shared" si="1"/>
        <v>30</v>
      </c>
      <c r="D72" s="111"/>
      <c r="E72" s="117">
        <f t="shared" si="0"/>
        <v>10950</v>
      </c>
      <c r="F72" s="116">
        <f>bot(E72,365*C$35,365*C$33,365*C$34,'Layer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2" s="96"/>
      <c r="H72" s="117">
        <f>7.48*PI()*C$5^2*vorecov(F72,'Layer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2" s="116">
        <f>IF((C$30+C$31)&gt;0,('Data Entry'!C$8*F72/C$6)*1440*((F$5/7.48)/F$6+0.018*I$8/(I$7*I$6)),PI()*(1-'Data Entry'!C$8)*'Data Entry'!C$8*hycon(F72,'Data Entry'!C$8,'Data Entry'!C$14,C$7,C$8)*F72^2/(C$6*LN(C$5/C$9)))*kro_b(F72,'Layer Calcs'!B$5,'Layer Calcs'!B$6,'Layer Calcs'!G$6,'Layer Calcs'!G$7,'Layer Calcs'!H$5,'Layer Calcs'!H$6,'Layer Calcs'!H$7)*7.48</f>
        <v>0.013672367148827035</v>
      </c>
      <c r="J72" s="96"/>
      <c r="K72" s="96"/>
      <c r="L72" s="117">
        <f t="shared" si="2"/>
        <v>3530.196117492359</v>
      </c>
      <c r="M72" s="96"/>
      <c r="N72" s="96"/>
      <c r="O72" s="96"/>
    </row>
    <row r="73" spans="1:15" ht="12.75">
      <c r="A73" s="96"/>
      <c r="B73" s="111">
        <v>35</v>
      </c>
      <c r="C73" s="113">
        <f t="shared" si="1"/>
        <v>30</v>
      </c>
      <c r="D73" s="111"/>
      <c r="E73" s="117">
        <f t="shared" si="0"/>
        <v>10950</v>
      </c>
      <c r="F73" s="116">
        <f>bot(E73,365*C$35,365*C$33,365*C$34,'Layer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3" s="96"/>
      <c r="H73" s="117">
        <f>7.48*PI()*C$5^2*vorecov(F73,'Layer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3" s="116">
        <f>IF((C$30+C$31)&gt;0,('Data Entry'!C$8*F73/C$6)*1440*((F$5/7.48)/F$6+0.018*I$8/(I$7*I$6)),PI()*(1-'Data Entry'!C$8)*'Data Entry'!C$8*hycon(F73,'Data Entry'!C$8,'Data Entry'!C$14,C$7,C$8)*F73^2/(C$6*LN(C$5/C$9)))*kro_b(F73,'Layer Calcs'!B$5,'Layer Calcs'!B$6,'Layer Calcs'!G$6,'Layer Calcs'!G$7,'Layer Calcs'!H$5,'Layer Calcs'!H$6,'Layer Calcs'!H$7)*7.48</f>
        <v>0.013672367148827035</v>
      </c>
      <c r="J73" s="96"/>
      <c r="K73" s="96"/>
      <c r="L73" s="117">
        <f t="shared" si="2"/>
        <v>3530.196117492359</v>
      </c>
      <c r="M73" s="96"/>
      <c r="N73" s="96"/>
      <c r="O73" s="96"/>
    </row>
    <row r="74" spans="1:15" ht="12.75">
      <c r="A74" s="96"/>
      <c r="B74" s="111">
        <v>36</v>
      </c>
      <c r="C74" s="113">
        <f t="shared" si="1"/>
        <v>30</v>
      </c>
      <c r="D74" s="111"/>
      <c r="E74" s="117">
        <f t="shared" si="0"/>
        <v>10950</v>
      </c>
      <c r="F74" s="116">
        <f>bot(E74,365*C$35,365*C$33,365*C$34,'Layer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4" s="96"/>
      <c r="H74" s="117">
        <f>7.48*PI()*C$5^2*vorecov(F74,'Layer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4" s="116">
        <f>IF((C$30+C$31)&gt;0,('Data Entry'!C$8*F74/C$6)*1440*((F$5/7.48)/F$6+0.018*I$8/(I$7*I$6)),PI()*(1-'Data Entry'!C$8)*'Data Entry'!C$8*hycon(F74,'Data Entry'!C$8,'Data Entry'!C$14,C$7,C$8)*F74^2/(C$6*LN(C$5/C$9)))*kro_b(F74,'Layer Calcs'!B$5,'Layer Calcs'!B$6,'Layer Calcs'!G$6,'Layer Calcs'!G$7,'Layer Calcs'!H$5,'Layer Calcs'!H$6,'Layer Calcs'!H$7)*7.48</f>
        <v>0.013672367148827035</v>
      </c>
      <c r="J74" s="96"/>
      <c r="K74" s="96"/>
      <c r="L74" s="117">
        <f t="shared" si="2"/>
        <v>3530.196117492359</v>
      </c>
      <c r="M74" s="96"/>
      <c r="N74" s="96"/>
      <c r="O74" s="96"/>
    </row>
    <row r="75" spans="1:15" ht="12.75">
      <c r="A75" s="96"/>
      <c r="B75" s="111">
        <v>37</v>
      </c>
      <c r="C75" s="113">
        <f t="shared" si="1"/>
        <v>30</v>
      </c>
      <c r="D75" s="111"/>
      <c r="E75" s="117">
        <f t="shared" si="0"/>
        <v>10950</v>
      </c>
      <c r="F75" s="116">
        <f>bot(E75,365*C$35,365*C$33,365*C$34,'Layer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5" s="96"/>
      <c r="H75" s="117">
        <f>7.48*PI()*C$5^2*vorecov(F75,'Layer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5" s="116">
        <f>IF((C$30+C$31)&gt;0,('Data Entry'!C$8*F75/C$6)*1440*((F$5/7.48)/F$6+0.018*I$8/(I$7*I$6)),PI()*(1-'Data Entry'!C$8)*'Data Entry'!C$8*hycon(F75,'Data Entry'!C$8,'Data Entry'!C$14,C$7,C$8)*F75^2/(C$6*LN(C$5/C$9)))*kro_b(F75,'Layer Calcs'!B$5,'Layer Calcs'!B$6,'Layer Calcs'!G$6,'Layer Calcs'!G$7,'Layer Calcs'!H$5,'Layer Calcs'!H$6,'Layer Calcs'!H$7)*7.48</f>
        <v>0.013672367148827035</v>
      </c>
      <c r="J75" s="96"/>
      <c r="K75" s="96"/>
      <c r="L75" s="117">
        <f t="shared" si="2"/>
        <v>3530.196117492359</v>
      </c>
      <c r="M75" s="96"/>
      <c r="N75" s="96"/>
      <c r="O75" s="96"/>
    </row>
    <row r="76" spans="1:15" ht="12.75">
      <c r="A76" s="96"/>
      <c r="B76" s="111">
        <v>38</v>
      </c>
      <c r="C76" s="113">
        <f t="shared" si="1"/>
        <v>30</v>
      </c>
      <c r="D76" s="111"/>
      <c r="E76" s="117">
        <f t="shared" si="0"/>
        <v>10950</v>
      </c>
      <c r="F76" s="116">
        <f>bot(E76,365*C$35,365*C$33,365*C$34,'Layer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6" s="96"/>
      <c r="H76" s="117">
        <f>7.48*PI()*C$5^2*vorecov(F76,'Layer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6" s="116">
        <f>IF((C$30+C$31)&gt;0,('Data Entry'!C$8*F76/C$6)*1440*((F$5/7.48)/F$6+0.018*I$8/(I$7*I$6)),PI()*(1-'Data Entry'!C$8)*'Data Entry'!C$8*hycon(F76,'Data Entry'!C$8,'Data Entry'!C$14,C$7,C$8)*F76^2/(C$6*LN(C$5/C$9)))*kro_b(F76,'Layer Calcs'!B$5,'Layer Calcs'!B$6,'Layer Calcs'!G$6,'Layer Calcs'!G$7,'Layer Calcs'!H$5,'Layer Calcs'!H$6,'Layer Calcs'!H$7)*7.48</f>
        <v>0.013672367148827035</v>
      </c>
      <c r="J76" s="96"/>
      <c r="K76" s="96"/>
      <c r="L76" s="117">
        <f t="shared" si="2"/>
        <v>3530.196117492359</v>
      </c>
      <c r="M76" s="96"/>
      <c r="N76" s="96"/>
      <c r="O76" s="96"/>
    </row>
    <row r="77" spans="1:15" ht="12.75">
      <c r="A77" s="96"/>
      <c r="B77" s="111">
        <v>39</v>
      </c>
      <c r="C77" s="113">
        <f t="shared" si="1"/>
        <v>30</v>
      </c>
      <c r="D77" s="111"/>
      <c r="E77" s="117">
        <f t="shared" si="0"/>
        <v>10950</v>
      </c>
      <c r="F77" s="116">
        <f>bot(E77,365*C$35,365*C$33,365*C$34,'Layer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7" s="96"/>
      <c r="H77" s="117">
        <f>7.48*PI()*C$5^2*vorecov(F77,'Layer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7" s="116">
        <f>IF((C$30+C$31)&gt;0,('Data Entry'!C$8*F77/C$6)*1440*((F$5/7.48)/F$6+0.018*I$8/(I$7*I$6)),PI()*(1-'Data Entry'!C$8)*'Data Entry'!C$8*hycon(F77,'Data Entry'!C$8,'Data Entry'!C$14,C$7,C$8)*F77^2/(C$6*LN(C$5/C$9)))*kro_b(F77,'Layer Calcs'!B$5,'Layer Calcs'!B$6,'Layer Calcs'!G$6,'Layer Calcs'!G$7,'Layer Calcs'!H$5,'Layer Calcs'!H$6,'Layer Calcs'!H$7)*7.48</f>
        <v>0.013672367148827035</v>
      </c>
      <c r="J77" s="96"/>
      <c r="K77" s="96"/>
      <c r="L77" s="117">
        <f t="shared" si="2"/>
        <v>3530.196117492359</v>
      </c>
      <c r="M77" s="96"/>
      <c r="N77" s="96"/>
      <c r="O77" s="96"/>
    </row>
    <row r="78" spans="1:15" ht="12.75">
      <c r="A78" s="96"/>
      <c r="B78" s="111">
        <v>40</v>
      </c>
      <c r="C78" s="113">
        <f t="shared" si="1"/>
        <v>30</v>
      </c>
      <c r="D78" s="111"/>
      <c r="E78" s="117">
        <f t="shared" si="0"/>
        <v>10950</v>
      </c>
      <c r="F78" s="116">
        <f>bot(E78,365*C$35,365*C$33,365*C$34,'Layer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8" s="96"/>
      <c r="H78" s="117">
        <f>7.48*PI()*C$5^2*vorecov(F78,'Layer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8" s="116">
        <f>IF((C$30+C$31)&gt;0,('Data Entry'!C$8*F78/C$6)*1440*((F$5/7.48)/F$6+0.018*I$8/(I$7*I$6)),PI()*(1-'Data Entry'!C$8)*'Data Entry'!C$8*hycon(F78,'Data Entry'!C$8,'Data Entry'!C$14,C$7,C$8)*F78^2/(C$6*LN(C$5/C$9)))*kro_b(F78,'Layer Calcs'!B$5,'Layer Calcs'!B$6,'Layer Calcs'!G$6,'Layer Calcs'!G$7,'Layer Calcs'!H$5,'Layer Calcs'!H$6,'Layer Calcs'!H$7)*7.48</f>
        <v>0.013672367148827035</v>
      </c>
      <c r="J78" s="96"/>
      <c r="K78" s="96"/>
      <c r="L78" s="117">
        <f t="shared" si="2"/>
        <v>3530.196117492359</v>
      </c>
      <c r="M78" s="96"/>
      <c r="N78" s="96"/>
      <c r="O78" s="96"/>
    </row>
    <row r="79" spans="1:15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ht="12.75">
      <c r="A81" s="96"/>
      <c r="B81" s="111"/>
      <c r="C81" s="111"/>
      <c r="D81" s="111"/>
      <c r="E81" s="111"/>
      <c r="F81" s="111"/>
      <c r="G81" s="96"/>
      <c r="H81" s="96"/>
      <c r="I81" s="96"/>
      <c r="J81" s="96"/>
      <c r="K81" s="96"/>
      <c r="L81" s="96"/>
      <c r="M81" s="96"/>
      <c r="N81" s="96"/>
      <c r="O81" s="96"/>
    </row>
    <row r="82" spans="1:15" ht="12.75">
      <c r="A82" s="96"/>
      <c r="B82" s="111"/>
      <c r="C82" s="111"/>
      <c r="D82" s="111"/>
      <c r="E82" s="111"/>
      <c r="F82" s="96"/>
      <c r="G82" s="96"/>
      <c r="H82" s="96"/>
      <c r="I82" s="96"/>
      <c r="J82" s="96"/>
      <c r="K82" s="96"/>
      <c r="L82" s="96"/>
      <c r="M82" s="96"/>
      <c r="N82" s="96"/>
      <c r="O82" s="96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73"/>
  <sheetViews>
    <sheetView zoomScale="90" zoomScaleNormal="90" workbookViewId="0" topLeftCell="B1">
      <selection activeCell="D7" sqref="D7"/>
    </sheetView>
  </sheetViews>
  <sheetFormatPr defaultColWidth="9.140625" defaultRowHeight="12.75"/>
  <cols>
    <col min="1" max="1" width="4.00390625" style="0" customWidth="1"/>
    <col min="2" max="7" width="12.7109375" style="0" customWidth="1"/>
  </cols>
  <sheetData>
    <row r="1" ht="15.75">
      <c r="B1" s="146" t="s">
        <v>73</v>
      </c>
    </row>
    <row r="3" spans="4:5" ht="15.75">
      <c r="D3" s="137" t="s">
        <v>97</v>
      </c>
      <c r="E3" s="199">
        <v>20</v>
      </c>
    </row>
    <row r="4" spans="2:5" ht="15.75">
      <c r="B4" s="145" t="s">
        <v>74</v>
      </c>
      <c r="D4" s="139" t="s">
        <v>99</v>
      </c>
      <c r="E4" s="200">
        <v>2</v>
      </c>
    </row>
    <row r="5" spans="2:5" ht="15.75">
      <c r="B5" s="147" t="s">
        <v>75</v>
      </c>
      <c r="D5" s="140" t="s">
        <v>103</v>
      </c>
      <c r="E5" s="200">
        <v>0.1</v>
      </c>
    </row>
    <row r="6" spans="4:5" ht="15.75">
      <c r="D6" s="140" t="s">
        <v>68</v>
      </c>
      <c r="E6" s="200">
        <v>0.001</v>
      </c>
    </row>
    <row r="7" spans="4:16" ht="15.75">
      <c r="D7" s="140" t="s">
        <v>100</v>
      </c>
      <c r="E7" s="200">
        <v>10</v>
      </c>
      <c r="O7" s="142" t="s">
        <v>69</v>
      </c>
      <c r="P7" s="36"/>
    </row>
    <row r="8" spans="4:16" ht="15.75">
      <c r="D8" s="140" t="s">
        <v>101</v>
      </c>
      <c r="E8" s="200">
        <v>1</v>
      </c>
      <c r="O8" s="36"/>
      <c r="P8" s="36"/>
    </row>
    <row r="9" spans="4:16" ht="15.75">
      <c r="D9" s="140" t="s">
        <v>125</v>
      </c>
      <c r="E9" s="200">
        <v>75</v>
      </c>
      <c r="O9" s="36">
        <v>0</v>
      </c>
      <c r="P9" s="143">
        <f>7.48*(E9*E10)*'Layer Calcs'!C7</f>
        <v>32768.756769853775</v>
      </c>
    </row>
    <row r="10" spans="4:16" ht="15.75">
      <c r="D10" s="140" t="s">
        <v>126</v>
      </c>
      <c r="E10" s="200">
        <v>100</v>
      </c>
      <c r="O10" s="36">
        <f>E3</f>
        <v>20</v>
      </c>
      <c r="P10" s="143">
        <f>P9</f>
        <v>32768.756769853775</v>
      </c>
    </row>
    <row r="11" spans="4:16" ht="15.75">
      <c r="D11" s="141" t="s">
        <v>127</v>
      </c>
      <c r="E11" s="201">
        <v>5</v>
      </c>
      <c r="O11" s="36"/>
      <c r="P11" s="36"/>
    </row>
    <row r="12" spans="2:16" ht="12.75">
      <c r="B12" s="36"/>
      <c r="C12" s="36"/>
      <c r="O12" s="36"/>
      <c r="P12" s="36"/>
    </row>
    <row r="13" spans="2:16" ht="12.75">
      <c r="B13" s="36"/>
      <c r="C13" s="36"/>
      <c r="O13" s="36" t="s">
        <v>32</v>
      </c>
      <c r="P13" s="36" t="s">
        <v>24</v>
      </c>
    </row>
    <row r="14" spans="2:16" ht="12.75">
      <c r="B14" s="36"/>
      <c r="C14" s="36"/>
      <c r="O14" s="36"/>
      <c r="P14" s="36"/>
    </row>
    <row r="15" spans="2:16" ht="12.75">
      <c r="B15" s="36"/>
      <c r="C15" s="36"/>
      <c r="O15" s="36"/>
      <c r="P15" s="36"/>
    </row>
    <row r="16" spans="15:16" ht="12.75">
      <c r="O16" s="143">
        <f>IF(C28&lt;E3,C28,)</f>
        <v>5.70419361008685</v>
      </c>
      <c r="P16" s="36">
        <f>IF(C28&lt;E3,'Layer Calcs'!B6,0)</f>
        <v>2.16</v>
      </c>
    </row>
    <row r="17" spans="15:16" ht="12.75">
      <c r="O17" s="143">
        <f>IF(C29&lt;E3,C29,O16)</f>
        <v>5.70419361008685</v>
      </c>
      <c r="P17" s="36">
        <f>IF(O17&gt;O16,'Layer Calcs'!B5,Trench!P16)</f>
        <v>2.16</v>
      </c>
    </row>
    <row r="18" spans="15:16" ht="12.75">
      <c r="O18" s="44">
        <f>IF(C30&lt;E3,C30,0)</f>
        <v>0</v>
      </c>
      <c r="P18" s="36">
        <f>IF('Data Entry'!C14&gt;0,'Data Entry'!C14/(1-'Data Entry'!C8),-'Data Entry'!C14/'Data Entry'!C8)</f>
        <v>0.4705882352941177</v>
      </c>
    </row>
    <row r="27" spans="2:3" ht="12.75">
      <c r="B27" s="36"/>
      <c r="C27" s="36"/>
    </row>
    <row r="28" spans="2:3" ht="15.75">
      <c r="B28" s="111" t="s">
        <v>117</v>
      </c>
      <c r="C28" s="112">
        <f>tt2_trench('Layer Calcs'!B6,'Layer Calcs'!B7,'Layer Calcs'!F7,'Layer Calcs'!G7,'Layer Calcs'!H7,'Data Entry'!C8,'Data Entry'!C14,'Data Entry'!C17,'Data Entry'!C21,'Data Entry'!C22,'Data Entry'!C25,'Data Entry'!C29,'Data Entry'!C30,E7,E8,1440*E5/7.48,E10,E9,E11,E6,E4)</f>
        <v>5.70419361008685</v>
      </c>
    </row>
    <row r="29" spans="2:3" ht="15.75">
      <c r="B29" s="111" t="s">
        <v>118</v>
      </c>
      <c r="C29" s="112">
        <f>tt1_trench('Layer Calcs'!B5,'Layer Calcs'!B6,'Layer Calcs'!F6,'Layer Calcs'!G6,'Layer Calcs'!H6,C28,'Data Entry'!C8,'Data Entry'!C14,'Data Entry'!C17,'Data Entry'!C21,'Data Entry'!C22,'Data Entry'!C25,'Data Entry'!C29,'Data Entry'!C30,E7,E8,1440*E5/7.48,E10,E9,E11,E6,E4)</f>
        <v>30.313526699312238</v>
      </c>
    </row>
    <row r="30" spans="2:3" ht="15.75">
      <c r="B30" s="111" t="s">
        <v>119</v>
      </c>
      <c r="C30" s="112">
        <f>tt3_trench('Layer Calcs'!B5,'Layer Calcs'!B6,'Layer Calcs'!B7,'Layer Calcs'!F5,'Layer Calcs'!F6,'Layer Calcs'!F7,'Layer Calcs'!G6,'Layer Calcs'!G7,'Layer Calcs'!H5,'Layer Calcs'!H6,'Layer Calcs'!H7,'Data Entry'!C8,'Data Entry'!C14,'Data Entry'!C17,'Data Entry'!C21,'Data Entry'!C22,'Data Entry'!C25,'Data Entry'!C29,'Data Entry'!C30,E7,E8,1440*E5/7.48,E10,E9,E11,E6,E4)</f>
        <v>76.33752351397109</v>
      </c>
    </row>
    <row r="32" spans="2:7" ht="15.75">
      <c r="B32" s="111" t="s">
        <v>31</v>
      </c>
      <c r="C32" s="111" t="s">
        <v>120</v>
      </c>
      <c r="D32" s="111" t="s">
        <v>121</v>
      </c>
      <c r="E32" s="111" t="s">
        <v>122</v>
      </c>
      <c r="F32" s="111" t="s">
        <v>123</v>
      </c>
      <c r="G32" s="111" t="s">
        <v>124</v>
      </c>
    </row>
    <row r="33" spans="2:9" ht="12.75">
      <c r="B33" s="111">
        <v>0</v>
      </c>
      <c r="C33" s="113">
        <f aca="true" t="shared" si="0" ref="C33:C73">tmrec(B33,C$29,C$28,C$30,E$3)</f>
        <v>0</v>
      </c>
      <c r="D33" s="117">
        <f>C33*365</f>
        <v>0</v>
      </c>
      <c r="E33" s="116">
        <f>bo_trench(D33,365*C$30,365*C$28,365*C$29,'Layer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3</v>
      </c>
      <c r="F33" s="117">
        <f>7.48*E$9*E$10*vorecov(E33,'Layer Calcs'!B$5,'Layer Calcs'!B$6,'Layer Calcs'!B$7,'Layer Calcs'!F$5,'Layer Calcs'!F$6,'Layer Calcs'!F$7,'Data Entry'!C$8,'Data Entry'!C$14,'Data Entry'!C$17,'Data Entry'!C$21,'Data Entry'!C$22,'Data Entry'!C$25,'Data Entry'!C$29,'Data Entry'!C$30)</f>
        <v>0</v>
      </c>
      <c r="G33" s="116">
        <f>7.48*E$9*E33*(hycon(E33,'Data Entry'!C$8,'Data Entry'!C$14,E$7,E$8)*'Data Entry'!C$8/E$4)*(E$6+(1440*E$5/7.48)/(2*hycon(E33,'Data Entry'!C$8,'Data Entry'!C$14,E$7,E$8)*E$9*E$11))*kro_b(E33,'Layer Calcs'!B$5,'Layer Calcs'!B$6,'Layer Calcs'!G$6,'Layer Calcs'!G$7,'Layer Calcs'!H$5,'Layer Calcs'!H$6,'Layer Calcs'!H$7)</f>
        <v>8.030903027609579</v>
      </c>
      <c r="I33">
        <v>0</v>
      </c>
    </row>
    <row r="34" spans="2:9" ht="12.75">
      <c r="B34" s="111">
        <v>1</v>
      </c>
      <c r="C34" s="113">
        <f t="shared" si="0"/>
        <v>0.5704193610086851</v>
      </c>
      <c r="D34" s="117">
        <f aca="true" t="shared" si="1" ref="D34:D73">C34*365</f>
        <v>208.20306676817006</v>
      </c>
      <c r="E34" s="116">
        <f>bo_trench(D34,365*C$30,365*C$28,365*C$29,'Layer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2.87636486569565</v>
      </c>
      <c r="F34" s="117">
        <f>7.48*E$9*E$10*vorecov(E34,'Layer Calcs'!B$5,'Layer Calcs'!B$6,'Layer Calcs'!B$7,'Layer Calcs'!F$5,'Layer Calcs'!F$6,'Layer Calcs'!F$7,'Data Entry'!C$8,'Data Entry'!C$14,'Data Entry'!C$17,'Data Entry'!C$21,'Data Entry'!C$22,'Data Entry'!C$25,'Data Entry'!C$29,'Data Entry'!C$30)</f>
        <v>1596.6988442832899</v>
      </c>
      <c r="G34" s="116">
        <f>7.48*E$9*E34*(hycon(E34,'Data Entry'!C$8,'Data Entry'!C$14,E$7,E$8)*'Data Entry'!C$8/E$4)*(E$6+(1440*E$5/7.48)/(2*hycon(E34,'Data Entry'!C$8,'Data Entry'!C$14,E$7,E$8)*E$9*E$11))*kro_b(E34,'Layer Calcs'!B$5,'Layer Calcs'!B$6,'Layer Calcs'!G$6,'Layer Calcs'!G$7,'Layer Calcs'!H$5,'Layer Calcs'!H$6,'Layer Calcs'!H$7)</f>
        <v>7.229527655083094</v>
      </c>
      <c r="I34" s="168">
        <f>I33+(D34-D33)*(G33+G34)/2</f>
        <v>1588.6342341698466</v>
      </c>
    </row>
    <row r="35" spans="2:9" ht="12.75">
      <c r="B35" s="111">
        <v>2</v>
      </c>
      <c r="C35" s="113">
        <f t="shared" si="0"/>
        <v>1.1408387220173701</v>
      </c>
      <c r="D35" s="117">
        <f t="shared" si="1"/>
        <v>416.4061335363401</v>
      </c>
      <c r="E35" s="116">
        <f>bo_trench(D35,365*C$30,365*C$28,365*C$29,'Layer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2.7649749287738565</v>
      </c>
      <c r="F35" s="117">
        <f>7.48*E$9*E$10*vorecov(E35,'Layer Calcs'!B$5,'Layer Calcs'!B$6,'Layer Calcs'!B$7,'Layer Calcs'!F$5,'Layer Calcs'!F$6,'Layer Calcs'!F$7,'Data Entry'!C$8,'Data Entry'!C$14,'Data Entry'!C$17,'Data Entry'!C$21,'Data Entry'!C$22,'Data Entry'!C$25,'Data Entry'!C$29,'Data Entry'!C$30)</f>
        <v>3035.255809085798</v>
      </c>
      <c r="G35" s="116">
        <f>7.48*E$9*E35*(hycon(E35,'Data Entry'!C$8,'Data Entry'!C$14,E$7,E$8)*'Data Entry'!C$8/E$4)*(E$6+(1440*E$5/7.48)/(2*hycon(E35,'Data Entry'!C$8,'Data Entry'!C$14,E$7,E$8)*E$9*E$11))*kro_b(E35,'Layer Calcs'!B$5,'Layer Calcs'!B$6,'Layer Calcs'!G$6,'Layer Calcs'!G$7,'Layer Calcs'!H$5,'Layer Calcs'!H$6,'Layer Calcs'!H$7)</f>
        <v>6.5416297549882945</v>
      </c>
      <c r="I35" s="168">
        <f aca="true" t="shared" si="2" ref="I35:I73">I34+(D35-D34)*(G34+G35)/2</f>
        <v>3022.2328370318833</v>
      </c>
    </row>
    <row r="36" spans="2:9" ht="12.75">
      <c r="B36" s="111">
        <v>3</v>
      </c>
      <c r="C36" s="113">
        <f t="shared" si="0"/>
        <v>1.711258083026055</v>
      </c>
      <c r="D36" s="117">
        <f t="shared" si="1"/>
        <v>624.6092003045101</v>
      </c>
      <c r="E36" s="116">
        <f>bo_trench(D36,365*C$30,365*C$28,365*C$29,'Layer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2.6641216225215567</v>
      </c>
      <c r="F36" s="117">
        <f>7.48*E$9*E$10*vorecov(E36,'Layer Calcs'!B$5,'Layer Calcs'!B$6,'Layer Calcs'!B$7,'Layer Calcs'!F$5,'Layer Calcs'!F$6,'Layer Calcs'!F$7,'Data Entry'!C$8,'Data Entry'!C$14,'Data Entry'!C$17,'Data Entry'!C$21,'Data Entry'!C$22,'Data Entry'!C$25,'Data Entry'!C$29,'Data Entry'!C$30)</f>
        <v>4337.736357525902</v>
      </c>
      <c r="G36" s="116">
        <f>7.48*E$9*E36*(hycon(E36,'Data Entry'!C$8,'Data Entry'!C$14,E$7,E$8)*'Data Entry'!C$8/E$4)*(E$6+(1440*E$5/7.48)/(2*hycon(E36,'Data Entry'!C$8,'Data Entry'!C$14,E$7,E$8)*E$9*E$11))*kro_b(E36,'Layer Calcs'!B$5,'Layer Calcs'!B$6,'Layer Calcs'!G$6,'Layer Calcs'!G$7,'Layer Calcs'!H$5,'Layer Calcs'!H$6,'Layer Calcs'!H$7)</f>
        <v>5.9466889240725305</v>
      </c>
      <c r="I36" s="168">
        <f t="shared" si="2"/>
        <v>4322.285960911226</v>
      </c>
    </row>
    <row r="37" spans="2:9" ht="12.75">
      <c r="B37" s="111">
        <v>4</v>
      </c>
      <c r="C37" s="113">
        <f t="shared" si="0"/>
        <v>2.2816774440347403</v>
      </c>
      <c r="D37" s="117">
        <f t="shared" si="1"/>
        <v>832.8122670726802</v>
      </c>
      <c r="E37" s="116">
        <f>bo_trench(D37,365*C$30,365*C$28,365*C$29,'Layer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2.5724000357311905</v>
      </c>
      <c r="F37" s="117">
        <f>7.48*E$9*E$10*vorecov(E37,'Layer Calcs'!B$5,'Layer Calcs'!B$6,'Layer Calcs'!B$7,'Layer Calcs'!F$5,'Layer Calcs'!F$6,'Layer Calcs'!F$7,'Data Entry'!C$8,'Data Entry'!C$14,'Data Entry'!C$17,'Data Entry'!C$21,'Data Entry'!C$22,'Data Entry'!C$25,'Data Entry'!C$29,'Data Entry'!C$30)</f>
        <v>5522.284362007299</v>
      </c>
      <c r="G37" s="116">
        <f>7.48*E$9*E37*(hycon(E37,'Data Entry'!C$8,'Data Entry'!C$14,E$7,E$8)*'Data Entry'!C$8/E$4)*(E$6+(1440*E$5/7.48)/(2*hycon(E37,'Data Entry'!C$8,'Data Entry'!C$14,E$7,E$8)*E$9*E$11))*kro_b(E37,'Layer Calcs'!B$5,'Layer Calcs'!B$6,'Layer Calcs'!G$6,'Layer Calcs'!G$7,'Layer Calcs'!H$5,'Layer Calcs'!H$6,'Layer Calcs'!H$7)</f>
        <v>5.428628655907211</v>
      </c>
      <c r="I37" s="168">
        <f t="shared" si="2"/>
        <v>5506.473963718056</v>
      </c>
    </row>
    <row r="38" spans="2:9" ht="12.75">
      <c r="B38" s="111">
        <v>5</v>
      </c>
      <c r="C38" s="113">
        <f t="shared" si="0"/>
        <v>2.852096805043425</v>
      </c>
      <c r="D38" s="117">
        <f t="shared" si="1"/>
        <v>1041.0153338408502</v>
      </c>
      <c r="E38" s="116">
        <f>bo_trench(D38,365*C$30,365*C$28,365*C$29,'Layer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2.488644320171643</v>
      </c>
      <c r="F38" s="117">
        <f>7.48*E$9*E$10*vorecov(E38,'Layer Calcs'!B$5,'Layer Calcs'!B$6,'Layer Calcs'!B$7,'Layer Calcs'!F$5,'Layer Calcs'!F$6,'Layer Calcs'!F$7,'Data Entry'!C$8,'Data Entry'!C$14,'Data Entry'!C$17,'Data Entry'!C$21,'Data Entry'!C$22,'Data Entry'!C$25,'Data Entry'!C$29,'Data Entry'!C$30)</f>
        <v>6603.956291176258</v>
      </c>
      <c r="G38" s="116">
        <f>7.48*E$9*E38*(hycon(E38,'Data Entry'!C$8,'Data Entry'!C$14,E$7,E$8)*'Data Entry'!C$8/E$4)*(E$6+(1440*E$5/7.48)/(2*hycon(E38,'Data Entry'!C$8,'Data Entry'!C$14,E$7,E$8)*E$9*E$11))*kro_b(E38,'Layer Calcs'!B$5,'Layer Calcs'!B$6,'Layer Calcs'!G$6,'Layer Calcs'!G$7,'Layer Calcs'!H$5,'Layer Calcs'!H$6,'Layer Calcs'!H$7)</f>
        <v>4.974708784455903</v>
      </c>
      <c r="I38" s="168">
        <f t="shared" si="2"/>
        <v>6589.477343571918</v>
      </c>
    </row>
    <row r="39" spans="2:9" ht="12.75">
      <c r="B39" s="111">
        <v>6</v>
      </c>
      <c r="C39" s="113">
        <f t="shared" si="0"/>
        <v>3.42251616605211</v>
      </c>
      <c r="D39" s="117">
        <f t="shared" si="1"/>
        <v>1249.2184006090201</v>
      </c>
      <c r="E39" s="116">
        <f>bo_trench(D39,365*C$30,365*C$28,365*C$29,'Layer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2.4118789131436387</v>
      </c>
      <c r="F39" s="117">
        <f>7.48*E$9*E$10*vorecov(E39,'Layer Calcs'!B$5,'Layer Calcs'!B$6,'Layer Calcs'!B$7,'Layer Calcs'!F$5,'Layer Calcs'!F$6,'Layer Calcs'!F$7,'Data Entry'!C$8,'Data Entry'!C$14,'Data Entry'!C$17,'Data Entry'!C$21,'Data Entry'!C$22,'Data Entry'!C$25,'Data Entry'!C$29,'Data Entry'!C$30)</f>
        <v>7595.351151320297</v>
      </c>
      <c r="G39" s="116">
        <f>7.48*E$9*E39*(hycon(E39,'Data Entry'!C$8,'Data Entry'!C$14,E$7,E$8)*'Data Entry'!C$8/E$4)*(E$6+(1440*E$5/7.48)/(2*hycon(E39,'Data Entry'!C$8,'Data Entry'!C$14,E$7,E$8)*E$9*E$11))*kro_b(E39,'Layer Calcs'!B$5,'Layer Calcs'!B$6,'Layer Calcs'!G$6,'Layer Calcs'!G$7,'Layer Calcs'!H$5,'Layer Calcs'!H$6,'Layer Calcs'!H$7)</f>
        <v>4.574727214109232</v>
      </c>
      <c r="I39" s="168">
        <f t="shared" si="2"/>
        <v>7583.588273975729</v>
      </c>
    </row>
    <row r="40" spans="2:9" ht="12.75">
      <c r="B40" s="111">
        <v>7</v>
      </c>
      <c r="C40" s="113">
        <f t="shared" si="0"/>
        <v>3.9929355270607956</v>
      </c>
      <c r="D40" s="117">
        <f t="shared" si="1"/>
        <v>1457.4214673771903</v>
      </c>
      <c r="E40" s="116">
        <f>bo_trench(D40,365*C$30,365*C$28,365*C$29,'Layer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2.3412812346464698</v>
      </c>
      <c r="F40" s="117">
        <f>7.48*E$9*E$10*vorecov(E40,'Layer Calcs'!B$5,'Layer Calcs'!B$6,'Layer Calcs'!B$7,'Layer Calcs'!F$5,'Layer Calcs'!F$6,'Layer Calcs'!F$7,'Data Entry'!C$8,'Data Entry'!C$14,'Data Entry'!C$17,'Data Entry'!C$21,'Data Entry'!C$22,'Data Entry'!C$25,'Data Entry'!C$29,'Data Entry'!C$30)</f>
        <v>8507.092237701328</v>
      </c>
      <c r="G40" s="116">
        <f>7.48*E$9*E40*(hycon(E40,'Data Entry'!C$8,'Data Entry'!C$14,E$7,E$8)*'Data Entry'!C$8/E$4)*(E$6+(1440*E$5/7.48)/(2*hycon(E40,'Data Entry'!C$8,'Data Entry'!C$14,E$7,E$8)*E$9*E$11))*kro_b(E40,'Layer Calcs'!B$5,'Layer Calcs'!B$6,'Layer Calcs'!G$6,'Layer Calcs'!G$7,'Layer Calcs'!H$5,'Layer Calcs'!H$6,'Layer Calcs'!H$7)</f>
        <v>4.220436003289402</v>
      </c>
      <c r="I40" s="168">
        <f t="shared" si="2"/>
        <v>8499.17825127023</v>
      </c>
    </row>
    <row r="41" spans="2:9" ht="12.75">
      <c r="B41" s="111">
        <v>8</v>
      </c>
      <c r="C41" s="113">
        <f t="shared" si="0"/>
        <v>4.5633548880694805</v>
      </c>
      <c r="D41" s="117">
        <f t="shared" si="1"/>
        <v>1665.6245341453605</v>
      </c>
      <c r="E41" s="116">
        <f>bo_trench(D41,365*C$30,365*C$28,365*C$29,'Layer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2.2761528287464508</v>
      </c>
      <c r="F41" s="117">
        <f>7.48*E$9*E$10*vorecov(E41,'Layer Calcs'!B$5,'Layer Calcs'!B$6,'Layer Calcs'!B$7,'Layer Calcs'!F$5,'Layer Calcs'!F$6,'Layer Calcs'!F$7,'Data Entry'!C$8,'Data Entry'!C$14,'Data Entry'!C$17,'Data Entry'!C$21,'Data Entry'!C$22,'Data Entry'!C$25,'Data Entry'!C$29,'Data Entry'!C$30)</f>
        <v>9348.199832364366</v>
      </c>
      <c r="G41" s="116">
        <f>7.48*E$9*E41*(hycon(E41,'Data Entry'!C$8,'Data Entry'!C$14,E$7,E$8)*'Data Entry'!C$8/E$4)*(E$6+(1440*E$5/7.48)/(2*hycon(E41,'Data Entry'!C$8,'Data Entry'!C$14,E$7,E$8)*E$9*E$11))*kro_b(E41,'Layer Calcs'!B$5,'Layer Calcs'!B$6,'Layer Calcs'!G$6,'Layer Calcs'!G$7,'Layer Calcs'!H$5,'Layer Calcs'!H$6,'Layer Calcs'!H$7)</f>
        <v>3.9051084403973815</v>
      </c>
      <c r="I41" s="168">
        <f t="shared" si="2"/>
        <v>9345.059887438558</v>
      </c>
    </row>
    <row r="42" spans="2:9" ht="12.75">
      <c r="B42" s="111">
        <v>9</v>
      </c>
      <c r="C42" s="113">
        <f t="shared" si="0"/>
        <v>5.133774249078165</v>
      </c>
      <c r="D42" s="117">
        <f t="shared" si="1"/>
        <v>1873.8276009135302</v>
      </c>
      <c r="E42" s="116">
        <f>bo_trench(D42,365*C$30,365*C$28,365*C$29,'Layer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2.215896800137461</v>
      </c>
      <c r="F42" s="117">
        <f>7.48*E$9*E$10*vorecov(E42,'Layer Calcs'!B$5,'Layer Calcs'!B$6,'Layer Calcs'!B$7,'Layer Calcs'!F$5,'Layer Calcs'!F$6,'Layer Calcs'!F$7,'Data Entry'!C$8,'Data Entry'!C$14,'Data Entry'!C$17,'Data Entry'!C$21,'Data Entry'!C$22,'Data Entry'!C$25,'Data Entry'!C$29,'Data Entry'!C$30)</f>
        <v>10126.382602031075</v>
      </c>
      <c r="G42" s="116">
        <f>7.48*E$9*E42*(hycon(E42,'Data Entry'!C$8,'Data Entry'!C$14,E$7,E$8)*'Data Entry'!C$8/E$4)*(E$6+(1440*E$5/7.48)/(2*hycon(E42,'Data Entry'!C$8,'Data Entry'!C$14,E$7,E$8)*E$9*E$11))*kro_b(E42,'Layer Calcs'!B$5,'Layer Calcs'!B$6,'Layer Calcs'!G$6,'Layer Calcs'!G$7,'Layer Calcs'!H$5,'Layer Calcs'!H$6,'Layer Calcs'!H$7)</f>
        <v>3.6232140717835097</v>
      </c>
      <c r="I42" s="168">
        <f t="shared" si="2"/>
        <v>10128.769804766514</v>
      </c>
    </row>
    <row r="43" spans="2:9" ht="12.75">
      <c r="B43" s="111">
        <v>10</v>
      </c>
      <c r="C43" s="113">
        <f t="shared" si="0"/>
        <v>5.70419361008685</v>
      </c>
      <c r="D43" s="117">
        <f t="shared" si="1"/>
        <v>2082.0306676817004</v>
      </c>
      <c r="E43" s="116">
        <f>bo_trench(D43,365*C$30,365*C$28,365*C$29,'Layer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2.16</v>
      </c>
      <c r="F43" s="117">
        <f>7.48*E$9*E$10*vorecov(E43,'Layer Calcs'!B$5,'Layer Calcs'!B$6,'Layer Calcs'!B$7,'Layer Calcs'!F$5,'Layer Calcs'!F$6,'Layer Calcs'!F$7,'Data Entry'!C$8,'Data Entry'!C$14,'Data Entry'!C$17,'Data Entry'!C$21,'Data Entry'!C$22,'Data Entry'!C$25,'Data Entry'!C$29,'Data Entry'!C$30)</f>
        <v>10848.267660682059</v>
      </c>
      <c r="G43" s="116">
        <f>7.48*E$9*E43*(hycon(E43,'Data Entry'!C$8,'Data Entry'!C$14,E$7,E$8)*'Data Entry'!C$8/E$4)*(E$6+(1440*E$5/7.48)/(2*hycon(E43,'Data Entry'!C$8,'Data Entry'!C$14,E$7,E$8)*E$9*E$11))*kro_b(E43,'Layer Calcs'!B$5,'Layer Calcs'!B$6,'Layer Calcs'!G$6,'Layer Calcs'!G$7,'Layer Calcs'!H$5,'Layer Calcs'!H$6,'Layer Calcs'!H$7)</f>
        <v>3.3701719699618287</v>
      </c>
      <c r="I43" s="168">
        <f t="shared" si="2"/>
        <v>10856.792015259061</v>
      </c>
    </row>
    <row r="44" spans="2:9" ht="12.75">
      <c r="B44" s="111">
        <v>11</v>
      </c>
      <c r="C44" s="113">
        <f t="shared" si="0"/>
        <v>7.133774249078165</v>
      </c>
      <c r="D44" s="117">
        <f t="shared" si="1"/>
        <v>2603.82760091353</v>
      </c>
      <c r="E44" s="116">
        <f>bo_trench(D44,365*C$30,365*C$28,365*C$29,'Layer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1.9867360016007698</v>
      </c>
      <c r="F44" s="117">
        <f>7.48*E$9*E$10*vorecov(E44,'Layer Calcs'!B$5,'Layer Calcs'!B$6,'Layer Calcs'!B$7,'Layer Calcs'!F$5,'Layer Calcs'!F$6,'Layer Calcs'!F$7,'Data Entry'!C$8,'Data Entry'!C$14,'Data Entry'!C$17,'Data Entry'!C$21,'Data Entry'!C$22,'Data Entry'!C$25,'Data Entry'!C$29,'Data Entry'!C$30)</f>
        <v>12425.087751087129</v>
      </c>
      <c r="G44" s="116">
        <f>7.48*E$9*E44*(hycon(E44,'Data Entry'!C$8,'Data Entry'!C$14,E$7,E$8)*'Data Entry'!C$8/E$4)*(E$6+(1440*E$5/7.48)/(2*hycon(E44,'Data Entry'!C$8,'Data Entry'!C$14,E$7,E$8)*E$9*E$11))*kro_b(E44,'Layer Calcs'!B$5,'Layer Calcs'!B$6,'Layer Calcs'!G$6,'Layer Calcs'!G$7,'Layer Calcs'!H$5,'Layer Calcs'!H$6,'Layer Calcs'!H$7)</f>
        <v>2.6196124640744896</v>
      </c>
      <c r="I44" s="168">
        <f t="shared" si="2"/>
        <v>12419.517589459012</v>
      </c>
    </row>
    <row r="45" spans="2:9" ht="12.75">
      <c r="B45" s="111">
        <v>12</v>
      </c>
      <c r="C45" s="113">
        <f t="shared" si="0"/>
        <v>8.56335488806948</v>
      </c>
      <c r="D45" s="117">
        <f t="shared" si="1"/>
        <v>3125.62453414536</v>
      </c>
      <c r="E45" s="116">
        <f>bo_trench(D45,365*C$30,365*C$28,365*C$29,'Layer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1.8509834547335207</v>
      </c>
      <c r="F45" s="117">
        <f>7.48*E$9*E$10*vorecov(E45,'Layer Calcs'!B$5,'Layer Calcs'!B$6,'Layer Calcs'!B$7,'Layer Calcs'!F$5,'Layer Calcs'!F$6,'Layer Calcs'!F$7,'Data Entry'!C$8,'Data Entry'!C$14,'Data Entry'!C$17,'Data Entry'!C$21,'Data Entry'!C$22,'Data Entry'!C$25,'Data Entry'!C$29,'Data Entry'!C$30)</f>
        <v>13660.528149563383</v>
      </c>
      <c r="G45" s="116">
        <f>7.48*E$9*E45*(hycon(E45,'Data Entry'!C$8,'Data Entry'!C$14,E$7,E$8)*'Data Entry'!C$8/E$4)*(E$6+(1440*E$5/7.48)/(2*hycon(E45,'Data Entry'!C$8,'Data Entry'!C$14,E$7,E$8)*E$9*E$11))*kro_b(E45,'Layer Calcs'!B$5,'Layer Calcs'!B$6,'Layer Calcs'!G$6,'Layer Calcs'!G$7,'Layer Calcs'!H$5,'Layer Calcs'!H$6,'Layer Calcs'!H$7)</f>
        <v>2.088253180804652</v>
      </c>
      <c r="I45" s="168">
        <f t="shared" si="2"/>
        <v>13647.792517241725</v>
      </c>
    </row>
    <row r="46" spans="2:9" ht="12.75">
      <c r="B46" s="111">
        <v>13</v>
      </c>
      <c r="C46" s="113">
        <f t="shared" si="0"/>
        <v>9.992935527060794</v>
      </c>
      <c r="D46" s="117">
        <f t="shared" si="1"/>
        <v>3647.42146737719</v>
      </c>
      <c r="E46" s="116">
        <f>bo_trench(D46,365*C$30,365*C$28,365*C$29,'Layer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1.7421448527229824</v>
      </c>
      <c r="F46" s="117">
        <f>7.48*E$9*E$10*vorecov(E46,'Layer Calcs'!B$5,'Layer Calcs'!B$6,'Layer Calcs'!B$7,'Layer Calcs'!F$5,'Layer Calcs'!F$6,'Layer Calcs'!F$7,'Data Entry'!C$8,'Data Entry'!C$14,'Data Entry'!C$17,'Data Entry'!C$21,'Data Entry'!C$22,'Data Entry'!C$25,'Data Entry'!C$29,'Data Entry'!C$30)</f>
        <v>14651.033366154188</v>
      </c>
      <c r="G46" s="116">
        <f>7.48*E$9*E46*(hycon(E46,'Data Entry'!C$8,'Data Entry'!C$14,E$7,E$8)*'Data Entry'!C$8/E$4)*(E$6+(1440*E$5/7.48)/(2*hycon(E46,'Data Entry'!C$8,'Data Entry'!C$14,E$7,E$8)*E$9*E$11))*kro_b(E46,'Layer Calcs'!B$5,'Layer Calcs'!B$6,'Layer Calcs'!G$6,'Layer Calcs'!G$7,'Layer Calcs'!H$5,'Layer Calcs'!H$6,'Layer Calcs'!H$7)</f>
        <v>1.6982242705345132</v>
      </c>
      <c r="I46" s="168">
        <f t="shared" si="2"/>
        <v>14635.678678171851</v>
      </c>
    </row>
    <row r="47" spans="2:9" ht="12.75">
      <c r="B47" s="111">
        <v>14</v>
      </c>
      <c r="C47" s="113">
        <f t="shared" si="0"/>
        <v>11.42251616605211</v>
      </c>
      <c r="D47" s="117">
        <f t="shared" si="1"/>
        <v>4169.21840060902</v>
      </c>
      <c r="E47" s="116">
        <f>bo_trench(D47,365*C$30,365*C$28,365*C$29,'Layer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1.6532629740172982</v>
      </c>
      <c r="F47" s="117">
        <f>7.48*E$9*E$10*vorecov(E47,'Layer Calcs'!B$5,'Layer Calcs'!B$6,'Layer Calcs'!B$7,'Layer Calcs'!F$5,'Layer Calcs'!F$6,'Layer Calcs'!F$7,'Data Entry'!C$8,'Data Entry'!C$14,'Data Entry'!C$17,'Data Entry'!C$21,'Data Entry'!C$22,'Data Entry'!C$25,'Data Entry'!C$29,'Data Entry'!C$30)</f>
        <v>15459.918843292593</v>
      </c>
      <c r="G47" s="116">
        <f>7.48*E$9*E47*(hycon(E47,'Data Entry'!C$8,'Data Entry'!C$14,E$7,E$8)*'Data Entry'!C$8/E$4)*(E$6+(1440*E$5/7.48)/(2*hycon(E47,'Data Entry'!C$8,'Data Entry'!C$14,E$7,E$8)*E$9*E$11))*kro_b(E47,'Layer Calcs'!B$5,'Layer Calcs'!B$6,'Layer Calcs'!G$6,'Layer Calcs'!G$7,'Layer Calcs'!H$5,'Layer Calcs'!H$6,'Layer Calcs'!H$7)</f>
        <v>1.4034664082725534</v>
      </c>
      <c r="I47" s="168">
        <f t="shared" si="2"/>
        <v>15444.905020189492</v>
      </c>
    </row>
    <row r="48" spans="2:9" ht="12.75">
      <c r="B48" s="111">
        <v>15</v>
      </c>
      <c r="C48" s="113">
        <f t="shared" si="0"/>
        <v>12.852096805043425</v>
      </c>
      <c r="D48" s="117">
        <f t="shared" si="1"/>
        <v>4691.01533384085</v>
      </c>
      <c r="E48" s="116">
        <f>bo_trench(D48,365*C$30,365*C$28,365*C$29,'Layer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1.5795809221141912</v>
      </c>
      <c r="F48" s="117">
        <f>7.48*E$9*E$10*vorecov(E48,'Layer Calcs'!B$5,'Layer Calcs'!B$6,'Layer Calcs'!B$7,'Layer Calcs'!F$5,'Layer Calcs'!F$6,'Layer Calcs'!F$7,'Data Entry'!C$8,'Data Entry'!C$14,'Data Entry'!C$17,'Data Entry'!C$21,'Data Entry'!C$22,'Data Entry'!C$25,'Data Entry'!C$29,'Data Entry'!C$30)</f>
        <v>16130.475570694103</v>
      </c>
      <c r="G48" s="116">
        <f>7.48*E$9*E48*(hycon(E48,'Data Entry'!C$8,'Data Entry'!C$14,E$7,E$8)*'Data Entry'!C$8/E$4)*(E$6+(1440*E$5/7.48)/(2*hycon(E48,'Data Entry'!C$8,'Data Entry'!C$14,E$7,E$8)*E$9*E$11))*kro_b(E48,'Layer Calcs'!B$5,'Layer Calcs'!B$6,'Layer Calcs'!G$6,'Layer Calcs'!G$7,'Layer Calcs'!H$5,'Layer Calcs'!H$6,'Layer Calcs'!H$7)</f>
        <v>1.175306678111097</v>
      </c>
      <c r="I48" s="168">
        <f t="shared" si="2"/>
        <v>16117.702964177377</v>
      </c>
    </row>
    <row r="49" spans="2:9" ht="12.75">
      <c r="B49" s="111">
        <v>16</v>
      </c>
      <c r="C49" s="113">
        <f t="shared" si="0"/>
        <v>14.28167744403474</v>
      </c>
      <c r="D49" s="117">
        <f t="shared" si="1"/>
        <v>5212.81226707268</v>
      </c>
      <c r="E49" s="116">
        <f>bo_trench(D49,365*C$30,365*C$28,365*C$29,'Layer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1.5177356129272914</v>
      </c>
      <c r="F49" s="117">
        <f>7.48*E$9*E$10*vorecov(E49,'Layer Calcs'!B$5,'Layer Calcs'!B$6,'Layer Calcs'!B$7,'Layer Calcs'!F$5,'Layer Calcs'!F$6,'Layer Calcs'!F$7,'Data Entry'!C$8,'Data Entry'!C$14,'Data Entry'!C$17,'Data Entry'!C$21,'Data Entry'!C$22,'Data Entry'!C$25,'Data Entry'!C$29,'Data Entry'!C$30)</f>
        <v>16693.309898218486</v>
      </c>
      <c r="G49" s="116">
        <f>7.48*E$9*E49*(hycon(E49,'Data Entry'!C$8,'Data Entry'!C$14,E$7,E$8)*'Data Entry'!C$8/E$4)*(E$6+(1440*E$5/7.48)/(2*hycon(E49,'Data Entry'!C$8,'Data Entry'!C$14,E$7,E$8)*E$9*E$11))*kro_b(E49,'Layer Calcs'!B$5,'Layer Calcs'!B$6,'Layer Calcs'!G$6,'Layer Calcs'!G$7,'Layer Calcs'!H$5,'Layer Calcs'!H$6,'Layer Calcs'!H$7)</f>
        <v>0.9951298215735147</v>
      </c>
      <c r="I49" s="168">
        <f t="shared" si="2"/>
        <v>16683.966518832305</v>
      </c>
    </row>
    <row r="50" spans="2:9" ht="12.75">
      <c r="B50" s="111">
        <v>17</v>
      </c>
      <c r="C50" s="113">
        <f t="shared" si="0"/>
        <v>15.711258083026054</v>
      </c>
      <c r="D50" s="117">
        <f t="shared" si="1"/>
        <v>5734.60920030451</v>
      </c>
      <c r="E50" s="116">
        <f>bo_trench(D50,365*C$30,365*C$28,365*C$29,'Layer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1.4652818179799287</v>
      </c>
      <c r="F50" s="117">
        <f>7.48*E$9*E$10*vorecov(E50,'Layer Calcs'!B$5,'Layer Calcs'!B$6,'Layer Calcs'!B$7,'Layer Calcs'!F$5,'Layer Calcs'!F$6,'Layer Calcs'!F$7,'Data Entry'!C$8,'Data Entry'!C$14,'Data Entry'!C$17,'Data Entry'!C$21,'Data Entry'!C$22,'Data Entry'!C$25,'Data Entry'!C$29,'Data Entry'!C$30)</f>
        <v>17170.675066142237</v>
      </c>
      <c r="G50" s="116">
        <f>7.48*E$9*E50*(hycon(E50,'Data Entry'!C$8,'Data Entry'!C$14,E$7,E$8)*'Data Entry'!C$8/E$4)*(E$6+(1440*E$5/7.48)/(2*hycon(E50,'Data Entry'!C$8,'Data Entry'!C$14,E$7,E$8)*E$9*E$11))*kro_b(E50,'Layer Calcs'!B$5,'Layer Calcs'!B$6,'Layer Calcs'!G$6,'Layer Calcs'!G$7,'Layer Calcs'!H$5,'Layer Calcs'!H$6,'Layer Calcs'!H$7)</f>
        <v>0.8504179256117885</v>
      </c>
      <c r="I50" s="168">
        <f t="shared" si="2"/>
        <v>17165.467096139408</v>
      </c>
    </row>
    <row r="51" spans="2:9" ht="12.75">
      <c r="B51" s="111">
        <v>18</v>
      </c>
      <c r="C51" s="113">
        <f t="shared" si="0"/>
        <v>17.14083872201737</v>
      </c>
      <c r="D51" s="117">
        <f t="shared" si="1"/>
        <v>6256.40613353634</v>
      </c>
      <c r="E51" s="116">
        <f>bo_trench(D51,365*C$30,365*C$28,365*C$29,'Layer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1.4203988097469222</v>
      </c>
      <c r="F51" s="117">
        <f>7.48*E$9*E$10*vorecov(E51,'Layer Calcs'!B$5,'Layer Calcs'!B$6,'Layer Calcs'!B$7,'Layer Calcs'!F$5,'Layer Calcs'!F$6,'Layer Calcs'!F$7,'Data Entry'!C$8,'Data Entry'!C$14,'Data Entry'!C$17,'Data Entry'!C$21,'Data Entry'!C$22,'Data Entry'!C$25,'Data Entry'!C$29,'Data Entry'!C$30)</f>
        <v>17579.140931835518</v>
      </c>
      <c r="G51" s="116">
        <f>7.48*E$9*E51*(hycon(E51,'Data Entry'!C$8,'Data Entry'!C$14,E$7,E$8)*'Data Entry'!C$8/E$4)*(E$6+(1440*E$5/7.48)/(2*hycon(E51,'Data Entry'!C$8,'Data Entry'!C$14,E$7,E$8)*E$9*E$11))*kro_b(E51,'Layer Calcs'!B$5,'Layer Calcs'!B$6,'Layer Calcs'!G$6,'Layer Calcs'!G$7,'Layer Calcs'!H$5,'Layer Calcs'!H$6,'Layer Calcs'!H$7)</f>
        <v>0.7324980732523174</v>
      </c>
      <c r="I51" s="168">
        <f t="shared" si="2"/>
        <v>17578.44745302485</v>
      </c>
    </row>
    <row r="52" spans="2:9" ht="12.75">
      <c r="B52" s="111">
        <v>19</v>
      </c>
      <c r="C52" s="113">
        <f t="shared" si="0"/>
        <v>18.570419361008682</v>
      </c>
      <c r="D52" s="117">
        <f t="shared" si="1"/>
        <v>6778.203066768169</v>
      </c>
      <c r="E52" s="116">
        <f>bo_trench(D52,365*C$30,365*C$28,365*C$29,'Layer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1.381702789706889</v>
      </c>
      <c r="F52" s="117">
        <f>7.48*E$9*E$10*vorecov(E52,'Layer Calcs'!B$5,'Layer Calcs'!B$6,'Layer Calcs'!B$7,'Layer Calcs'!F$5,'Layer Calcs'!F$6,'Layer Calcs'!F$7,'Data Entry'!C$8,'Data Entry'!C$14,'Data Entry'!C$17,'Data Entry'!C$21,'Data Entry'!C$22,'Data Entry'!C$25,'Data Entry'!C$29,'Data Entry'!C$30)</f>
        <v>17931.301001911062</v>
      </c>
      <c r="G52" s="116">
        <f>7.48*E$9*E52*(hycon(E52,'Data Entry'!C$8,'Data Entry'!C$14,E$7,E$8)*'Data Entry'!C$8/E$4)*(E$6+(1440*E$5/7.48)/(2*hycon(E52,'Data Entry'!C$8,'Data Entry'!C$14,E$7,E$8)*E$9*E$11))*kro_b(E52,'Layer Calcs'!B$5,'Layer Calcs'!B$6,'Layer Calcs'!G$6,'Layer Calcs'!G$7,'Layer Calcs'!H$5,'Layer Calcs'!H$6,'Layer Calcs'!H$7)</f>
        <v>0.6352048665093265</v>
      </c>
      <c r="I52" s="168">
        <f t="shared" si="2"/>
        <v>17935.279052794744</v>
      </c>
    </row>
    <row r="53" spans="2:9" ht="12.75">
      <c r="B53" s="111">
        <v>20</v>
      </c>
      <c r="C53" s="113">
        <f t="shared" si="0"/>
        <v>20</v>
      </c>
      <c r="D53" s="117">
        <f t="shared" si="1"/>
        <v>7300</v>
      </c>
      <c r="E53" s="116">
        <f>bo_trench(D53,365*C$30,365*C$28,365*C$29,'Layer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3" s="117">
        <f>7.48*E$9*E$10*vorecov(E53,'Layer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3" s="116">
        <f>7.48*E$9*E53*(hycon(E53,'Data Entry'!C$8,'Data Entry'!C$14,E$7,E$8)*'Data Entry'!C$8/E$4)*(E$6+(1440*E$5/7.48)/(2*hycon(E53,'Data Entry'!C$8,'Data Entry'!C$14,E$7,E$8)*E$9*E$11))*kro_b(E53,'Layer Calcs'!B$5,'Layer Calcs'!B$6,'Layer Calcs'!G$6,'Layer Calcs'!G$7,'Layer Calcs'!H$5,'Layer Calcs'!H$6,'Layer Calcs'!H$7)</f>
        <v>0.5540563241372024</v>
      </c>
      <c r="I53" s="168">
        <f t="shared" si="2"/>
        <v>18245.555473840242</v>
      </c>
    </row>
    <row r="54" spans="2:9" ht="12.75">
      <c r="B54" s="111">
        <v>21</v>
      </c>
      <c r="C54" s="113">
        <f t="shared" si="0"/>
        <v>20</v>
      </c>
      <c r="D54" s="117">
        <f t="shared" si="1"/>
        <v>7300</v>
      </c>
      <c r="E54" s="116">
        <f>bo_trench(D54,365*C$30,365*C$28,365*C$29,'Layer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4" s="117">
        <f>7.48*E$9*E$10*vorecov(E54,'Layer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4" s="116">
        <f>7.48*E$9*E54*(hycon(E54,'Data Entry'!C$8,'Data Entry'!C$14,E$7,E$8)*'Data Entry'!C$8/E$4)*(E$6+(1440*E$5/7.48)/(2*hycon(E54,'Data Entry'!C$8,'Data Entry'!C$14,E$7,E$8)*E$9*E$11))*kro_b(E54,'Layer Calcs'!B$5,'Layer Calcs'!B$6,'Layer Calcs'!G$6,'Layer Calcs'!G$7,'Layer Calcs'!H$5,'Layer Calcs'!H$6,'Layer Calcs'!H$7)</f>
        <v>0.5540563241372024</v>
      </c>
      <c r="I54" s="168">
        <f t="shared" si="2"/>
        <v>18245.555473840242</v>
      </c>
    </row>
    <row r="55" spans="2:9" ht="12.75">
      <c r="B55" s="111">
        <v>22</v>
      </c>
      <c r="C55" s="113">
        <f t="shared" si="0"/>
        <v>20</v>
      </c>
      <c r="D55" s="117">
        <f t="shared" si="1"/>
        <v>7300</v>
      </c>
      <c r="E55" s="116">
        <f>bo_trench(D55,365*C$30,365*C$28,365*C$29,'Layer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5" s="117">
        <f>7.48*E$9*E$10*vorecov(E55,'Layer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5" s="116">
        <f>7.48*E$9*E55*(hycon(E55,'Data Entry'!C$8,'Data Entry'!C$14,E$7,E$8)*'Data Entry'!C$8/E$4)*(E$6+(1440*E$5/7.48)/(2*hycon(E55,'Data Entry'!C$8,'Data Entry'!C$14,E$7,E$8)*E$9*E$11))*kro_b(E55,'Layer Calcs'!B$5,'Layer Calcs'!B$6,'Layer Calcs'!G$6,'Layer Calcs'!G$7,'Layer Calcs'!H$5,'Layer Calcs'!H$6,'Layer Calcs'!H$7)</f>
        <v>0.5540563241372024</v>
      </c>
      <c r="I55" s="168">
        <f t="shared" si="2"/>
        <v>18245.555473840242</v>
      </c>
    </row>
    <row r="56" spans="2:9" ht="12.75">
      <c r="B56" s="111">
        <v>23</v>
      </c>
      <c r="C56" s="113">
        <f t="shared" si="0"/>
        <v>20</v>
      </c>
      <c r="D56" s="117">
        <f t="shared" si="1"/>
        <v>7300</v>
      </c>
      <c r="E56" s="116">
        <f>bo_trench(D56,365*C$30,365*C$28,365*C$29,'Layer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6" s="117">
        <f>7.48*E$9*E$10*vorecov(E56,'Layer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6" s="116">
        <f>7.48*E$9*E56*(hycon(E56,'Data Entry'!C$8,'Data Entry'!C$14,E$7,E$8)*'Data Entry'!C$8/E$4)*(E$6+(1440*E$5/7.48)/(2*hycon(E56,'Data Entry'!C$8,'Data Entry'!C$14,E$7,E$8)*E$9*E$11))*kro_b(E56,'Layer Calcs'!B$5,'Layer Calcs'!B$6,'Layer Calcs'!G$6,'Layer Calcs'!G$7,'Layer Calcs'!H$5,'Layer Calcs'!H$6,'Layer Calcs'!H$7)</f>
        <v>0.5540563241372024</v>
      </c>
      <c r="I56" s="168">
        <f t="shared" si="2"/>
        <v>18245.555473840242</v>
      </c>
    </row>
    <row r="57" spans="2:9" ht="12.75">
      <c r="B57" s="111">
        <v>24</v>
      </c>
      <c r="C57" s="113">
        <f t="shared" si="0"/>
        <v>20</v>
      </c>
      <c r="D57" s="117">
        <f t="shared" si="1"/>
        <v>7300</v>
      </c>
      <c r="E57" s="116">
        <f>bo_trench(D57,365*C$30,365*C$28,365*C$29,'Layer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7" s="117">
        <f>7.48*E$9*E$10*vorecov(E57,'Layer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7" s="116">
        <f>7.48*E$9*E57*(hycon(E57,'Data Entry'!C$8,'Data Entry'!C$14,E$7,E$8)*'Data Entry'!C$8/E$4)*(E$6+(1440*E$5/7.48)/(2*hycon(E57,'Data Entry'!C$8,'Data Entry'!C$14,E$7,E$8)*E$9*E$11))*kro_b(E57,'Layer Calcs'!B$5,'Layer Calcs'!B$6,'Layer Calcs'!G$6,'Layer Calcs'!G$7,'Layer Calcs'!H$5,'Layer Calcs'!H$6,'Layer Calcs'!H$7)</f>
        <v>0.5540563241372024</v>
      </c>
      <c r="I57" s="168">
        <f t="shared" si="2"/>
        <v>18245.555473840242</v>
      </c>
    </row>
    <row r="58" spans="2:9" ht="12.75">
      <c r="B58" s="111">
        <v>25</v>
      </c>
      <c r="C58" s="113">
        <f t="shared" si="0"/>
        <v>20</v>
      </c>
      <c r="D58" s="117">
        <f t="shared" si="1"/>
        <v>7300</v>
      </c>
      <c r="E58" s="116">
        <f>bo_trench(D58,365*C$30,365*C$28,365*C$29,'Layer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8" s="117">
        <f>7.48*E$9*E$10*vorecov(E58,'Layer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8" s="116">
        <f>7.48*E$9*E58*(hycon(E58,'Data Entry'!C$8,'Data Entry'!C$14,E$7,E$8)*'Data Entry'!C$8/E$4)*(E$6+(1440*E$5/7.48)/(2*hycon(E58,'Data Entry'!C$8,'Data Entry'!C$14,E$7,E$8)*E$9*E$11))*kro_b(E58,'Layer Calcs'!B$5,'Layer Calcs'!B$6,'Layer Calcs'!G$6,'Layer Calcs'!G$7,'Layer Calcs'!H$5,'Layer Calcs'!H$6,'Layer Calcs'!H$7)</f>
        <v>0.5540563241372024</v>
      </c>
      <c r="I58" s="168">
        <f t="shared" si="2"/>
        <v>18245.555473840242</v>
      </c>
    </row>
    <row r="59" spans="2:9" ht="12.75">
      <c r="B59" s="111">
        <v>26</v>
      </c>
      <c r="C59" s="113">
        <f t="shared" si="0"/>
        <v>20</v>
      </c>
      <c r="D59" s="117">
        <f t="shared" si="1"/>
        <v>7300</v>
      </c>
      <c r="E59" s="116">
        <f>bo_trench(D59,365*C$30,365*C$28,365*C$29,'Layer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9" s="117">
        <f>7.48*E$9*E$10*vorecov(E59,'Layer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9" s="116">
        <f>7.48*E$9*E59*(hycon(E59,'Data Entry'!C$8,'Data Entry'!C$14,E$7,E$8)*'Data Entry'!C$8/E$4)*(E$6+(1440*E$5/7.48)/(2*hycon(E59,'Data Entry'!C$8,'Data Entry'!C$14,E$7,E$8)*E$9*E$11))*kro_b(E59,'Layer Calcs'!B$5,'Layer Calcs'!B$6,'Layer Calcs'!G$6,'Layer Calcs'!G$7,'Layer Calcs'!H$5,'Layer Calcs'!H$6,'Layer Calcs'!H$7)</f>
        <v>0.5540563241372024</v>
      </c>
      <c r="I59" s="168">
        <f t="shared" si="2"/>
        <v>18245.555473840242</v>
      </c>
    </row>
    <row r="60" spans="2:9" ht="12.75">
      <c r="B60" s="111">
        <v>27</v>
      </c>
      <c r="C60" s="113">
        <f t="shared" si="0"/>
        <v>20</v>
      </c>
      <c r="D60" s="117">
        <f t="shared" si="1"/>
        <v>7300</v>
      </c>
      <c r="E60" s="116">
        <f>bo_trench(D60,365*C$30,365*C$28,365*C$29,'Layer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0" s="117">
        <f>7.48*E$9*E$10*vorecov(E60,'Layer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0" s="116">
        <f>7.48*E$9*E60*(hycon(E60,'Data Entry'!C$8,'Data Entry'!C$14,E$7,E$8)*'Data Entry'!C$8/E$4)*(E$6+(1440*E$5/7.48)/(2*hycon(E60,'Data Entry'!C$8,'Data Entry'!C$14,E$7,E$8)*E$9*E$11))*kro_b(E60,'Layer Calcs'!B$5,'Layer Calcs'!B$6,'Layer Calcs'!G$6,'Layer Calcs'!G$7,'Layer Calcs'!H$5,'Layer Calcs'!H$6,'Layer Calcs'!H$7)</f>
        <v>0.5540563241372024</v>
      </c>
      <c r="I60" s="168">
        <f t="shared" si="2"/>
        <v>18245.555473840242</v>
      </c>
    </row>
    <row r="61" spans="2:9" ht="12.75">
      <c r="B61" s="111">
        <v>28</v>
      </c>
      <c r="C61" s="113">
        <f t="shared" si="0"/>
        <v>20</v>
      </c>
      <c r="D61" s="117">
        <f t="shared" si="1"/>
        <v>7300</v>
      </c>
      <c r="E61" s="116">
        <f>bo_trench(D61,365*C$30,365*C$28,365*C$29,'Layer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1" s="117">
        <f>7.48*E$9*E$10*vorecov(E61,'Layer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1" s="116">
        <f>7.48*E$9*E61*(hycon(E61,'Data Entry'!C$8,'Data Entry'!C$14,E$7,E$8)*'Data Entry'!C$8/E$4)*(E$6+(1440*E$5/7.48)/(2*hycon(E61,'Data Entry'!C$8,'Data Entry'!C$14,E$7,E$8)*E$9*E$11))*kro_b(E61,'Layer Calcs'!B$5,'Layer Calcs'!B$6,'Layer Calcs'!G$6,'Layer Calcs'!G$7,'Layer Calcs'!H$5,'Layer Calcs'!H$6,'Layer Calcs'!H$7)</f>
        <v>0.5540563241372024</v>
      </c>
      <c r="I61" s="168">
        <f t="shared" si="2"/>
        <v>18245.555473840242</v>
      </c>
    </row>
    <row r="62" spans="2:9" ht="12.75">
      <c r="B62" s="111">
        <v>29</v>
      </c>
      <c r="C62" s="113">
        <f t="shared" si="0"/>
        <v>20</v>
      </c>
      <c r="D62" s="117">
        <f t="shared" si="1"/>
        <v>7300</v>
      </c>
      <c r="E62" s="116">
        <f>bo_trench(D62,365*C$30,365*C$28,365*C$29,'Layer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2" s="117">
        <f>7.48*E$9*E$10*vorecov(E62,'Layer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2" s="116">
        <f>7.48*E$9*E62*(hycon(E62,'Data Entry'!C$8,'Data Entry'!C$14,E$7,E$8)*'Data Entry'!C$8/E$4)*(E$6+(1440*E$5/7.48)/(2*hycon(E62,'Data Entry'!C$8,'Data Entry'!C$14,E$7,E$8)*E$9*E$11))*kro_b(E62,'Layer Calcs'!B$5,'Layer Calcs'!B$6,'Layer Calcs'!G$6,'Layer Calcs'!G$7,'Layer Calcs'!H$5,'Layer Calcs'!H$6,'Layer Calcs'!H$7)</f>
        <v>0.5540563241372024</v>
      </c>
      <c r="I62" s="168">
        <f t="shared" si="2"/>
        <v>18245.555473840242</v>
      </c>
    </row>
    <row r="63" spans="2:9" ht="12.75">
      <c r="B63" s="111">
        <v>30</v>
      </c>
      <c r="C63" s="113">
        <f t="shared" si="0"/>
        <v>20</v>
      </c>
      <c r="D63" s="117">
        <f t="shared" si="1"/>
        <v>7300</v>
      </c>
      <c r="E63" s="116">
        <f>bo_trench(D63,365*C$30,365*C$28,365*C$29,'Layer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3" s="117">
        <f>7.48*E$9*E$10*vorecov(E63,'Layer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3" s="116">
        <f>7.48*E$9*E63*(hycon(E63,'Data Entry'!C$8,'Data Entry'!C$14,E$7,E$8)*'Data Entry'!C$8/E$4)*(E$6+(1440*E$5/7.48)/(2*hycon(E63,'Data Entry'!C$8,'Data Entry'!C$14,E$7,E$8)*E$9*E$11))*kro_b(E63,'Layer Calcs'!B$5,'Layer Calcs'!B$6,'Layer Calcs'!G$6,'Layer Calcs'!G$7,'Layer Calcs'!H$5,'Layer Calcs'!H$6,'Layer Calcs'!H$7)</f>
        <v>0.5540563241372024</v>
      </c>
      <c r="I63" s="168">
        <f t="shared" si="2"/>
        <v>18245.555473840242</v>
      </c>
    </row>
    <row r="64" spans="2:9" ht="12.75">
      <c r="B64" s="111">
        <v>31</v>
      </c>
      <c r="C64" s="113">
        <f t="shared" si="0"/>
        <v>20</v>
      </c>
      <c r="D64" s="117">
        <f t="shared" si="1"/>
        <v>7300</v>
      </c>
      <c r="E64" s="116">
        <f>bo_trench(D64,365*C$30,365*C$28,365*C$29,'Layer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4" s="117">
        <f>7.48*E$9*E$10*vorecov(E64,'Layer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4" s="116">
        <f>7.48*E$9*E64*(hycon(E64,'Data Entry'!C$8,'Data Entry'!C$14,E$7,E$8)*'Data Entry'!C$8/E$4)*(E$6+(1440*E$5/7.48)/(2*hycon(E64,'Data Entry'!C$8,'Data Entry'!C$14,E$7,E$8)*E$9*E$11))*kro_b(E64,'Layer Calcs'!B$5,'Layer Calcs'!B$6,'Layer Calcs'!G$6,'Layer Calcs'!G$7,'Layer Calcs'!H$5,'Layer Calcs'!H$6,'Layer Calcs'!H$7)</f>
        <v>0.5540563241372024</v>
      </c>
      <c r="I64" s="168">
        <f t="shared" si="2"/>
        <v>18245.555473840242</v>
      </c>
    </row>
    <row r="65" spans="2:9" ht="12.75">
      <c r="B65" s="111">
        <v>32</v>
      </c>
      <c r="C65" s="113">
        <f t="shared" si="0"/>
        <v>20</v>
      </c>
      <c r="D65" s="117">
        <f t="shared" si="1"/>
        <v>7300</v>
      </c>
      <c r="E65" s="116">
        <f>bo_trench(D65,365*C$30,365*C$28,365*C$29,'Layer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5" s="117">
        <f>7.48*E$9*E$10*vorecov(E65,'Layer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5" s="116">
        <f>7.48*E$9*E65*(hycon(E65,'Data Entry'!C$8,'Data Entry'!C$14,E$7,E$8)*'Data Entry'!C$8/E$4)*(E$6+(1440*E$5/7.48)/(2*hycon(E65,'Data Entry'!C$8,'Data Entry'!C$14,E$7,E$8)*E$9*E$11))*kro_b(E65,'Layer Calcs'!B$5,'Layer Calcs'!B$6,'Layer Calcs'!G$6,'Layer Calcs'!G$7,'Layer Calcs'!H$5,'Layer Calcs'!H$6,'Layer Calcs'!H$7)</f>
        <v>0.5540563241372024</v>
      </c>
      <c r="I65" s="168">
        <f t="shared" si="2"/>
        <v>18245.555473840242</v>
      </c>
    </row>
    <row r="66" spans="2:9" ht="12.75">
      <c r="B66" s="111">
        <v>33</v>
      </c>
      <c r="C66" s="113">
        <f t="shared" si="0"/>
        <v>20</v>
      </c>
      <c r="D66" s="117">
        <f t="shared" si="1"/>
        <v>7300</v>
      </c>
      <c r="E66" s="116">
        <f>bo_trench(D66,365*C$30,365*C$28,365*C$29,'Layer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6" s="117">
        <f>7.48*E$9*E$10*vorecov(E66,'Layer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6" s="116">
        <f>7.48*E$9*E66*(hycon(E66,'Data Entry'!C$8,'Data Entry'!C$14,E$7,E$8)*'Data Entry'!C$8/E$4)*(E$6+(1440*E$5/7.48)/(2*hycon(E66,'Data Entry'!C$8,'Data Entry'!C$14,E$7,E$8)*E$9*E$11))*kro_b(E66,'Layer Calcs'!B$5,'Layer Calcs'!B$6,'Layer Calcs'!G$6,'Layer Calcs'!G$7,'Layer Calcs'!H$5,'Layer Calcs'!H$6,'Layer Calcs'!H$7)</f>
        <v>0.5540563241372024</v>
      </c>
      <c r="I66" s="168">
        <f t="shared" si="2"/>
        <v>18245.555473840242</v>
      </c>
    </row>
    <row r="67" spans="2:9" ht="12.75">
      <c r="B67" s="111">
        <v>34</v>
      </c>
      <c r="C67" s="113">
        <f t="shared" si="0"/>
        <v>20</v>
      </c>
      <c r="D67" s="117">
        <f t="shared" si="1"/>
        <v>7300</v>
      </c>
      <c r="E67" s="116">
        <f>bo_trench(D67,365*C$30,365*C$28,365*C$29,'Layer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7" s="117">
        <f>7.48*E$9*E$10*vorecov(E67,'Layer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7" s="116">
        <f>7.48*E$9*E67*(hycon(E67,'Data Entry'!C$8,'Data Entry'!C$14,E$7,E$8)*'Data Entry'!C$8/E$4)*(E$6+(1440*E$5/7.48)/(2*hycon(E67,'Data Entry'!C$8,'Data Entry'!C$14,E$7,E$8)*E$9*E$11))*kro_b(E67,'Layer Calcs'!B$5,'Layer Calcs'!B$6,'Layer Calcs'!G$6,'Layer Calcs'!G$7,'Layer Calcs'!H$5,'Layer Calcs'!H$6,'Layer Calcs'!H$7)</f>
        <v>0.5540563241372024</v>
      </c>
      <c r="I67" s="168">
        <f t="shared" si="2"/>
        <v>18245.555473840242</v>
      </c>
    </row>
    <row r="68" spans="2:9" ht="12.75">
      <c r="B68" s="111">
        <v>35</v>
      </c>
      <c r="C68" s="113">
        <f t="shared" si="0"/>
        <v>20</v>
      </c>
      <c r="D68" s="117">
        <f t="shared" si="1"/>
        <v>7300</v>
      </c>
      <c r="E68" s="116">
        <f>bo_trench(D68,365*C$30,365*C$28,365*C$29,'Layer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8" s="117">
        <f>7.48*E$9*E$10*vorecov(E68,'Layer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8" s="116">
        <f>7.48*E$9*E68*(hycon(E68,'Data Entry'!C$8,'Data Entry'!C$14,E$7,E$8)*'Data Entry'!C$8/E$4)*(E$6+(1440*E$5/7.48)/(2*hycon(E68,'Data Entry'!C$8,'Data Entry'!C$14,E$7,E$8)*E$9*E$11))*kro_b(E68,'Layer Calcs'!B$5,'Layer Calcs'!B$6,'Layer Calcs'!G$6,'Layer Calcs'!G$7,'Layer Calcs'!H$5,'Layer Calcs'!H$6,'Layer Calcs'!H$7)</f>
        <v>0.5540563241372024</v>
      </c>
      <c r="I68" s="168">
        <f t="shared" si="2"/>
        <v>18245.555473840242</v>
      </c>
    </row>
    <row r="69" spans="2:9" ht="12.75">
      <c r="B69" s="111">
        <v>36</v>
      </c>
      <c r="C69" s="113">
        <f t="shared" si="0"/>
        <v>20</v>
      </c>
      <c r="D69" s="117">
        <f t="shared" si="1"/>
        <v>7300</v>
      </c>
      <c r="E69" s="116">
        <f>bo_trench(D69,365*C$30,365*C$28,365*C$29,'Layer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9" s="117">
        <f>7.48*E$9*E$10*vorecov(E69,'Layer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9" s="116">
        <f>7.48*E$9*E69*(hycon(E69,'Data Entry'!C$8,'Data Entry'!C$14,E$7,E$8)*'Data Entry'!C$8/E$4)*(E$6+(1440*E$5/7.48)/(2*hycon(E69,'Data Entry'!C$8,'Data Entry'!C$14,E$7,E$8)*E$9*E$11))*kro_b(E69,'Layer Calcs'!B$5,'Layer Calcs'!B$6,'Layer Calcs'!G$6,'Layer Calcs'!G$7,'Layer Calcs'!H$5,'Layer Calcs'!H$6,'Layer Calcs'!H$7)</f>
        <v>0.5540563241372024</v>
      </c>
      <c r="I69" s="168">
        <f t="shared" si="2"/>
        <v>18245.555473840242</v>
      </c>
    </row>
    <row r="70" spans="2:9" ht="12.75">
      <c r="B70" s="111">
        <v>37</v>
      </c>
      <c r="C70" s="113">
        <f t="shared" si="0"/>
        <v>20</v>
      </c>
      <c r="D70" s="117">
        <f t="shared" si="1"/>
        <v>7300</v>
      </c>
      <c r="E70" s="116">
        <f>bo_trench(D70,365*C$30,365*C$28,365*C$29,'Layer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0" s="117">
        <f>7.48*E$9*E$10*vorecov(E70,'Layer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0" s="116">
        <f>7.48*E$9*E70*(hycon(E70,'Data Entry'!C$8,'Data Entry'!C$14,E$7,E$8)*'Data Entry'!C$8/E$4)*(E$6+(1440*E$5/7.48)/(2*hycon(E70,'Data Entry'!C$8,'Data Entry'!C$14,E$7,E$8)*E$9*E$11))*kro_b(E70,'Layer Calcs'!B$5,'Layer Calcs'!B$6,'Layer Calcs'!G$6,'Layer Calcs'!G$7,'Layer Calcs'!H$5,'Layer Calcs'!H$6,'Layer Calcs'!H$7)</f>
        <v>0.5540563241372024</v>
      </c>
      <c r="I70" s="168">
        <f t="shared" si="2"/>
        <v>18245.555473840242</v>
      </c>
    </row>
    <row r="71" spans="2:9" ht="12.75">
      <c r="B71" s="111">
        <v>38</v>
      </c>
      <c r="C71" s="113">
        <f t="shared" si="0"/>
        <v>20</v>
      </c>
      <c r="D71" s="117">
        <f t="shared" si="1"/>
        <v>7300</v>
      </c>
      <c r="E71" s="116">
        <f>bo_trench(D71,365*C$30,365*C$28,365*C$29,'Layer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1" s="117">
        <f>7.48*E$9*E$10*vorecov(E71,'Layer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1" s="116">
        <f>7.48*E$9*E71*(hycon(E71,'Data Entry'!C$8,'Data Entry'!C$14,E$7,E$8)*'Data Entry'!C$8/E$4)*(E$6+(1440*E$5/7.48)/(2*hycon(E71,'Data Entry'!C$8,'Data Entry'!C$14,E$7,E$8)*E$9*E$11))*kro_b(E71,'Layer Calcs'!B$5,'Layer Calcs'!B$6,'Layer Calcs'!G$6,'Layer Calcs'!G$7,'Layer Calcs'!H$5,'Layer Calcs'!H$6,'Layer Calcs'!H$7)</f>
        <v>0.5540563241372024</v>
      </c>
      <c r="I71" s="168">
        <f t="shared" si="2"/>
        <v>18245.555473840242</v>
      </c>
    </row>
    <row r="72" spans="2:9" ht="12.75">
      <c r="B72" s="111">
        <v>39</v>
      </c>
      <c r="C72" s="113">
        <f t="shared" si="0"/>
        <v>20</v>
      </c>
      <c r="D72" s="117">
        <f t="shared" si="1"/>
        <v>7300</v>
      </c>
      <c r="E72" s="116">
        <f>bo_trench(D72,365*C$30,365*C$28,365*C$29,'Layer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2" s="117">
        <f>7.48*E$9*E$10*vorecov(E72,'Layer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2" s="116">
        <f>7.48*E$9*E72*(hycon(E72,'Data Entry'!C$8,'Data Entry'!C$14,E$7,E$8)*'Data Entry'!C$8/E$4)*(E$6+(1440*E$5/7.48)/(2*hycon(E72,'Data Entry'!C$8,'Data Entry'!C$14,E$7,E$8)*E$9*E$11))*kro_b(E72,'Layer Calcs'!B$5,'Layer Calcs'!B$6,'Layer Calcs'!G$6,'Layer Calcs'!G$7,'Layer Calcs'!H$5,'Layer Calcs'!H$6,'Layer Calcs'!H$7)</f>
        <v>0.5540563241372024</v>
      </c>
      <c r="I72" s="168">
        <f t="shared" si="2"/>
        <v>18245.555473840242</v>
      </c>
    </row>
    <row r="73" spans="2:9" ht="12.75">
      <c r="B73" s="111">
        <v>40</v>
      </c>
      <c r="C73" s="113">
        <f t="shared" si="0"/>
        <v>20</v>
      </c>
      <c r="D73" s="117">
        <f t="shared" si="1"/>
        <v>7300</v>
      </c>
      <c r="E73" s="116">
        <f>bo_trench(D73,365*C$30,365*C$28,365*C$29,'Layer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3" s="117">
        <f>7.48*E$9*E$10*vorecov(E73,'Layer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3" s="116">
        <f>7.48*E$9*E73*(hycon(E73,'Data Entry'!C$8,'Data Entry'!C$14,E$7,E$8)*'Data Entry'!C$8/E$4)*(E$6+(1440*E$5/7.48)/(2*hycon(E73,'Data Entry'!C$8,'Data Entry'!C$14,E$7,E$8)*E$9*E$11))*kro_b(E73,'Layer Calcs'!B$5,'Layer Calcs'!B$6,'Layer Calcs'!G$6,'Layer Calcs'!G$7,'Layer Calcs'!H$5,'Layer Calcs'!H$6,'Layer Calcs'!H$7)</f>
        <v>0.5540563241372024</v>
      </c>
      <c r="I73" s="168">
        <f t="shared" si="2"/>
        <v>18245.555473840242</v>
      </c>
    </row>
  </sheetData>
  <sheetProtection password="CC02" sheet="1" objects="1" scenarios="1"/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3">
      <selection activeCell="B3" sqref="B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H11" sqref="H11"/>
    </sheetView>
  </sheetViews>
  <sheetFormatPr defaultColWidth="9.140625" defaultRowHeight="12.75"/>
  <cols>
    <col min="1" max="2" width="9.140625" style="203" customWidth="1"/>
    <col min="3" max="3" width="5.7109375" style="203" customWidth="1"/>
    <col min="4" max="4" width="7.140625" style="203" customWidth="1"/>
    <col min="5" max="5" width="6.00390625" style="203" customWidth="1"/>
    <col min="6" max="6" width="7.140625" style="203" customWidth="1"/>
    <col min="7" max="7" width="6.00390625" style="203" customWidth="1"/>
    <col min="8" max="8" width="7.28125" style="203" customWidth="1"/>
    <col min="9" max="9" width="5.57421875" style="203" customWidth="1"/>
    <col min="10" max="10" width="7.28125" style="203" customWidth="1"/>
    <col min="11" max="11" width="9.28125" style="203" customWidth="1"/>
    <col min="12" max="12" width="6.00390625" style="203" customWidth="1"/>
    <col min="13" max="13" width="8.421875" style="203" customWidth="1"/>
    <col min="14" max="16384" width="9.140625" style="203" customWidth="1"/>
  </cols>
  <sheetData>
    <row r="1" spans="1:13" ht="15.75">
      <c r="A1" s="220" t="s">
        <v>132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5.75">
      <c r="A2" s="221" t="s">
        <v>133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s="204" customFormat="1" ht="34.5" customHeight="1">
      <c r="A3" s="226" t="s">
        <v>134</v>
      </c>
      <c r="B3" s="226" t="s">
        <v>135</v>
      </c>
      <c r="C3" s="222" t="s">
        <v>152</v>
      </c>
      <c r="D3" s="223"/>
      <c r="E3" s="222" t="s">
        <v>153</v>
      </c>
      <c r="F3" s="223"/>
      <c r="G3" s="222" t="s">
        <v>136</v>
      </c>
      <c r="H3" s="223"/>
      <c r="I3" s="222" t="s">
        <v>154</v>
      </c>
      <c r="J3" s="223"/>
      <c r="K3" s="222" t="s">
        <v>155</v>
      </c>
      <c r="L3" s="225"/>
      <c r="M3" s="223"/>
    </row>
    <row r="4" spans="1:13" ht="15" customHeight="1">
      <c r="A4" s="227"/>
      <c r="B4" s="227"/>
      <c r="C4" s="205" t="s">
        <v>137</v>
      </c>
      <c r="D4" s="206" t="s">
        <v>138</v>
      </c>
      <c r="E4" s="206" t="s">
        <v>137</v>
      </c>
      <c r="F4" s="206" t="s">
        <v>138</v>
      </c>
      <c r="G4" s="206" t="s">
        <v>137</v>
      </c>
      <c r="H4" s="206" t="s">
        <v>138</v>
      </c>
      <c r="I4" s="206" t="s">
        <v>137</v>
      </c>
      <c r="J4" s="206" t="s">
        <v>138</v>
      </c>
      <c r="K4" s="207" t="s">
        <v>139</v>
      </c>
      <c r="L4" s="208" t="s">
        <v>137</v>
      </c>
      <c r="M4" s="208" t="s">
        <v>138</v>
      </c>
    </row>
    <row r="5" spans="1:20" ht="21.75" customHeight="1">
      <c r="A5" s="209" t="s">
        <v>140</v>
      </c>
      <c r="B5" s="210">
        <v>400</v>
      </c>
      <c r="C5" s="211">
        <v>0.38</v>
      </c>
      <c r="D5" s="211">
        <v>0.09</v>
      </c>
      <c r="E5" s="211">
        <v>0.068</v>
      </c>
      <c r="F5" s="211">
        <v>0.034</v>
      </c>
      <c r="G5" s="212">
        <v>1.09</v>
      </c>
      <c r="H5" s="212">
        <v>0.09</v>
      </c>
      <c r="I5" s="213">
        <f aca="true" t="shared" si="0" ref="I5:I16">P5/3.28</f>
        <v>0.24390243902439027</v>
      </c>
      <c r="J5" s="213">
        <f aca="true" t="shared" si="1" ref="J5:J16">Q5/3.28</f>
        <v>0.36585365853658536</v>
      </c>
      <c r="K5" s="212">
        <v>114</v>
      </c>
      <c r="L5" s="213">
        <f aca="true" t="shared" si="2" ref="L5:L16">3.28*S5</f>
        <v>0.15744</v>
      </c>
      <c r="M5" s="213">
        <f aca="true" t="shared" si="3" ref="M5:M16">3.28*T5</f>
        <v>0.328</v>
      </c>
      <c r="P5" s="214">
        <v>0.8</v>
      </c>
      <c r="Q5" s="214">
        <v>1.2</v>
      </c>
      <c r="S5" s="214">
        <v>0.048</v>
      </c>
      <c r="T5" s="214">
        <v>0.1</v>
      </c>
    </row>
    <row r="6" spans="1:20" ht="21.75" customHeight="1">
      <c r="A6" s="209" t="s">
        <v>141</v>
      </c>
      <c r="B6" s="211">
        <v>364</v>
      </c>
      <c r="C6" s="211">
        <v>0.41</v>
      </c>
      <c r="D6" s="211">
        <v>0.09</v>
      </c>
      <c r="E6" s="211">
        <v>0.095</v>
      </c>
      <c r="F6" s="215">
        <v>0.01</v>
      </c>
      <c r="G6" s="212">
        <v>1.31</v>
      </c>
      <c r="H6" s="212">
        <v>0.09</v>
      </c>
      <c r="I6" s="213">
        <f t="shared" si="0"/>
        <v>0.5792682926829268</v>
      </c>
      <c r="J6" s="213">
        <f t="shared" si="1"/>
        <v>0.4573170731707317</v>
      </c>
      <c r="K6" s="212">
        <v>345</v>
      </c>
      <c r="L6" s="213">
        <f t="shared" si="2"/>
        <v>0.20335999999999999</v>
      </c>
      <c r="M6" s="213">
        <f t="shared" si="3"/>
        <v>0.5576</v>
      </c>
      <c r="P6" s="214">
        <v>1.9</v>
      </c>
      <c r="Q6" s="214">
        <v>1.5</v>
      </c>
      <c r="S6" s="214">
        <v>0.062</v>
      </c>
      <c r="T6" s="214">
        <v>0.17</v>
      </c>
    </row>
    <row r="7" spans="1:20" ht="18.75" customHeight="1">
      <c r="A7" s="209" t="s">
        <v>142</v>
      </c>
      <c r="B7" s="211">
        <v>735</v>
      </c>
      <c r="C7" s="211">
        <v>0.43</v>
      </c>
      <c r="D7" s="213">
        <v>0.1</v>
      </c>
      <c r="E7" s="211">
        <v>0.078</v>
      </c>
      <c r="F7" s="211">
        <v>0.013</v>
      </c>
      <c r="G7" s="212">
        <v>1.56</v>
      </c>
      <c r="H7" s="212">
        <v>0.11</v>
      </c>
      <c r="I7" s="216">
        <f t="shared" si="0"/>
        <v>1.0975609756097562</v>
      </c>
      <c r="J7" s="213">
        <f t="shared" si="1"/>
        <v>0.6402439024390244</v>
      </c>
      <c r="K7" s="212">
        <v>735</v>
      </c>
      <c r="L7" s="211">
        <f t="shared" si="2"/>
        <v>0.82</v>
      </c>
      <c r="M7" s="213">
        <f t="shared" si="3"/>
        <v>1.4431999999999998</v>
      </c>
      <c r="P7" s="214">
        <v>3.6</v>
      </c>
      <c r="Q7" s="214">
        <v>2.1</v>
      </c>
      <c r="S7" s="214">
        <v>0.25</v>
      </c>
      <c r="T7" s="214">
        <v>0.44</v>
      </c>
    </row>
    <row r="8" spans="1:20" ht="20.25" customHeight="1">
      <c r="A8" s="209" t="s">
        <v>143</v>
      </c>
      <c r="B8" s="211">
        <v>315</v>
      </c>
      <c r="C8" s="211">
        <v>0.41</v>
      </c>
      <c r="D8" s="213">
        <v>0.09</v>
      </c>
      <c r="E8" s="211">
        <v>0.057</v>
      </c>
      <c r="F8" s="211">
        <v>0.015</v>
      </c>
      <c r="G8" s="212">
        <v>2.28</v>
      </c>
      <c r="H8" s="212">
        <v>0.27</v>
      </c>
      <c r="I8" s="216">
        <f t="shared" si="0"/>
        <v>3.780487804878049</v>
      </c>
      <c r="J8" s="216">
        <f t="shared" si="1"/>
        <v>1.3109756097560976</v>
      </c>
      <c r="K8" s="212">
        <v>315</v>
      </c>
      <c r="L8" s="217">
        <f t="shared" si="2"/>
        <v>11.479999999999999</v>
      </c>
      <c r="M8" s="216">
        <f t="shared" si="3"/>
        <v>8.856</v>
      </c>
      <c r="P8" s="214">
        <v>12.4</v>
      </c>
      <c r="Q8" s="214">
        <v>4.3</v>
      </c>
      <c r="S8" s="214">
        <v>3.5</v>
      </c>
      <c r="T8" s="214">
        <v>2.7</v>
      </c>
    </row>
    <row r="9" spans="1:20" ht="18.75" customHeight="1">
      <c r="A9" s="209" t="s">
        <v>144</v>
      </c>
      <c r="B9" s="211">
        <v>82</v>
      </c>
      <c r="C9" s="211">
        <v>0.46</v>
      </c>
      <c r="D9" s="211">
        <v>0.11</v>
      </c>
      <c r="E9" s="211">
        <v>0.034</v>
      </c>
      <c r="F9" s="215">
        <v>0.01</v>
      </c>
      <c r="G9" s="212">
        <v>1.37</v>
      </c>
      <c r="H9" s="212">
        <v>0.05</v>
      </c>
      <c r="I9" s="213">
        <f t="shared" si="0"/>
        <v>0.48780487804878053</v>
      </c>
      <c r="J9" s="213">
        <f t="shared" si="1"/>
        <v>0.21341463414634146</v>
      </c>
      <c r="K9" s="212">
        <v>88</v>
      </c>
      <c r="L9" s="213">
        <f t="shared" si="2"/>
        <v>0.19679999999999997</v>
      </c>
      <c r="M9" s="213">
        <f t="shared" si="3"/>
        <v>0.25911999999999996</v>
      </c>
      <c r="P9" s="214">
        <v>1.6</v>
      </c>
      <c r="Q9" s="214">
        <v>0.7</v>
      </c>
      <c r="S9" s="214">
        <v>0.06</v>
      </c>
      <c r="T9" s="214">
        <v>0.079</v>
      </c>
    </row>
    <row r="10" spans="1:20" ht="21.75" customHeight="1">
      <c r="A10" s="209" t="s">
        <v>145</v>
      </c>
      <c r="B10" s="211">
        <v>1093</v>
      </c>
      <c r="C10" s="211">
        <v>0.45</v>
      </c>
      <c r="D10" s="211">
        <v>0.08</v>
      </c>
      <c r="E10" s="211">
        <v>0.067</v>
      </c>
      <c r="F10" s="211">
        <v>0.015</v>
      </c>
      <c r="G10" s="212">
        <v>1.41</v>
      </c>
      <c r="H10" s="212">
        <v>0.12</v>
      </c>
      <c r="I10" s="213">
        <f t="shared" si="0"/>
        <v>0.6097560975609756</v>
      </c>
      <c r="J10" s="213">
        <f t="shared" si="1"/>
        <v>0.36585365853658536</v>
      </c>
      <c r="K10" s="212">
        <v>1093</v>
      </c>
      <c r="L10" s="213">
        <f t="shared" si="2"/>
        <v>0.36079999999999995</v>
      </c>
      <c r="M10" s="213">
        <f t="shared" si="3"/>
        <v>0.9839999999999999</v>
      </c>
      <c r="P10" s="214">
        <v>2</v>
      </c>
      <c r="Q10" s="214">
        <v>1.2</v>
      </c>
      <c r="S10" s="214">
        <v>0.11</v>
      </c>
      <c r="T10" s="214">
        <v>0.3</v>
      </c>
    </row>
    <row r="11" spans="1:20" ht="23.25" customHeight="1">
      <c r="A11" s="209" t="s">
        <v>146</v>
      </c>
      <c r="B11" s="211">
        <v>374</v>
      </c>
      <c r="C11" s="211">
        <v>0.36</v>
      </c>
      <c r="D11" s="211">
        <v>0.07</v>
      </c>
      <c r="E11" s="215">
        <v>0.07</v>
      </c>
      <c r="F11" s="211">
        <v>0.023</v>
      </c>
      <c r="G11" s="212">
        <v>1.09</v>
      </c>
      <c r="H11" s="212">
        <v>0.06</v>
      </c>
      <c r="I11" s="213">
        <f t="shared" si="0"/>
        <v>0.1524390243902439</v>
      </c>
      <c r="J11" s="213">
        <f t="shared" si="1"/>
        <v>0.1524390243902439</v>
      </c>
      <c r="K11" s="212">
        <v>126</v>
      </c>
      <c r="L11" s="215">
        <f t="shared" si="2"/>
        <v>0.015743999999999998</v>
      </c>
      <c r="M11" s="215">
        <f t="shared" si="3"/>
        <v>0.08528</v>
      </c>
      <c r="P11" s="214">
        <v>0.5</v>
      </c>
      <c r="Q11" s="214">
        <v>0.5</v>
      </c>
      <c r="S11" s="214">
        <v>0.0048</v>
      </c>
      <c r="T11" s="214">
        <v>0.026</v>
      </c>
    </row>
    <row r="12" spans="1:20" ht="33.75" customHeight="1">
      <c r="A12" s="209" t="s">
        <v>147</v>
      </c>
      <c r="B12" s="211">
        <v>641</v>
      </c>
      <c r="C12" s="211">
        <v>0.43</v>
      </c>
      <c r="D12" s="211">
        <v>0.07</v>
      </c>
      <c r="E12" s="211">
        <v>0.089</v>
      </c>
      <c r="F12" s="211">
        <v>0.009</v>
      </c>
      <c r="G12" s="212">
        <v>1.23</v>
      </c>
      <c r="H12" s="212">
        <v>0.06</v>
      </c>
      <c r="I12" s="213">
        <f t="shared" si="0"/>
        <v>0.3048780487804878</v>
      </c>
      <c r="J12" s="213">
        <f t="shared" si="1"/>
        <v>0.18292682926829268</v>
      </c>
      <c r="K12" s="212">
        <v>592</v>
      </c>
      <c r="L12" s="215">
        <f t="shared" si="2"/>
        <v>0.055760000000000004</v>
      </c>
      <c r="M12" s="213">
        <f t="shared" si="3"/>
        <v>0.15088</v>
      </c>
      <c r="P12" s="214">
        <v>1</v>
      </c>
      <c r="Q12" s="214">
        <v>0.6</v>
      </c>
      <c r="S12" s="214">
        <v>0.017</v>
      </c>
      <c r="T12" s="214">
        <v>0.046</v>
      </c>
    </row>
    <row r="13" spans="1:20" ht="20.25" customHeight="1">
      <c r="A13" s="209" t="s">
        <v>148</v>
      </c>
      <c r="B13" s="211">
        <v>246</v>
      </c>
      <c r="C13" s="211">
        <v>0.43</v>
      </c>
      <c r="D13" s="211">
        <v>0.06</v>
      </c>
      <c r="E13" s="211">
        <v>0.045</v>
      </c>
      <c r="F13" s="215">
        <v>0.01</v>
      </c>
      <c r="G13" s="212">
        <v>2.68</v>
      </c>
      <c r="H13" s="212">
        <v>0.29</v>
      </c>
      <c r="I13" s="216">
        <f t="shared" si="0"/>
        <v>4.420731707317073</v>
      </c>
      <c r="J13" s="213">
        <f t="shared" si="1"/>
        <v>0.8841463414634146</v>
      </c>
      <c r="K13" s="212">
        <v>246</v>
      </c>
      <c r="L13" s="217">
        <f t="shared" si="2"/>
        <v>23.287999999999997</v>
      </c>
      <c r="M13" s="217">
        <f t="shared" si="3"/>
        <v>12.136</v>
      </c>
      <c r="P13" s="214">
        <v>14.5</v>
      </c>
      <c r="Q13" s="214">
        <v>2.9</v>
      </c>
      <c r="S13" s="214">
        <v>7.1</v>
      </c>
      <c r="T13" s="214">
        <v>3.7</v>
      </c>
    </row>
    <row r="14" spans="1:20" ht="21.75" customHeight="1">
      <c r="A14" s="209" t="s">
        <v>149</v>
      </c>
      <c r="B14" s="211">
        <v>46</v>
      </c>
      <c r="C14" s="211">
        <v>0.38</v>
      </c>
      <c r="D14" s="211">
        <v>0.05</v>
      </c>
      <c r="E14" s="215">
        <v>0.1</v>
      </c>
      <c r="F14" s="211">
        <v>0.013</v>
      </c>
      <c r="G14" s="212">
        <v>1.23</v>
      </c>
      <c r="H14" s="218">
        <v>0.1</v>
      </c>
      <c r="I14" s="213">
        <f t="shared" si="0"/>
        <v>0.8231707317073171</v>
      </c>
      <c r="J14" s="213">
        <f t="shared" si="1"/>
        <v>0.5182926829268293</v>
      </c>
      <c r="K14" s="212">
        <v>46</v>
      </c>
      <c r="L14" s="215">
        <f t="shared" si="2"/>
        <v>0.09512</v>
      </c>
      <c r="M14" s="213">
        <f t="shared" si="3"/>
        <v>0.21976</v>
      </c>
      <c r="P14" s="214">
        <v>2.7</v>
      </c>
      <c r="Q14" s="214">
        <v>1.7</v>
      </c>
      <c r="S14" s="214">
        <v>0.029</v>
      </c>
      <c r="T14" s="214">
        <v>0.067</v>
      </c>
    </row>
    <row r="15" spans="1:20" ht="32.25" customHeight="1">
      <c r="A15" s="209" t="s">
        <v>150</v>
      </c>
      <c r="B15" s="211">
        <v>214</v>
      </c>
      <c r="C15" s="211">
        <v>0.39</v>
      </c>
      <c r="D15" s="211">
        <v>0.07</v>
      </c>
      <c r="E15" s="215">
        <v>0.1</v>
      </c>
      <c r="F15" s="211">
        <v>0.006</v>
      </c>
      <c r="G15" s="212">
        <v>1.48</v>
      </c>
      <c r="H15" s="212">
        <v>0.13</v>
      </c>
      <c r="I15" s="216">
        <f t="shared" si="0"/>
        <v>1.7987804878048783</v>
      </c>
      <c r="J15" s="216">
        <f t="shared" si="1"/>
        <v>1.1585365853658536</v>
      </c>
      <c r="K15" s="212">
        <v>214</v>
      </c>
      <c r="L15" s="216">
        <f t="shared" si="2"/>
        <v>1.0168</v>
      </c>
      <c r="M15" s="216">
        <f t="shared" si="3"/>
        <v>2.1648</v>
      </c>
      <c r="P15" s="214">
        <v>5.9</v>
      </c>
      <c r="Q15" s="214">
        <v>3.8</v>
      </c>
      <c r="S15" s="214">
        <v>0.31</v>
      </c>
      <c r="T15" s="214">
        <v>0.66</v>
      </c>
    </row>
    <row r="16" spans="1:20" ht="20.25" customHeight="1">
      <c r="A16" s="209" t="s">
        <v>151</v>
      </c>
      <c r="B16" s="211">
        <v>1183</v>
      </c>
      <c r="C16" s="211">
        <v>0.41</v>
      </c>
      <c r="D16" s="211">
        <v>0.09</v>
      </c>
      <c r="E16" s="211">
        <v>0.065</v>
      </c>
      <c r="F16" s="211">
        <v>0.017</v>
      </c>
      <c r="G16" s="212">
        <v>1.89</v>
      </c>
      <c r="H16" s="212">
        <v>0.17</v>
      </c>
      <c r="I16" s="216">
        <f t="shared" si="0"/>
        <v>2.2865853658536586</v>
      </c>
      <c r="J16" s="216">
        <f t="shared" si="1"/>
        <v>1.128048780487805</v>
      </c>
      <c r="K16" s="212">
        <v>1183</v>
      </c>
      <c r="L16" s="216">
        <f t="shared" si="2"/>
        <v>3.608</v>
      </c>
      <c r="M16" s="216">
        <f t="shared" si="3"/>
        <v>4.592</v>
      </c>
      <c r="P16" s="214">
        <v>7.5</v>
      </c>
      <c r="Q16" s="214">
        <v>3.7</v>
      </c>
      <c r="S16" s="214">
        <v>1.1</v>
      </c>
      <c r="T16" s="214">
        <v>1.4</v>
      </c>
    </row>
    <row r="18" spans="1:13" ht="26.25" customHeight="1">
      <c r="A18" s="224" t="s">
        <v>156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2002-05-03T15:09:47Z</cp:lastPrinted>
  <dcterms:created xsi:type="dcterms:W3CDTF">1997-06-21T19:21:32Z</dcterms:created>
  <dcterms:modified xsi:type="dcterms:W3CDTF">2004-10-21T18:52:23Z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582857136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