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<sst xmlns="http://schemas.openxmlformats.org/spreadsheetml/2006/main" count="1895" uniqueCount="880">
  <si>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</si>
  <si>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</si>
  <si>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</si>
  <si>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</si>
  <si>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</si>
  <si>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</si>
  <si>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</si>
  <si>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</si>
  <si>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</si>
  <si>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</si>
  <si>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</si>
  <si>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</si>
  <si>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</si>
  <si>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</si>
  <si>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</si>
  <si>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</si>
  <si>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</si>
  <si>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</si>
  <si>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</si>
  <si>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</si>
  <si>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</si>
  <si>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</si>
  <si>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</si>
  <si>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</si>
  <si>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</si>
  <si>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</si>
  <si>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</si>
  <si>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</si>
  <si>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</si>
  <si>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</si>
  <si>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</si>
  <si>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</si>
  <si>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</si>
  <si>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</si>
  <si>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</si>
  <si>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</si>
  <si>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</si>
  <si>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</si>
  <si>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</si>
  <si>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</si>
  <si>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</si>
  <si>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</si>
  <si>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</si>
  <si>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</si>
  <si>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</si>
  <si>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</si>
  <si>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</si>
  <si>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</si>
  <si>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</si>
  <si>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</si>
  <si>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</si>
  <si>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</si>
  <si>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</si>
  <si>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</si>
  <si>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</si>
  <si>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</si>
  <si>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</si>
  <si>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</si>
  <si>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</si>
  <si>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</si>
  <si>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</si>
  <si>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</si>
  <si>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</si>
  <si>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</si>
  <si>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</si>
  <si>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</si>
  <si>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</si>
  <si>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</si>
  <si>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</si>
  <si>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</si>
  <si>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</si>
  <si>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</si>
  <si>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</si>
  <si>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</si>
  <si>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</si>
  <si>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</si>
  <si>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</si>
  <si>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</si>
  <si>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</si>
  <si>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</si>
  <si>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</si>
  <si>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</si>
  <si>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</si>
  <si>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</si>
  <si>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</si>
  <si>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</si>
  <si>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</si>
  <si>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</si>
  <si>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</si>
  <si>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</si>
  <si>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</si>
  <si>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</si>
  <si>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</si>
  <si>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</si>
  <si>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</si>
  <si>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</si>
  <si>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</si>
  <si>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</si>
  <si>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</si>
  <si>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</si>
  <si>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</si>
  <si>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</si>
  <si>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</si>
  <si>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</si>
  <si>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</si>
  <si>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</si>
  <si>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</si>
  <si>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</si>
  <si>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</si>
  <si>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</si>
  <si>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</si>
  <si>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</si>
  <si>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</si>
  <si>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</si>
  <si>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</si>
  <si>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</si>
  <si>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</si>
  <si>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</si>
  <si>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</si>
  <si>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</si>
  <si>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</si>
  <si>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</si>
  <si>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</si>
  <si>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</si>
  <si>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</si>
  <si>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</si>
  <si>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</si>
  <si>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</si>
  <si>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</si>
  <si>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</si>
  <si>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</si>
  <si>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</si>
  <si>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</si>
  <si>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</si>
  <si>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</si>
  <si>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</si>
  <si>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</si>
  <si>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</si>
  <si>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</si>
  <si>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</si>
  <si>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</si>
  <si>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</si>
  <si>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</si>
  <si>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</si>
  <si>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</si>
  <si>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</si>
  <si>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</si>
  <si>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</si>
  <si>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</si>
  <si>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</si>
  <si>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</si>
  <si>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</si>
  <si>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</si>
  <si>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</si>
  <si>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</si>
  <si>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</si>
  <si>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</si>
  <si>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</si>
  <si>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</si>
  <si>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</si>
  <si>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</si>
  <si>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</si>
  <si>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</si>
  <si>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</si>
  <si>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</si>
  <si>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</si>
  <si>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</si>
  <si>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</si>
  <si>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</si>
  <si>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</si>
  <si>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</si>
  <si>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</si>
  <si>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</si>
  <si>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</si>
  <si>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</si>
  <si>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</si>
  <si>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</si>
  <si>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</si>
  <si>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</si>
  <si>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</si>
  <si>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</si>
  <si>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</si>
  <si>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</si>
  <si>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</si>
  <si>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</si>
  <si>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</si>
  <si>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</si>
  <si>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</si>
  <si>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</si>
  <si>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</si>
  <si>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</si>
  <si>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</si>
  <si>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</si>
  <si>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</si>
  <si>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</si>
  <si>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</si>
  <si>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</si>
  <si>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</si>
  <si>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</si>
  <si>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</si>
  <si>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</si>
  <si>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</si>
  <si>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</si>
  <si>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</si>
  <si>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</si>
  <si>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</si>
  <si>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</si>
  <si>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</si>
  <si>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</si>
  <si>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</si>
  <si>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</si>
  <si>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</si>
  <si>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</si>
  <si>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</si>
  <si>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</si>
  <si>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</si>
  <si>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</si>
  <si>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</si>
  <si>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</si>
  <si>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</si>
  <si>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</si>
  <si>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</si>
  <si>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</si>
  <si>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</si>
  <si>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</si>
  <si>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</si>
  <si>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</si>
  <si>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</si>
  <si>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</si>
  <si>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</si>
  <si>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</si>
  <si>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</si>
  <si>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</si>
  <si>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</si>
  <si>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</si>
  <si>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</si>
  <si>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</si>
  <si>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</si>
  <si>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</si>
  <si>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</si>
  <si>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</si>
  <si>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</si>
  <si>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</si>
  <si>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</si>
  <si>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</si>
  <si>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</si>
  <si>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</si>
  <si>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</si>
  <si>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</si>
  <si>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</si>
  <si>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</si>
  <si>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</si>
  <si>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</si>
  <si>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</si>
  <si>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</si>
  <si>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</si>
  <si>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</si>
  <si>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</si>
  <si>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</si>
  <si>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</si>
  <si>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</si>
  <si>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</si>
  <si>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</si>
  <si>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</si>
  <si>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</si>
  <si>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</si>
  <si>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</si>
  <si>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</si>
  <si>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</si>
  <si>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</si>
  <si>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</si>
  <si>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</si>
  <si>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</si>
  <si>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</si>
  <si>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</si>
  <si>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</si>
  <si>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</si>
  <si>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</si>
  <si>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</si>
  <si>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</si>
  <si>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</si>
  <si>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</si>
  <si>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</si>
  <si>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</si>
  <si>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</si>
  <si>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</si>
  <si>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</si>
  <si>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</si>
  <si>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</si>
  <si>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</si>
  <si>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</si>
  <si>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</si>
  <si>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</si>
  <si>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</si>
  <si>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</si>
  <si>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</si>
  <si>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</si>
  <si>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</si>
  <si>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</si>
  <si>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</si>
  <si>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</si>
  <si>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</si>
  <si>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</si>
  <si>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</si>
  <si>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</si>
  <si>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</si>
  <si>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</si>
  <si>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</si>
  <si>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</si>
  <si>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</si>
  <si>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</si>
  <si>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</si>
  <si>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</si>
  <si>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</si>
  <si>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</si>
  <si>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</si>
  <si>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</si>
  <si>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</si>
  <si>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</si>
  <si>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</si>
  <si>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</si>
  <si>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</si>
  <si>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</si>
  <si>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</si>
  <si>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</si>
  <si>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</si>
  <si>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</si>
  <si>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</si>
  <si>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</si>
  <si>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</si>
  <si>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</si>
  <si>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</si>
  <si>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</si>
  <si>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</si>
  <si>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</si>
  <si>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</si>
  <si>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</si>
  <si>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</si>
  <si>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</si>
  <si>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</si>
  <si>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</si>
  <si>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</si>
  <si>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</si>
  <si>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</si>
  <si>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</si>
  <si>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</si>
  <si>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</si>
  <si>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</si>
  <si>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</si>
  <si>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</si>
  <si>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</si>
  <si>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</si>
  <si>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</si>
  <si>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</si>
  <si>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</si>
  <si>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</si>
  <si>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</si>
  <si>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</si>
  <si>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</si>
  <si>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</si>
  <si>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</si>
  <si>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</si>
  <si>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</si>
  <si>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</si>
  <si>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</si>
  <si>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</si>
  <si>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</si>
  <si>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</si>
  <si>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</si>
  <si>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</si>
  <si>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</si>
  <si>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</si>
  <si>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</si>
  <si>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</si>
  <si>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</si>
  <si>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</si>
  <si>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</si>
  <si>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</si>
  <si>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</si>
  <si>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</si>
  <si>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</si>
  <si>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</si>
  <si>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</si>
  <si>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</si>
  <si>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</si>
  <si>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</si>
  <si>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</si>
  <si>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</si>
  <si>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</si>
  <si>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</si>
  <si>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</si>
  <si>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</si>
  <si>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</si>
  <si>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</si>
  <si>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</si>
  <si>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</si>
  <si>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</si>
  <si>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</si>
  <si>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</si>
  <si>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</si>
  <si>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</si>
  <si>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</si>
  <si>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</si>
  <si>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</si>
  <si>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</si>
  <si>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</si>
  <si>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</si>
  <si>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</si>
  <si>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</si>
  <si>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</si>
  <si>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</si>
  <si>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</si>
  <si>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</si>
  <si>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</si>
  <si>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</si>
  <si>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</si>
  <si>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</si>
  <si>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</si>
  <si>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</si>
  <si>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</si>
  <si>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</si>
  <si>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</si>
  <si>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</si>
  <si>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</si>
  <si>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</si>
  <si>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</si>
  <si>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</si>
  <si>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</si>
  <si>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</si>
  <si>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</si>
  <si>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</si>
  <si>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</si>
  <si>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</si>
  <si>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</si>
  <si>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</si>
  <si>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</si>
  <si>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</si>
  <si>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</si>
  <si>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</si>
  <si>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</si>
  <si>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</si>
  <si>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</si>
  <si>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</si>
  <si>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</si>
  <si>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</si>
  <si>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</si>
  <si>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</si>
  <si>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</si>
  <si>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</si>
  <si>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</si>
  <si>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</si>
  <si>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</si>
  <si>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</si>
  <si>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</si>
  <si>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</si>
  <si>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</si>
  <si>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</si>
  <si>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</si>
  <si>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</si>
  <si>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</si>
  <si>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</si>
  <si>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</si>
  <si>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</si>
  <si>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</si>
  <si>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</si>
  <si>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</si>
  <si>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</si>
  <si>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</si>
  <si>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</si>
  <si>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</si>
  <si>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</si>
  <si>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</si>
  <si>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</si>
  <si>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</si>
  <si>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</si>
  <si>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</si>
  <si>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</si>
  <si>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</si>
  <si>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</si>
  <si>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</si>
  <si>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</si>
  <si>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</si>
  <si>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</si>
  <si>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</si>
  <si>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</si>
  <si>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</si>
  <si>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</si>
  <si>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</si>
  <si>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</si>
  <si>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</si>
  <si>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</si>
  <si>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</si>
  <si>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</si>
  <si>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</si>
  <si>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</si>
  <si>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</si>
  <si>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</si>
  <si>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</si>
  <si>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</si>
  <si>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</si>
  <si>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</si>
  <si>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</si>
  <si>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</si>
  <si>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</si>
  <si>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</si>
  <si>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</si>
  <si>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</si>
  <si>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</si>
  <si>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</si>
  <si>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</si>
  <si>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</si>
  <si>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</si>
  <si>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</si>
  <si>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</si>
  <si>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</si>
  <si>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</si>
  <si>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</si>
  <si>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</si>
  <si>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</si>
  <si>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</si>
  <si>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</si>
  <si>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</si>
  <si>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</si>
  <si>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</si>
  <si>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</si>
  <si>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</si>
  <si>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</si>
  <si>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</si>
  <si>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</si>
  <si>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</si>
  <si>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</si>
  <si>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</si>
  <si>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</si>
  <si>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</si>
  <si>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</si>
  <si>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</si>
  <si>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</si>
  <si>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</si>
  <si>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</si>
  <si>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</si>
  <si>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</si>
  <si>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</si>
  <si>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</si>
  <si>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</si>
  <si>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</si>
  <si>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</si>
  <si>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</si>
  <si>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</si>
  <si>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</si>
  <si>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</si>
  <si>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</si>
  <si>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</si>
  <si>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</si>
  <si>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</si>
  <si>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</si>
  <si>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</si>
  <si>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</si>
  <si>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</si>
  <si>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</si>
  <si>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</si>
  <si>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</si>
  <si>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</si>
  <si>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</si>
  <si>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</si>
  <si>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</si>
  <si>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</si>
  <si>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</si>
  <si>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</si>
  <si>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</si>
  <si>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</si>
  <si>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</si>
  <si>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</si>
  <si>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</si>
  <si>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</si>
  <si>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</si>
  <si>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</si>
  <si>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</si>
  <si>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</si>
  <si>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</si>
  <si>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</si>
  <si>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</si>
  <si>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</si>
  <si>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</si>
  <si>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</si>
  <si>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</si>
  <si>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</si>
  <si>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</si>
  <si>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</si>
  <si>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</si>
  <si>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</si>
  <si>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</si>
  <si>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</si>
  <si>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</si>
  <si>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</si>
  <si>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</si>
  <si>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</si>
  <si>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</si>
  <si>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</si>
  <si>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</si>
  <si>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</si>
  <si>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</si>
  <si>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</si>
  <si>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</si>
  <si>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</si>
  <si>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</si>
  <si>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</si>
  <si>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</si>
  <si>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</si>
  <si>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</si>
  <si>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</si>
  <si>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</si>
  <si>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</si>
  <si>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</si>
  <si>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</si>
  <si>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</si>
  <si>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</si>
  <si>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</si>
  <si>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</si>
  <si>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</si>
  <si>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</si>
  <si>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</si>
  <si>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</si>
  <si>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</si>
  <si>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</si>
  <si>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</si>
  <si>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</si>
  <si>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</si>
  <si>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</si>
  <si>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</si>
  <si>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</si>
  <si>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</si>
  <si>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</si>
  <si>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</si>
  <si>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</si>
  <si>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</si>
  <si>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</si>
  <si>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</si>
  <si>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</si>
  <si>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</si>
  <si>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</si>
  <si>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</si>
  <si>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</si>
  <si>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</si>
  <si>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</si>
  <si>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</si>
  <si>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</si>
  <si>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</si>
  <si>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</si>
  <si>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</si>
  <si>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</si>
  <si>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</si>
  <si>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</si>
  <si>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</si>
  <si>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</si>
  <si>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</si>
  <si>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</si>
  <si>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</si>
  <si>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</si>
  <si>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</si>
  <si>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</si>
  <si>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</si>
  <si>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</si>
  <si>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</si>
  <si>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</si>
  <si>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</si>
  <si>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</si>
  <si>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</si>
  <si>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</si>
  <si>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</si>
  <si>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</si>
  <si>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</si>
  <si>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</si>
  <si>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</si>
  <si>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</si>
  <si>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</si>
  <si>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</si>
  <si>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</si>
  <si>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</si>
  <si>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</si>
  <si>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</si>
  <si>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</si>
  <si>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</si>
  <si>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</si>
  <si>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</si>
  <si>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</si>
  <si>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</si>
  <si>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</si>
  <si>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</si>
  <si>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</si>
  <si>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</si>
  <si>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</si>
  <si>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</si>
  <si>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</si>
  <si>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</si>
  <si>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</si>
  <si>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</si>
  <si>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</si>
  <si>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</si>
  <si>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</si>
  <si>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</si>
  <si>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</si>
  <si>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</si>
  <si>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</si>
  <si>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</si>
  <si>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</si>
  <si>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</si>
  <si>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</si>
  <si>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</si>
  <si>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</si>
  <si>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</si>
  <si>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</si>
  <si>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</si>
  <si>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</si>
  <si>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</si>
  <si>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</si>
  <si>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</si>
  <si>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</si>
  <si>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</si>
  <si>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</si>
  <si>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</si>
  <si>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</si>
  <si>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</si>
  <si>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</si>
  <si>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</si>
  <si>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</si>
  <si>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</si>
  <si>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</si>
  <si>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</si>
  <si>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</si>
  <si>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</si>
  <si>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</si>
  <si>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</si>
  <si>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</si>
  <si>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</si>
  <si>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</si>
  <si>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</si>
  <si>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</si>
  <si>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</si>
  <si>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</si>
  <si>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</si>
  <si>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</si>
  <si>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</si>
  <si>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</si>
  <si>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</si>
  <si>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</si>
  <si>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</si>
  <si>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</si>
  <si>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</si>
  <si>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</si>
  <si>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</si>
  <si>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</si>
  <si>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</si>
  <si>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</si>
  <si>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</si>
  <si>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</si>
  <si>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</si>
  <si>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</si>
  <si>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</si>
  <si>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</si>
  <si>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</si>
  <si>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</si>
  <si>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</si>
  <si>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</si>
  <si>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</si>
  <si>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</si>
  <si>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</si>
  <si>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</si>
  <si>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</si>
  <si>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</si>
  <si>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</si>
  <si>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</si>
  <si>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</si>
  <si>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</si>
  <si>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</si>
  <si>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</si>
  <si>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</si>
  <si>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</si>
  <si>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</si>
  <si>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</si>
  <si>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</si>
  <si>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</si>
  <si>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</si>
  <si>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</si>
  <si>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</si>
  <si>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</si>
  <si>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</si>
  <si>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</si>
  <si>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</si>
  <si>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</si>
  <si>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</si>
  <si>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</si>
  <si>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</si>
  <si>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</si>
  <si>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</si>
  <si>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</si>
  <si>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</si>
  <si>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</si>
  <si>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</si>
  <si>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</si>
  <si>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</si>
  <si>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</si>
  <si>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</si>
  <si>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</si>
  <si>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</si>
  <si>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</si>
  <si>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</si>
  <si>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</si>
  <si>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</si>
  <si>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</si>
  <si>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</si>
  <si>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</si>
  <si>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</si>
  <si>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</si>
  <si>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</si>
  <si>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</si>
  <si>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</si>
  <si>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</si>
  <si>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</si>
  <si>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</si>
  <si>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</si>
  <si>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</si>
  <si>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</si>
  <si>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</si>
  <si>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</si>
  <si>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</si>
  <si>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</si>
  <si>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</si>
  <si>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</si>
  <si>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</si>
  <si>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</si>
  <si>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</si>
  <si>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</si>
  <si>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</si>
  <si>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</si>
  <si>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</si>
  <si>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</si>
  <si>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</si>
  <si>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</si>
  <si>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</si>
  <si>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</si>
  <si>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</si>
  <si>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</si>
  <si>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</si>
  <si>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</si>
  <si>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</si>
  <si>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</si>
  <si>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</si>
  <si>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</si>
  <si>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</si>
  <si>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</si>
  <si>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</si>
  <si>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</si>
  <si>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</si>
  <si>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</si>
  <si>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</si>
  <si>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</si>
  <si>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</si>
  <si>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</si>
  <si>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</si>
  <si>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</si>
  <si>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</si>
  <si>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</si>
  <si>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</si>
  <si>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</si>
  <si>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</si>
  <si>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</si>
  <si>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</si>
  <si>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</si>
  <si>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</si>
  <si>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</si>
  <si>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</si>
  <si>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</si>
  <si>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</si>
  <si>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</si>
  <si>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</si>
  <si>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</si>
  <si>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</si>
  <si>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</si>
  <si>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</si>
  <si>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Reitz T 1772 P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</si>
</sst>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I60" sqref="I6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7">
        <v>44420</v>
      </c>
      <c r="G6" s="458"/>
      <c r="H6" s="458"/>
      <c r="I6" s="459"/>
      <c r="J6" s="316"/>
      <c r="K6" s="316"/>
      <c r="L6" s="316"/>
      <c r="M6" s="316"/>
    </row>
    <row r="7" spans="1:13" ht="12.75" customHeight="1">
      <c r="A7" s="316"/>
      <c r="B7" s="316"/>
      <c r="C7" s="316"/>
      <c r="D7" s="316" t="s">
        <v>94</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60" t="s">
        <v>205</v>
      </c>
      <c r="G10" s="461"/>
      <c r="H10" s="461"/>
      <c r="I10" s="462"/>
      <c r="J10" s="26"/>
      <c r="K10" s="26"/>
      <c r="L10" s="26"/>
      <c r="M10" s="26"/>
    </row>
    <row r="11" spans="1:13" ht="12.75">
      <c r="A11" s="39"/>
      <c r="B11" s="26"/>
      <c r="C11" s="26"/>
      <c r="D11" s="26" t="s">
        <v>795</v>
      </c>
      <c r="E11" s="26"/>
      <c r="F11" s="463" t="s">
        <v>206</v>
      </c>
      <c r="G11" s="463"/>
      <c r="H11" s="463"/>
      <c r="I11" s="463"/>
      <c r="J11" s="464"/>
      <c r="K11" s="464"/>
      <c r="L11" s="26"/>
      <c r="M11" s="26"/>
    </row>
    <row r="12" spans="1:13" ht="12.75">
      <c r="A12" s="39"/>
      <c r="B12" s="26"/>
      <c r="C12" s="26"/>
      <c r="D12" s="26" t="s">
        <v>796</v>
      </c>
      <c r="E12" s="26"/>
      <c r="F12" s="465" t="s">
        <v>207</v>
      </c>
      <c r="G12" s="466"/>
      <c r="H12" s="466"/>
      <c r="I12" s="467"/>
      <c r="J12" s="156"/>
      <c r="K12" s="156"/>
      <c r="L12" s="26"/>
      <c r="M12" s="26"/>
    </row>
    <row r="13" spans="1:13" ht="12.75">
      <c r="A13" s="39"/>
      <c r="B13" s="26"/>
      <c r="C13" s="26"/>
      <c r="D13" s="26" t="s">
        <v>74</v>
      </c>
      <c r="E13" s="26"/>
      <c r="F13" s="470"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267</v>
      </c>
      <c r="C21" s="445"/>
      <c r="D21" s="446"/>
      <c r="E21" s="99"/>
      <c r="F21" s="99"/>
      <c r="G21" s="99"/>
      <c r="H21" s="99"/>
      <c r="I21" s="99"/>
      <c r="J21" s="99"/>
      <c r="K21" s="99"/>
      <c r="L21" s="100"/>
      <c r="M21" s="26"/>
    </row>
    <row r="22" spans="1:13" ht="12.75">
      <c r="A22" s="109" t="s">
        <v>770</v>
      </c>
      <c r="B22" s="40" t="s">
        <v>416</v>
      </c>
      <c r="C22" s="26"/>
      <c r="D22" s="99"/>
      <c r="E22" s="40"/>
      <c r="F22" s="447" t="s">
        <v>268</v>
      </c>
      <c r="G22" s="448"/>
      <c r="H22" s="448"/>
      <c r="I22" s="449"/>
      <c r="J22" s="100"/>
      <c r="K22" s="99"/>
      <c r="L22" s="26"/>
      <c r="M22" s="26"/>
    </row>
    <row r="23" spans="1:13" ht="12.75">
      <c r="A23" s="108"/>
      <c r="B23" s="41"/>
      <c r="C23" s="26" t="s">
        <v>81</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52" t="s">
        <v>422</v>
      </c>
      <c r="C26" s="453"/>
      <c r="D26" s="453"/>
      <c r="E26" s="453"/>
      <c r="F26" s="453"/>
      <c r="G26" s="453"/>
      <c r="H26" s="453"/>
      <c r="I26" s="453"/>
      <c r="J26" s="453"/>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739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757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763</v>
      </c>
      <c r="B37" s="98"/>
      <c r="C37" s="26"/>
      <c r="D37" s="26"/>
      <c r="E37" s="26"/>
      <c r="F37" s="26"/>
      <c r="G37" s="26"/>
      <c r="H37" s="26"/>
      <c r="I37" s="26"/>
      <c r="J37" s="26"/>
      <c r="K37" s="26"/>
      <c r="L37" s="26"/>
      <c r="M37" s="26"/>
    </row>
    <row r="38" spans="1:13" ht="14.25">
      <c r="A38" s="136" t="s">
        <v>769</v>
      </c>
      <c r="B38" s="473" t="s">
        <v>398</v>
      </c>
      <c r="C38" s="473"/>
      <c r="D38" s="473"/>
      <c r="E38" s="473"/>
      <c r="F38" s="26"/>
      <c r="G38" s="442" t="s">
        <v>432</v>
      </c>
      <c r="H38" s="443"/>
      <c r="I38" s="443"/>
      <c r="J38" s="443"/>
      <c r="K38" s="443"/>
      <c r="L38" s="472"/>
      <c r="M38" s="26"/>
    </row>
    <row r="39" spans="1:13" ht="12.75">
      <c r="A39" s="136" t="s">
        <v>770</v>
      </c>
      <c r="B39" s="473" t="s">
        <v>798</v>
      </c>
      <c r="C39" s="473"/>
      <c r="D39" s="473"/>
      <c r="E39" s="473"/>
      <c r="F39" s="26"/>
      <c r="G39" s="154">
        <v>0.8</v>
      </c>
      <c r="H39" s="42"/>
      <c r="I39" s="42"/>
      <c r="J39" s="42"/>
      <c r="K39" s="46"/>
      <c r="L39" s="46"/>
      <c r="M39" s="26"/>
    </row>
    <row r="40" spans="1:13" ht="12.75">
      <c r="A40" s="136" t="s">
        <v>771</v>
      </c>
      <c r="B40" s="473" t="s">
        <v>765</v>
      </c>
      <c r="C40" s="473"/>
      <c r="D40" s="473"/>
      <c r="E40" s="473"/>
      <c r="F40" s="26"/>
      <c r="G40" s="329">
        <v>3</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55" t="s">
        <v>833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130</v>
      </c>
      <c r="B46" s="451"/>
      <c r="C46" s="451"/>
      <c r="D46" s="451"/>
      <c r="E46" s="451"/>
      <c r="F46" s="451"/>
      <c r="G46" s="451"/>
      <c r="H46" s="451"/>
      <c r="I46" s="451"/>
      <c r="J46" s="451"/>
      <c r="K46" s="451"/>
      <c r="L46" s="451"/>
      <c r="M46" s="451"/>
    </row>
    <row r="47" spans="1:13" ht="17.25">
      <c r="A47" s="98" t="s">
        <v>399</v>
      </c>
      <c r="B47" s="26"/>
      <c r="C47" s="26"/>
      <c r="D47" s="26"/>
      <c r="E47" s="26"/>
      <c r="F47" s="477"/>
      <c r="G47" s="477"/>
      <c r="H47" s="477"/>
      <c r="I47" s="40"/>
      <c r="J47" s="477"/>
      <c r="K47" s="477"/>
      <c r="L47" s="477"/>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10</v>
      </c>
      <c r="G50" s="40" t="s">
        <v>663</v>
      </c>
      <c r="H50" s="40"/>
      <c r="I50" s="40"/>
      <c r="J50" s="154">
        <v>10</v>
      </c>
      <c r="K50" s="26"/>
      <c r="L50" s="26"/>
      <c r="M50" s="26"/>
    </row>
    <row r="51" spans="1:13" ht="12.75">
      <c r="A51" s="136" t="s">
        <v>770</v>
      </c>
      <c r="B51" s="27" t="s">
        <v>18</v>
      </c>
      <c r="C51" s="41"/>
      <c r="D51" s="39"/>
      <c r="E51" s="26"/>
      <c r="F51" s="396">
        <f>'Calculations- All Data'!F57</f>
        <v>10</v>
      </c>
      <c r="G51" s="42" t="s">
        <v>663</v>
      </c>
      <c r="H51" s="42"/>
      <c r="I51" s="42"/>
      <c r="J51" s="397">
        <f>'Calculations- All Data'!J57</f>
        <v>10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809</v>
      </c>
      <c r="G54" s="438"/>
      <c r="H54" s="438"/>
      <c r="I54" s="188"/>
      <c r="J54" s="437" t="s">
        <v>809</v>
      </c>
      <c r="K54" s="440"/>
      <c r="L54" s="441"/>
      <c r="M54" s="26"/>
    </row>
    <row r="55" spans="1:13" ht="12.75">
      <c r="A55" s="136" t="s">
        <v>770</v>
      </c>
      <c r="B55" s="41" t="s">
        <v>764</v>
      </c>
      <c r="C55" s="26"/>
      <c r="D55" s="26"/>
      <c r="E55" s="26"/>
      <c r="F55" s="442" t="s">
        <v>390</v>
      </c>
      <c r="G55" s="443"/>
      <c r="H55" s="443"/>
      <c r="I55" s="187"/>
      <c r="J55" s="442" t="s">
        <v>390</v>
      </c>
      <c r="K55" s="443"/>
      <c r="L55" s="472"/>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10</v>
      </c>
      <c r="G57" s="41" t="str">
        <f>VLOOKUP(F55,'Data Tables'!$A$249:$D$270,3,FALSE)</f>
        <v>lbs/ton</v>
      </c>
      <c r="H57" s="26"/>
      <c r="I57" s="40"/>
      <c r="J57" s="154">
        <v>10</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8.67</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150</v>
      </c>
      <c r="G60" s="42" t="s">
        <v>663</v>
      </c>
      <c r="H60" s="42"/>
      <c r="I60" s="156"/>
      <c r="J60" s="398">
        <f>'Calculations- All Data'!J69</f>
        <v>86.7</v>
      </c>
      <c r="K60" s="42" t="s">
        <v>663</v>
      </c>
      <c r="L60" s="42"/>
      <c r="M60" s="26"/>
    </row>
    <row r="61" spans="1:13" ht="12.75">
      <c r="A61" s="136" t="s">
        <v>40</v>
      </c>
      <c r="B61" s="27" t="s">
        <v>17</v>
      </c>
      <c r="C61" s="41"/>
      <c r="D61" s="39"/>
      <c r="E61" s="26"/>
      <c r="F61" s="396">
        <f>'Calculations- All Data'!F70</f>
        <v>22.5</v>
      </c>
      <c r="G61" s="42" t="s">
        <v>663</v>
      </c>
      <c r="H61" s="42"/>
      <c r="I61" s="42"/>
      <c r="J61" s="397">
        <f>'Calculations- All Data'!J70</f>
        <v>13.005</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72"/>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72"/>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160</v>
      </c>
      <c r="G85" s="27" t="s">
        <v>663</v>
      </c>
      <c r="H85" s="39"/>
      <c r="I85" s="385" t="s">
        <v>409</v>
      </c>
      <c r="J85" s="395">
        <f>'Calculations- All Data'!J98</f>
        <v>96.7</v>
      </c>
      <c r="K85" s="26" t="s">
        <v>663</v>
      </c>
      <c r="L85" s="26"/>
      <c r="M85" s="26"/>
    </row>
    <row r="86" spans="1:13" ht="13.5" thickBot="1">
      <c r="A86" s="253" t="s">
        <v>117</v>
      </c>
      <c r="B86" s="26"/>
      <c r="C86" s="26"/>
      <c r="D86" s="26"/>
      <c r="E86" s="252"/>
      <c r="F86" s="399">
        <f>'Calculations- All Data'!F99</f>
        <v>32.5</v>
      </c>
      <c r="G86" s="27" t="s">
        <v>663</v>
      </c>
      <c r="H86" s="39"/>
      <c r="I86" s="385" t="s">
        <v>409</v>
      </c>
      <c r="J86" s="395">
        <f>'Calculations- All Data'!J99</f>
        <v>23.005000000000003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4" t="s">
        <v>691</v>
      </c>
      <c r="G101" s="475"/>
      <c r="H101" s="475"/>
      <c r="I101" s="476"/>
      <c r="J101" s="26"/>
      <c r="K101" s="26"/>
      <c r="L101" s="26"/>
      <c r="M101" s="26"/>
    </row>
    <row r="102" spans="1:13" ht="12.75">
      <c r="A102" s="136"/>
      <c r="B102" s="40"/>
      <c r="C102" s="26" t="s">
        <v>105</v>
      </c>
      <c r="D102" s="26"/>
      <c r="E102" s="26"/>
      <c r="F102" s="474" t="s">
        <v>583</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150</v>
      </c>
      <c r="H112" s="43" t="s">
        <v>108</v>
      </c>
      <c r="I112" s="42"/>
      <c r="J112" s="46"/>
      <c r="K112" s="46"/>
      <c r="L112" s="26"/>
      <c r="M112" s="26"/>
    </row>
    <row r="113" spans="1:13" ht="12.75">
      <c r="A113" s="26"/>
      <c r="B113" s="26"/>
      <c r="C113" s="27" t="s">
        <v>24</v>
      </c>
      <c r="D113" s="26"/>
      <c r="E113" s="26"/>
      <c r="F113" s="26"/>
      <c r="G113" s="318">
        <f>'Calculations- All Data'!F117</f>
        <v>67.5</v>
      </c>
      <c r="H113" s="26" t="s">
        <v>63</v>
      </c>
      <c r="I113" s="26"/>
      <c r="J113" s="26"/>
      <c r="K113" s="26"/>
      <c r="L113" s="26"/>
      <c r="M113" s="26"/>
    </row>
    <row r="114" spans="1:13" ht="13.5" thickBot="1">
      <c r="A114" s="26"/>
      <c r="B114" s="26"/>
      <c r="C114" s="27" t="s">
        <v>25</v>
      </c>
      <c r="D114" s="26"/>
      <c r="E114" s="26"/>
      <c r="F114" s="324"/>
      <c r="G114" s="318">
        <f>'Calculations- All Data'!F118</f>
        <v>58.005</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63.3</v>
      </c>
      <c r="H119" s="40" t="s">
        <v>63</v>
      </c>
      <c r="I119" s="193"/>
      <c r="J119" s="193"/>
      <c r="K119" s="193"/>
      <c r="L119" s="26"/>
      <c r="M119" s="26"/>
    </row>
    <row r="120" spans="1:13" ht="12.75">
      <c r="A120" s="26"/>
      <c r="B120" s="26"/>
      <c r="C120" s="27" t="s">
        <v>107</v>
      </c>
      <c r="D120" s="26"/>
      <c r="E120" s="26"/>
      <c r="F120" s="46"/>
      <c r="G120" s="400">
        <f>'Calculations- All Data'!F125</f>
        <v>50.64</v>
      </c>
      <c r="H120" s="26" t="s">
        <v>127</v>
      </c>
      <c r="I120" s="193"/>
      <c r="J120" s="193"/>
      <c r="K120" s="193"/>
      <c r="L120" s="26"/>
      <c r="M120" s="26"/>
    </row>
    <row r="121" spans="1:13" ht="13.5" thickBot="1">
      <c r="A121" s="26"/>
      <c r="B121" s="26"/>
      <c r="C121" s="27" t="s">
        <v>116</v>
      </c>
      <c r="D121" s="26"/>
      <c r="E121" s="136"/>
      <c r="F121" s="324" t="s">
        <v>109</v>
      </c>
      <c r="G121" s="318">
        <f>'Calculations- All Data'!F48</f>
        <v>0.45</v>
      </c>
      <c r="H121" s="26"/>
      <c r="I121" s="193"/>
      <c r="J121" s="193"/>
      <c r="K121" s="193"/>
      <c r="L121" s="26"/>
      <c r="M121" s="26"/>
    </row>
    <row r="122" spans="1:13" ht="14.25" customHeight="1" thickBot="1">
      <c r="A122" s="26"/>
      <c r="B122" s="26"/>
      <c r="C122" s="321" t="s">
        <v>745</v>
      </c>
      <c r="D122" s="322"/>
      <c r="E122" s="323"/>
      <c r="F122" s="324" t="s">
        <v>110</v>
      </c>
      <c r="G122" s="401">
        <f>'Calculations- All Data'!F126</f>
        <v>22.788</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131.7</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81.1848</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50.51519999999999</v>
      </c>
      <c r="H128" s="40" t="s">
        <v>63</v>
      </c>
      <c r="I128" s="193"/>
      <c r="J128" s="193"/>
      <c r="K128" s="193"/>
      <c r="L128" s="26"/>
      <c r="M128" s="26"/>
    </row>
    <row r="129" spans="1:13" ht="12.75">
      <c r="A129" s="26"/>
      <c r="B129" s="26"/>
      <c r="C129" s="320" t="s">
        <v>115</v>
      </c>
      <c r="D129" s="136"/>
      <c r="E129" s="324"/>
      <c r="F129" s="324" t="s">
        <v>109</v>
      </c>
      <c r="G129" s="318">
        <f>'Calculations- All Data'!F48</f>
        <v>0.45</v>
      </c>
      <c r="H129" s="26"/>
      <c r="I129" s="193"/>
      <c r="J129" s="193"/>
      <c r="K129" s="193"/>
      <c r="L129" s="26"/>
      <c r="M129" s="26"/>
    </row>
    <row r="130" spans="1:13" ht="12.75">
      <c r="A130" s="26"/>
      <c r="B130" s="26"/>
      <c r="C130" s="320" t="s">
        <v>266</v>
      </c>
      <c r="D130" s="136"/>
      <c r="E130" s="324"/>
      <c r="F130" s="324" t="s">
        <v>110</v>
      </c>
      <c r="G130" s="318">
        <f>'Calculations- All Data'!F133</f>
        <v>22.73184</v>
      </c>
      <c r="H130" s="26" t="s">
        <v>63</v>
      </c>
      <c r="I130" s="193"/>
      <c r="J130" s="193"/>
      <c r="K130" s="193"/>
      <c r="L130" s="26"/>
      <c r="M130" s="26"/>
    </row>
    <row r="131" spans="1:13" ht="12.75" customHeight="1">
      <c r="A131" s="109"/>
      <c r="B131" s="26"/>
      <c r="C131" s="320" t="s">
        <v>396</v>
      </c>
      <c r="D131" s="40"/>
      <c r="E131" s="40"/>
      <c r="F131" s="324" t="s">
        <v>111</v>
      </c>
      <c r="G131" s="248">
        <f>'Calculations- All Data'!F134</f>
        <v>8.582958378696627</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14.14888162130337</v>
      </c>
      <c r="H133" s="26" t="s">
        <v>63</v>
      </c>
      <c r="I133" s="26"/>
      <c r="J133" s="372"/>
      <c r="K133" s="26"/>
      <c r="L133" s="26"/>
      <c r="M133" s="26"/>
    </row>
    <row r="134" spans="1:13" ht="13.5" thickBot="1">
      <c r="A134" s="109"/>
      <c r="B134" s="26"/>
      <c r="C134" s="267" t="s">
        <v>126</v>
      </c>
      <c r="D134" s="267"/>
      <c r="E134" s="267"/>
      <c r="F134" s="324" t="s">
        <v>110</v>
      </c>
      <c r="G134" s="395">
        <f>'Calculations- All Data'!F136</f>
        <v>11.319105297042697</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50"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188</v>
      </c>
      <c r="B145" s="451"/>
      <c r="C145" s="451"/>
      <c r="D145" s="451"/>
      <c r="E145" s="451"/>
      <c r="F145" s="451"/>
      <c r="G145" s="451"/>
      <c r="H145" s="451"/>
      <c r="I145" s="451"/>
      <c r="J145" s="451"/>
      <c r="K145" s="451"/>
      <c r="L145" s="451"/>
      <c r="M145" s="451"/>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719</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0.8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2.829776324260675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50" t="s">
        <v>269</v>
      </c>
      <c r="C169" s="451"/>
      <c r="D169" s="451"/>
      <c r="E169" s="451"/>
      <c r="F169" s="451"/>
      <c r="G169" s="451"/>
      <c r="H169" s="451"/>
      <c r="I169" s="451"/>
      <c r="J169" s="451"/>
      <c r="K169" s="451"/>
      <c r="L169" s="451"/>
      <c r="M169" s="451"/>
    </row>
    <row r="170" spans="1:13" ht="24" customHeight="1">
      <c r="A170" s="26"/>
      <c r="B170" s="450" t="s">
        <v>265</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189</v>
      </c>
      <c r="B172" s="454"/>
      <c r="C172" s="454"/>
      <c r="D172" s="454"/>
      <c r="E172" s="454"/>
      <c r="F172" s="454"/>
      <c r="G172" s="454"/>
      <c r="H172" s="454"/>
      <c r="I172" s="454"/>
      <c r="J172" s="454"/>
      <c r="K172" s="454"/>
      <c r="L172" s="454"/>
      <c r="M172" s="454"/>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25.617776324260674</v>
      </c>
      <c r="H174" s="26" t="s">
        <v>693</v>
      </c>
      <c r="I174" s="26"/>
      <c r="J174" s="26"/>
      <c r="K174" s="26"/>
      <c r="L174" s="26"/>
      <c r="M174" s="26"/>
    </row>
    <row r="175" spans="1:13" ht="14.25" customHeight="1">
      <c r="A175" s="98"/>
      <c r="B175" s="27" t="s">
        <v>114</v>
      </c>
      <c r="C175" s="26"/>
      <c r="D175" s="26"/>
      <c r="E175" s="136"/>
      <c r="F175" s="136" t="s">
        <v>109</v>
      </c>
      <c r="G175" s="319">
        <f>'Calculations- All Data'!F47</f>
        <v>0.941</v>
      </c>
      <c r="H175" s="26"/>
      <c r="I175" s="26"/>
      <c r="J175" s="26"/>
      <c r="K175" s="26"/>
      <c r="L175" s="26"/>
      <c r="M175" s="26"/>
    </row>
    <row r="176" spans="1:13" ht="12.75">
      <c r="A176" s="26"/>
      <c r="B176" s="39" t="s">
        <v>131</v>
      </c>
      <c r="C176" s="26"/>
      <c r="D176" s="26"/>
      <c r="E176" s="26"/>
      <c r="F176" s="136" t="s">
        <v>110</v>
      </c>
      <c r="G176" s="319">
        <f>'Calculations- All Data'!F178</f>
        <v>24.106327521129295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113</v>
      </c>
      <c r="C183" s="483"/>
      <c r="D183" s="483"/>
      <c r="E183" s="483"/>
      <c r="F183" s="483"/>
      <c r="G183" s="483"/>
      <c r="H183" s="483"/>
      <c r="I183" s="483"/>
      <c r="J183" s="483"/>
      <c r="K183" s="483"/>
      <c r="L183" s="483"/>
      <c r="M183" s="483"/>
    </row>
    <row r="184" spans="1:13" ht="23.25" customHeight="1">
      <c r="A184" s="26"/>
      <c r="B184" s="450"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19">
        <f>'CREDIT CALCULATION FORM'!F6:I6</f>
        <v>44420</v>
      </c>
      <c r="G4" s="520"/>
      <c r="H4" s="520"/>
      <c r="I4" s="521"/>
      <c r="J4" s="317"/>
      <c r="K4" s="317"/>
      <c r="L4" s="317"/>
      <c r="M4" s="317"/>
    </row>
    <row r="5" spans="1:13" ht="12.75">
      <c r="A5" s="317"/>
      <c r="B5" s="317"/>
      <c r="C5" s="317"/>
      <c r="D5" s="317" t="s">
        <v>94</v>
      </c>
      <c r="E5" s="317"/>
      <c r="F5" s="522" t="str">
        <f>'CREDIT CALCULATION FORM'!F7:K7</f>
        <v>Reitz T 1772 P 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6" t="str">
        <f>'CREDIT CALCULATION FORM'!F10:I10</f>
        <v>Rod Morehart</v>
      </c>
      <c r="G8" s="527"/>
      <c r="H8" s="527"/>
      <c r="I8" s="528"/>
      <c r="J8" s="110"/>
      <c r="K8" s="110"/>
      <c r="L8" s="110"/>
      <c r="M8" s="110"/>
    </row>
    <row r="9" spans="1:13" ht="12.75">
      <c r="A9" s="116"/>
      <c r="B9" s="110"/>
      <c r="C9" s="110"/>
      <c r="D9" s="110" t="s">
        <v>795</v>
      </c>
      <c r="E9" s="110"/>
      <c r="F9" s="529" t="str">
        <f>'CREDIT CALCULATION FORM'!F11:K11</f>
        <v>Lycoming County Conservation District</v>
      </c>
      <c r="G9" s="529"/>
      <c r="H9" s="529"/>
      <c r="I9" s="529"/>
      <c r="J9" s="530"/>
      <c r="K9" s="530"/>
      <c r="L9" s="110"/>
      <c r="M9" s="110"/>
    </row>
    <row r="10" spans="1:13" ht="12.75">
      <c r="A10" s="116"/>
      <c r="B10" s="110"/>
      <c r="C10" s="110"/>
      <c r="D10" s="110" t="s">
        <v>796</v>
      </c>
      <c r="E10" s="110"/>
      <c r="F10" s="529" t="str">
        <f>'CREDIT CALCULATION FORM'!F12:I12</f>
        <v>570-329-1619</v>
      </c>
      <c r="G10" s="529"/>
      <c r="H10" s="529"/>
      <c r="I10" s="529"/>
      <c r="J10" s="159"/>
      <c r="K10" s="159"/>
      <c r="L10" s="110"/>
      <c r="M10" s="110"/>
    </row>
    <row r="11" spans="1:13" ht="12.75">
      <c r="A11" s="116"/>
      <c r="B11" s="110"/>
      <c r="C11" s="110"/>
      <c r="D11" s="110" t="s">
        <v>74</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18" t="s">
        <v>7</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414</v>
      </c>
      <c r="B20" s="117" t="s">
        <v>416</v>
      </c>
      <c r="C20" s="110"/>
      <c r="D20" s="114"/>
      <c r="E20" s="117"/>
      <c r="F20" s="538" t="str">
        <f>'CREDIT CALCULATION FORM'!F22</f>
        <v>County Conservation District</v>
      </c>
      <c r="G20" s="539"/>
      <c r="H20" s="539"/>
      <c r="I20" s="540"/>
      <c r="J20" s="115"/>
      <c r="K20" s="114"/>
      <c r="L20" s="110"/>
      <c r="M20" s="110"/>
    </row>
    <row r="21" spans="1:13" ht="12.75">
      <c r="A21" s="118"/>
      <c r="B21" s="119"/>
      <c r="C21" s="110" t="s">
        <v>415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496">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1" t="str">
        <f>CONCATENATE(F46,F27)</f>
        <v>700</v>
      </c>
      <c r="G29" s="512"/>
      <c r="H29" s="512"/>
      <c r="I29" s="513"/>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23</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757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9" t="s">
        <v>425</v>
      </c>
      <c r="C40" s="499"/>
      <c r="D40" s="499"/>
      <c r="E40" s="499"/>
      <c r="F40" s="514" t="str">
        <f>'CREDIT CALCULATION FORM'!G38</f>
        <v>Grass, for hay </v>
      </c>
      <c r="G40" s="515"/>
      <c r="H40" s="515"/>
      <c r="I40" s="515"/>
      <c r="J40" s="515"/>
      <c r="K40" s="516"/>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426</v>
      </c>
      <c r="C43" s="499"/>
      <c r="D43" s="499"/>
      <c r="E43" s="499"/>
      <c r="F43" s="147">
        <f>'CREDIT CALCULATION FORM'!G39</f>
        <v>0.8</v>
      </c>
      <c r="G43" s="122"/>
      <c r="H43" s="122"/>
      <c r="I43" s="122"/>
      <c r="J43" s="120"/>
      <c r="K43" s="120"/>
      <c r="L43" s="110"/>
      <c r="M43" s="110"/>
    </row>
    <row r="44" spans="1:13" ht="12.75">
      <c r="A44" s="110"/>
      <c r="B44" s="499" t="s">
        <v>427</v>
      </c>
      <c r="C44" s="499"/>
      <c r="D44" s="499"/>
      <c r="E44" s="499"/>
      <c r="F44" s="215">
        <f>'CREDIT CALCULATION FORM'!G40</f>
        <v>3</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662</v>
      </c>
      <c r="C46" s="499"/>
      <c r="D46" s="499"/>
      <c r="E46" s="499"/>
      <c r="F46" s="331">
        <f>'CREDIT CALCULATION FORM'!G42</f>
        <v>70</v>
      </c>
      <c r="G46" s="127"/>
      <c r="H46" s="120"/>
      <c r="I46" s="120"/>
      <c r="J46" s="120"/>
      <c r="K46" s="120"/>
      <c r="L46" s="110"/>
      <c r="M46" s="110"/>
    </row>
    <row r="47" spans="1:13" ht="12.75">
      <c r="A47" s="123"/>
      <c r="B47" s="125"/>
      <c r="C47" s="499" t="s">
        <v>122</v>
      </c>
      <c r="D47" s="499"/>
      <c r="E47" s="499"/>
      <c r="F47" s="103">
        <f>VLOOKUP(F46,'BMPs and Bay Model Data'!A4:D30,4,FALSE)</f>
        <v>0.941</v>
      </c>
      <c r="G47" s="120"/>
      <c r="H47" s="120"/>
      <c r="I47" s="120"/>
      <c r="J47" s="120"/>
      <c r="K47" s="120"/>
      <c r="L47" s="110"/>
      <c r="M47" s="110"/>
    </row>
    <row r="48" spans="1:13" ht="12.75">
      <c r="A48" s="123"/>
      <c r="B48" s="125"/>
      <c r="C48" s="499" t="s">
        <v>123</v>
      </c>
      <c r="D48" s="499"/>
      <c r="E48" s="499"/>
      <c r="F48" s="103">
        <f>VLOOKUP(F46,'BMPs and Bay Model Data'!A4:E30,5,FALSE)</f>
        <v>0.45</v>
      </c>
      <c r="G48" s="127"/>
      <c r="H48" s="120"/>
      <c r="I48" s="120"/>
      <c r="J48" s="120"/>
      <c r="K48" s="120"/>
      <c r="L48" s="110"/>
      <c r="M48" s="110"/>
    </row>
    <row r="49" spans="1:13" ht="12.75">
      <c r="A49" s="110"/>
      <c r="B49" s="110"/>
      <c r="C49" s="110" t="s">
        <v>273</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10</v>
      </c>
      <c r="G56" s="117" t="s">
        <v>663</v>
      </c>
      <c r="H56" s="117"/>
      <c r="I56" s="117"/>
      <c r="J56" s="101">
        <f>'CREDIT CALCULATION FORM'!J50</f>
        <v>10</v>
      </c>
      <c r="K56" s="117" t="s">
        <v>663</v>
      </c>
      <c r="L56" s="117"/>
      <c r="M56" s="110"/>
    </row>
    <row r="57" spans="1:13" ht="12.75">
      <c r="A57" s="110"/>
      <c r="B57" s="131" t="s">
        <v>18</v>
      </c>
      <c r="C57" s="119"/>
      <c r="D57" s="116"/>
      <c r="E57" s="110"/>
      <c r="F57" s="247">
        <f>F56</f>
        <v>10</v>
      </c>
      <c r="G57" s="119" t="s">
        <v>663</v>
      </c>
      <c r="H57" s="117"/>
      <c r="I57" s="117"/>
      <c r="J57" s="247">
        <f>J56</f>
        <v>10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510</v>
      </c>
      <c r="D61" s="110"/>
      <c r="E61" s="110"/>
      <c r="F61" s="509" t="str">
        <f>'CREDIT CALCULATION FORM'!F55:I55</f>
        <v>Other- Treated Manure Solid</v>
      </c>
      <c r="G61" s="510"/>
      <c r="H61" s="510"/>
      <c r="I61" s="189"/>
      <c r="J61" s="509" t="str">
        <f>'CREDIT CALCULATION FORM'!J55:M55</f>
        <v>Other- Treated Manure Solid</v>
      </c>
      <c r="K61" s="510"/>
      <c r="L61" s="535"/>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10</v>
      </c>
      <c r="G63" s="117" t="str">
        <f>'CREDIT CALCULATION FORM'!G57</f>
        <v>lbs/ton</v>
      </c>
      <c r="H63" s="110"/>
      <c r="I63" s="117"/>
      <c r="J63" s="101">
        <f>'CREDIT CALCULATION FORM'!J57</f>
        <v>10</v>
      </c>
      <c r="K63" s="117" t="str">
        <f>'CREDIT CALCULATION FORM'!K57</f>
        <v>lbs/ton</v>
      </c>
      <c r="L63" s="110"/>
      <c r="M63" s="110"/>
    </row>
    <row r="64" spans="1:13" ht="12.75">
      <c r="A64" s="110"/>
      <c r="B64" s="117"/>
      <c r="C64" s="119" t="s">
        <v>671</v>
      </c>
      <c r="D64" s="110"/>
      <c r="E64" s="110"/>
      <c r="F64" s="103">
        <f>VLOOKUP(F61,'Data Tables'!$A$249:$B$270,2,FALSE)</f>
        <v>0</v>
      </c>
      <c r="G64" s="117" t="str">
        <f>'CREDIT CALCULATION FORM'!G57</f>
        <v>lbs/ton</v>
      </c>
      <c r="H64" s="117"/>
      <c r="I64" s="110"/>
      <c r="J64" s="103">
        <f>VLOOKUP(J61,'Data Tables'!$A$249:$B$270,2,FALSE)</f>
        <v>0</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8.67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686</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19</v>
      </c>
      <c r="C69" s="119"/>
      <c r="D69" s="110"/>
      <c r="E69" s="110"/>
      <c r="F69" s="247">
        <f>IF(F62="Yes",F65*F63,F65*F64)</f>
        <v>150</v>
      </c>
      <c r="G69" s="117" t="s">
        <v>663</v>
      </c>
      <c r="H69" s="117"/>
      <c r="I69" s="117"/>
      <c r="J69" s="247">
        <f>IF(J62="Yes",J65*J63,J65*J64)</f>
        <v>86.7</v>
      </c>
      <c r="K69" s="117" t="s">
        <v>663</v>
      </c>
      <c r="L69" s="117"/>
      <c r="M69" s="110"/>
    </row>
    <row r="70" spans="1:13" ht="12.75">
      <c r="A70" s="110"/>
      <c r="B70" s="131" t="s">
        <v>17</v>
      </c>
      <c r="C70" s="119"/>
      <c r="D70" s="116"/>
      <c r="E70" s="110"/>
      <c r="F70" s="247">
        <f>F68*F69</f>
        <v>22.5</v>
      </c>
      <c r="G70" s="119" t="s">
        <v>663</v>
      </c>
      <c r="H70" s="117"/>
      <c r="I70" s="117"/>
      <c r="J70" s="247">
        <f>J68*J69</f>
        <v>13.005</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35"/>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686</v>
      </c>
      <c r="E80" s="110"/>
      <c r="F80" s="511" t="str">
        <f>CONCATENATE(F73,F79)</f>
        <v>00</v>
      </c>
      <c r="G80" s="497"/>
      <c r="H80" s="497"/>
      <c r="I80" s="189"/>
      <c r="J80" s="511" t="str">
        <f>CONCATENATE(J73,J79)</f>
        <v>00</v>
      </c>
      <c r="K80" s="497"/>
      <c r="L80" s="498"/>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35"/>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686</v>
      </c>
      <c r="E93" s="110"/>
      <c r="F93" s="511" t="str">
        <f>CONCATENATE(F86,F92)</f>
        <v>00</v>
      </c>
      <c r="G93" s="497"/>
      <c r="H93" s="497"/>
      <c r="I93" s="189"/>
      <c r="J93" s="511" t="str">
        <f>CONCATENATE(J86,J92)</f>
        <v>00</v>
      </c>
      <c r="K93" s="497"/>
      <c r="L93" s="498"/>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160</v>
      </c>
      <c r="G98" s="119" t="s">
        <v>663</v>
      </c>
      <c r="H98" s="191" t="s">
        <v>409</v>
      </c>
      <c r="I98" s="117"/>
      <c r="J98" s="402">
        <f>IF(SUM(J57,J69,J82,J95)=0,F98,SUM(J57,J82,J69,J95))</f>
        <v>96.7</v>
      </c>
      <c r="K98" s="110" t="s">
        <v>663</v>
      </c>
      <c r="L98" s="110"/>
      <c r="M98" s="110"/>
    </row>
    <row r="99" spans="1:13" ht="13.5" thickBot="1">
      <c r="A99" s="110"/>
      <c r="B99" s="116" t="s">
        <v>27</v>
      </c>
      <c r="C99" s="119"/>
      <c r="D99" s="110"/>
      <c r="E99" s="110"/>
      <c r="F99" s="402">
        <f>SUM(F96,F83,F70,F57)</f>
        <v>32.5</v>
      </c>
      <c r="G99" s="119" t="s">
        <v>663</v>
      </c>
      <c r="H99" s="191" t="s">
        <v>409</v>
      </c>
      <c r="I99" s="191"/>
      <c r="J99" s="402">
        <f>IF(SUM(J96,J83,J70,J57)=0,F99,SUM(J96,J83,J70,J57))</f>
        <v>23.005000000000003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51" t="str">
        <f>'CREDIT CALCULATION FORM'!F101</f>
        <v>NONE</v>
      </c>
      <c r="G105" s="552"/>
      <c r="H105" s="552"/>
      <c r="I105" s="553"/>
      <c r="J105" s="110"/>
      <c r="K105" s="110"/>
      <c r="L105" s="110"/>
      <c r="M105" s="110"/>
    </row>
    <row r="106" spans="1:13" ht="12.75">
      <c r="A106" s="110"/>
      <c r="B106" s="117"/>
      <c r="C106" s="110" t="s">
        <v>842</v>
      </c>
      <c r="D106" s="110"/>
      <c r="E106" s="110"/>
      <c r="F106" s="474" t="str">
        <f>'CREDIT CALCULATION FORM'!F102</f>
        <v>Shelmadine</v>
      </c>
      <c r="G106" s="497"/>
      <c r="H106" s="497"/>
      <c r="I106" s="498"/>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150</v>
      </c>
      <c r="G116" s="124" t="s">
        <v>760</v>
      </c>
      <c r="H116" s="122"/>
      <c r="I116" s="122"/>
      <c r="J116" s="120"/>
      <c r="K116" s="120"/>
      <c r="L116" s="110"/>
      <c r="M116" s="110"/>
    </row>
    <row r="117" spans="1:13" ht="12.75">
      <c r="A117" s="110"/>
      <c r="B117" s="110"/>
      <c r="C117" s="278" t="s">
        <v>24</v>
      </c>
      <c r="D117" s="278"/>
      <c r="E117" s="278"/>
      <c r="F117" s="424">
        <f>F99+F111</f>
        <v>67.5</v>
      </c>
      <c r="G117" s="117" t="s">
        <v>663</v>
      </c>
      <c r="H117" s="117"/>
      <c r="I117" s="117"/>
      <c r="J117" s="110"/>
      <c r="K117" s="110"/>
      <c r="L117" s="110"/>
      <c r="M117" s="110"/>
    </row>
    <row r="118" spans="1:15" ht="12.75" customHeight="1" thickBot="1">
      <c r="A118" s="110"/>
      <c r="B118" s="110"/>
      <c r="C118" s="278" t="s">
        <v>25</v>
      </c>
      <c r="D118" s="278"/>
      <c r="E118" s="278"/>
      <c r="F118" s="389">
        <f>F111+J99</f>
        <v>58.005</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63.3</v>
      </c>
      <c r="G124" s="117" t="s">
        <v>663</v>
      </c>
      <c r="H124" s="257"/>
      <c r="I124" s="122"/>
      <c r="J124" s="110"/>
      <c r="K124" s="110"/>
      <c r="L124" s="110"/>
      <c r="M124" s="110"/>
    </row>
    <row r="125" spans="1:13" ht="12.75" customHeight="1" thickBot="1">
      <c r="A125" s="110"/>
      <c r="B125" s="110"/>
      <c r="C125" s="116" t="s">
        <v>86</v>
      </c>
      <c r="D125" s="110"/>
      <c r="E125" s="110"/>
      <c r="F125" s="248">
        <f>F124*F43</f>
        <v>50.64</v>
      </c>
      <c r="G125" s="110" t="s">
        <v>693</v>
      </c>
      <c r="H125" s="110"/>
      <c r="I125" s="129"/>
      <c r="J125" s="110"/>
      <c r="K125" s="110"/>
      <c r="L125" s="110"/>
      <c r="M125" s="110"/>
    </row>
    <row r="126" spans="1:13" ht="13.5" thickBot="1">
      <c r="A126" s="110"/>
      <c r="B126" s="110"/>
      <c r="C126" s="116" t="s">
        <v>87</v>
      </c>
      <c r="D126" s="110"/>
      <c r="E126" s="110"/>
      <c r="F126" s="371">
        <f>F125*F48</f>
        <v>22.788</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131.7</v>
      </c>
      <c r="G129" s="124" t="s">
        <v>663</v>
      </c>
      <c r="H129" s="122"/>
      <c r="I129" s="122"/>
      <c r="J129" s="120"/>
      <c r="K129" s="120"/>
      <c r="L129" s="110"/>
      <c r="M129" s="110"/>
    </row>
    <row r="130" spans="1:13" ht="12.75">
      <c r="A130" s="110"/>
      <c r="B130" s="124" t="s">
        <v>79</v>
      </c>
      <c r="C130" s="110"/>
      <c r="D130" s="124"/>
      <c r="E130" s="124"/>
      <c r="F130" s="424">
        <f>VLOOKUP(F40,'Data Tables'!A4:D78,4,FALSE)*F44</f>
        <v>81.1848</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50.51519999999999</v>
      </c>
      <c r="G132" s="119" t="s">
        <v>663</v>
      </c>
      <c r="H132" s="129"/>
      <c r="I132" s="110"/>
      <c r="J132" s="110"/>
      <c r="K132" s="110"/>
      <c r="L132" s="110"/>
      <c r="M132" s="110"/>
    </row>
    <row r="133" spans="1:13" ht="12.75" customHeight="1">
      <c r="A133" s="110"/>
      <c r="B133" s="278" t="s">
        <v>387</v>
      </c>
      <c r="C133" s="117"/>
      <c r="D133" s="117"/>
      <c r="E133" s="110"/>
      <c r="F133" s="248">
        <f>F132*F48</f>
        <v>22.73184</v>
      </c>
      <c r="G133" s="119" t="s">
        <v>663</v>
      </c>
      <c r="H133" s="129"/>
      <c r="I133" s="110"/>
      <c r="J133" s="110"/>
      <c r="K133" s="110"/>
      <c r="L133" s="110"/>
      <c r="M133" s="110"/>
    </row>
    <row r="134" spans="1:13" ht="12.75" customHeight="1">
      <c r="A134" s="110"/>
      <c r="B134" s="117" t="s">
        <v>140</v>
      </c>
      <c r="C134" s="117"/>
      <c r="D134" s="117"/>
      <c r="E134" s="110"/>
      <c r="F134" s="248">
        <f>F133-(F133*(1-K45)*(1-L45))</f>
        <v>8.582958378696627</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11.319105297042697</v>
      </c>
      <c r="G136" s="119" t="s">
        <v>693</v>
      </c>
      <c r="H136" s="129"/>
      <c r="I136" s="110"/>
      <c r="J136" s="110"/>
      <c r="K136" s="110"/>
      <c r="L136" s="110"/>
      <c r="M136" s="110"/>
    </row>
    <row r="137" spans="1:13" ht="12.75" customHeight="1">
      <c r="A137" s="110"/>
      <c r="B137" s="131" t="s">
        <v>85</v>
      </c>
      <c r="C137" s="119"/>
      <c r="D137" s="110"/>
      <c r="E137" s="110"/>
      <c r="F137" s="403">
        <f>IF(F43=0,"0",F136/F43)</f>
        <v>14.14888162130337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769</v>
      </c>
      <c r="C143" s="122" t="s">
        <v>52</v>
      </c>
      <c r="D143" s="110"/>
      <c r="E143" s="115"/>
      <c r="F143" s="110"/>
      <c r="G143" s="548" t="s">
        <v>377</v>
      </c>
      <c r="H143" s="549"/>
      <c r="I143" s="549"/>
      <c r="J143" s="549"/>
      <c r="K143" s="366" t="s">
        <v>376</v>
      </c>
      <c r="L143" s="110" t="s">
        <v>822</v>
      </c>
      <c r="M143" s="110"/>
    </row>
    <row r="144" spans="1:13" ht="12.75" customHeight="1">
      <c r="A144" s="110"/>
      <c r="B144" s="110"/>
      <c r="C144" s="110"/>
      <c r="D144" s="110"/>
      <c r="E144" s="532" t="str">
        <f>'CREDIT CALCULATION FORM'!F148</f>
        <v>Precision Grazing</v>
      </c>
      <c r="F144" s="550"/>
      <c r="G144" s="511" t="str">
        <f>IF(OR(E144=$E$245,E144=$E$246),CONCATENATE(E144,$F$151),IF(E144="Continuous No-Till*",CONCATENATE(E144,$F$49),IF(OR(E144=$E$249,E144=$E$250,E144=$E$251,E144=$E$252),CONCATENATE(E144,$F$45),E144)))</f>
        <v>Precision Grazing</v>
      </c>
      <c r="H144" s="497"/>
      <c r="I144" s="497"/>
      <c r="J144" s="498"/>
      <c r="K144" s="103" t="str">
        <f>IF(OR(E144=$E$249,E144=$E$250,E144=$E$251,E144=$E$252),CONCATENATE($F$46,VLOOKUP(G144,'BMPs and Bay Model Data'!$D$148:$E$166,2,FALSE)),'Calculations- All Data'!G144)</f>
        <v>Precision Grazing</v>
      </c>
      <c r="L144" s="272">
        <f>IF(OR(E144=$E$249,E144=$E$250,E144=$E$251,E144=$E$252),VLOOKUP(K144,'BMPs and Bay Model Data'!$A$170:$B$351,2,FALSE),VLOOKUP(K144,'BMPs and Bay Model Data'!$C$36:$D$57,2,FALSE))</f>
        <v>0.25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0.8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2.829776324260675</v>
      </c>
      <c r="G153" s="120" t="s">
        <v>693</v>
      </c>
      <c r="H153" s="122"/>
      <c r="I153" s="211"/>
      <c r="J153" s="254"/>
      <c r="K153" s="254"/>
      <c r="L153" s="120"/>
      <c r="M153" s="120"/>
    </row>
    <row r="154" spans="1:13" ht="12.75">
      <c r="A154" s="110"/>
      <c r="B154" s="110"/>
      <c r="C154" s="110"/>
      <c r="D154" s="141" t="s">
        <v>64</v>
      </c>
      <c r="E154" s="212"/>
      <c r="F154" s="281">
        <f>IF(F43=0,"0",(F136-F153)/F43)</f>
        <v>10.611661215977527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9"/>
      <c r="J156" s="549"/>
      <c r="K156" s="355" t="s">
        <v>368</v>
      </c>
      <c r="L156" s="357" t="s">
        <v>821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2.829776324260675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25.617776324260674</v>
      </c>
      <c r="G176" s="110" t="s">
        <v>693</v>
      </c>
      <c r="H176" s="110"/>
      <c r="I176" s="110"/>
      <c r="J176" s="110"/>
      <c r="K176" s="110"/>
      <c r="L176" s="110"/>
      <c r="M176" s="110"/>
    </row>
    <row r="177" spans="1:13" ht="12.75">
      <c r="A177" s="116"/>
      <c r="B177" s="131" t="s">
        <v>125</v>
      </c>
      <c r="C177" s="110"/>
      <c r="D177" s="110"/>
      <c r="E177" s="110"/>
      <c r="F177" s="406">
        <f>F47</f>
        <v>0.941</v>
      </c>
      <c r="G177" s="110"/>
      <c r="H177" s="110"/>
      <c r="I177" s="110"/>
      <c r="J177" s="110"/>
      <c r="K177" s="110"/>
      <c r="L177" s="110"/>
      <c r="M177" s="110"/>
    </row>
    <row r="178" spans="1:13" ht="12.75">
      <c r="A178" s="110"/>
      <c r="B178" s="116" t="s">
        <v>22</v>
      </c>
      <c r="C178" s="110"/>
      <c r="D178" s="110"/>
      <c r="E178" s="110"/>
      <c r="F178" s="412">
        <f>F176*F47</f>
        <v>24.106327521129295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24.106327521129295</v>
      </c>
      <c r="G180" s="110" t="s">
        <v>101</v>
      </c>
      <c r="H180" s="110"/>
      <c r="I180" s="110"/>
      <c r="J180" s="110"/>
      <c r="K180" s="110"/>
      <c r="L180" s="110"/>
      <c r="M180" s="110"/>
    </row>
    <row r="181" spans="1:13" ht="13.5" thickBot="1">
      <c r="A181" s="110"/>
      <c r="B181" s="116" t="s">
        <v>77</v>
      </c>
      <c r="C181" s="415"/>
      <c r="D181" s="415"/>
      <c r="E181" s="415"/>
      <c r="F181" s="416">
        <f>ROUND(F180,0)</f>
        <v>24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21.6</v>
      </c>
      <c r="G184" s="420" t="s">
        <v>101</v>
      </c>
      <c r="H184" s="110"/>
      <c r="I184" s="110"/>
      <c r="J184" s="110"/>
      <c r="K184" s="110"/>
      <c r="L184" s="110"/>
      <c r="M184" s="110"/>
    </row>
    <row r="185" spans="1:13" ht="15.75" thickBot="1">
      <c r="A185" s="110"/>
      <c r="B185" s="112" t="s">
        <v>75</v>
      </c>
      <c r="C185" s="421"/>
      <c r="D185" s="421"/>
      <c r="E185" s="421"/>
      <c r="F185" s="414">
        <f>ROUND(F184,0)</f>
        <v>22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88</v>
      </c>
      <c r="B2" s="566"/>
      <c r="C2" s="566"/>
      <c r="D2" s="566"/>
      <c r="E2" s="497"/>
      <c r="F2" s="497"/>
      <c r="G2" s="497"/>
      <c r="H2" s="498"/>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7" t="s">
        <v>509</v>
      </c>
      <c r="B81" s="497"/>
      <c r="C81" s="23"/>
      <c r="D81" s="22"/>
      <c r="E81" s="22"/>
      <c r="F81" s="22"/>
      <c r="G81" s="22"/>
    </row>
    <row r="82" spans="1:7" ht="12.75">
      <c r="A82" s="579" t="s">
        <v>628</v>
      </c>
      <c r="B82" s="568" t="s">
        <v>503</v>
      </c>
      <c r="C82" s="577"/>
      <c r="D82" s="16"/>
      <c r="E82" s="5"/>
      <c r="F82" s="5"/>
      <c r="G82" s="5"/>
    </row>
    <row r="83" spans="1:7" ht="12.75">
      <c r="A83" s="580"/>
      <c r="B83" s="569"/>
      <c r="C83" s="578"/>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7" t="s">
        <v>773</v>
      </c>
      <c r="B123" s="572"/>
      <c r="D123" s="379"/>
      <c r="E123" s="45"/>
      <c r="F123" s="378"/>
      <c r="G123" s="22"/>
    </row>
    <row r="124" spans="1:7" ht="12.75">
      <c r="A124" s="570" t="s">
        <v>774</v>
      </c>
      <c r="B124" s="573" t="s">
        <v>845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5"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5" t="s">
        <v>675</v>
      </c>
      <c r="B247" s="497"/>
      <c r="C247" s="497"/>
      <c r="D247" s="497"/>
      <c r="E247" s="498"/>
    </row>
    <row r="248" spans="1:5" ht="12.75">
      <c r="A248" s="28" t="s">
        <v>672</v>
      </c>
      <c r="B248" s="575" t="s">
        <v>673</v>
      </c>
      <c r="C248" s="576"/>
      <c r="D248" s="576"/>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84" t="s">
        <v>674</v>
      </c>
      <c r="D252" s="585"/>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5" t="s">
        <v>718</v>
      </c>
      <c r="B33" s="497"/>
      <c r="C33" s="497"/>
      <c r="D33" s="497"/>
      <c r="E33" s="497"/>
      <c r="F33" s="498"/>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5" t="s">
        <v>264</v>
      </c>
      <c r="B60" s="497"/>
      <c r="C60" s="497"/>
      <c r="D60" s="497"/>
      <c r="E60" s="497"/>
      <c r="F60" s="498"/>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2021-08-12T13:19:03Z</dcterms:modified>
  <cp:category/>
  <cp:version/>
  <cp:contentType/>
  <cp:contentStatus/>
</cp:coreProperties>
</file>