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0" yWindow="65356" windowWidth="11340" windowHeight="8835" tabRatio="527"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Data'!$B$63</definedName>
  </definedNames>
  <calcPr fullCalcOnLoad="1"/>
</workbook>
</file>

<file path=xl/comments2.xml><?xml version="1.0" encoding="utf-8"?>
<comments xmlns="http://schemas.openxmlformats.org/spreadsheetml/2006/main">
  <authors>
    <author>Jenny Guiling</author>
    <author>Jenny</author>
  </authors>
  <commentList>
    <comment ref="F151" authorId="0">
      <text>
        <r>
          <rPr>
            <sz val="8"/>
            <rFont val="Tahoma"/>
            <family val="2"/>
          </rPr>
          <t xml:space="preserve">There are 2 reductions for Buffers, and they are added together here. The first reduction is applied to 4 upland acres only. This percentage is found in cell F33. The next reduction is applied to the landuse conversion of the actual buffer itself (from row crops).  This efficiency is found in cell F35. These reductions are applied to a baseline that has already been reduced depending on the tillage methods.
</t>
        </r>
      </text>
    </comment>
    <comment ref="F150" authorId="0">
      <text>
        <r>
          <rPr>
            <sz val="8"/>
            <rFont val="Tahoma"/>
            <family val="2"/>
          </rPr>
          <t>The lookup for this value can be found in cells k49-L49. The percentage efficiencies for conservation and no-till are multiplied by the EOS Nitrogen Load in the cell above.</t>
        </r>
      </text>
    </comment>
    <comment ref="F148" authorId="1">
      <text>
        <r>
          <rPr>
            <sz val="8"/>
            <rFont val="Tahoma"/>
            <family val="2"/>
          </rPr>
          <t xml:space="preserve">This is the sum of the "background soil P loss from erosion" (F137), "background dissolved P" (F142) and the "dissolved P loss from manure" (F147).
</t>
        </r>
      </text>
    </comment>
    <comment ref="J148" authorId="1">
      <text>
        <r>
          <rPr>
            <b/>
            <sz val="8"/>
            <rFont val="Tahoma"/>
            <family val="2"/>
          </rPr>
          <t>Jenny:</t>
        </r>
        <r>
          <rPr>
            <sz val="8"/>
            <rFont val="Tahoma"/>
            <family val="2"/>
          </rPr>
          <t xml:space="preserve">
this is the user-entered RUSLE2 value</t>
        </r>
      </text>
    </comment>
    <comment ref="B138" authorId="1">
      <text>
        <r>
          <rPr>
            <sz val="8"/>
            <rFont val="Tahoma"/>
            <family val="0"/>
          </rPr>
          <t>SOURCE: 
Vadas et, al. Relating Soil Phosphorus to Dissolved Phosphorus in Runoff: A Single Extraction Coefficient for Water Quality Modeling. Published in J. Environ. Qual. 34:572–580 (2005).
Doug Beegle, Peter Klineman, and Barry Evans (all PSU) recommended that this equation be used.</t>
        </r>
      </text>
    </comment>
    <comment ref="B135" authorId="1">
      <text>
        <r>
          <rPr>
            <sz val="8"/>
            <rFont val="Tahoma"/>
            <family val="0"/>
          </rPr>
          <t>SOURCE: 
Evans, B.M., 2002.  Development of an Automated GIS-Based Modeling Approach to Support Regional Watershed  Assessments.  Ph.D. dissertation in the Dept. of Crop and Soil Sciences, Penn State University, 231 pp.
Doug Beegle, Peter Klineman, and Barry Evans (all PSU) recommended that this equation be used.</t>
        </r>
      </text>
    </comment>
    <comment ref="B55" authorId="1">
      <text>
        <r>
          <rPr>
            <sz val="8"/>
            <rFont val="Tahoma"/>
            <family val="0"/>
          </rPr>
          <t xml:space="preserve">SCS Curve Number methodology is from:
Urban Hydrology for Small Watersheds; USDA-NRCS; June 1986
</t>
        </r>
      </text>
    </comment>
  </commentList>
</comments>
</file>

<file path=xl/comments3.xml><?xml version="1.0" encoding="utf-8"?>
<comments xmlns="http://schemas.openxmlformats.org/spreadsheetml/2006/main">
  <authors>
    <author>Jenny Guiling</author>
    <author>Jenny</author>
  </authors>
  <commentList>
    <comment ref="A200" authorId="0">
      <text>
        <r>
          <rPr>
            <sz val="8"/>
            <rFont val="Tahoma"/>
            <family val="2"/>
          </rPr>
          <t xml:space="preserve">Information on Nutrient content of manure from this chart is taken from table 1.2.13 of the Penn State Agronomy Guide.
Information on the P source coefficient is from the PA P-Index.
</t>
        </r>
      </text>
    </comment>
    <comment ref="F3" authorId="1">
      <text>
        <r>
          <rPr>
            <b/>
            <sz val="8"/>
            <rFont val="Tahoma"/>
            <family val="2"/>
          </rPr>
          <t>Jenny:</t>
        </r>
        <r>
          <rPr>
            <sz val="8"/>
            <rFont val="Tahoma"/>
            <family val="2"/>
          </rPr>
          <t xml:space="preserve">
Data from 1971-2000</t>
        </r>
      </text>
    </comment>
    <comment ref="G3" authorId="1">
      <text>
        <r>
          <rPr>
            <b/>
            <sz val="8"/>
            <rFont val="Tahoma"/>
            <family val="2"/>
          </rPr>
          <t>Jenny:</t>
        </r>
        <r>
          <rPr>
            <sz val="8"/>
            <rFont val="Tahoma"/>
            <family val="2"/>
          </rPr>
          <t xml:space="preserve">
average value for PA</t>
        </r>
      </text>
    </comment>
    <comment ref="A84" authorId="0">
      <text>
        <r>
          <rPr>
            <sz val="8"/>
            <rFont val="Tahoma"/>
            <family val="2"/>
          </rPr>
          <t xml:space="preserve">Crop productivity group From Table 1.1.1 Agronomy Guide. Used for Residual contribution from legumes table. (for N calcs only)
Soil hydrologic group is from information Ed White (NRCS State Soil Scientist for PA) sent Jenny Guiling via email on 1/31/08. Ed sent Jenny soil hydrologic groups by county and by SSURGO soil types (very detailed). Because this was a lot of data for the calculation spreadsheets, Jenny simplified it and listed hydrologic information by soil series name only, since for the most part the entire soil series had the same hydrologic group. Some soil series had 2 different hydrologic groups listed, however in all instances 1 hydrologic group was for counties not in the Chesapeake Bay Watershed (in the westernmostpart of the state) and the other hydrologic group were for counties within the Bay Watershed (see green highlighted fields below). 
</t>
        </r>
      </text>
    </comment>
    <comment ref="C107" authorId="1">
      <text>
        <r>
          <rPr>
            <sz val="8"/>
            <rFont val="Tahoma"/>
            <family val="2"/>
          </rPr>
          <t xml:space="preserve">chose d because all counties in CB watershed were d, and all counties in western part of state not in watershed were c/d. </t>
        </r>
      </text>
    </comment>
    <comment ref="C122" authorId="1">
      <text>
        <r>
          <rPr>
            <sz val="8"/>
            <rFont val="Tahoma"/>
            <family val="2"/>
          </rPr>
          <t xml:space="preserve">chose b because all counties in CB watershed were b, and all counties in western part of state not in watershed were a. </t>
        </r>
      </text>
    </comment>
    <comment ref="C125" authorId="1">
      <text>
        <r>
          <rPr>
            <sz val="8"/>
            <rFont val="Tahoma"/>
            <family val="2"/>
          </rPr>
          <t xml:space="preserve">chose b because all counties in CB watershed were b, and alleghany county, which had some a's, is in western part of state not in watershed. </t>
        </r>
      </text>
    </comment>
    <comment ref="C144" authorId="1">
      <text>
        <r>
          <rPr>
            <sz val="8"/>
            <rFont val="Tahoma"/>
            <family val="2"/>
          </rPr>
          <t xml:space="preserve">chose b because most counties in CB watershed were b, and most of the a's were in western part of state not in watershed. </t>
        </r>
      </text>
    </comment>
    <comment ref="C181" authorId="1">
      <text>
        <r>
          <rPr>
            <sz val="8"/>
            <rFont val="Tahoma"/>
            <family val="2"/>
          </rPr>
          <t xml:space="preserve">chose c because potter county was only one in CB watershed and it was c. </t>
        </r>
      </text>
    </comment>
    <comment ref="C188" authorId="1">
      <text>
        <r>
          <rPr>
            <sz val="8"/>
            <rFont val="Tahoma"/>
            <family val="2"/>
          </rPr>
          <t>chose c because the only county that was d was Erie county, and that is not in CB watershed.</t>
        </r>
      </text>
    </comment>
    <comment ref="C189" authorId="1">
      <text>
        <r>
          <rPr>
            <sz val="8"/>
            <rFont val="Tahoma"/>
            <family val="2"/>
          </rPr>
          <t>chose c because the only county that was d was Erie county, and that is not in CB watershed.</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D52" authorId="0">
      <text>
        <r>
          <rPr>
            <sz val="8"/>
            <rFont val="Tahoma"/>
            <family val="2"/>
          </rPr>
          <t>These efficiencies are from going from conservation till to no-till. (not from going from conventional to no-till)</t>
        </r>
      </text>
    </comment>
    <comment ref="D53" authorId="0">
      <text>
        <r>
          <rPr>
            <sz val="8"/>
            <rFont val="Tahoma"/>
            <family val="2"/>
          </rPr>
          <t xml:space="preserve">These efficiencies are from going from conservation till to no-till. (not from going from conventional to no-till)
</t>
        </r>
      </text>
    </comment>
    <comment ref="A56" authorId="0">
      <text>
        <r>
          <rPr>
            <sz val="8"/>
            <rFont val="Tahoma"/>
            <family val="2"/>
          </rPr>
          <t>THIS EFFICIENCY IS CURRENTLY NOT ABLE TO GENERATE CREDITS.</t>
        </r>
      </text>
    </comment>
    <comment ref="A62"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7"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<sst xmlns="http://schemas.openxmlformats.org/spreadsheetml/2006/main" count="2160" uniqueCount="925">
  <si>
    <r>
      <t>Background Soil P Loss:</t>
    </r>
    <r>
      <rPr>
        <vertAlign val="superscript"/>
        <sz val="10"/>
        <rFont val="Arial"/>
        <family val="2"/>
      </rPr>
      <t>1</t>
    </r>
  </si>
  <si>
    <r>
      <t>Background Dissolved P Loss:</t>
    </r>
    <r>
      <rPr>
        <vertAlign val="superscript"/>
        <sz val="10"/>
        <rFont val="Arial"/>
        <family val="2"/>
      </rPr>
      <t>2</t>
    </r>
  </si>
  <si>
    <r>
      <t>Total Phosphorus Lost from Fertilizer Runoff:</t>
    </r>
    <r>
      <rPr>
        <vertAlign val="superscript"/>
        <sz val="10"/>
        <rFont val="Arial"/>
        <family val="2"/>
      </rPr>
      <t>3</t>
    </r>
  </si>
  <si>
    <t>4. Total Load on Field Available for Runoff = (Background Soil P Loss) + (Background Dissolved P Loss) + (P Runoff from Fertilizer Applications)</t>
  </si>
  <si>
    <t>1. Background Soil P Loss is calculated using the user-supplied RUSLE2 value and Mehlich-3 P test results entered in Section 3.</t>
  </si>
  <si>
    <t>2. Background Dissolved P Loss is calculated using Mehlich-3 P test results as well as factors that calculate average rainfall runoff values using the SCS Curve Number Approach. These user-supplied values are found in Section 3.</t>
  </si>
  <si>
    <t>3. Total Phosphorus Lost from Fertilizer Runoff calculates the amount of P applied that has potential to runoff the field. This calculation is performed as part of Section 4 (See cell J100)</t>
  </si>
  <si>
    <r>
      <t>7. Planned Phosphorus and Sediment Reductions- Best Management Practices</t>
    </r>
    <r>
      <rPr>
        <b/>
        <vertAlign val="superscript"/>
        <sz val="11"/>
        <rFont val="Arial"/>
        <family val="2"/>
      </rPr>
      <t>1</t>
    </r>
  </si>
  <si>
    <t>Use the drop down options below to select any number of BMPs to implement that may generate phosphorus and sediment credits. The total phosphorus and sediment reduced for all BMPs chosen in this section appears on Line 166. If you are only generating credits from manure management (calculated in Section 5 above) then you can skip this section.</t>
  </si>
  <si>
    <t>EOS Reductions from BMPs:</t>
  </si>
  <si>
    <t>Sediment:</t>
  </si>
  <si>
    <t>Phosphorus:</t>
  </si>
  <si>
    <t>Cereal Cover Crop on Conservation or No-Till**</t>
  </si>
  <si>
    <t>Commodity Cereal Cover Crop**</t>
  </si>
  <si>
    <t>*If you plan on implementing Continuous No-till and you are currently doing conventional till (Section 3 above), then please select both "Conservation till" AND "Continuous no-till" in the drop down boxes to receive full phosphorus and sediment reduction credits.</t>
  </si>
  <si>
    <t>**Please note that phosphorus and sediment credits are not generated for implementing cereal cover crops on conservation or no-till and commodity cereal cover crops (on conventional till, conservation till, and no-till). These BMPs do, however, generate nitrogen credits.</t>
  </si>
  <si>
    <t>in</t>
  </si>
  <si>
    <t>c</t>
  </si>
  <si>
    <t>d</t>
  </si>
  <si>
    <t xml:space="preserve">Calculating Rainfall Runoff using the SCS Curve Number: </t>
  </si>
  <si>
    <t>Close Seeded</t>
  </si>
  <si>
    <t>-DRAFT- PHOSPHORUS AND SEDIMENT CREDIT CALCULATION FORM- Effective January 30, 2008</t>
  </si>
  <si>
    <t>160low till to hayland</t>
  </si>
  <si>
    <t>Nutrient Content of Manure and P Source Coefficients</t>
  </si>
  <si>
    <t>P Source Coefficient:</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</si>
  <si>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</si>
  <si>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</si>
  <si>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</si>
  <si>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</si>
  <si>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</si>
  <si>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</si>
  <si>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</si>
  <si>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</si>
  <si>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</si>
  <si>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</si>
  <si>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</si>
  <si>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</si>
  <si>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</si>
  <si>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</si>
  <si>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</si>
  <si>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</si>
  <si>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</si>
  <si>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</si>
  <si>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</si>
  <si>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</si>
  <si>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</si>
  <si>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</si>
  <si>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</si>
  <si>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</si>
  <si>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</si>
  <si>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</si>
  <si>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</si>
  <si>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</si>
  <si>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</si>
  <si>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</si>
  <si>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</si>
  <si>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</si>
  <si>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</si>
  <si>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</si>
  <si>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</si>
  <si>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</si>
  <si>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</si>
  <si>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</si>
  <si>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</si>
  <si>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</si>
  <si>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</si>
  <si>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</si>
  <si>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</si>
  <si>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</si>
  <si>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</si>
  <si>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</si>
  <si>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</si>
  <si>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</si>
  <si>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</si>
  <si>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</si>
  <si>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</si>
  <si>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</si>
  <si>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</si>
  <si>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</si>
  <si>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</si>
  <si>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</si>
  <si>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r>
      <t>This form will help assist the agricultural sector in determining how many phosphorus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</si>
  <si>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Mehlich-3 P test value (average across field)</t>
  </si>
  <si>
    <t>ppm</t>
  </si>
  <si>
    <t>RUSLE 2 Soil Loss Value</t>
  </si>
  <si>
    <t>Background Soil P Loss from Erosion:</t>
  </si>
  <si>
    <t>kg/ton</t>
  </si>
  <si>
    <t>Background Soil P Loss from Erosion</t>
  </si>
  <si>
    <t>Background Dissolved P Loss</t>
  </si>
  <si>
    <t>P</t>
  </si>
  <si>
    <t>S</t>
  </si>
  <si>
    <t>Average P Concentration</t>
  </si>
  <si>
    <t>Phosphate</t>
  </si>
  <si>
    <t>Phosphorus</t>
  </si>
  <si>
    <t>Manure Application Factor</t>
  </si>
  <si>
    <t>Placed or injected 2” or more deep</t>
  </si>
  <si>
    <t>Incorporated less than 1 week following application</t>
  </si>
  <si>
    <t>Surface applied to frozen or snow-covered soil</t>
  </si>
  <si>
    <t>Manure Application</t>
  </si>
  <si>
    <t>P Source Coefficient</t>
  </si>
  <si>
    <t xml:space="preserve">lbs/ac/yr     </t>
  </si>
  <si>
    <t>2. Please total up all commercial fertilizer applications over the year and include them here.</t>
  </si>
  <si>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</si>
  <si>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</si>
  <si>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</si>
  <si>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</si>
  <si>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Current</t>
  </si>
  <si>
    <t>Planned</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</si>
  <si>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</si>
  <si>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</si>
  <si>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</si>
  <si>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</si>
  <si>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</si>
  <si>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</si>
  <si>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</si>
  <si>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</si>
  <si>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</si>
  <si>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</si>
  <si>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</si>
  <si>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</si>
  <si>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</si>
  <si>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</si>
  <si>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</si>
  <si>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</si>
  <si>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 xml:space="preserve">Crop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</si>
  <si>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</si>
  <si>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</si>
  <si>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</si>
  <si>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</si>
  <si>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</si>
  <si>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</si>
  <si>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</si>
  <si>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</si>
  <si>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</si>
  <si>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</si>
  <si>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</si>
  <si>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</si>
  <si>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</si>
  <si>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</si>
  <si>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</si>
  <si>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</si>
  <si>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</si>
  <si>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</si>
  <si>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</si>
  <si>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</si>
  <si>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</si>
  <si>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</si>
  <si>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</si>
  <si>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</si>
  <si>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</si>
  <si>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</si>
  <si>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</si>
  <si>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</si>
  <si>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</si>
  <si>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</si>
  <si>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</si>
  <si>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</si>
  <si>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</si>
  <si>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</si>
  <si>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</si>
  <si>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</si>
  <si>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</si>
  <si>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</si>
  <si>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</si>
  <si>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</si>
  <si>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</si>
  <si>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</si>
  <si>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</si>
  <si>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</si>
  <si>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</si>
  <si>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</si>
  <si>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</si>
  <si>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</si>
  <si>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</si>
  <si>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</si>
  <si>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</si>
  <si>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</si>
  <si>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</si>
  <si>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</si>
  <si>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</si>
  <si>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</si>
  <si>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</si>
  <si>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</si>
  <si>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</si>
  <si>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 xml:space="preserve">Melon-Watermelon </t>
  </si>
  <si>
    <t xml:space="preserve">Corn-Field, for grain (shelled, yellow dent, grade #1) </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</si>
  <si>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</si>
  <si>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</si>
  <si>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</si>
  <si>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</si>
  <si>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</si>
  <si>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</si>
  <si>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</si>
  <si>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</si>
  <si>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</si>
  <si>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</si>
  <si>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</si>
  <si>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</si>
  <si>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</si>
  <si>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</si>
  <si>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</si>
  <si>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</si>
  <si>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</si>
  <si>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</si>
  <si>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</si>
  <si>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</si>
  <si>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</si>
  <si>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</si>
  <si>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</si>
  <si>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</si>
  <si>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</si>
  <si>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</si>
  <si>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</si>
  <si>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</si>
  <si>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</si>
  <si>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</si>
  <si>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</si>
  <si>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</si>
  <si>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</si>
  <si>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</si>
  <si>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</si>
  <si>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</si>
  <si>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</si>
  <si>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</si>
  <si>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</si>
  <si>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</si>
  <si>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</si>
  <si>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</si>
  <si>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</si>
  <si>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</si>
  <si>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</si>
  <si>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</si>
  <si>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</si>
  <si>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</si>
  <si>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</si>
  <si>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</si>
  <si>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</si>
  <si>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</si>
  <si>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</si>
  <si>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</si>
  <si>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</si>
  <si>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</si>
  <si>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</si>
  <si>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</si>
  <si>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</si>
  <si>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</si>
  <si>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</si>
  <si>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</si>
  <si>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</si>
  <si>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</si>
  <si>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</si>
  <si>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</si>
  <si>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</si>
  <si>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</si>
  <si>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</si>
  <si>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</si>
  <si>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</si>
  <si>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</si>
  <si>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</si>
  <si>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</si>
  <si>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</si>
  <si>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</si>
  <si>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</si>
  <si>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</si>
  <si>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</si>
  <si>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</si>
  <si>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</si>
  <si>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</si>
  <si>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</si>
  <si>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</si>
  <si>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</si>
  <si>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</si>
  <si>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</si>
  <si>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</si>
  <si>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</si>
  <si>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</si>
  <si>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</si>
  <si>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</si>
  <si>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</si>
  <si>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</si>
  <si>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</si>
  <si>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</si>
  <si>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</si>
  <si>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</si>
  <si>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</si>
  <si>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</si>
  <si>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</si>
  <si>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</si>
  <si>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</si>
  <si>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</si>
  <si>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</si>
  <si>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</si>
  <si>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</si>
  <si>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</si>
  <si>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</si>
  <si>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</si>
  <si>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</si>
  <si>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</si>
  <si>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</si>
  <si>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</si>
  <si>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</si>
  <si>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</si>
  <si>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Watershed Model Segment Number</t>
  </si>
  <si>
    <t>lbs/ac</t>
  </si>
  <si>
    <t>Poultry</t>
  </si>
  <si>
    <t>Beef</t>
  </si>
  <si>
    <t>Dairy- Solid</t>
  </si>
  <si>
    <t>Dairy- Liquid Slurry</t>
  </si>
  <si>
    <t>lbs N/</t>
  </si>
  <si>
    <t>Do you have a recent manure analysis test?</t>
  </si>
  <si>
    <t>Manure Type</t>
  </si>
  <si>
    <t>lbs/ton</t>
  </si>
  <si>
    <t>General Information</t>
  </si>
  <si>
    <t>NONE</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</si>
  <si>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</si>
  <si>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</si>
  <si>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</si>
  <si>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</si>
  <si>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</si>
  <si>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</si>
  <si>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</si>
  <si>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</si>
  <si>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</si>
  <si>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</si>
  <si>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</si>
  <si>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</si>
  <si>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</si>
  <si>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</si>
  <si>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</si>
  <si>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</si>
  <si>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</si>
  <si>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</si>
  <si>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</si>
  <si>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</si>
  <si>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</si>
  <si>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</si>
  <si>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</si>
  <si>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</si>
  <si>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</si>
  <si>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</si>
  <si>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</si>
  <si>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</si>
  <si>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</si>
  <si>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Watershed</t>
  </si>
  <si>
    <t>Watershed Segment ID</t>
  </si>
  <si>
    <t>Nitrogen EOS</t>
  </si>
  <si>
    <t>Phosphorus EOS</t>
  </si>
  <si>
    <t>Phosphorus DF</t>
  </si>
  <si>
    <t>Nitrogen DF</t>
  </si>
  <si>
    <t>Potomac</t>
  </si>
  <si>
    <t>Fall Line</t>
  </si>
  <si>
    <t>Below</t>
  </si>
  <si>
    <t>Susquehanna</t>
  </si>
  <si>
    <t>Above</t>
  </si>
  <si>
    <t>Conservation Till</t>
  </si>
  <si>
    <t>Swine</t>
  </si>
  <si>
    <t>Credits/Year</t>
  </si>
  <si>
    <t>This form provides all of the underlying calculation information needed on the Credit Calculation Form. Users do not need to fill anything out on this page, or any of the subsequent Data Table pages.</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</si>
  <si>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</si>
  <si>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</si>
  <si>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</si>
  <si>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t>1. Baseline Requirements to Generate Credits</t>
  </si>
  <si>
    <t>2. Threshold Requirements to Generate Credits</t>
  </si>
  <si>
    <t>3. General Information</t>
  </si>
  <si>
    <t>Manure type:</t>
  </si>
  <si>
    <t>a.</t>
  </si>
  <si>
    <t>b.</t>
  </si>
  <si>
    <t>c.</t>
  </si>
  <si>
    <t>d.</t>
  </si>
  <si>
    <t>Type of Buffer</t>
  </si>
  <si>
    <t>Riparian Forest Buffer</t>
  </si>
  <si>
    <t>Concatenated version (for V-Lookup)</t>
  </si>
  <si>
    <t>Concatenated version            (for V-Lookup)</t>
  </si>
  <si>
    <t>Riparian Grass Buffer</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</si>
  <si>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</si>
  <si>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</si>
  <si>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</si>
  <si>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</si>
  <si>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</si>
  <si>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</si>
  <si>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</si>
  <si>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</si>
  <si>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</si>
  <si>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</si>
  <si>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</si>
  <si>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</si>
  <si>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</si>
  <si>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</si>
  <si>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</si>
  <si>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Horse</t>
  </si>
  <si>
    <t>Application #1</t>
  </si>
  <si>
    <t>Application #2</t>
  </si>
  <si>
    <t>Application #4</t>
  </si>
  <si>
    <t>Application #3</t>
  </si>
  <si>
    <t>(use if needed)</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</si>
  <si>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</si>
  <si>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</si>
  <si>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</si>
  <si>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</si>
  <si>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</si>
  <si>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</si>
  <si>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</si>
  <si>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</si>
  <si>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</si>
  <si>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Lettuce-Head, for head</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</si>
  <si>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</si>
  <si>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</si>
  <si>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</si>
  <si>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</si>
  <si>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</si>
  <si>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</si>
  <si>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</si>
  <si>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</si>
  <si>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</si>
  <si>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</si>
  <si>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</si>
  <si>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</si>
  <si>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</si>
  <si>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</si>
  <si>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</si>
  <si>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</si>
  <si>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</si>
  <si>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</si>
  <si>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</si>
  <si>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</si>
  <si>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Is farm in compliance with Act 38 Nutrient Management Regulations, Chapter 102 Erosion &amp; Sedimentation Regulations, Chapter 91.36 (for agricultural operations), and Chapter 92 (for CAFO operations), as applicable? *</t>
  </si>
  <si>
    <t xml:space="preserve">*Compliance can be determined through a site inspection or verification of the development and implementation of a Nutrient Management Plan, E&amp;S Plan (or an acceptable conservation plan), or Manure Management Plan, as applicable. </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</si>
  <si>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</si>
  <si>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</si>
  <si>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</si>
  <si>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acres</t>
  </si>
  <si>
    <t xml:space="preserve">   Cover Crop planting time:</t>
  </si>
  <si>
    <t xml:space="preserve">    Total feet of streambank to be restored: </t>
  </si>
  <si>
    <t>e.</t>
  </si>
  <si>
    <t>g.</t>
  </si>
  <si>
    <t xml:space="preserve">f. </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</si>
  <si>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</si>
  <si>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</si>
  <si>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</si>
  <si>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</si>
  <si>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</si>
  <si>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</si>
  <si>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</si>
  <si>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</si>
  <si>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</si>
  <si>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1. Total acres BMPs are implemented on:</t>
  </si>
  <si>
    <t>lbs/ac/yr</t>
  </si>
  <si>
    <t xml:space="preserve">5. Avg. EOS nitrogen load after BMPs in place: </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</si>
  <si>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</si>
  <si>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</si>
  <si>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</si>
  <si>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</si>
  <si>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</si>
  <si>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</si>
  <si>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</si>
  <si>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</si>
  <si>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</si>
  <si>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Total Credits Generated:</t>
  </si>
  <si>
    <t xml:space="preserve">Credits Retired to DEP Reserve: </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</si>
  <si>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</si>
  <si>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</si>
  <si>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</si>
  <si>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TN Reduction Efficiency</t>
  </si>
  <si>
    <t>TP Reduction Efficiency</t>
  </si>
  <si>
    <t>SED Reduction Efficiency</t>
  </si>
  <si>
    <t>Carbon Sequestration</t>
  </si>
  <si>
    <t>Additional information</t>
  </si>
  <si>
    <t>Project Name:</t>
  </si>
  <si>
    <t>GUIDE TO COLORS USED:</t>
  </si>
  <si>
    <t>Credits/Year (Rounded)</t>
  </si>
  <si>
    <t>Credits/Year (Not-Rounded)</t>
  </si>
  <si>
    <t>Late-Planting - Up to 7 days after published first frost date</t>
  </si>
  <si>
    <t>(x)</t>
  </si>
  <si>
    <t>(=)</t>
  </si>
  <si>
    <t>(-)</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</si>
  <si>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</si>
  <si>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</si>
  <si>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</si>
  <si>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</si>
  <si>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1000 gallons/ac</t>
  </si>
  <si>
    <t>Delivery Ratio</t>
  </si>
  <si>
    <t>Edge of Segment Ratio</t>
  </si>
  <si>
    <t>Contact Information</t>
  </si>
  <si>
    <r>
      <t>Delivery Ratio</t>
    </r>
    <r>
      <rPr>
        <sz val="10"/>
        <rFont val="Arial"/>
        <family val="2"/>
      </rPr>
      <t xml:space="preserve">                                             </t>
    </r>
  </si>
  <si>
    <r>
      <t>Total Credits Available to Trade</t>
    </r>
    <r>
      <rPr>
        <sz val="10"/>
        <rFont val="Arial"/>
        <family val="2"/>
      </rPr>
      <t xml:space="preserve">              </t>
    </r>
  </si>
  <si>
    <t xml:space="preserve">Credits Retired to Meet the Threshold:                      </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</si>
  <si>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</si>
  <si>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</si>
  <si>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</si>
  <si>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</si>
  <si>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Conventional 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</si>
  <si>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</si>
  <si>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</si>
  <si>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</si>
  <si>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</si>
  <si>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</si>
  <si>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</si>
  <si>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</si>
  <si>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</si>
  <si>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</si>
  <si>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</si>
  <si>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</si>
  <si>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</si>
  <si>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</si>
  <si>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</si>
  <si>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</si>
  <si>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</si>
  <si>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</si>
  <si>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</si>
  <si>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</si>
  <si>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</si>
  <si>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</si>
  <si>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</si>
  <si>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</si>
  <si>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</si>
  <si>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</si>
  <si>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</si>
  <si>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</si>
  <si>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</si>
  <si>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</si>
  <si>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</si>
  <si>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</si>
  <si>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</si>
  <si>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</si>
  <si>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</si>
  <si>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</si>
  <si>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</si>
  <si>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</si>
  <si>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</si>
  <si>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</si>
  <si>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</si>
  <si>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</si>
  <si>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</si>
  <si>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</si>
  <si>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</si>
  <si>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</si>
  <si>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</si>
  <si>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</si>
  <si>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</si>
  <si>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</si>
  <si>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</si>
  <si>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</si>
  <si>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</si>
  <si>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</si>
  <si>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</si>
  <si>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</si>
  <si>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</si>
  <si>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</si>
  <si>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</si>
  <si>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</si>
  <si>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</si>
  <si>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</si>
  <si>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</si>
  <si>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</si>
  <si>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</si>
  <si>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</si>
  <si>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</si>
  <si>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</si>
  <si>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</si>
  <si>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</si>
  <si>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</si>
  <si>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</si>
  <si>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</si>
  <si>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</si>
  <si>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</si>
  <si>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</si>
  <si>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</si>
  <si>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</si>
  <si>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</si>
  <si>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</si>
  <si>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</si>
  <si>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</si>
  <si>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</si>
  <si>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</si>
  <si>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</si>
  <si>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</si>
  <si>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</si>
  <si>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</si>
  <si>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</si>
  <si>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</si>
  <si>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</si>
  <si>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</si>
  <si>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</si>
  <si>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</si>
  <si>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</si>
  <si>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</si>
  <si>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</si>
  <si>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</si>
  <si>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</si>
  <si>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</si>
  <si>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</si>
  <si>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</si>
  <si>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</si>
  <si>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</si>
  <si>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</si>
  <si>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</si>
  <si>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</si>
  <si>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</si>
  <si>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</si>
  <si>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</si>
  <si>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</si>
  <si>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</si>
  <si>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</si>
  <si>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</si>
  <si>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</si>
  <si>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</si>
  <si>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</si>
  <si>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</si>
  <si>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</si>
  <si>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</si>
  <si>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</si>
  <si>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</si>
  <si>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</si>
  <si>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</si>
  <si>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</si>
  <si>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</si>
  <si>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</si>
  <si>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</si>
  <si>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</si>
  <si>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</si>
  <si>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</si>
  <si>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</si>
  <si>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</si>
  <si>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</si>
  <si>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</si>
  <si>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</si>
  <si>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</si>
  <si>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</si>
  <si>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</si>
  <si>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</si>
  <si>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</si>
  <si>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</si>
  <si>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</si>
  <si>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</si>
  <si>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</si>
  <si>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</si>
  <si>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</si>
  <si>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</si>
  <si>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</si>
  <si>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</si>
  <si>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</si>
  <si>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</si>
  <si>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</si>
  <si>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</si>
  <si>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</si>
  <si>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</si>
  <si>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</si>
  <si>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</si>
  <si>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</si>
  <si>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</si>
  <si>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</si>
  <si>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</si>
  <si>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</si>
  <si>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</si>
  <si>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</si>
  <si>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</si>
  <si>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</si>
  <si>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</si>
  <si>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</si>
  <si>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</si>
  <si>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</si>
  <si>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</si>
  <si>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</si>
  <si>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</si>
  <si>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</si>
  <si>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</si>
  <si>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</si>
  <si>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Manure Application Type:</t>
  </si>
  <si>
    <t>Does Farm meet "T" (Soil Loss Tolerance)</t>
  </si>
  <si>
    <t>Yes</t>
  </si>
  <si>
    <t xml:space="preserve">Is a Phosphorus Index calculated on the farm? </t>
  </si>
  <si>
    <t>If yes, P-Index value:</t>
  </si>
  <si>
    <t>Other- Treated Manure Solid</t>
  </si>
  <si>
    <t>Other- Treated Manure Liquid</t>
  </si>
  <si>
    <t xml:space="preserve">3. There are no default phosphorus concentrations for treated manure in the spreadsheet-- please enter phosphorus concentrations for treated manure in the field below. </t>
  </si>
  <si>
    <r>
      <t>Do you have a recent manure analysis test?</t>
    </r>
    <r>
      <rPr>
        <vertAlign val="superscript"/>
        <sz val="10"/>
        <rFont val="Arial"/>
        <family val="2"/>
      </rPr>
      <t>3</t>
    </r>
  </si>
  <si>
    <t>Phosphorus reductions from change in application:</t>
  </si>
  <si>
    <t>Edge of watershed segment phosphorus reduction:</t>
  </si>
  <si>
    <t>Alfalfa</t>
  </si>
  <si>
    <t>Clover</t>
  </si>
  <si>
    <t>Soybeans</t>
  </si>
  <si>
    <t xml:space="preserve">Reduction for Conservation or Continuous No-Till: </t>
  </si>
  <si>
    <t xml:space="preserve">Load to Reach Edge of Watershed Segment:  </t>
  </si>
  <si>
    <t>Sediment</t>
  </si>
  <si>
    <t>tons/ac/yr</t>
  </si>
  <si>
    <t xml:space="preserve">tons/ac/yr     </t>
  </si>
  <si>
    <t>tons/yr</t>
  </si>
  <si>
    <t xml:space="preserve">Reduction for Currently Having Riparian Buffers in Place: </t>
  </si>
  <si>
    <t>This section determines the total phosphorus and sediment load on the field. BMPs chosen in Section 7 below are applied against the phosphorus and sediment  "Load to Reach Edge of Watershed Segment" calculated here to determine the reductions achieved by the BMPs implemented.</t>
  </si>
  <si>
    <t>2. The Edge of Segment (EOS) Phosphorus Reductions determines the amount of phosphorus reductions that reach the edge of the watershed segment from the farming field.  The EOS Ratio is derived from the Chesapeake Bay Model.</t>
  </si>
  <si>
    <r>
      <t>Edge of Field Phosphorus Reductions:</t>
    </r>
    <r>
      <rPr>
        <vertAlign val="superscript"/>
        <sz val="10"/>
        <rFont val="Arial"/>
        <family val="2"/>
      </rPr>
      <t>1</t>
    </r>
  </si>
  <si>
    <r>
      <t>EOS Phosphorus Reductions:</t>
    </r>
    <r>
      <rPr>
        <vertAlign val="superscript"/>
        <sz val="10"/>
        <rFont val="Arial"/>
        <family val="2"/>
      </rPr>
      <t xml:space="preserve">2                                          </t>
    </r>
  </si>
  <si>
    <t>g</t>
  </si>
  <si>
    <t>k</t>
  </si>
  <si>
    <t>l</t>
  </si>
  <si>
    <t>P % Efficiency</t>
  </si>
  <si>
    <t>S % Efficiency</t>
  </si>
  <si>
    <t>4. Reduction from all cropland and pasture BMPs:</t>
  </si>
  <si>
    <t>lbs P/yr</t>
  </si>
  <si>
    <t>lbs P/ac/yr</t>
  </si>
  <si>
    <t>lbs P/ft/yr</t>
  </si>
  <si>
    <t>lbsS/ft/yr</t>
  </si>
  <si>
    <t>Line a</t>
  </si>
  <si>
    <t>Line b</t>
  </si>
  <si>
    <t xml:space="preserve">   Reductions from landuse conversion:</t>
  </si>
  <si>
    <t>all of these are in lbs/ft</t>
  </si>
  <si>
    <t>lbs S/ft/yr</t>
  </si>
  <si>
    <t>lbs S/yr--&gt;converted…</t>
  </si>
  <si>
    <t>3. Reductions from all streambank BMPs:</t>
  </si>
  <si>
    <t xml:space="preserve">    Reductions from streambank restoration:</t>
  </si>
  <si>
    <t>Total Reductions from BMP Implementation</t>
  </si>
  <si>
    <t>PHOSPHORUS</t>
  </si>
  <si>
    <t>SEDIMENT</t>
  </si>
  <si>
    <t>Reductions to Edge of Watershed Segment:</t>
  </si>
  <si>
    <t xml:space="preserve">Reductions to Chesapeake Bay:            </t>
  </si>
  <si>
    <t xml:space="preserve">Reductions to Chesapeake Bay: </t>
  </si>
  <si>
    <t xml:space="preserve">6. Phosphorus and Sediment Loading Snapshot </t>
  </si>
  <si>
    <t>6. Phosphorus and Sediment Loading Snapshot</t>
  </si>
  <si>
    <t>P or Sediment Load on Field that is Available for Runoff:</t>
  </si>
  <si>
    <t>EOS Load:</t>
  </si>
  <si>
    <t>Reductions for conservation till or no-till:</t>
  </si>
  <si>
    <t>Reduction for currently having buffers in place:</t>
  </si>
  <si>
    <t>Load to reach edge of watershed segment:</t>
  </si>
  <si>
    <t>Adjusted EOS load on per acre basis:</t>
  </si>
  <si>
    <t xml:space="preserve">     % Efficiency for buffers- Table 2 (applied to 2 upland acres):</t>
  </si>
  <si>
    <t xml:space="preserve">     Reductions from Streambank Restoration:</t>
  </si>
  <si>
    <t>Soil P Concentration</t>
  </si>
  <si>
    <t>Soluble P Concentration</t>
  </si>
  <si>
    <t xml:space="preserve">Background Dissolved P Loss: </t>
  </si>
  <si>
    <t xml:space="preserve">ug/L (microgram/liter OR ppb)   </t>
  </si>
  <si>
    <t>P-Index value on farm:</t>
  </si>
  <si>
    <t>According to the PA DEP Water Quality Trading Policy, a farm generating credits must first meet baseline and threshold requirements for the property. The term property shall be defined as either the tract number as defined by the Farm Service Agency, the tax parcel number, or whichever is largest of the two for contiguous fields that are owned and/or rented. Please answer the questions below as it relates to the baseline and threshold requirements.</t>
  </si>
  <si>
    <r>
      <t>4. Phosphorus Fertilizer Applications</t>
    </r>
    <r>
      <rPr>
        <b/>
        <vertAlign val="superscript"/>
        <sz val="11"/>
        <rFont val="Arial"/>
        <family val="2"/>
      </rPr>
      <t>1</t>
    </r>
  </si>
  <si>
    <t xml:space="preserve">5. Phosphorus Reductions from Manure Management </t>
  </si>
  <si>
    <t>Phosphorus Reductions from a Change in Manure Management:</t>
  </si>
  <si>
    <t>Section 8 below calculates the total number of possible credits generated from the above management practices. The Phosphorus "Reductions to Edge of Watershed Segment" is a combination of reductions from changes in manure management (Section 5), if applicable, as well as reductions from any BMPs implemented (Section 7).</t>
  </si>
  <si>
    <t>5. Phosphorus Reductions from Manure Management</t>
  </si>
  <si>
    <t>4. Phosphorus Fertilizer Applications (Calculates P Losses from Applied Manure and P reductions from changes in manure mgnt)</t>
  </si>
  <si>
    <t>November-March</t>
  </si>
  <si>
    <t>April-October</t>
  </si>
  <si>
    <t>Manure App Factor</t>
  </si>
  <si>
    <t>Nov-March</t>
  </si>
  <si>
    <t>April-Oct</t>
  </si>
  <si>
    <r>
      <t xml:space="preserve">Application #1- Commercial Fertilizer </t>
    </r>
    <r>
      <rPr>
        <i/>
        <sz val="8"/>
        <color indexed="53"/>
        <rFont val="Arial"/>
        <family val="2"/>
      </rPr>
      <t>(Use if Needed)</t>
    </r>
  </si>
  <si>
    <t>Commercial Fertilizer Application Type:</t>
  </si>
  <si>
    <r>
      <t>Application #2- Manure</t>
    </r>
    <r>
      <rPr>
        <i/>
        <sz val="10"/>
        <rFont val="Arial"/>
        <family val="2"/>
      </rPr>
      <t xml:space="preserve"> </t>
    </r>
    <r>
      <rPr>
        <i/>
        <sz val="8"/>
        <color indexed="53"/>
        <rFont val="Arial"/>
        <family val="2"/>
      </rPr>
      <t>(Use if Needed)</t>
    </r>
  </si>
  <si>
    <r>
      <t>Application #3- Manure</t>
    </r>
    <r>
      <rPr>
        <i/>
        <sz val="8"/>
        <rFont val="Arial"/>
        <family val="2"/>
      </rPr>
      <t xml:space="preserve"> </t>
    </r>
    <r>
      <rPr>
        <i/>
        <sz val="8"/>
        <color indexed="53"/>
        <rFont val="Arial"/>
        <family val="2"/>
      </rPr>
      <t>(Use if Needed)</t>
    </r>
  </si>
  <si>
    <r>
      <t>Application #4- Manure</t>
    </r>
    <r>
      <rPr>
        <i/>
        <sz val="8"/>
        <rFont val="Arial"/>
        <family val="2"/>
      </rPr>
      <t xml:space="preserve"> </t>
    </r>
    <r>
      <rPr>
        <i/>
        <sz val="8"/>
        <color indexed="53"/>
        <rFont val="Arial"/>
        <family val="2"/>
      </rPr>
      <t>(Use if Needed)</t>
    </r>
  </si>
  <si>
    <t>If so, phosphate concentration in manure:</t>
  </si>
  <si>
    <t>Phosphate applied from commercial fertilizer</t>
  </si>
  <si>
    <r>
      <t>Phosphate Applied from Commercial Fertilizer:</t>
    </r>
    <r>
      <rPr>
        <vertAlign val="superscript"/>
        <sz val="10"/>
        <rFont val="Arial"/>
        <family val="2"/>
      </rPr>
      <t>2</t>
    </r>
  </si>
  <si>
    <t>lbs P2O5/ac</t>
  </si>
  <si>
    <t>lbs P/ac</t>
  </si>
  <si>
    <r>
      <t>lbs P</t>
    </r>
    <r>
      <rPr>
        <vertAlign val="subscript"/>
        <sz val="8"/>
        <rFont val="Arial"/>
        <family val="2"/>
      </rPr>
      <t>2</t>
    </r>
    <r>
      <rPr>
        <sz val="8"/>
        <rFont val="Arial"/>
        <family val="2"/>
      </rPr>
      <t>0</t>
    </r>
    <r>
      <rPr>
        <vertAlign val="subscript"/>
        <sz val="8"/>
        <rFont val="Arial"/>
        <family val="2"/>
      </rPr>
      <t>5</t>
    </r>
    <r>
      <rPr>
        <sz val="8"/>
        <rFont val="Arial"/>
        <family val="2"/>
      </rPr>
      <t>/1000 gallons</t>
    </r>
  </si>
  <si>
    <r>
      <t>lbs P</t>
    </r>
    <r>
      <rPr>
        <vertAlign val="subscript"/>
        <sz val="8"/>
        <rFont val="Arial"/>
        <family val="2"/>
      </rPr>
      <t>2</t>
    </r>
    <r>
      <rPr>
        <sz val="8"/>
        <rFont val="Arial"/>
        <family val="2"/>
      </rPr>
      <t>0</t>
    </r>
    <r>
      <rPr>
        <vertAlign val="subscript"/>
        <sz val="8"/>
        <rFont val="Arial"/>
        <family val="2"/>
      </rPr>
      <t>5</t>
    </r>
    <r>
      <rPr>
        <sz val="8"/>
        <rFont val="Arial"/>
        <family val="2"/>
      </rPr>
      <t>/ton</t>
    </r>
  </si>
  <si>
    <t>lbs P/1000 gallons</t>
  </si>
  <si>
    <t>lbs P/ton</t>
  </si>
  <si>
    <t>for lookup- user supplied concentration:</t>
  </si>
  <si>
    <t>for lookup- manure app rate:</t>
  </si>
  <si>
    <t>Incorporated more than 1 week following application</t>
  </si>
  <si>
    <t>Not incorporated following application</t>
  </si>
  <si>
    <t>If so, phosphate concentration in manure</t>
  </si>
  <si>
    <t>If not, phosphate concentration in manure</t>
  </si>
  <si>
    <t>Manure Application Type</t>
  </si>
  <si>
    <t>Application Factor</t>
  </si>
  <si>
    <t>Application Type</t>
  </si>
  <si>
    <t>Fill out all current AND planned sources of phosphorus applied to the field for the given year. Applications for the year may be separated out for different application times and manure types. Enter all manure and fertilizer concentrations in terms of Phosphate (P2O5)-- the calculations will automatically convert Phosphate to Phosphorus (P).</t>
  </si>
  <si>
    <t>Crop Types</t>
  </si>
  <si>
    <t>Cereal Cover Crop on Conventional Till</t>
  </si>
  <si>
    <t>tons S/yr</t>
  </si>
  <si>
    <t>tons S/ac/yr</t>
  </si>
  <si>
    <t xml:space="preserve">Preliminary EOS Load:  </t>
  </si>
  <si>
    <t>This section determines if any phosphorus credits are generated due to increased manure management. Phosphorus credits may be generated if the planned phosphorus available for runoff is less than the current phosphorus available for runoff (for example, this may occur from a planned decrease in phosphorus fertilizer applications or reducing the amount of time until fertilizer is incorporated into the soil). These reductions are added to the total credits generated in Section 8 below.</t>
  </si>
  <si>
    <t>http://climate.met.psu.edu/data/state.php</t>
  </si>
  <si>
    <t>Data on average annual precipitation is from Penn State Climatologist</t>
  </si>
  <si>
    <t>ADAMS</t>
  </si>
  <si>
    <t>ALLEGHENY</t>
  </si>
  <si>
    <t>ARMSTRONG</t>
  </si>
  <si>
    <t>BEAVER</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</si>
  <si>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</si>
  <si>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</si>
  <si>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</si>
  <si>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</si>
  <si>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</si>
  <si>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</si>
  <si>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</si>
  <si>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</si>
  <si>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</si>
  <si>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</si>
  <si>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</si>
  <si>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</si>
  <si>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</si>
  <si>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</si>
  <si>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</si>
  <si>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</si>
  <si>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</si>
  <si>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</si>
  <si>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</si>
  <si>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</si>
  <si>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</si>
  <si>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</si>
  <si>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</si>
  <si>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</si>
  <si>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</si>
  <si>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</si>
  <si>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</si>
  <si>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</si>
  <si>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</si>
  <si>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</si>
  <si>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</si>
  <si>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</si>
  <si>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</si>
  <si>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</si>
  <si>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</si>
  <si>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</si>
  <si>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</si>
  <si>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</si>
  <si>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</si>
  <si>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</si>
  <si>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</si>
  <si>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</si>
  <si>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</si>
  <si>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</si>
  <si>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</si>
  <si>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</si>
  <si>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</si>
  <si>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</si>
  <si>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</si>
  <si>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</si>
  <si>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</si>
  <si>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</si>
  <si>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</si>
  <si>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</si>
  <si>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</si>
  <si>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</si>
  <si>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</si>
  <si>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</si>
  <si>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</si>
  <si>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</si>
  <si>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</si>
  <si>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</si>
  <si>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</si>
  <si>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COUNTY</t>
  </si>
  <si>
    <t>Climate Zone</t>
  </si>
  <si>
    <t>Mean Precip (in/yr)</t>
  </si>
  <si>
    <t>C</t>
  </si>
  <si>
    <t>2 year, 24 hour rainfall event (in)</t>
  </si>
  <si>
    <t># of these events in 1 year:</t>
  </si>
  <si>
    <t>CR=crop residue cover</t>
  </si>
  <si>
    <t>SR=straight row</t>
  </si>
  <si>
    <t>c=contoured</t>
  </si>
  <si>
    <t>c&amp;t = c and terraced</t>
  </si>
  <si>
    <t>Row Crop, Small Grain, or Pasture?</t>
  </si>
  <si>
    <t>close seeded or broadcast legumes, or rotation meadow</t>
  </si>
  <si>
    <t>A</t>
  </si>
  <si>
    <t>B</t>
  </si>
  <si>
    <t>D</t>
  </si>
  <si>
    <t>Soil Hydrologic Group</t>
  </si>
  <si>
    <t>Crop Type</t>
  </si>
  <si>
    <t>Row Crop</t>
  </si>
  <si>
    <t>Small Grain</t>
  </si>
  <si>
    <t>Pasture</t>
  </si>
  <si>
    <t>Hydraulic condition is based on combination factors that affect infiltration and runoff, including (a) density and canopy of vegetative areas,</t>
  </si>
  <si>
    <t>(b) amount of year-round cover, (c) amount of grass or close-seeded legumes, (d) percent of residue cover on the land surface (good ≥ 20%),</t>
  </si>
  <si>
    <t>and (e) degree of surface roughness.</t>
  </si>
  <si>
    <t>Poor: Factors impair infiltration and tend to increase runoff.</t>
  </si>
  <si>
    <t>Good: Factors encourage average and better than average infiltration and tend to decrease runoff.</t>
  </si>
  <si>
    <t>Hydraulic Condition</t>
  </si>
  <si>
    <t>poor</t>
  </si>
  <si>
    <t>good</t>
  </si>
  <si>
    <t>fair</t>
  </si>
  <si>
    <t xml:space="preserve">good </t>
  </si>
  <si>
    <t>Straight row with crop residue cover</t>
  </si>
  <si>
    <t>Straight row</t>
  </si>
  <si>
    <t>Contoured</t>
  </si>
  <si>
    <t>Contoured with crop residue cover</t>
  </si>
  <si>
    <t>Contoured and terraced</t>
  </si>
  <si>
    <t>Contoured and terraced with crop residue cover</t>
  </si>
  <si>
    <t>=lookup</t>
  </si>
  <si>
    <t>Field Condition</t>
  </si>
  <si>
    <t>h.</t>
  </si>
  <si>
    <t xml:space="preserve">Hydraulic Condition </t>
  </si>
  <si>
    <t>Concatenated version for lookup</t>
  </si>
  <si>
    <t>For lookup: Curve Number</t>
  </si>
  <si>
    <t>Curve Number:</t>
  </si>
  <si>
    <t>Soil Type</t>
  </si>
  <si>
    <t>Hydrologic Group</t>
  </si>
  <si>
    <t>County:</t>
  </si>
  <si>
    <t>County</t>
  </si>
  <si>
    <t>Number of 2 year, 24 hour storm events in 1 yr:</t>
  </si>
  <si>
    <t>Chesapeake Bay Model Information:</t>
  </si>
  <si>
    <t xml:space="preserve">S Value: </t>
  </si>
  <si>
    <t>Average Annual Rainfall Runoff (in)</t>
  </si>
  <si>
    <t>Runoff from one 2yr, 24 hr  storm event (in)</t>
  </si>
  <si>
    <t>Average Annual Runoff</t>
  </si>
  <si>
    <t>ug/ac</t>
  </si>
  <si>
    <t xml:space="preserve">L/ac     </t>
  </si>
  <si>
    <t xml:space="preserve">Phosphorus that has Potential to Runoff Field:      Current          </t>
  </si>
  <si>
    <r>
      <t xml:space="preserve">Phosphorus Applied:                          </t>
    </r>
    <r>
      <rPr>
        <b/>
        <sz val="8"/>
        <rFont val="Arial"/>
        <family val="2"/>
      </rPr>
      <t xml:space="preserve">                     </t>
    </r>
    <r>
      <rPr>
        <b/>
        <sz val="10"/>
        <rFont val="Arial"/>
        <family val="2"/>
      </rPr>
      <t xml:space="preserve">    Current          </t>
    </r>
  </si>
  <si>
    <t>Applied Phosphorus:</t>
  </si>
  <si>
    <t>Phosphorus that has potential to runoff field:</t>
  </si>
  <si>
    <t xml:space="preserve">Applied Phosphorus:  </t>
  </si>
  <si>
    <t>Phosphorus Applied-                                           Current</t>
  </si>
  <si>
    <t>Phosphorus that has Potential to Runoff Field-   Current</t>
  </si>
  <si>
    <t>Total P reduction from applications</t>
  </si>
  <si>
    <t>P Loss from fertilizer runoff</t>
  </si>
  <si>
    <t>P loss from Fertilizer Runoff:</t>
  </si>
  <si>
    <t xml:space="preserve">i. </t>
  </si>
  <si>
    <t xml:space="preserve">j. </t>
  </si>
  <si>
    <t>Watershed Segment Number:</t>
  </si>
  <si>
    <t>Current Tillage Method:</t>
  </si>
  <si>
    <t>If you plan on reducing phosphorus applications ("Planned P Applied" is less than "Current P Applied" in Line 98 above), is this because:</t>
  </si>
  <si>
    <t xml:space="preserve">1. Edge of Field Phosphorus Reductions= [(Current Phosphorus that has Potential to Runoff Field)-(Planned Phosphorus that has Potential to Runoff Field)]. </t>
  </si>
  <si>
    <t>Edge of watershed model segment to bay</t>
  </si>
  <si>
    <t>Field to edge of watershed model segment</t>
  </si>
  <si>
    <r>
      <t>Soil Type:</t>
    </r>
    <r>
      <rPr>
        <vertAlign val="superscript"/>
        <sz val="10"/>
        <rFont val="Calibri"/>
        <family val="2"/>
      </rPr>
      <t>2</t>
    </r>
  </si>
  <si>
    <r>
      <t>Field Condition:</t>
    </r>
    <r>
      <rPr>
        <vertAlign val="superscript"/>
        <sz val="10"/>
        <rFont val="Calibri"/>
        <family val="2"/>
      </rPr>
      <t>3</t>
    </r>
  </si>
  <si>
    <r>
      <t>Hydraulic Condition:</t>
    </r>
    <r>
      <rPr>
        <vertAlign val="superscript"/>
        <sz val="10"/>
        <rFont val="Arial"/>
        <family val="2"/>
      </rPr>
      <t>4</t>
    </r>
  </si>
  <si>
    <t>3. Field Condition is not needed for Pasture Crops.</t>
  </si>
  <si>
    <r>
      <t xml:space="preserve">4. Hydraulic Condition determines degree of infiltration and runoff. Factors for </t>
    </r>
    <r>
      <rPr>
        <i/>
        <sz val="8"/>
        <rFont val="Arial"/>
        <family val="2"/>
      </rPr>
      <t>Poor</t>
    </r>
    <r>
      <rPr>
        <sz val="8"/>
        <rFont val="Arial"/>
        <family val="2"/>
      </rPr>
      <t xml:space="preserve"> Hydraulic Condition include: (a) low density and little canopy of vegetative areas,(b) minimal amount of year-round cover, (c) minimal amount of grass or close-seeded legumes, (d) percent of residue cover on the land surface &lt; 20%,and (e) low degree of surface roughness. Factors for </t>
    </r>
    <r>
      <rPr>
        <i/>
        <sz val="8"/>
        <rFont val="Arial"/>
        <family val="2"/>
      </rPr>
      <t>Good</t>
    </r>
    <r>
      <rPr>
        <sz val="8"/>
        <rFont val="Arial"/>
        <family val="2"/>
      </rPr>
      <t xml:space="preserve"> Hydraulic Condition include: (a) high density and large amount of canopy of vegetative areas,(b) large amount of year-round cover, (c) large amount of grass or close-seeded legumes, (d) percent of residue cover on the land surface &gt; 20%,and (e) high degree of surface roughness. </t>
    </r>
  </si>
  <si>
    <t>RUSLE 2 Soil Loss Value for One Year-Period:</t>
  </si>
  <si>
    <t>Mehlich-3 P Test Value (average across field):</t>
  </si>
  <si>
    <r>
      <t>Current Crop:</t>
    </r>
    <r>
      <rPr>
        <vertAlign val="superscript"/>
        <sz val="10"/>
        <rFont val="Arial"/>
        <family val="2"/>
      </rPr>
      <t>1</t>
    </r>
  </si>
  <si>
    <t>2. Please select the most common soil type found on the field.</t>
  </si>
  <si>
    <r>
      <t>Total Load on Field Available for Runoff:</t>
    </r>
    <r>
      <rPr>
        <vertAlign val="superscript"/>
        <sz val="10"/>
        <rFont val="Arial"/>
        <family val="2"/>
      </rPr>
      <t>4</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</si>
</sst>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52">
    <font>
      <sz val="10"/>
      <name val="Arial"/>
      <family val="0"/>
    </font>
    <font>
      <sz val="8"/>
      <name val="Arial"/>
      <family val="2"/>
    </font>
    <font>
      <b/>
      <sz val="10"/>
      <name val="Arial"/>
      <family val="2"/>
    </font>
    <font>
      <sz val="8"/>
      <name val="Tahoma"/>
      <family val="2"/>
    </font>
    <font>
      <i/>
      <sz val="10"/>
      <name val="Arial"/>
      <family val="2"/>
    </font>
    <font>
      <b/>
      <sz val="11"/>
      <name val="Arial"/>
      <family val="2"/>
    </font>
    <font>
      <sz val="11"/>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8"/>
      <color indexed="53"/>
      <name val="Arial"/>
      <family val="2"/>
    </font>
    <font>
      <i/>
      <sz val="8"/>
      <name val="Arial"/>
      <family val="2"/>
    </font>
    <font>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2"/>
      <name val="Times New Roman"/>
      <family val="1"/>
    </font>
    <font>
      <sz val="8"/>
      <name val="Times New Roman"/>
      <family val="1"/>
    </font>
    <font>
      <sz val="8"/>
      <color indexed="42"/>
      <name val="Arial"/>
      <family val="2"/>
    </font>
    <font>
      <sz val="16"/>
      <name val="Arial"/>
      <family val="2"/>
    </font>
    <font>
      <vertAlign val="subscript"/>
      <sz val="8"/>
      <name val="Arial"/>
      <family val="2"/>
    </font>
    <font>
      <vertAlign val="superscrip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24"/>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ck"/>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86">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0" fillId="0" borderId="13" xfId="0" applyBorder="1" applyAlignment="1">
      <alignment/>
    </xf>
    <xf numFmtId="0" fontId="0" fillId="0" borderId="14" xfId="0" applyBorder="1" applyAlignment="1">
      <alignment/>
    </xf>
    <xf numFmtId="0" fontId="7" fillId="0" borderId="0" xfId="0" applyFont="1" applyFill="1" applyAlignment="1">
      <alignment/>
    </xf>
    <xf numFmtId="0" fontId="0" fillId="0" borderId="11" xfId="0" applyBorder="1" applyAlignment="1">
      <alignment/>
    </xf>
    <xf numFmtId="0" fontId="2" fillId="0" borderId="15" xfId="0" applyFont="1" applyBorder="1" applyAlignment="1">
      <alignment/>
    </xf>
    <xf numFmtId="0" fontId="2" fillId="0" borderId="16" xfId="0" applyFont="1" applyBorder="1" applyAlignment="1">
      <alignment wrapText="1"/>
    </xf>
    <xf numFmtId="0" fontId="0" fillId="0" borderId="0" xfId="0" applyBorder="1" applyAlignment="1">
      <alignment/>
    </xf>
    <xf numFmtId="0" fontId="2" fillId="0" borderId="17"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1"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7" fillId="0" borderId="0" xfId="0" applyFont="1" applyAlignment="1">
      <alignment/>
    </xf>
    <xf numFmtId="0" fontId="0" fillId="0" borderId="18" xfId="0" applyBorder="1" applyAlignment="1">
      <alignment/>
    </xf>
    <xf numFmtId="0" fontId="0" fillId="0" borderId="19" xfId="0" applyBorder="1" applyAlignment="1">
      <alignment/>
    </xf>
    <xf numFmtId="0" fontId="1" fillId="0" borderId="0" xfId="0" applyFont="1" applyAlignment="1">
      <alignment/>
    </xf>
    <xf numFmtId="0" fontId="1" fillId="0" borderId="17" xfId="0" applyFont="1" applyBorder="1" applyAlignment="1">
      <alignment horizontal="left"/>
    </xf>
    <xf numFmtId="9" fontId="0" fillId="0" borderId="17" xfId="0" applyNumberFormat="1" applyFont="1" applyBorder="1" applyAlignment="1">
      <alignment horizontal="center"/>
    </xf>
    <xf numFmtId="0" fontId="0" fillId="0" borderId="17" xfId="0" applyFont="1" applyBorder="1" applyAlignment="1">
      <alignment/>
    </xf>
    <xf numFmtId="0" fontId="10"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0" borderId="17" xfId="0" applyFont="1" applyBorder="1" applyAlignment="1">
      <alignment horizontal="center" wrapText="1"/>
    </xf>
    <xf numFmtId="9" fontId="0" fillId="0" borderId="10" xfId="0" applyNumberFormat="1" applyFont="1" applyBorder="1" applyAlignment="1">
      <alignment horizontal="center"/>
    </xf>
    <xf numFmtId="0" fontId="5" fillId="0" borderId="0" xfId="0" applyFont="1" applyAlignment="1">
      <alignment/>
    </xf>
    <xf numFmtId="0" fontId="0" fillId="0" borderId="17" xfId="0" applyFont="1" applyBorder="1" applyAlignment="1">
      <alignment wrapText="1"/>
    </xf>
    <xf numFmtId="0" fontId="0" fillId="20" borderId="17" xfId="0" applyFont="1" applyFill="1" applyBorder="1" applyAlignment="1">
      <alignment horizontal="center" wrapText="1"/>
    </xf>
    <xf numFmtId="9" fontId="0" fillId="0" borderId="17" xfId="0" applyNumberFormat="1" applyFont="1" applyBorder="1" applyAlignment="1">
      <alignment horizontal="center" wrapText="1"/>
    </xf>
    <xf numFmtId="0" fontId="0" fillId="0" borderId="10" xfId="0" applyFont="1" applyBorder="1" applyAlignment="1">
      <alignment/>
    </xf>
    <xf numFmtId="0" fontId="0" fillId="20" borderId="10" xfId="0" applyFont="1" applyFill="1" applyBorder="1" applyAlignment="1">
      <alignment horizontal="center"/>
    </xf>
    <xf numFmtId="0" fontId="1" fillId="20" borderId="17" xfId="0" applyFont="1" applyFill="1" applyBorder="1" applyAlignment="1">
      <alignment horizontal="center" wrapText="1"/>
    </xf>
    <xf numFmtId="0" fontId="2" fillId="0" borderId="21" xfId="0" applyFont="1" applyBorder="1" applyAlignment="1">
      <alignment/>
    </xf>
    <xf numFmtId="0" fontId="2" fillId="0" borderId="22" xfId="0" applyFont="1" applyBorder="1" applyAlignment="1">
      <alignment/>
    </xf>
    <xf numFmtId="0" fontId="0" fillId="0" borderId="23" xfId="0" applyFill="1" applyBorder="1" applyAlignment="1">
      <alignment/>
    </xf>
    <xf numFmtId="169" fontId="0" fillId="0" borderId="0" xfId="0" applyNumberFormat="1" applyFill="1" applyBorder="1" applyAlignment="1">
      <alignment/>
    </xf>
    <xf numFmtId="0" fontId="0" fillId="0" borderId="24" xfId="0" applyFill="1" applyBorder="1" applyAlignment="1">
      <alignment/>
    </xf>
    <xf numFmtId="0" fontId="0" fillId="0" borderId="25" xfId="0" applyBorder="1" applyAlignment="1">
      <alignment/>
    </xf>
    <xf numFmtId="169" fontId="0" fillId="0" borderId="25" xfId="0" applyNumberFormat="1" applyFill="1" applyBorder="1" applyAlignment="1">
      <alignment/>
    </xf>
    <xf numFmtId="0" fontId="0" fillId="0" borderId="26"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7"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30" xfId="0" applyBorder="1" applyAlignment="1">
      <alignment/>
    </xf>
    <xf numFmtId="0" fontId="1" fillId="0" borderId="17" xfId="0" applyFont="1" applyBorder="1" applyAlignment="1">
      <alignment horizontal="left" wrapText="1"/>
    </xf>
    <xf numFmtId="169" fontId="0" fillId="0" borderId="28" xfId="0" applyNumberFormat="1" applyFill="1" applyBorder="1" applyAlignment="1">
      <alignment/>
    </xf>
    <xf numFmtId="169" fontId="0" fillId="0" borderId="31" xfId="0" applyNumberFormat="1" applyFill="1" applyBorder="1" applyAlignment="1">
      <alignment/>
    </xf>
    <xf numFmtId="0" fontId="2" fillId="0" borderId="22" xfId="0" applyFont="1" applyFill="1" applyBorder="1" applyAlignment="1">
      <alignment/>
    </xf>
    <xf numFmtId="0" fontId="2" fillId="0" borderId="22" xfId="0" applyFont="1" applyFill="1" applyBorder="1" applyAlignment="1">
      <alignment horizontal="center" wrapText="1"/>
    </xf>
    <xf numFmtId="0" fontId="2" fillId="0" borderId="32" xfId="0" applyFont="1" applyFill="1" applyBorder="1" applyAlignment="1">
      <alignment/>
    </xf>
    <xf numFmtId="0" fontId="0" fillId="0" borderId="0" xfId="0" applyAlignment="1">
      <alignment wrapText="1"/>
    </xf>
    <xf numFmtId="0" fontId="1" fillId="0" borderId="33" xfId="0" applyFont="1" applyFill="1" applyBorder="1" applyAlignment="1">
      <alignment/>
    </xf>
    <xf numFmtId="1" fontId="6" fillId="8" borderId="34" xfId="0" applyNumberFormat="1" applyFont="1" applyFill="1" applyBorder="1" applyAlignment="1">
      <alignment/>
    </xf>
    <xf numFmtId="0" fontId="0" fillId="0" borderId="12" xfId="0" applyBorder="1" applyAlignment="1">
      <alignment/>
    </xf>
    <xf numFmtId="0" fontId="2" fillId="0" borderId="0" xfId="0" applyFont="1" applyFill="1" applyAlignment="1">
      <alignment/>
    </xf>
    <xf numFmtId="0" fontId="0" fillId="22" borderId="17" xfId="0" applyFill="1" applyBorder="1" applyAlignment="1" applyProtection="1">
      <alignment/>
      <protection locked="0"/>
    </xf>
    <xf numFmtId="0" fontId="0" fillId="22" borderId="12" xfId="0" applyFill="1" applyBorder="1" applyAlignment="1" applyProtection="1">
      <alignment/>
      <protection locked="0"/>
    </xf>
    <xf numFmtId="0" fontId="1" fillId="0" borderId="0" xfId="0" applyFont="1" applyBorder="1" applyAlignment="1">
      <alignment/>
    </xf>
    <xf numFmtId="0" fontId="0" fillId="0" borderId="27" xfId="0" applyFont="1" applyFill="1" applyBorder="1" applyAlignment="1">
      <alignment horizontal="center" wrapText="1"/>
    </xf>
    <xf numFmtId="0" fontId="0" fillId="0" borderId="28" xfId="0" applyFont="1" applyFill="1" applyBorder="1" applyAlignment="1">
      <alignment horizontal="center" wrapText="1"/>
    </xf>
    <xf numFmtId="0" fontId="0" fillId="0" borderId="31" xfId="0" applyFont="1" applyFill="1" applyBorder="1" applyAlignment="1">
      <alignment horizontal="center" wrapText="1"/>
    </xf>
    <xf numFmtId="0" fontId="0" fillId="0" borderId="35" xfId="0" applyFont="1" applyBorder="1" applyAlignment="1">
      <alignment/>
    </xf>
    <xf numFmtId="0" fontId="0" fillId="0" borderId="36" xfId="0" applyBorder="1" applyAlignment="1">
      <alignment/>
    </xf>
    <xf numFmtId="9" fontId="0" fillId="0" borderId="36" xfId="0" applyNumberFormat="1" applyFont="1" applyBorder="1" applyAlignment="1">
      <alignment horizontal="center"/>
    </xf>
    <xf numFmtId="0" fontId="0" fillId="0" borderId="37" xfId="0" applyFont="1" applyBorder="1" applyAlignment="1">
      <alignment/>
    </xf>
    <xf numFmtId="0" fontId="0" fillId="0" borderId="38" xfId="0" applyFont="1"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36" xfId="0" applyFont="1" applyBorder="1" applyAlignment="1">
      <alignment horizontal="left"/>
    </xf>
    <xf numFmtId="0" fontId="0" fillId="0" borderId="17" xfId="0" applyFont="1" applyBorder="1" applyAlignment="1">
      <alignment horizontal="left"/>
    </xf>
    <xf numFmtId="0" fontId="0" fillId="0" borderId="17" xfId="0" applyFont="1" applyFill="1" applyBorder="1" applyAlignment="1">
      <alignment horizontal="left"/>
    </xf>
    <xf numFmtId="0" fontId="0" fillId="0" borderId="17" xfId="0" applyFill="1" applyBorder="1" applyAlignment="1">
      <alignment horizontal="left"/>
    </xf>
    <xf numFmtId="0" fontId="0" fillId="0" borderId="10" xfId="0" applyFill="1" applyBorder="1" applyAlignment="1">
      <alignment horizontal="left"/>
    </xf>
    <xf numFmtId="0" fontId="0" fillId="0" borderId="39" xfId="0" applyFill="1" applyBorder="1" applyAlignment="1">
      <alignment horizontal="left"/>
    </xf>
    <xf numFmtId="49" fontId="0" fillId="0" borderId="0" xfId="0" applyNumberFormat="1" applyFill="1" applyAlignment="1">
      <alignment horizontal="left"/>
    </xf>
    <xf numFmtId="0" fontId="13" fillId="0" borderId="0" xfId="0" applyFont="1" applyAlignment="1">
      <alignment/>
    </xf>
    <xf numFmtId="0" fontId="2" fillId="0" borderId="13" xfId="0" applyFont="1" applyBorder="1" applyAlignment="1">
      <alignment/>
    </xf>
    <xf numFmtId="0" fontId="10" fillId="0" borderId="13"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3" xfId="0" applyNumberFormat="1" applyFont="1" applyFill="1" applyBorder="1" applyAlignment="1">
      <alignment horizontal="right" wrapText="1"/>
    </xf>
    <xf numFmtId="1" fontId="0" fillId="0" borderId="0" xfId="0" applyNumberFormat="1" applyBorder="1" applyAlignment="1">
      <alignment horizontal="right"/>
    </xf>
    <xf numFmtId="0" fontId="1" fillId="0" borderId="36" xfId="0" applyFont="1" applyBorder="1" applyAlignment="1">
      <alignment wrapText="1"/>
    </xf>
    <xf numFmtId="9" fontId="1" fillId="0" borderId="36" xfId="0" applyNumberFormat="1" applyFont="1" applyBorder="1" applyAlignment="1">
      <alignment horizontal="center" wrapText="1"/>
    </xf>
    <xf numFmtId="0" fontId="2" fillId="0" borderId="10" xfId="0" applyFont="1" applyBorder="1" applyAlignment="1">
      <alignment wrapText="1"/>
    </xf>
    <xf numFmtId="0" fontId="1" fillId="0" borderId="33" xfId="0" applyFont="1" applyFill="1" applyBorder="1" applyAlignment="1">
      <alignment wrapText="1"/>
    </xf>
    <xf numFmtId="0" fontId="1" fillId="0" borderId="15" xfId="0" applyFont="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1" fillId="0" borderId="0" xfId="0" applyFont="1" applyBorder="1" applyAlignment="1">
      <alignment horizontal="left"/>
    </xf>
    <xf numFmtId="0" fontId="0" fillId="0" borderId="41" xfId="0" applyBorder="1" applyAlignment="1">
      <alignment/>
    </xf>
    <xf numFmtId="0" fontId="2" fillId="0" borderId="41" xfId="0" applyFont="1" applyBorder="1" applyAlignment="1">
      <alignment/>
    </xf>
    <xf numFmtId="2" fontId="0" fillId="8" borderId="10" xfId="0" applyNumberFormat="1" applyFill="1" applyBorder="1" applyAlignment="1">
      <alignment/>
    </xf>
    <xf numFmtId="0" fontId="0" fillId="0" borderId="0" xfId="0" applyFont="1" applyAlignment="1">
      <alignment/>
    </xf>
    <xf numFmtId="0" fontId="0" fillId="22" borderId="17" xfId="0" applyFont="1" applyFill="1" applyBorder="1" applyAlignment="1">
      <alignment wrapText="1"/>
    </xf>
    <xf numFmtId="0" fontId="0" fillId="22" borderId="17" xfId="0" applyFont="1" applyFill="1" applyBorder="1" applyAlignment="1">
      <alignment horizontal="center" wrapText="1"/>
    </xf>
    <xf numFmtId="9" fontId="0" fillId="22" borderId="17" xfId="0" applyNumberFormat="1" applyFont="1" applyFill="1" applyBorder="1" applyAlignment="1">
      <alignment horizontal="center" wrapText="1"/>
    </xf>
    <xf numFmtId="0" fontId="0" fillId="22" borderId="17" xfId="0" applyFont="1" applyFill="1" applyBorder="1" applyAlignment="1" applyProtection="1">
      <alignment wrapText="1"/>
      <protection locked="0"/>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20" borderId="0" xfId="0" applyFill="1" applyAlignment="1">
      <alignment/>
    </xf>
    <xf numFmtId="0" fontId="11" fillId="0" borderId="0" xfId="0" applyFont="1" applyAlignment="1">
      <alignment horizontal="right"/>
    </xf>
    <xf numFmtId="0" fontId="11" fillId="8" borderId="0" xfId="0" applyFont="1" applyFill="1" applyAlignment="1">
      <alignment/>
    </xf>
    <xf numFmtId="0" fontId="11" fillId="20" borderId="0" xfId="0" applyFont="1" applyFill="1" applyAlignment="1">
      <alignment/>
    </xf>
    <xf numFmtId="9" fontId="0" fillId="8" borderId="10" xfId="0" applyNumberFormat="1" applyFill="1" applyBorder="1" applyAlignment="1">
      <alignment horizontal="right"/>
    </xf>
    <xf numFmtId="9" fontId="0" fillId="8" borderId="12" xfId="0" applyNumberFormat="1" applyFill="1" applyBorder="1" applyAlignment="1">
      <alignment/>
    </xf>
    <xf numFmtId="1" fontId="0" fillId="8" borderId="34" xfId="0" applyNumberFormat="1" applyFill="1" applyBorder="1" applyAlignment="1">
      <alignment horizontal="right"/>
    </xf>
    <xf numFmtId="0" fontId="0" fillId="0" borderId="0" xfId="0" applyFont="1" applyAlignment="1">
      <alignment/>
    </xf>
    <xf numFmtId="0" fontId="0" fillId="22" borderId="12" xfId="0" applyFont="1" applyFill="1" applyBorder="1" applyAlignment="1">
      <alignment wrapText="1"/>
    </xf>
    <xf numFmtId="0" fontId="1" fillId="22" borderId="12" xfId="0" applyFont="1" applyFill="1" applyBorder="1" applyAlignment="1">
      <alignment horizontal="left" wrapText="1"/>
    </xf>
    <xf numFmtId="0" fontId="0" fillId="22" borderId="12" xfId="0" applyFont="1" applyFill="1" applyBorder="1" applyAlignment="1">
      <alignment/>
    </xf>
    <xf numFmtId="9" fontId="0" fillId="22" borderId="12" xfId="0" applyNumberFormat="1" applyFont="1" applyFill="1" applyBorder="1" applyAlignment="1">
      <alignment horizontal="center" wrapText="1"/>
    </xf>
    <xf numFmtId="0" fontId="0" fillId="22" borderId="17" xfId="0" applyFont="1" applyFill="1" applyBorder="1" applyAlignment="1">
      <alignment wrapText="1"/>
    </xf>
    <xf numFmtId="0" fontId="1" fillId="22" borderId="17" xfId="0" applyFont="1" applyFill="1" applyBorder="1" applyAlignment="1">
      <alignment horizontal="left" wrapText="1"/>
    </xf>
    <xf numFmtId="0" fontId="0" fillId="22" borderId="17" xfId="0" applyFont="1" applyFill="1" applyBorder="1" applyAlignment="1">
      <alignment/>
    </xf>
    <xf numFmtId="0" fontId="10" fillId="20" borderId="36" xfId="0" applyFont="1" applyFill="1" applyBorder="1" applyAlignment="1">
      <alignment wrapText="1"/>
    </xf>
    <xf numFmtId="0" fontId="1" fillId="20" borderId="36" xfId="0" applyFont="1" applyFill="1" applyBorder="1" applyAlignment="1">
      <alignment horizontal="left"/>
    </xf>
    <xf numFmtId="0" fontId="10" fillId="20" borderId="12" xfId="0" applyFont="1" applyFill="1" applyBorder="1" applyAlignment="1">
      <alignment wrapText="1"/>
    </xf>
    <xf numFmtId="0" fontId="1" fillId="20" borderId="12" xfId="0" applyFont="1" applyFill="1" applyBorder="1" applyAlignment="1">
      <alignment horizontal="left"/>
    </xf>
    <xf numFmtId="0" fontId="0" fillId="0" borderId="0" xfId="0" applyFont="1" applyAlignment="1">
      <alignment/>
    </xf>
    <xf numFmtId="0" fontId="0" fillId="0" borderId="29" xfId="0" applyFont="1" applyBorder="1" applyAlignment="1">
      <alignment/>
    </xf>
    <xf numFmtId="2" fontId="0" fillId="8" borderId="10" xfId="0" applyNumberFormat="1" applyFill="1" applyBorder="1" applyAlignment="1">
      <alignment horizontal="right"/>
    </xf>
    <xf numFmtId="2" fontId="0" fillId="8" borderId="12" xfId="0" applyNumberFormat="1" applyFill="1" applyBorder="1" applyAlignment="1">
      <alignment/>
    </xf>
    <xf numFmtId="0" fontId="0" fillId="0" borderId="0" xfId="0" applyAlignment="1">
      <alignment horizontal="center"/>
    </xf>
    <xf numFmtId="0" fontId="0" fillId="22" borderId="12" xfId="0" applyFill="1" applyBorder="1" applyAlignment="1" applyProtection="1">
      <alignment/>
      <protection locked="0"/>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7" xfId="0" applyFont="1" applyBorder="1" applyAlignment="1">
      <alignment wrapText="1"/>
    </xf>
    <xf numFmtId="0" fontId="2" fillId="0" borderId="16" xfId="0" applyFont="1" applyBorder="1" applyAlignment="1">
      <alignment/>
    </xf>
    <xf numFmtId="0" fontId="1" fillId="0" borderId="28" xfId="0" applyFont="1" applyBorder="1" applyAlignment="1">
      <alignment/>
    </xf>
    <xf numFmtId="0" fontId="1" fillId="0" borderId="42" xfId="0" applyFont="1" applyBorder="1" applyAlignment="1">
      <alignment/>
    </xf>
    <xf numFmtId="0" fontId="1" fillId="22" borderId="17" xfId="0" applyFont="1" applyFill="1" applyBorder="1" applyAlignment="1">
      <alignment horizontal="center" wrapText="1"/>
    </xf>
    <xf numFmtId="0" fontId="0" fillId="22" borderId="17" xfId="0" applyFont="1" applyFill="1" applyBorder="1" applyAlignment="1">
      <alignment/>
    </xf>
    <xf numFmtId="0" fontId="25" fillId="0" borderId="10" xfId="0" applyFont="1" applyBorder="1" applyAlignment="1">
      <alignment/>
    </xf>
    <xf numFmtId="0" fontId="2" fillId="0" borderId="10" xfId="0" applyFont="1" applyBorder="1" applyAlignment="1">
      <alignment/>
    </xf>
    <xf numFmtId="0" fontId="23" fillId="0" borderId="28" xfId="0" applyFont="1" applyBorder="1" applyAlignment="1">
      <alignment/>
    </xf>
    <xf numFmtId="0" fontId="23" fillId="0" borderId="42"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3"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 fillId="22" borderId="17" xfId="0" applyFont="1" applyFill="1" applyBorder="1" applyAlignment="1">
      <alignment/>
    </xf>
    <xf numFmtId="2" fontId="0" fillId="8" borderId="17" xfId="0" applyNumberFormat="1" applyFill="1" applyBorder="1" applyAlignment="1">
      <alignment/>
    </xf>
    <xf numFmtId="2" fontId="0" fillId="8" borderId="34" xfId="0" applyNumberFormat="1" applyFill="1" applyBorder="1" applyAlignment="1">
      <alignment/>
    </xf>
    <xf numFmtId="10" fontId="1" fillId="0" borderId="0" xfId="0" applyNumberFormat="1" applyFont="1" applyBorder="1" applyAlignment="1">
      <alignment/>
    </xf>
    <xf numFmtId="10" fontId="1" fillId="0" borderId="43" xfId="0" applyNumberFormat="1" applyFont="1" applyBorder="1" applyAlignment="1">
      <alignment/>
    </xf>
    <xf numFmtId="10" fontId="1" fillId="0" borderId="28" xfId="0" applyNumberFormat="1" applyFont="1" applyBorder="1" applyAlignment="1">
      <alignment/>
    </xf>
    <xf numFmtId="10" fontId="1" fillId="0" borderId="42" xfId="0" applyNumberFormat="1" applyFont="1" applyBorder="1" applyAlignment="1">
      <alignment/>
    </xf>
    <xf numFmtId="0" fontId="5" fillId="0" borderId="0" xfId="0" applyFont="1" applyBorder="1" applyAlignment="1">
      <alignment/>
    </xf>
    <xf numFmtId="0" fontId="0" fillId="0" borderId="0" xfId="0" applyFill="1" applyBorder="1" applyAlignment="1">
      <alignment horizontal="center"/>
    </xf>
    <xf numFmtId="0" fontId="1" fillId="0" borderId="0" xfId="0" applyFont="1" applyFill="1" applyBorder="1" applyAlignment="1" quotePrefix="1">
      <alignmen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0" fontId="0" fillId="0" borderId="0" xfId="0" applyFont="1" applyBorder="1" applyAlignment="1">
      <alignment/>
    </xf>
    <xf numFmtId="0" fontId="0" fillId="22" borderId="0" xfId="0" applyFont="1" applyFill="1" applyBorder="1" applyAlignment="1">
      <alignment/>
    </xf>
    <xf numFmtId="0" fontId="0" fillId="0" borderId="0" xfId="0" applyFill="1" applyBorder="1" applyAlignment="1" quotePrefix="1">
      <alignment horizontal="left"/>
    </xf>
    <xf numFmtId="2" fontId="0" fillId="8" borderId="34" xfId="0" applyNumberFormat="1" applyFill="1" applyBorder="1" applyAlignment="1">
      <alignment/>
    </xf>
    <xf numFmtId="0" fontId="1" fillId="0" borderId="17" xfId="0" applyFont="1" applyBorder="1" applyAlignment="1">
      <alignment/>
    </xf>
    <xf numFmtId="2" fontId="0" fillId="8" borderId="36" xfId="0" applyNumberFormat="1" applyFill="1" applyBorder="1" applyAlignment="1">
      <alignment/>
    </xf>
    <xf numFmtId="177" fontId="0" fillId="8" borderId="34" xfId="0" applyNumberFormat="1" applyFill="1" applyBorder="1" applyAlignment="1">
      <alignment/>
    </xf>
    <xf numFmtId="177" fontId="0" fillId="8" borderId="12" xfId="0" applyNumberFormat="1" applyFill="1" applyBorder="1" applyAlignment="1">
      <alignment/>
    </xf>
    <xf numFmtId="177" fontId="0" fillId="8" borderId="34" xfId="0" applyNumberFormat="1" applyFill="1" applyBorder="1" applyAlignment="1">
      <alignment horizontal="right"/>
    </xf>
    <xf numFmtId="9" fontId="0" fillId="8" borderId="11" xfId="0" applyNumberFormat="1" applyFont="1" applyFill="1" applyBorder="1" applyAlignment="1">
      <alignment/>
    </xf>
    <xf numFmtId="177" fontId="0" fillId="8" borderId="34" xfId="0" applyNumberFormat="1" applyFont="1" applyFill="1" applyBorder="1" applyAlignment="1">
      <alignment/>
    </xf>
    <xf numFmtId="0" fontId="1" fillId="0" borderId="44" xfId="0" applyFont="1" applyBorder="1" applyAlignment="1">
      <alignment/>
    </xf>
    <xf numFmtId="0" fontId="1" fillId="0" borderId="45" xfId="0" applyFont="1" applyBorder="1" applyAlignment="1">
      <alignment/>
    </xf>
    <xf numFmtId="0" fontId="1" fillId="0" borderId="44" xfId="0" applyFont="1" applyBorder="1" applyAlignment="1">
      <alignment horizontal="left"/>
    </xf>
    <xf numFmtId="0" fontId="1" fillId="0" borderId="43" xfId="0" applyFont="1" applyBorder="1" applyAlignment="1">
      <alignment/>
    </xf>
    <xf numFmtId="0" fontId="0" fillId="0" borderId="46" xfId="0" applyFont="1" applyFill="1" applyBorder="1" applyAlignment="1">
      <alignment/>
    </xf>
    <xf numFmtId="0" fontId="12" fillId="0" borderId="45" xfId="0" applyFont="1" applyBorder="1" applyAlignment="1">
      <alignment/>
    </xf>
    <xf numFmtId="0" fontId="1" fillId="0" borderId="43" xfId="0" applyFont="1" applyFill="1" applyBorder="1" applyAlignment="1">
      <alignment/>
    </xf>
    <xf numFmtId="0" fontId="28" fillId="0" borderId="0" xfId="0" applyFont="1" applyAlignment="1">
      <alignment/>
    </xf>
    <xf numFmtId="0" fontId="17" fillId="0" borderId="15" xfId="0" applyFont="1" applyBorder="1" applyAlignment="1">
      <alignment/>
    </xf>
    <xf numFmtId="0" fontId="1" fillId="0" borderId="33"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37" xfId="0" applyFont="1" applyBorder="1" applyAlignment="1">
      <alignment/>
    </xf>
    <xf numFmtId="0" fontId="1" fillId="0" borderId="40" xfId="0" applyFont="1" applyBorder="1" applyAlignment="1">
      <alignment/>
    </xf>
    <xf numFmtId="0" fontId="11" fillId="22" borderId="0" xfId="0" applyFont="1" applyFill="1" applyAlignment="1">
      <alignment/>
    </xf>
    <xf numFmtId="0" fontId="0" fillId="22" borderId="12" xfId="0" applyFill="1" applyBorder="1" applyAlignment="1">
      <alignment/>
    </xf>
    <xf numFmtId="0" fontId="0" fillId="22" borderId="17" xfId="0" applyFill="1" applyBorder="1" applyAlignment="1">
      <alignment/>
    </xf>
    <xf numFmtId="0" fontId="0" fillId="22" borderId="11" xfId="0" applyFill="1" applyBorder="1" applyAlignment="1">
      <alignment/>
    </xf>
    <xf numFmtId="0" fontId="0" fillId="22" borderId="17" xfId="0" applyFill="1" applyBorder="1" applyAlignment="1" applyProtection="1">
      <alignment wrapText="1"/>
      <protection locked="0"/>
    </xf>
    <xf numFmtId="0" fontId="1" fillId="0" borderId="0" xfId="0" applyFont="1" applyBorder="1" applyAlignment="1">
      <alignment/>
    </xf>
    <xf numFmtId="0" fontId="1" fillId="0" borderId="14" xfId="0" applyFont="1" applyBorder="1" applyAlignment="1">
      <alignment/>
    </xf>
    <xf numFmtId="0" fontId="1" fillId="0" borderId="33" xfId="0" applyFont="1" applyBorder="1" applyAlignment="1">
      <alignment/>
    </xf>
    <xf numFmtId="0" fontId="1" fillId="0" borderId="11" xfId="0" applyFont="1" applyFill="1" applyBorder="1" applyAlignment="1">
      <alignment/>
    </xf>
    <xf numFmtId="0" fontId="1" fillId="0" borderId="11" xfId="0" applyFont="1" applyFill="1" applyBorder="1" applyAlignment="1">
      <alignment/>
    </xf>
    <xf numFmtId="0" fontId="0" fillId="0" borderId="0" xfId="0" applyFont="1" applyFill="1" applyBorder="1" applyAlignment="1">
      <alignment/>
    </xf>
    <xf numFmtId="0" fontId="0" fillId="0" borderId="0" xfId="0" applyFill="1" applyBorder="1" applyAlignment="1">
      <alignment horizontal="right"/>
    </xf>
    <xf numFmtId="0" fontId="14" fillId="0" borderId="0" xfId="0" applyFont="1" applyFill="1" applyBorder="1" applyAlignment="1">
      <alignment/>
    </xf>
    <xf numFmtId="0" fontId="0" fillId="22" borderId="10" xfId="0" applyFill="1" applyBorder="1" applyAlignment="1">
      <alignment/>
    </xf>
    <xf numFmtId="1" fontId="0" fillId="0" borderId="0" xfId="0" applyNumberFormat="1" applyFont="1" applyBorder="1" applyAlignment="1">
      <alignment/>
    </xf>
    <xf numFmtId="0" fontId="0" fillId="24" borderId="0" xfId="0" applyFill="1" applyAlignment="1">
      <alignment/>
    </xf>
    <xf numFmtId="0" fontId="0" fillId="24" borderId="0" xfId="0" applyFill="1" applyBorder="1" applyAlignment="1">
      <alignment/>
    </xf>
    <xf numFmtId="0" fontId="0" fillId="24" borderId="0" xfId="0" applyFill="1" applyBorder="1" applyAlignment="1">
      <alignment/>
    </xf>
    <xf numFmtId="9" fontId="0" fillId="24" borderId="0" xfId="0" applyNumberFormat="1" applyFill="1" applyBorder="1" applyAlignment="1">
      <alignment/>
    </xf>
    <xf numFmtId="0" fontId="1" fillId="24" borderId="0" xfId="0" applyFont="1" applyFill="1" applyBorder="1" applyAlignment="1">
      <alignment wrapText="1"/>
    </xf>
    <xf numFmtId="164" fontId="0" fillId="24" borderId="0" xfId="0" applyNumberFormat="1" applyFill="1" applyBorder="1" applyAlignment="1">
      <alignment/>
    </xf>
    <xf numFmtId="0" fontId="11" fillId="24" borderId="0" xfId="0" applyFont="1" applyFill="1" applyBorder="1" applyAlignment="1">
      <alignment wrapText="1"/>
    </xf>
    <xf numFmtId="0" fontId="11" fillId="24" borderId="0" xfId="0" applyFont="1" applyFill="1" applyBorder="1" applyAlignment="1">
      <alignment/>
    </xf>
    <xf numFmtId="2" fontId="0" fillId="0" borderId="0" xfId="0" applyNumberFormat="1" applyFill="1" applyBorder="1" applyAlignment="1">
      <alignment/>
    </xf>
    <xf numFmtId="1" fontId="6" fillId="8" borderId="34" xfId="0" applyNumberFormat="1" applyFont="1" applyFill="1" applyBorder="1" applyAlignment="1">
      <alignment/>
    </xf>
    <xf numFmtId="1" fontId="0" fillId="8" borderId="34" xfId="0" applyNumberFormat="1" applyFont="1" applyFill="1" applyBorder="1" applyAlignment="1">
      <alignment horizontal="right"/>
    </xf>
    <xf numFmtId="0" fontId="1" fillId="0" borderId="47" xfId="0" applyFont="1" applyFill="1" applyBorder="1" applyAlignment="1">
      <alignment/>
    </xf>
    <xf numFmtId="0" fontId="1" fillId="0" borderId="40" xfId="0" applyFont="1" applyFill="1" applyBorder="1" applyAlignment="1">
      <alignment/>
    </xf>
    <xf numFmtId="0" fontId="0" fillId="25" borderId="0" xfId="0" applyFont="1" applyFill="1" applyAlignment="1">
      <alignment wrapText="1"/>
    </xf>
    <xf numFmtId="0" fontId="5" fillId="25" borderId="0" xfId="0" applyFont="1" applyFill="1" applyAlignment="1">
      <alignment/>
    </xf>
    <xf numFmtId="0" fontId="0" fillId="25" borderId="0" xfId="0" applyFill="1" applyAlignment="1">
      <alignment/>
    </xf>
    <xf numFmtId="0" fontId="2" fillId="25" borderId="0" xfId="0" applyFont="1" applyFill="1" applyAlignment="1">
      <alignment/>
    </xf>
    <xf numFmtId="0" fontId="15" fillId="25" borderId="0" xfId="0" applyFont="1" applyFill="1" applyAlignment="1">
      <alignment/>
    </xf>
    <xf numFmtId="0" fontId="1" fillId="25" borderId="0" xfId="0" applyFont="1" applyFill="1" applyAlignment="1">
      <alignment/>
    </xf>
    <xf numFmtId="0" fontId="0" fillId="2" borderId="0" xfId="0" applyFont="1" applyFill="1" applyAlignment="1">
      <alignment wrapText="1"/>
    </xf>
    <xf numFmtId="0" fontId="5" fillId="2" borderId="0" xfId="0" applyFont="1" applyFill="1" applyAlignment="1">
      <alignment/>
    </xf>
    <xf numFmtId="0" fontId="0" fillId="2" borderId="0" xfId="0" applyFill="1" applyAlignment="1">
      <alignment/>
    </xf>
    <xf numFmtId="0" fontId="2" fillId="2" borderId="0" xfId="0" applyFont="1" applyFill="1" applyAlignment="1">
      <alignment/>
    </xf>
    <xf numFmtId="0" fontId="15" fillId="2" borderId="0" xfId="0" applyFont="1" applyFill="1" applyAlignment="1">
      <alignment/>
    </xf>
    <xf numFmtId="0" fontId="1" fillId="2" borderId="0" xfId="0" applyFont="1" applyFill="1" applyAlignment="1">
      <alignment/>
    </xf>
    <xf numFmtId="0" fontId="0" fillId="2" borderId="0" xfId="0" applyFill="1" applyBorder="1" applyAlignment="1" applyProtection="1">
      <alignment/>
      <protection locked="0"/>
    </xf>
    <xf numFmtId="49" fontId="5" fillId="2" borderId="0" xfId="0" applyNumberFormat="1" applyFont="1" applyFill="1" applyAlignment="1">
      <alignment horizontal="left"/>
    </xf>
    <xf numFmtId="0" fontId="0" fillId="2" borderId="0" xfId="0" applyFont="1" applyFill="1" applyAlignment="1">
      <alignment horizontal="right"/>
    </xf>
    <xf numFmtId="0" fontId="0" fillId="2" borderId="0" xfId="0" applyFill="1" applyAlignment="1">
      <alignment wrapText="1"/>
    </xf>
    <xf numFmtId="0" fontId="0" fillId="2" borderId="0" xfId="0" applyFill="1" applyBorder="1" applyAlignment="1">
      <alignment wrapText="1"/>
    </xf>
    <xf numFmtId="0" fontId="0" fillId="2" borderId="0" xfId="0" applyFill="1" applyAlignment="1">
      <alignment/>
    </xf>
    <xf numFmtId="0" fontId="2" fillId="2" borderId="0" xfId="0" applyFont="1" applyFill="1" applyAlignment="1">
      <alignment horizontal="right"/>
    </xf>
    <xf numFmtId="0" fontId="0" fillId="2" borderId="0" xfId="0" applyFill="1" applyAlignment="1">
      <alignment horizontal="left"/>
    </xf>
    <xf numFmtId="0" fontId="0" fillId="2" borderId="0" xfId="0" applyFill="1" applyBorder="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ill="1" applyBorder="1" applyAlignment="1" applyProtection="1">
      <alignment wrapText="1"/>
      <protection locked="0"/>
    </xf>
    <xf numFmtId="49" fontId="2" fillId="2" borderId="0" xfId="0" applyNumberFormat="1" applyFont="1" applyFill="1" applyAlignment="1">
      <alignment horizontal="left"/>
    </xf>
    <xf numFmtId="0" fontId="4" fillId="2" borderId="45" xfId="0" applyFont="1" applyFill="1" applyBorder="1" applyAlignment="1">
      <alignment/>
    </xf>
    <xf numFmtId="0" fontId="0" fillId="2" borderId="45" xfId="0" applyFill="1" applyBorder="1" applyAlignment="1">
      <alignment/>
    </xf>
    <xf numFmtId="0" fontId="0" fillId="2" borderId="0" xfId="0" applyFill="1" applyBorder="1" applyAlignment="1">
      <alignment/>
    </xf>
    <xf numFmtId="0" fontId="0" fillId="2" borderId="33" xfId="0" applyFill="1" applyBorder="1" applyAlignment="1" applyProtection="1">
      <alignment/>
      <protection locked="0"/>
    </xf>
    <xf numFmtId="0" fontId="0" fillId="2" borderId="45" xfId="0" applyFill="1" applyBorder="1" applyAlignment="1" applyProtection="1">
      <alignment/>
      <protection locked="0"/>
    </xf>
    <xf numFmtId="0" fontId="13" fillId="2" borderId="0" xfId="0" applyFont="1" applyFill="1" applyAlignment="1">
      <alignment/>
    </xf>
    <xf numFmtId="0" fontId="0" fillId="2" borderId="0" xfId="0" applyFill="1" applyAlignment="1">
      <alignment horizontal="right"/>
    </xf>
    <xf numFmtId="0" fontId="2" fillId="2" borderId="0" xfId="0" applyFont="1" applyFill="1" applyAlignment="1">
      <alignment horizontal="left"/>
    </xf>
    <xf numFmtId="0" fontId="2" fillId="2" borderId="0" xfId="0" applyFont="1" applyFill="1" applyAlignment="1">
      <alignment horizontal="center"/>
    </xf>
    <xf numFmtId="0" fontId="1" fillId="2" borderId="0" xfId="0" applyFont="1" applyFill="1" applyAlignment="1">
      <alignment/>
    </xf>
    <xf numFmtId="1" fontId="0" fillId="2" borderId="0" xfId="0" applyNumberFormat="1" applyFont="1" applyFill="1" applyBorder="1" applyAlignment="1">
      <alignment/>
    </xf>
    <xf numFmtId="0" fontId="2" fillId="2" borderId="0" xfId="0" applyFont="1" applyFill="1" applyBorder="1" applyAlignment="1">
      <alignment/>
    </xf>
    <xf numFmtId="1" fontId="0" fillId="2" borderId="0" xfId="0" applyNumberFormat="1" applyFill="1" applyBorder="1" applyAlignment="1">
      <alignment/>
    </xf>
    <xf numFmtId="0" fontId="1" fillId="2" borderId="0" xfId="0" applyFont="1" applyFill="1" applyAlignment="1">
      <alignment horizontal="left"/>
    </xf>
    <xf numFmtId="0" fontId="16" fillId="2" borderId="0" xfId="0" applyFont="1" applyFill="1" applyAlignment="1">
      <alignment/>
    </xf>
    <xf numFmtId="0" fontId="0" fillId="2" borderId="0" xfId="0" applyFont="1" applyFill="1" applyBorder="1" applyAlignment="1">
      <alignment/>
    </xf>
    <xf numFmtId="0" fontId="0" fillId="2" borderId="11" xfId="0" applyFill="1" applyBorder="1" applyAlignment="1">
      <alignment/>
    </xf>
    <xf numFmtId="0" fontId="0" fillId="2" borderId="11" xfId="0" applyFill="1" applyBorder="1" applyAlignment="1" applyProtection="1">
      <alignment/>
      <protection locked="0"/>
    </xf>
    <xf numFmtId="0" fontId="2" fillId="2" borderId="0" xfId="0" applyFont="1" applyFill="1" applyBorder="1" applyAlignment="1">
      <alignment horizontal="right"/>
    </xf>
    <xf numFmtId="0" fontId="7" fillId="2" borderId="0" xfId="0" applyFont="1" applyFill="1" applyAlignment="1">
      <alignment/>
    </xf>
    <xf numFmtId="0" fontId="0" fillId="2" borderId="28" xfId="0" applyFill="1" applyBorder="1" applyAlignment="1">
      <alignment/>
    </xf>
    <xf numFmtId="0" fontId="0" fillId="2" borderId="0" xfId="0" applyFill="1" applyBorder="1" applyAlignment="1">
      <alignment horizontal="right"/>
    </xf>
    <xf numFmtId="0" fontId="0"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13" fillId="2" borderId="0" xfId="0" applyFont="1" applyFill="1" applyBorder="1" applyAlignment="1">
      <alignment/>
    </xf>
    <xf numFmtId="0" fontId="14" fillId="2" borderId="0" xfId="0" applyFont="1" applyFill="1" applyBorder="1" applyAlignment="1">
      <alignment/>
    </xf>
    <xf numFmtId="2" fontId="0" fillId="2" borderId="0" xfId="0" applyNumberFormat="1" applyFont="1" applyFill="1" applyBorder="1" applyAlignment="1">
      <alignment horizontal="right"/>
    </xf>
    <xf numFmtId="0" fontId="0" fillId="2" borderId="0" xfId="0" applyFont="1" applyFill="1" applyAlignment="1">
      <alignment/>
    </xf>
    <xf numFmtId="1" fontId="2" fillId="2" borderId="0" xfId="0" applyNumberFormat="1" applyFont="1" applyFill="1" applyBorder="1" applyAlignment="1">
      <alignment/>
    </xf>
    <xf numFmtId="0" fontId="2" fillId="2" borderId="0" xfId="0" applyFont="1" applyFill="1" applyAlignment="1">
      <alignment/>
    </xf>
    <xf numFmtId="0" fontId="1" fillId="2" borderId="0" xfId="0" applyFont="1" applyFill="1" applyAlignment="1">
      <alignment/>
    </xf>
    <xf numFmtId="1" fontId="0" fillId="2" borderId="0" xfId="0" applyNumberFormat="1" applyFill="1" applyBorder="1" applyAlignment="1">
      <alignment/>
    </xf>
    <xf numFmtId="0" fontId="11" fillId="2" borderId="0" xfId="0" applyFont="1" applyFill="1" applyAlignment="1">
      <alignment horizontal="left"/>
    </xf>
    <xf numFmtId="0" fontId="18" fillId="2" borderId="0" xfId="0" applyFont="1" applyFill="1" applyAlignment="1">
      <alignment horizontal="right" wrapText="1"/>
    </xf>
    <xf numFmtId="0" fontId="0" fillId="2" borderId="0" xfId="0" applyFont="1" applyFill="1" applyAlignment="1">
      <alignment horizontal="right" wrapText="1"/>
    </xf>
    <xf numFmtId="0" fontId="13" fillId="2" borderId="0" xfId="0" applyFont="1" applyFill="1" applyAlignment="1">
      <alignment horizontal="right" wrapText="1"/>
    </xf>
    <xf numFmtId="0" fontId="4" fillId="2" borderId="0" xfId="0" applyFont="1" applyFill="1" applyAlignment="1">
      <alignment/>
    </xf>
    <xf numFmtId="0" fontId="0" fillId="2" borderId="13" xfId="0" applyFont="1" applyFill="1" applyBorder="1" applyAlignment="1" applyProtection="1">
      <alignment/>
      <protection locked="0"/>
    </xf>
    <xf numFmtId="0" fontId="0" fillId="2" borderId="13" xfId="0" applyFont="1" applyFill="1" applyBorder="1" applyAlignment="1">
      <alignment/>
    </xf>
    <xf numFmtId="0" fontId="0" fillId="2" borderId="13" xfId="0" applyFill="1" applyBorder="1" applyAlignment="1" applyProtection="1">
      <alignment/>
      <protection locked="0"/>
    </xf>
    <xf numFmtId="0" fontId="7" fillId="2" borderId="0" xfId="0" applyFont="1" applyFill="1" applyAlignment="1">
      <alignment/>
    </xf>
    <xf numFmtId="0" fontId="1" fillId="2" borderId="0" xfId="0" applyFont="1" applyFill="1" applyBorder="1" applyAlignment="1" applyProtection="1">
      <alignment wrapText="1"/>
      <protection locked="0"/>
    </xf>
    <xf numFmtId="0" fontId="1" fillId="2" borderId="45" xfId="0" applyFont="1" applyFill="1" applyBorder="1" applyAlignment="1" applyProtection="1">
      <alignment/>
      <protection locked="0"/>
    </xf>
    <xf numFmtId="0" fontId="0" fillId="2" borderId="43" xfId="0" applyFill="1" applyBorder="1" applyAlignment="1" applyProtection="1">
      <alignment/>
      <protection locked="0"/>
    </xf>
    <xf numFmtId="1" fontId="0" fillId="2" borderId="0" xfId="0" applyNumberFormat="1" applyFont="1" applyFill="1" applyBorder="1" applyAlignment="1">
      <alignment/>
    </xf>
    <xf numFmtId="1" fontId="6" fillId="2" borderId="0" xfId="0" applyNumberFormat="1" applyFont="1" applyFill="1" applyBorder="1" applyAlignment="1">
      <alignment/>
    </xf>
    <xf numFmtId="9" fontId="0" fillId="2" borderId="49" xfId="0" applyNumberFormat="1" applyFill="1" applyBorder="1" applyAlignment="1">
      <alignment horizontal="right"/>
    </xf>
    <xf numFmtId="0" fontId="7" fillId="2" borderId="0" xfId="0" applyFont="1" applyFill="1" applyAlignment="1">
      <alignment horizontal="left"/>
    </xf>
    <xf numFmtId="49" fontId="0" fillId="2" borderId="0" xfId="0" applyNumberFormat="1" applyFill="1" applyAlignment="1">
      <alignment horizontal="right"/>
    </xf>
    <xf numFmtId="0" fontId="0" fillId="2" borderId="0" xfId="0" applyFont="1" applyFill="1" applyBorder="1" applyAlignment="1">
      <alignment/>
    </xf>
    <xf numFmtId="0" fontId="1" fillId="2" borderId="0" xfId="0" applyFont="1" applyFill="1" applyBorder="1" applyAlignment="1">
      <alignment/>
    </xf>
    <xf numFmtId="0" fontId="7" fillId="2" borderId="0" xfId="0" applyFont="1" applyFill="1" applyBorder="1" applyAlignment="1">
      <alignment/>
    </xf>
    <xf numFmtId="0" fontId="0" fillId="2" borderId="13" xfId="0" applyFill="1" applyBorder="1" applyAlignment="1">
      <alignment/>
    </xf>
    <xf numFmtId="0" fontId="0" fillId="25" borderId="0" xfId="0" applyFill="1" applyBorder="1" applyAlignment="1" applyProtection="1">
      <alignment/>
      <protection locked="0"/>
    </xf>
    <xf numFmtId="49" fontId="2" fillId="25" borderId="0" xfId="0" applyNumberFormat="1" applyFont="1" applyFill="1" applyAlignment="1">
      <alignment horizontal="left"/>
    </xf>
    <xf numFmtId="0" fontId="0" fillId="25" borderId="0" xfId="0" applyFont="1" applyFill="1" applyAlignment="1">
      <alignment horizontal="right"/>
    </xf>
    <xf numFmtId="0" fontId="0" fillId="25" borderId="0" xfId="0" applyFill="1" applyAlignment="1">
      <alignment wrapText="1"/>
    </xf>
    <xf numFmtId="0" fontId="0" fillId="25" borderId="0" xfId="0" applyFill="1" applyBorder="1" applyAlignment="1">
      <alignment wrapText="1"/>
    </xf>
    <xf numFmtId="0" fontId="0" fillId="25" borderId="0" xfId="0" applyFill="1" applyBorder="1" applyAlignment="1" applyProtection="1">
      <alignment wrapText="1"/>
      <protection locked="0"/>
    </xf>
    <xf numFmtId="0" fontId="0" fillId="25" borderId="0" xfId="0" applyFill="1" applyAlignment="1">
      <alignment/>
    </xf>
    <xf numFmtId="0" fontId="2" fillId="25" borderId="0" xfId="0" applyFont="1" applyFill="1" applyAlignment="1">
      <alignment horizontal="right"/>
    </xf>
    <xf numFmtId="0" fontId="0" fillId="25" borderId="0" xfId="0" applyFill="1" applyAlignment="1">
      <alignment horizontal="left"/>
    </xf>
    <xf numFmtId="0" fontId="0" fillId="25" borderId="0" xfId="0" applyFill="1" applyBorder="1" applyAlignment="1">
      <alignment/>
    </xf>
    <xf numFmtId="0" fontId="0" fillId="25" borderId="0" xfId="0" applyFont="1" applyFill="1" applyAlignment="1">
      <alignment horizontal="left"/>
    </xf>
    <xf numFmtId="0" fontId="0" fillId="25" borderId="0" xfId="0" applyFont="1" applyFill="1" applyAlignment="1">
      <alignment/>
    </xf>
    <xf numFmtId="0" fontId="4" fillId="25" borderId="0" xfId="0" applyFont="1" applyFill="1" applyAlignment="1">
      <alignment/>
    </xf>
    <xf numFmtId="0" fontId="4" fillId="25" borderId="45" xfId="0" applyFont="1" applyFill="1" applyBorder="1" applyAlignment="1">
      <alignment/>
    </xf>
    <xf numFmtId="0" fontId="0" fillId="25" borderId="45" xfId="0" applyFill="1" applyBorder="1" applyAlignment="1">
      <alignment/>
    </xf>
    <xf numFmtId="0" fontId="0" fillId="25" borderId="0" xfId="0" applyFill="1" applyBorder="1" applyAlignment="1">
      <alignment/>
    </xf>
    <xf numFmtId="0" fontId="11" fillId="25" borderId="0" xfId="0" applyFont="1" applyFill="1" applyBorder="1" applyAlignment="1">
      <alignment/>
    </xf>
    <xf numFmtId="0" fontId="0" fillId="25" borderId="44" xfId="0" applyFill="1" applyBorder="1" applyAlignment="1">
      <alignment/>
    </xf>
    <xf numFmtId="0" fontId="0" fillId="25" borderId="0" xfId="0" applyFont="1" applyFill="1" applyBorder="1" applyAlignment="1">
      <alignment/>
    </xf>
    <xf numFmtId="0" fontId="0" fillId="25" borderId="45" xfId="0" applyFont="1" applyFill="1" applyBorder="1" applyAlignment="1">
      <alignment/>
    </xf>
    <xf numFmtId="49" fontId="0" fillId="25" borderId="0" xfId="0" applyNumberFormat="1" applyFill="1" applyAlignment="1">
      <alignment horizontal="left"/>
    </xf>
    <xf numFmtId="0" fontId="0" fillId="25" borderId="0" xfId="0" applyFont="1" applyFill="1" applyBorder="1" applyAlignment="1">
      <alignment/>
    </xf>
    <xf numFmtId="0" fontId="2" fillId="25" borderId="0" xfId="0" applyFont="1" applyFill="1" applyBorder="1" applyAlignment="1">
      <alignment/>
    </xf>
    <xf numFmtId="0" fontId="2" fillId="25" borderId="0" xfId="0" applyFont="1" applyFill="1" applyAlignment="1">
      <alignment/>
    </xf>
    <xf numFmtId="0" fontId="1" fillId="25" borderId="0" xfId="0" applyFont="1" applyFill="1" applyAlignment="1">
      <alignment/>
    </xf>
    <xf numFmtId="0" fontId="0" fillId="25" borderId="13" xfId="0" applyFill="1" applyBorder="1" applyAlignment="1">
      <alignment/>
    </xf>
    <xf numFmtId="0" fontId="7" fillId="25" borderId="0" xfId="0" applyFont="1" applyFill="1" applyBorder="1" applyAlignment="1">
      <alignment/>
    </xf>
    <xf numFmtId="0" fontId="0" fillId="25" borderId="28" xfId="0" applyFill="1" applyBorder="1" applyAlignment="1">
      <alignment horizontal="right"/>
    </xf>
    <xf numFmtId="0" fontId="0" fillId="25" borderId="0" xfId="0" applyFill="1" applyBorder="1" applyAlignment="1">
      <alignment horizontal="right"/>
    </xf>
    <xf numFmtId="0" fontId="7" fillId="25" borderId="0" xfId="0" applyFont="1" applyFill="1" applyAlignment="1">
      <alignment/>
    </xf>
    <xf numFmtId="0" fontId="0" fillId="25" borderId="0" xfId="0" applyNumberFormat="1" applyFill="1" applyBorder="1" applyAlignment="1">
      <alignment/>
    </xf>
    <xf numFmtId="0" fontId="0" fillId="25" borderId="0" xfId="0" applyNumberFormat="1" applyFill="1" applyBorder="1" applyAlignment="1" applyProtection="1">
      <alignment/>
      <protection locked="0"/>
    </xf>
    <xf numFmtId="0" fontId="0" fillId="25" borderId="0" xfId="0" applyFont="1" applyFill="1" applyAlignment="1">
      <alignment/>
    </xf>
    <xf numFmtId="0" fontId="16" fillId="25" borderId="0" xfId="0" applyFont="1" applyFill="1" applyAlignment="1">
      <alignment/>
    </xf>
    <xf numFmtId="0" fontId="30" fillId="25" borderId="0" xfId="0" applyFont="1" applyFill="1" applyBorder="1" applyAlignment="1">
      <alignment/>
    </xf>
    <xf numFmtId="2" fontId="0" fillId="25" borderId="43" xfId="0" applyNumberFormat="1" applyFill="1" applyBorder="1" applyAlignment="1">
      <alignment/>
    </xf>
    <xf numFmtId="0" fontId="7" fillId="25" borderId="0" xfId="0" applyFont="1" applyFill="1" applyBorder="1" applyAlignment="1">
      <alignment/>
    </xf>
    <xf numFmtId="0" fontId="7" fillId="25" borderId="0" xfId="0" applyFont="1" applyFill="1" applyAlignment="1">
      <alignment/>
    </xf>
    <xf numFmtId="0" fontId="0" fillId="25" borderId="0" xfId="0" applyFill="1" applyAlignment="1" quotePrefix="1">
      <alignment/>
    </xf>
    <xf numFmtId="0" fontId="0" fillId="25" borderId="0" xfId="0" applyFont="1" applyFill="1" applyBorder="1" applyAlignment="1">
      <alignment/>
    </xf>
    <xf numFmtId="0" fontId="1" fillId="25" borderId="0" xfId="0" applyFont="1" applyFill="1" applyBorder="1" applyAlignment="1">
      <alignment wrapText="1"/>
    </xf>
    <xf numFmtId="0" fontId="18" fillId="25" borderId="0" xfId="0" applyFont="1" applyFill="1" applyAlignment="1">
      <alignment horizontal="right" wrapText="1"/>
    </xf>
    <xf numFmtId="0" fontId="0" fillId="25" borderId="0" xfId="0" applyFont="1" applyFill="1" applyBorder="1" applyAlignment="1">
      <alignment wrapText="1"/>
    </xf>
    <xf numFmtId="9" fontId="0" fillId="25" borderId="0" xfId="0" applyNumberFormat="1" applyFill="1" applyBorder="1" applyAlignment="1">
      <alignment/>
    </xf>
    <xf numFmtId="164" fontId="0" fillId="25" borderId="0" xfId="0" applyNumberFormat="1" applyFill="1" applyBorder="1" applyAlignment="1">
      <alignment/>
    </xf>
    <xf numFmtId="0" fontId="11" fillId="25" borderId="0" xfId="0" applyFont="1" applyFill="1" applyBorder="1" applyAlignment="1">
      <alignment wrapText="1"/>
    </xf>
    <xf numFmtId="0" fontId="11" fillId="25" borderId="0" xfId="0" applyFont="1" applyFill="1" applyBorder="1" applyAlignment="1">
      <alignment/>
    </xf>
    <xf numFmtId="0" fontId="11" fillId="25" borderId="0" xfId="0" applyFont="1" applyFill="1" applyBorder="1" applyAlignment="1" quotePrefix="1">
      <alignment/>
    </xf>
    <xf numFmtId="0" fontId="11" fillId="25" borderId="0" xfId="0" applyFont="1" applyFill="1" applyAlignment="1">
      <alignment/>
    </xf>
    <xf numFmtId="9" fontId="11" fillId="25" borderId="0" xfId="0" applyNumberFormat="1" applyFont="1" applyFill="1" applyBorder="1" applyAlignment="1">
      <alignment/>
    </xf>
    <xf numFmtId="0" fontId="1" fillId="25" borderId="0" xfId="0" applyFont="1" applyFill="1" applyBorder="1" applyAlignment="1">
      <alignment/>
    </xf>
    <xf numFmtId="164" fontId="0" fillId="25" borderId="0" xfId="0" applyNumberFormat="1" applyFill="1" applyBorder="1" applyAlignment="1">
      <alignment horizontal="right"/>
    </xf>
    <xf numFmtId="0" fontId="1" fillId="25" borderId="0" xfId="0" applyFont="1" applyFill="1" applyBorder="1" applyAlignment="1">
      <alignment/>
    </xf>
    <xf numFmtId="0" fontId="0" fillId="25" borderId="0" xfId="0" applyFont="1" applyFill="1" applyBorder="1" applyAlignment="1">
      <alignment wrapText="1"/>
    </xf>
    <xf numFmtId="0" fontId="0" fillId="25" borderId="0" xfId="0" applyFont="1" applyFill="1" applyBorder="1" applyAlignment="1">
      <alignment horizontal="right" wrapText="1"/>
    </xf>
    <xf numFmtId="0" fontId="13" fillId="25" borderId="0" xfId="0" applyFont="1" applyFill="1" applyAlignment="1">
      <alignment horizontal="right" wrapText="1"/>
    </xf>
    <xf numFmtId="164" fontId="0" fillId="25" borderId="0" xfId="0" applyNumberFormat="1" applyFill="1" applyBorder="1" applyAlignment="1">
      <alignment/>
    </xf>
    <xf numFmtId="169" fontId="0" fillId="25" borderId="0" xfId="0" applyNumberFormat="1" applyFill="1" applyBorder="1" applyAlignment="1">
      <alignment horizontal="right"/>
    </xf>
    <xf numFmtId="9" fontId="0" fillId="25" borderId="0" xfId="0" applyNumberFormat="1" applyFill="1" applyBorder="1" applyAlignment="1">
      <alignment horizontal="right"/>
    </xf>
    <xf numFmtId="0" fontId="1" fillId="25" borderId="0" xfId="0" applyFont="1" applyFill="1" applyBorder="1" applyAlignment="1" applyProtection="1">
      <alignment wrapText="1"/>
      <protection locked="0"/>
    </xf>
    <xf numFmtId="0" fontId="7" fillId="25" borderId="0" xfId="0" applyFont="1" applyFill="1" applyBorder="1" applyAlignment="1">
      <alignment/>
    </xf>
    <xf numFmtId="0" fontId="0" fillId="25" borderId="0" xfId="0" applyFont="1" applyFill="1" applyBorder="1" applyAlignment="1" applyProtection="1">
      <alignment wrapText="1"/>
      <protection locked="0"/>
    </xf>
    <xf numFmtId="2" fontId="0" fillId="25" borderId="0" xfId="0" applyNumberFormat="1" applyFont="1" applyFill="1" applyBorder="1" applyAlignment="1">
      <alignment/>
    </xf>
    <xf numFmtId="2" fontId="0" fillId="25" borderId="0" xfId="0" applyNumberFormat="1" applyFill="1" applyBorder="1" applyAlignment="1">
      <alignment/>
    </xf>
    <xf numFmtId="10" fontId="0" fillId="25" borderId="45" xfId="0" applyNumberFormat="1" applyFill="1" applyBorder="1" applyAlignment="1">
      <alignment horizontal="right"/>
    </xf>
    <xf numFmtId="0" fontId="0" fillId="25" borderId="43" xfId="0" applyFill="1" applyBorder="1" applyAlignment="1">
      <alignment/>
    </xf>
    <xf numFmtId="1" fontId="0" fillId="25" borderId="0" xfId="0" applyNumberFormat="1" applyFill="1" applyBorder="1" applyAlignment="1">
      <alignment/>
    </xf>
    <xf numFmtId="176" fontId="0" fillId="25" borderId="0" xfId="0" applyNumberFormat="1" applyFill="1" applyBorder="1" applyAlignment="1">
      <alignment/>
    </xf>
    <xf numFmtId="0" fontId="0" fillId="25" borderId="0" xfId="0" applyFont="1" applyFill="1" applyAlignment="1">
      <alignment/>
    </xf>
    <xf numFmtId="0" fontId="0" fillId="25" borderId="0" xfId="0" applyFont="1" applyFill="1" applyAlignment="1">
      <alignment/>
    </xf>
    <xf numFmtId="0" fontId="1" fillId="25" borderId="0" xfId="0" applyFont="1" applyFill="1" applyAlignment="1">
      <alignment/>
    </xf>
    <xf numFmtId="0" fontId="17" fillId="25" borderId="0" xfId="0" applyFont="1" applyFill="1" applyAlignment="1">
      <alignment/>
    </xf>
    <xf numFmtId="9" fontId="0" fillId="25" borderId="43" xfId="0" applyNumberFormat="1" applyFont="1" applyFill="1" applyBorder="1" applyAlignment="1">
      <alignment horizontal="right"/>
    </xf>
    <xf numFmtId="0" fontId="0" fillId="8" borderId="34" xfId="0" applyFill="1" applyBorder="1" applyAlignment="1">
      <alignment/>
    </xf>
    <xf numFmtId="0" fontId="0" fillId="8" borderId="12" xfId="0" applyFill="1" applyBorder="1" applyAlignment="1">
      <alignment/>
    </xf>
    <xf numFmtId="0" fontId="1" fillId="25" borderId="0" xfId="0" applyFont="1" applyFill="1" applyBorder="1" applyAlignment="1">
      <alignment horizontal="left"/>
    </xf>
    <xf numFmtId="0" fontId="0" fillId="25" borderId="0" xfId="0" applyFont="1" applyFill="1" applyBorder="1" applyAlignment="1">
      <alignment horizontal="left"/>
    </xf>
    <xf numFmtId="0" fontId="0" fillId="25" borderId="0" xfId="0" applyFont="1" applyFill="1" applyBorder="1" applyAlignment="1">
      <alignment horizontal="center"/>
    </xf>
    <xf numFmtId="0" fontId="0" fillId="25" borderId="0" xfId="0" applyFont="1" applyFill="1" applyBorder="1" applyAlignment="1">
      <alignment horizontal="right" wrapText="1"/>
    </xf>
    <xf numFmtId="0" fontId="14" fillId="2" borderId="0" xfId="0" applyFont="1" applyFill="1" applyBorder="1" applyAlignment="1">
      <alignment/>
    </xf>
    <xf numFmtId="0" fontId="0" fillId="25" borderId="43" xfId="0" applyNumberFormat="1" applyFill="1" applyBorder="1" applyAlignment="1">
      <alignment/>
    </xf>
    <xf numFmtId="49" fontId="5" fillId="25" borderId="0" xfId="0" applyNumberFormat="1" applyFont="1" applyFill="1" applyAlignment="1">
      <alignment horizontal="left"/>
    </xf>
    <xf numFmtId="0" fontId="0" fillId="22" borderId="17" xfId="0" applyFont="1" applyFill="1" applyBorder="1" applyAlignment="1" applyProtection="1">
      <alignment/>
      <protection locked="0"/>
    </xf>
    <xf numFmtId="0" fontId="1" fillId="0" borderId="17" xfId="0" applyFont="1" applyBorder="1" applyAlignment="1">
      <alignment/>
    </xf>
    <xf numFmtId="0" fontId="7" fillId="25" borderId="0" xfId="0" applyFont="1" applyFill="1" applyAlignment="1">
      <alignment/>
    </xf>
    <xf numFmtId="0" fontId="1" fillId="0" borderId="10" xfId="0" applyFont="1" applyBorder="1" applyAlignment="1">
      <alignment horizontal="center"/>
    </xf>
    <xf numFmtId="173" fontId="0" fillId="8" borderId="17" xfId="0" applyNumberFormat="1" applyFont="1" applyFill="1" applyBorder="1" applyAlignment="1">
      <alignment horizontal="right"/>
    </xf>
    <xf numFmtId="173" fontId="0" fillId="8" borderId="17" xfId="0" applyNumberFormat="1" applyFill="1" applyBorder="1" applyAlignment="1">
      <alignment horizontal="right"/>
    </xf>
    <xf numFmtId="173" fontId="0" fillId="8" borderId="17" xfId="0" applyNumberFormat="1" applyFill="1" applyBorder="1" applyAlignment="1" applyProtection="1">
      <alignment horizontal="right"/>
      <protection/>
    </xf>
    <xf numFmtId="173" fontId="0" fillId="8" borderId="34" xfId="0" applyNumberFormat="1" applyFont="1" applyFill="1" applyBorder="1" applyAlignment="1">
      <alignment horizontal="right"/>
    </xf>
    <xf numFmtId="173" fontId="0" fillId="8" borderId="34" xfId="0" applyNumberFormat="1" applyFill="1" applyBorder="1" applyAlignment="1">
      <alignment/>
    </xf>
    <xf numFmtId="173" fontId="0" fillId="8" borderId="10" xfId="0" applyNumberFormat="1" applyFill="1" applyBorder="1" applyAlignment="1">
      <alignment horizontal="right"/>
    </xf>
    <xf numFmtId="173" fontId="0" fillId="8" borderId="10" xfId="0" applyNumberFormat="1" applyFill="1" applyBorder="1" applyAlignment="1">
      <alignment/>
    </xf>
    <xf numFmtId="173" fontId="0" fillId="8" borderId="39" xfId="0" applyNumberFormat="1" applyFill="1" applyBorder="1" applyAlignment="1">
      <alignment/>
    </xf>
    <xf numFmtId="173" fontId="0" fillId="8" borderId="34" xfId="0" applyNumberFormat="1" applyFill="1" applyBorder="1" applyAlignment="1">
      <alignment horizontal="right"/>
    </xf>
    <xf numFmtId="173" fontId="0" fillId="8" borderId="34" xfId="0" applyNumberFormat="1" applyFill="1" applyBorder="1" applyAlignment="1">
      <alignment/>
    </xf>
    <xf numFmtId="173" fontId="0" fillId="8" borderId="12" xfId="0" applyNumberFormat="1" applyFill="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0" xfId="0" applyFont="1" applyFill="1" applyBorder="1" applyAlignment="1">
      <alignment/>
    </xf>
    <xf numFmtId="0" fontId="0" fillId="0" borderId="0" xfId="0" applyFont="1" applyFill="1" applyAlignment="1">
      <alignment/>
    </xf>
    <xf numFmtId="0" fontId="2" fillId="0" borderId="17" xfId="0" applyFont="1" applyFill="1" applyBorder="1" applyAlignment="1">
      <alignment wrapText="1"/>
    </xf>
    <xf numFmtId="0" fontId="1" fillId="0" borderId="10" xfId="56" applyFont="1" applyFill="1" applyBorder="1" applyAlignment="1" applyProtection="1">
      <alignment/>
      <protection/>
    </xf>
    <xf numFmtId="0" fontId="0" fillId="0" borderId="10" xfId="0" applyFont="1" applyBorder="1" applyAlignment="1">
      <alignment/>
    </xf>
    <xf numFmtId="0" fontId="1" fillId="0" borderId="11" xfId="56" applyFont="1" applyFill="1" applyBorder="1" applyAlignment="1" applyProtection="1">
      <alignment/>
      <protection/>
    </xf>
    <xf numFmtId="0" fontId="0" fillId="0" borderId="11" xfId="0" applyFont="1" applyBorder="1" applyAlignment="1">
      <alignment/>
    </xf>
    <xf numFmtId="0" fontId="1" fillId="0" borderId="12" xfId="56" applyFont="1" applyFill="1" applyBorder="1" applyAlignment="1" applyProtection="1">
      <alignment/>
      <protection/>
    </xf>
    <xf numFmtId="0" fontId="0" fillId="0" borderId="12" xfId="0" applyFont="1" applyBorder="1" applyAlignment="1">
      <alignment/>
    </xf>
    <xf numFmtId="0" fontId="25" fillId="0" borderId="17" xfId="0" applyFont="1" applyBorder="1" applyAlignment="1">
      <alignment wrapText="1"/>
    </xf>
    <xf numFmtId="0" fontId="2" fillId="0" borderId="17" xfId="0" applyFont="1" applyFill="1" applyBorder="1" applyAlignment="1">
      <alignment/>
    </xf>
    <xf numFmtId="1" fontId="0" fillId="0" borderId="0" xfId="0" applyNumberFormat="1" applyFont="1" applyFill="1" applyAlignment="1">
      <alignment/>
    </xf>
    <xf numFmtId="0" fontId="1" fillId="0" borderId="11" xfId="0" applyFont="1" applyFill="1" applyBorder="1" applyAlignment="1">
      <alignment/>
    </xf>
    <xf numFmtId="0" fontId="1" fillId="0" borderId="12" xfId="0" applyFont="1" applyFill="1" applyBorder="1" applyAlignment="1">
      <alignment/>
    </xf>
    <xf numFmtId="0" fontId="2" fillId="0" borderId="17" xfId="0" applyFont="1" applyFill="1" applyBorder="1" applyAlignment="1">
      <alignment/>
    </xf>
    <xf numFmtId="1" fontId="0" fillId="0" borderId="11" xfId="0" applyNumberFormat="1" applyBorder="1" applyAlignment="1">
      <alignment/>
    </xf>
    <xf numFmtId="1" fontId="0" fillId="0" borderId="12" xfId="0" applyNumberFormat="1" applyBorder="1" applyAlignment="1">
      <alignment/>
    </xf>
    <xf numFmtId="0" fontId="0" fillId="0" borderId="17" xfId="0" applyFill="1" applyBorder="1" applyAlignment="1">
      <alignment/>
    </xf>
    <xf numFmtId="1" fontId="0" fillId="0" borderId="11" xfId="0" applyNumberFormat="1" applyFont="1" applyBorder="1" applyAlignment="1">
      <alignment/>
    </xf>
    <xf numFmtId="1" fontId="0" fillId="0" borderId="12" xfId="0" applyNumberFormat="1" applyFont="1" applyBorder="1" applyAlignment="1">
      <alignment/>
    </xf>
    <xf numFmtId="0" fontId="0" fillId="0" borderId="42" xfId="0" applyFont="1" applyFill="1" applyBorder="1" applyAlignment="1">
      <alignment/>
    </xf>
    <xf numFmtId="0" fontId="2" fillId="0" borderId="15" xfId="0" applyFont="1" applyFill="1" applyBorder="1" applyAlignment="1">
      <alignment wrapText="1"/>
    </xf>
    <xf numFmtId="0" fontId="2" fillId="0" borderId="16" xfId="0" applyFont="1" applyFill="1" applyBorder="1" applyAlignment="1">
      <alignment wrapText="1"/>
    </xf>
    <xf numFmtId="0" fontId="1" fillId="0" borderId="16" xfId="0" applyFont="1" applyFill="1" applyBorder="1" applyAlignment="1">
      <alignment/>
    </xf>
    <xf numFmtId="0" fontId="1" fillId="0" borderId="17"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49" fontId="0" fillId="2" borderId="0" xfId="0" applyNumberFormat="1" applyFont="1" applyFill="1" applyAlignment="1">
      <alignment horizontal="right"/>
    </xf>
    <xf numFmtId="0" fontId="0" fillId="21" borderId="0" xfId="0" applyFill="1" applyAlignment="1">
      <alignment/>
    </xf>
    <xf numFmtId="0" fontId="0" fillId="0" borderId="0" xfId="0" applyFont="1" applyBorder="1" applyAlignment="1" quotePrefix="1">
      <alignment/>
    </xf>
    <xf numFmtId="0" fontId="0" fillId="22" borderId="17" xfId="0" applyFill="1" applyBorder="1" applyAlignment="1">
      <alignment/>
    </xf>
    <xf numFmtId="0" fontId="0" fillId="25" borderId="0" xfId="0" applyFont="1" applyFill="1" applyBorder="1" applyAlignment="1">
      <alignment horizontal="right"/>
    </xf>
    <xf numFmtId="2" fontId="0" fillId="22" borderId="12" xfId="0" applyNumberFormat="1" applyFill="1" applyBorder="1" applyAlignment="1">
      <alignment/>
    </xf>
    <xf numFmtId="0" fontId="2" fillId="0" borderId="42" xfId="0" applyFont="1" applyBorder="1" applyAlignment="1">
      <alignment/>
    </xf>
    <xf numFmtId="0" fontId="0" fillId="0" borderId="11" xfId="0" applyBorder="1" applyAlignment="1">
      <alignment/>
    </xf>
    <xf numFmtId="2" fontId="0" fillId="25" borderId="49" xfId="0" applyNumberFormat="1" applyFill="1" applyBorder="1" applyAlignment="1">
      <alignment/>
    </xf>
    <xf numFmtId="173" fontId="0" fillId="8" borderId="34" xfId="0" applyNumberFormat="1" applyFont="1" applyFill="1" applyBorder="1" applyAlignment="1">
      <alignment horizontal="right"/>
    </xf>
    <xf numFmtId="0" fontId="0" fillId="22" borderId="17" xfId="0" applyFont="1" applyFill="1" applyBorder="1" applyAlignment="1" applyProtection="1">
      <alignment wrapText="1"/>
      <protection locked="0"/>
    </xf>
    <xf numFmtId="0" fontId="1" fillId="0" borderId="17" xfId="0" applyFont="1" applyBorder="1" applyAlignment="1">
      <alignment horizontal="left" wrapText="1"/>
    </xf>
    <xf numFmtId="0" fontId="31" fillId="0" borderId="0" xfId="0" applyFont="1" applyFill="1" applyAlignment="1" quotePrefix="1">
      <alignment/>
    </xf>
    <xf numFmtId="0" fontId="11" fillId="20" borderId="0" xfId="0" applyFont="1" applyFill="1" applyAlignment="1">
      <alignment/>
    </xf>
    <xf numFmtId="9" fontId="0" fillId="20" borderId="10" xfId="0" applyNumberFormat="1" applyFill="1" applyBorder="1" applyAlignment="1">
      <alignment/>
    </xf>
    <xf numFmtId="9" fontId="0" fillId="20" borderId="17" xfId="0" applyNumberFormat="1" applyFill="1" applyBorder="1" applyAlignment="1">
      <alignment/>
    </xf>
    <xf numFmtId="10" fontId="0" fillId="20" borderId="17" xfId="0" applyNumberFormat="1" applyFill="1" applyBorder="1" applyAlignment="1">
      <alignment/>
    </xf>
    <xf numFmtId="10" fontId="0" fillId="20" borderId="16" xfId="0" applyNumberFormat="1" applyFill="1" applyBorder="1" applyAlignment="1">
      <alignment/>
    </xf>
    <xf numFmtId="0" fontId="0" fillId="20" borderId="17" xfId="0" applyFill="1" applyBorder="1" applyAlignment="1">
      <alignment/>
    </xf>
    <xf numFmtId="2" fontId="0" fillId="20" borderId="17" xfId="0" applyNumberFormat="1" applyFill="1" applyBorder="1" applyAlignment="1">
      <alignment/>
    </xf>
    <xf numFmtId="0" fontId="0" fillId="20" borderId="17" xfId="0" applyFill="1" applyBorder="1" applyAlignment="1">
      <alignment/>
    </xf>
    <xf numFmtId="2" fontId="0" fillId="20" borderId="17" xfId="0" applyNumberFormat="1" applyFill="1" applyBorder="1" applyAlignment="1">
      <alignment/>
    </xf>
    <xf numFmtId="2" fontId="0" fillId="20" borderId="10" xfId="0" applyNumberFormat="1" applyFill="1" applyBorder="1" applyAlignment="1" applyProtection="1">
      <alignment/>
      <protection locked="0"/>
    </xf>
    <xf numFmtId="2" fontId="0" fillId="20" borderId="34" xfId="0" applyNumberFormat="1" applyFill="1" applyBorder="1" applyAlignment="1">
      <alignment/>
    </xf>
    <xf numFmtId="2" fontId="0" fillId="20" borderId="17" xfId="0" applyNumberFormat="1" applyFont="1" applyFill="1" applyBorder="1" applyAlignment="1">
      <alignment/>
    </xf>
    <xf numFmtId="2" fontId="0" fillId="20" borderId="10" xfId="0" applyNumberFormat="1" applyFont="1" applyFill="1" applyBorder="1" applyAlignment="1">
      <alignment/>
    </xf>
    <xf numFmtId="2" fontId="0" fillId="20" borderId="10" xfId="0" applyNumberFormat="1" applyFont="1" applyFill="1" applyBorder="1" applyAlignment="1">
      <alignment/>
    </xf>
    <xf numFmtId="2" fontId="0" fillId="20" borderId="34" xfId="0" applyNumberFormat="1" applyFont="1" applyFill="1" applyBorder="1" applyAlignment="1">
      <alignment/>
    </xf>
    <xf numFmtId="2" fontId="0" fillId="20" borderId="12" xfId="0" applyNumberFormat="1" applyFill="1" applyBorder="1" applyAlignment="1">
      <alignment/>
    </xf>
    <xf numFmtId="2" fontId="0" fillId="20" borderId="12" xfId="0" applyNumberFormat="1" applyFill="1" applyBorder="1" applyAlignment="1">
      <alignment/>
    </xf>
    <xf numFmtId="9" fontId="0" fillId="20" borderId="17" xfId="0" applyNumberFormat="1" applyFill="1" applyBorder="1" applyAlignment="1">
      <alignment/>
    </xf>
    <xf numFmtId="2" fontId="0" fillId="20" borderId="34" xfId="0" applyNumberFormat="1" applyFont="1" applyFill="1" applyBorder="1" applyAlignment="1">
      <alignment/>
    </xf>
    <xf numFmtId="2" fontId="0" fillId="20" borderId="12" xfId="0" applyNumberFormat="1" applyFont="1" applyFill="1" applyBorder="1" applyAlignment="1">
      <alignment/>
    </xf>
    <xf numFmtId="9" fontId="0" fillId="20" borderId="17" xfId="0" applyNumberFormat="1" applyFill="1" applyBorder="1" applyAlignment="1">
      <alignment horizontal="right"/>
    </xf>
    <xf numFmtId="169" fontId="0" fillId="20" borderId="17" xfId="0" applyNumberFormat="1" applyFill="1" applyBorder="1" applyAlignment="1">
      <alignment horizontal="right"/>
    </xf>
    <xf numFmtId="10" fontId="0" fillId="20" borderId="11" xfId="0" applyNumberFormat="1" applyFill="1" applyBorder="1" applyAlignment="1">
      <alignment horizontal="right"/>
    </xf>
    <xf numFmtId="10" fontId="0" fillId="20" borderId="17" xfId="0" applyNumberFormat="1" applyFont="1" applyFill="1" applyBorder="1" applyAlignment="1">
      <alignment/>
    </xf>
    <xf numFmtId="0" fontId="0" fillId="20" borderId="12" xfId="0" applyFill="1" applyBorder="1" applyAlignment="1">
      <alignment/>
    </xf>
    <xf numFmtId="1" fontId="0" fillId="0" borderId="17" xfId="0" applyNumberFormat="1" applyFont="1" applyBorder="1" applyAlignment="1">
      <alignment/>
    </xf>
    <xf numFmtId="0" fontId="0" fillId="0" borderId="44" xfId="0" applyBorder="1" applyAlignment="1">
      <alignment/>
    </xf>
    <xf numFmtId="0" fontId="0" fillId="0" borderId="14" xfId="0" applyBorder="1" applyAlignment="1">
      <alignment/>
    </xf>
    <xf numFmtId="1" fontId="0" fillId="0" borderId="0" xfId="0" applyNumberFormat="1" applyFont="1" applyFill="1" applyBorder="1" applyAlignment="1">
      <alignment horizontal="right" wrapText="1"/>
    </xf>
    <xf numFmtId="0" fontId="51" fillId="25" borderId="0" xfId="0" applyFont="1" applyFill="1" applyBorder="1" applyAlignment="1">
      <alignment/>
    </xf>
    <xf numFmtId="0" fontId="1" fillId="25" borderId="0" xfId="0" applyFont="1" applyFill="1" applyBorder="1" applyAlignment="1">
      <alignment horizontal="right"/>
    </xf>
    <xf numFmtId="0" fontId="11" fillId="0" borderId="44" xfId="0" applyFont="1" applyBorder="1" applyAlignment="1" applyProtection="1">
      <alignment/>
      <protection locked="0"/>
    </xf>
    <xf numFmtId="0" fontId="1" fillId="2" borderId="0" xfId="0" applyFont="1" applyFill="1" applyAlignment="1">
      <alignment wrapText="1"/>
    </xf>
    <xf numFmtId="0" fontId="0" fillId="2" borderId="0" xfId="0" applyFont="1" applyFill="1" applyBorder="1" applyAlignment="1">
      <alignment/>
    </xf>
    <xf numFmtId="0" fontId="0" fillId="2" borderId="0" xfId="0" applyFill="1" applyBorder="1" applyAlignment="1">
      <alignment/>
    </xf>
    <xf numFmtId="0" fontId="0" fillId="0" borderId="16" xfId="0" applyFont="1" applyBorder="1" applyAlignment="1" applyProtection="1">
      <alignment/>
      <protection locked="0"/>
    </xf>
    <xf numFmtId="0" fontId="0" fillId="2" borderId="0" xfId="0" applyFill="1" applyBorder="1" applyAlignment="1">
      <alignment wrapText="1"/>
    </xf>
    <xf numFmtId="0" fontId="0" fillId="22" borderId="15" xfId="0" applyFill="1" applyBorder="1" applyAlignment="1" applyProtection="1">
      <alignment wrapText="1"/>
      <protection locked="0"/>
    </xf>
    <xf numFmtId="0" fontId="1" fillId="2" borderId="0" xfId="0" applyFont="1" applyFill="1" applyAlignment="1">
      <alignment wrapText="1"/>
    </xf>
    <xf numFmtId="0" fontId="0" fillId="2" borderId="0" xfId="0" applyFill="1" applyAlignment="1">
      <alignment wrapText="1"/>
    </xf>
    <xf numFmtId="0" fontId="11" fillId="22" borderId="15" xfId="0" applyFont="1" applyFill="1" applyBorder="1" applyAlignment="1" applyProtection="1">
      <alignment/>
      <protection locked="0"/>
    </xf>
    <xf numFmtId="0" fontId="0" fillId="22" borderId="44" xfId="0" applyFont="1" applyFill="1" applyBorder="1" applyAlignment="1" applyProtection="1">
      <alignment/>
      <protection locked="0"/>
    </xf>
    <xf numFmtId="0" fontId="0" fillId="22" borderId="44" xfId="0" applyFill="1" applyBorder="1" applyAlignment="1" applyProtection="1">
      <alignment/>
      <protection locked="0"/>
    </xf>
    <xf numFmtId="0" fontId="0" fillId="22" borderId="16" xfId="0" applyFill="1" applyBorder="1" applyAlignment="1" applyProtection="1">
      <alignment/>
      <protection locked="0"/>
    </xf>
    <xf numFmtId="0" fontId="13" fillId="0" borderId="0" xfId="0" applyFont="1" applyFill="1" applyAlignment="1">
      <alignment wrapText="1"/>
    </xf>
    <xf numFmtId="0" fontId="0" fillId="0" borderId="0" xfId="0" applyAlignment="1">
      <alignment wrapText="1"/>
    </xf>
    <xf numFmtId="0" fontId="8" fillId="22" borderId="15" xfId="53" applyFill="1" applyBorder="1" applyAlignment="1" applyProtection="1">
      <alignment/>
      <protection locked="0"/>
    </xf>
    <xf numFmtId="0" fontId="0" fillId="22" borderId="15" xfId="0" applyFont="1" applyFill="1" applyBorder="1" applyAlignment="1" applyProtection="1">
      <alignment/>
      <protection locked="0"/>
    </xf>
    <xf numFmtId="0" fontId="0" fillId="22" borderId="17" xfId="0" applyFill="1" applyBorder="1" applyAlignment="1" applyProtection="1">
      <alignment/>
      <protection locked="0"/>
    </xf>
    <xf numFmtId="0" fontId="0" fillId="22" borderId="15" xfId="0" applyFont="1" applyFill="1" applyBorder="1" applyAlignment="1" applyProtection="1">
      <alignment horizontal="left"/>
      <protection locked="0"/>
    </xf>
    <xf numFmtId="0" fontId="0" fillId="0" borderId="10" xfId="0" applyBorder="1" applyAlignment="1">
      <alignment horizontal="right"/>
    </xf>
    <xf numFmtId="0" fontId="0" fillId="0" borderId="11" xfId="0" applyBorder="1" applyAlignment="1">
      <alignment horizontal="right"/>
    </xf>
    <xf numFmtId="0" fontId="0" fillId="0" borderId="11" xfId="0" applyFont="1" applyFill="1" applyBorder="1" applyAlignment="1">
      <alignment horizontal="right"/>
    </xf>
    <xf numFmtId="0" fontId="0" fillId="10" borderId="11" xfId="0" applyFont="1" applyFill="1" applyBorder="1" applyAlignment="1">
      <alignment horizontal="right"/>
    </xf>
    <xf numFmtId="0" fontId="0" fillId="0" borderId="12" xfId="0" applyBorder="1" applyAlignment="1">
      <alignment horizontal="right"/>
    </xf>
    <xf numFmtId="0" fontId="12" fillId="0" borderId="16" xfId="0" applyFont="1" applyBorder="1" applyAlignment="1">
      <alignment/>
    </xf>
    <xf numFmtId="0" fontId="1" fillId="0" borderId="50" xfId="0" applyFont="1" applyBorder="1" applyAlignment="1">
      <alignment/>
    </xf>
    <xf numFmtId="0" fontId="0" fillId="22" borderId="50" xfId="0" applyFill="1" applyBorder="1" applyAlignment="1" applyProtection="1">
      <alignment/>
      <protection locked="0"/>
    </xf>
    <xf numFmtId="0" fontId="0" fillId="22" borderId="17" xfId="0" applyFont="1" applyFill="1" applyBorder="1" applyAlignment="1" applyProtection="1">
      <alignment/>
      <protection locked="0"/>
    </xf>
    <xf numFmtId="0" fontId="1" fillId="0" borderId="16" xfId="0" applyFont="1" applyBorder="1" applyAlignment="1">
      <alignment/>
    </xf>
    <xf numFmtId="0" fontId="1" fillId="0" borderId="33" xfId="0" applyFont="1" applyFill="1" applyBorder="1" applyAlignment="1">
      <alignment horizontal="right"/>
    </xf>
    <xf numFmtId="0" fontId="1" fillId="0" borderId="13" xfId="0" applyFont="1" applyFill="1" applyBorder="1" applyAlignment="1">
      <alignment horizontal="right"/>
    </xf>
    <xf numFmtId="0" fontId="1" fillId="0" borderId="14" xfId="0" applyFont="1" applyFill="1" applyBorder="1" applyAlignment="1">
      <alignment/>
    </xf>
    <xf numFmtId="0" fontId="1" fillId="0" borderId="15" xfId="0" applyFont="1" applyFill="1" applyBorder="1" applyAlignment="1">
      <alignment horizontal="right"/>
    </xf>
    <xf numFmtId="0" fontId="0" fillId="22" borderId="12" xfId="0" applyFont="1" applyFill="1" applyBorder="1" applyAlignment="1">
      <alignment/>
    </xf>
    <xf numFmtId="0" fontId="0" fillId="22" borderId="15" xfId="0" applyFill="1" applyBorder="1" applyAlignment="1" applyProtection="1">
      <alignment horizontal="left"/>
      <protection locked="0"/>
    </xf>
    <xf numFmtId="0" fontId="0" fillId="22" borderId="44" xfId="0" applyFill="1" applyBorder="1" applyAlignment="1" applyProtection="1">
      <alignment horizontal="left"/>
      <protection locked="0"/>
    </xf>
    <xf numFmtId="0" fontId="0" fillId="22" borderId="16" xfId="0" applyFill="1" applyBorder="1" applyAlignment="1" applyProtection="1">
      <alignment horizontal="left"/>
      <protection locked="0"/>
    </xf>
    <xf numFmtId="0" fontId="1" fillId="2" borderId="0" xfId="0" applyFont="1" applyFill="1" applyBorder="1" applyAlignment="1">
      <alignment horizontal="left" wrapText="1"/>
    </xf>
    <xf numFmtId="0" fontId="1" fillId="22" borderId="15" xfId="0" applyFont="1" applyFill="1" applyBorder="1" applyAlignment="1" applyProtection="1">
      <alignment/>
      <protection locked="0"/>
    </xf>
    <xf numFmtId="0" fontId="1" fillId="0" borderId="44" xfId="0" applyFont="1" applyBorder="1" applyAlignment="1" applyProtection="1">
      <alignment/>
      <protection locked="0"/>
    </xf>
    <xf numFmtId="0" fontId="1" fillId="0" borderId="16" xfId="0" applyFont="1" applyBorder="1" applyAlignment="1" applyProtection="1">
      <alignment/>
      <protection locked="0"/>
    </xf>
    <xf numFmtId="0" fontId="0" fillId="2" borderId="0" xfId="0" applyFill="1" applyAlignment="1">
      <alignment/>
    </xf>
    <xf numFmtId="0" fontId="0" fillId="22" borderId="15" xfId="0" applyFill="1" applyBorder="1" applyAlignment="1" applyProtection="1">
      <alignment/>
      <protection locked="0"/>
    </xf>
    <xf numFmtId="0" fontId="0" fillId="0" borderId="44" xfId="0" applyBorder="1" applyAlignment="1" applyProtection="1">
      <alignment/>
      <protection locked="0"/>
    </xf>
    <xf numFmtId="0" fontId="0" fillId="0" borderId="16" xfId="0" applyBorder="1" applyAlignment="1" applyProtection="1">
      <alignment/>
      <protection locked="0"/>
    </xf>
    <xf numFmtId="0" fontId="0" fillId="22" borderId="17" xfId="0" applyFont="1" applyFill="1" applyBorder="1" applyAlignment="1" applyProtection="1">
      <alignment/>
      <protection locked="0"/>
    </xf>
    <xf numFmtId="0" fontId="0" fillId="0" borderId="17" xfId="0" applyFont="1" applyBorder="1" applyAlignment="1" applyProtection="1">
      <alignment/>
      <protection locked="0"/>
    </xf>
    <xf numFmtId="0" fontId="0" fillId="22" borderId="15" xfId="0" applyFont="1" applyFill="1" applyBorder="1" applyAlignment="1" applyProtection="1">
      <alignment/>
      <protection locked="0"/>
    </xf>
    <xf numFmtId="0" fontId="0" fillId="0" borderId="44" xfId="0" applyFont="1" applyBorder="1" applyAlignment="1" applyProtection="1">
      <alignment/>
      <protection locked="0"/>
    </xf>
    <xf numFmtId="172" fontId="0" fillId="22" borderId="33" xfId="0" applyNumberFormat="1" applyFont="1" applyFill="1" applyBorder="1" applyAlignment="1" applyProtection="1">
      <alignment/>
      <protection locked="0"/>
    </xf>
    <xf numFmtId="172" fontId="0" fillId="22" borderId="45" xfId="0" applyNumberFormat="1" applyFont="1" applyFill="1" applyBorder="1" applyAlignment="1" applyProtection="1">
      <alignment/>
      <protection locked="0"/>
    </xf>
    <xf numFmtId="172" fontId="0" fillId="22" borderId="50" xfId="0" applyNumberFormat="1" applyFont="1" applyFill="1" applyBorder="1" applyAlignment="1" applyProtection="1">
      <alignment/>
      <protection locked="0"/>
    </xf>
    <xf numFmtId="0" fontId="0" fillId="22" borderId="33" xfId="0" applyFont="1" applyFill="1" applyBorder="1" applyAlignment="1" applyProtection="1">
      <alignment/>
      <protection locked="0"/>
    </xf>
    <xf numFmtId="0" fontId="0" fillId="22" borderId="45" xfId="0" applyFill="1" applyBorder="1" applyAlignment="1" applyProtection="1">
      <alignment/>
      <protection locked="0"/>
    </xf>
    <xf numFmtId="0" fontId="0" fillId="22" borderId="44" xfId="0" applyFill="1" applyBorder="1" applyAlignment="1" applyProtection="1">
      <alignment wrapText="1"/>
      <protection locked="0"/>
    </xf>
    <xf numFmtId="0" fontId="0" fillId="22" borderId="16" xfId="0" applyFill="1" applyBorder="1" applyAlignment="1" applyProtection="1">
      <alignment wrapText="1"/>
      <protection locked="0"/>
    </xf>
    <xf numFmtId="0" fontId="0" fillId="22" borderId="15" xfId="0" applyFill="1" applyBorder="1" applyAlignment="1" applyProtection="1">
      <alignment horizontal="center" wrapText="1"/>
      <protection locked="0"/>
    </xf>
    <xf numFmtId="0" fontId="0" fillId="22" borderId="44" xfId="0" applyFill="1" applyBorder="1" applyAlignment="1" applyProtection="1">
      <alignment horizontal="center" wrapText="1"/>
      <protection locked="0"/>
    </xf>
    <xf numFmtId="0" fontId="0" fillId="22" borderId="16" xfId="0" applyFill="1" applyBorder="1" applyAlignment="1" applyProtection="1">
      <alignment horizontal="center" wrapText="1"/>
      <protection locked="0"/>
    </xf>
    <xf numFmtId="0" fontId="0" fillId="22" borderId="33" xfId="0" applyFill="1" applyBorder="1" applyAlignment="1" applyProtection="1">
      <alignment wrapText="1"/>
      <protection locked="0"/>
    </xf>
    <xf numFmtId="0" fontId="0" fillId="0" borderId="0" xfId="0" applyFont="1" applyAlignment="1">
      <alignment wrapText="1"/>
    </xf>
    <xf numFmtId="0" fontId="13" fillId="0" borderId="0" xfId="0" applyFont="1" applyAlignment="1">
      <alignment wrapText="1"/>
    </xf>
    <xf numFmtId="0" fontId="1" fillId="2" borderId="45" xfId="0" applyFont="1" applyFill="1" applyBorder="1" applyAlignment="1" applyProtection="1">
      <alignment wrapText="1"/>
      <protection locked="0"/>
    </xf>
    <xf numFmtId="0" fontId="0" fillId="2" borderId="45" xfId="0" applyFill="1" applyBorder="1" applyAlignment="1" applyProtection="1">
      <alignment wrapText="1"/>
      <protection locked="0"/>
    </xf>
    <xf numFmtId="0" fontId="1" fillId="2" borderId="0" xfId="0" applyFont="1" applyFill="1" applyAlignment="1">
      <alignment horizontal="left" wrapText="1"/>
    </xf>
    <xf numFmtId="0" fontId="0" fillId="2" borderId="0" xfId="0" applyFill="1" applyAlignment="1">
      <alignment horizontal="left" wrapText="1"/>
    </xf>
    <xf numFmtId="0" fontId="1" fillId="22" borderId="15" xfId="0" applyFont="1" applyFill="1" applyBorder="1" applyAlignment="1" applyProtection="1">
      <alignment wrapText="1"/>
      <protection locked="0"/>
    </xf>
    <xf numFmtId="0" fontId="1" fillId="0" borderId="44" xfId="0" applyFont="1" applyBorder="1" applyAlignment="1" applyProtection="1">
      <alignment wrapText="1"/>
      <protection locked="0"/>
    </xf>
    <xf numFmtId="0" fontId="0" fillId="0" borderId="44" xfId="0" applyBorder="1" applyAlignment="1" applyProtection="1">
      <alignment wrapText="1"/>
      <protection locked="0"/>
    </xf>
    <xf numFmtId="0" fontId="26" fillId="0" borderId="0" xfId="0" applyFont="1" applyAlignment="1">
      <alignment wrapText="1"/>
    </xf>
    <xf numFmtId="0" fontId="13" fillId="0" borderId="0" xfId="0" applyNumberFormat="1" applyFont="1" applyFill="1" applyAlignment="1">
      <alignment horizontal="left" wrapText="1"/>
    </xf>
    <xf numFmtId="0" fontId="13" fillId="0" borderId="0" xfId="0" applyNumberFormat="1" applyFont="1" applyFill="1" applyAlignment="1">
      <alignment horizontal="left" wrapText="1"/>
    </xf>
    <xf numFmtId="0" fontId="0" fillId="0" borderId="16" xfId="0" applyBorder="1" applyAlignment="1" applyProtection="1">
      <alignment wrapText="1"/>
      <protection locked="0"/>
    </xf>
    <xf numFmtId="0" fontId="1" fillId="2" borderId="0" xfId="0" applyFont="1" applyFill="1" applyAlignment="1">
      <alignment/>
    </xf>
    <xf numFmtId="0" fontId="1" fillId="2" borderId="0" xfId="0" applyFont="1" applyFill="1" applyAlignment="1">
      <alignment horizontal="left"/>
    </xf>
    <xf numFmtId="0" fontId="1" fillId="2" borderId="0" xfId="0" applyFont="1" applyFill="1" applyAlignment="1">
      <alignment horizontal="left" wrapText="1"/>
    </xf>
    <xf numFmtId="0" fontId="0" fillId="2" borderId="0" xfId="0" applyFont="1" applyFill="1" applyAlignment="1">
      <alignment wrapText="1"/>
    </xf>
    <xf numFmtId="0" fontId="18" fillId="2" borderId="0" xfId="0" applyFont="1" applyFill="1" applyAlignment="1">
      <alignment horizontal="right" wrapText="1"/>
    </xf>
    <xf numFmtId="0" fontId="18" fillId="2" borderId="28" xfId="0" applyFont="1" applyFill="1" applyBorder="1" applyAlignment="1">
      <alignment horizontal="right" wrapText="1"/>
    </xf>
    <xf numFmtId="0" fontId="1" fillId="22" borderId="33" xfId="0" applyFont="1" applyFill="1" applyBorder="1" applyAlignment="1" applyProtection="1">
      <alignment wrapText="1"/>
      <protection locked="0"/>
    </xf>
    <xf numFmtId="0" fontId="0" fillId="0" borderId="45" xfId="0" applyBorder="1" applyAlignment="1" applyProtection="1">
      <alignment wrapText="1"/>
      <protection locked="0"/>
    </xf>
    <xf numFmtId="0" fontId="1" fillId="2" borderId="0" xfId="0" applyFont="1" applyFill="1" applyAlignment="1">
      <alignment horizontal="left"/>
    </xf>
    <xf numFmtId="0" fontId="0" fillId="22" borderId="15" xfId="0" applyFont="1" applyFill="1" applyBorder="1" applyAlignment="1">
      <alignment horizontal="left"/>
    </xf>
    <xf numFmtId="0" fontId="0" fillId="22" borderId="44" xfId="0" applyFont="1" applyFill="1" applyBorder="1" applyAlignment="1">
      <alignment horizontal="left"/>
    </xf>
    <xf numFmtId="0" fontId="0" fillId="22" borderId="16" xfId="0" applyFont="1" applyFill="1" applyBorder="1" applyAlignment="1">
      <alignment horizontal="left"/>
    </xf>
    <xf numFmtId="0" fontId="0" fillId="20" borderId="15" xfId="0" applyFont="1" applyFill="1" applyBorder="1" applyAlignment="1">
      <alignment horizontal="left"/>
    </xf>
    <xf numFmtId="0" fontId="0" fillId="20" borderId="44" xfId="0" applyFont="1" applyFill="1" applyBorder="1" applyAlignment="1">
      <alignment horizontal="left"/>
    </xf>
    <xf numFmtId="0" fontId="0" fillId="20" borderId="16" xfId="0" applyFont="1" applyFill="1" applyBorder="1" applyAlignment="1">
      <alignment horizontal="left"/>
    </xf>
    <xf numFmtId="0" fontId="0" fillId="22" borderId="15" xfId="0" applyFill="1" applyBorder="1" applyAlignment="1">
      <alignment horizontal="left"/>
    </xf>
    <xf numFmtId="0" fontId="0" fillId="22" borderId="44" xfId="0" applyFill="1" applyBorder="1" applyAlignment="1">
      <alignment horizontal="left"/>
    </xf>
    <xf numFmtId="0" fontId="0" fillId="22" borderId="16" xfId="0" applyFill="1" applyBorder="1" applyAlignment="1">
      <alignment horizontal="left"/>
    </xf>
    <xf numFmtId="0" fontId="0" fillId="22" borderId="17" xfId="0" applyFill="1" applyBorder="1" applyAlignment="1">
      <alignment horizontal="left"/>
    </xf>
    <xf numFmtId="0" fontId="0" fillId="25" borderId="0" xfId="0" applyFont="1" applyFill="1" applyBorder="1" applyAlignment="1">
      <alignment horizontal="center" wrapText="1"/>
    </xf>
    <xf numFmtId="2" fontId="0" fillId="20" borderId="17" xfId="0" applyNumberFormat="1" applyFill="1" applyBorder="1" applyAlignment="1">
      <alignment horizontal="center" wrapText="1"/>
    </xf>
    <xf numFmtId="0" fontId="0" fillId="22" borderId="15" xfId="0" applyFill="1" applyBorder="1" applyAlignment="1">
      <alignment/>
    </xf>
    <xf numFmtId="0" fontId="0" fillId="22" borderId="44" xfId="0" applyFill="1" applyBorder="1" applyAlignment="1">
      <alignment/>
    </xf>
    <xf numFmtId="0" fontId="0" fillId="22" borderId="16" xfId="0" applyFill="1" applyBorder="1" applyAlignment="1">
      <alignment/>
    </xf>
    <xf numFmtId="0" fontId="0" fillId="22" borderId="17" xfId="0" applyFill="1" applyBorder="1" applyAlignment="1" applyProtection="1">
      <alignment/>
      <protection/>
    </xf>
    <xf numFmtId="0" fontId="0" fillId="22" borderId="15" xfId="0" applyFill="1" applyBorder="1" applyAlignment="1" applyProtection="1">
      <alignment/>
      <protection/>
    </xf>
    <xf numFmtId="0" fontId="0" fillId="22" borderId="44" xfId="0" applyFill="1" applyBorder="1" applyAlignment="1" applyProtection="1">
      <alignment/>
      <protection/>
    </xf>
    <xf numFmtId="0" fontId="0" fillId="22" borderId="16" xfId="0" applyFill="1" applyBorder="1" applyAlignment="1" applyProtection="1">
      <alignment/>
      <protection/>
    </xf>
    <xf numFmtId="0" fontId="0" fillId="22" borderId="15" xfId="0" applyFill="1" applyBorder="1" applyAlignment="1">
      <alignment wrapText="1"/>
    </xf>
    <xf numFmtId="0" fontId="0" fillId="22" borderId="44" xfId="0" applyFill="1" applyBorder="1" applyAlignment="1">
      <alignment wrapText="1"/>
    </xf>
    <xf numFmtId="0" fontId="0" fillId="22" borderId="16" xfId="0" applyFill="1" applyBorder="1" applyAlignment="1">
      <alignment wrapText="1"/>
    </xf>
    <xf numFmtId="0" fontId="11" fillId="22" borderId="15" xfId="0" applyNumberFormat="1" applyFont="1" applyFill="1" applyBorder="1" applyAlignment="1">
      <alignment/>
    </xf>
    <xf numFmtId="0" fontId="11" fillId="22" borderId="44" xfId="0" applyNumberFormat="1" applyFont="1" applyFill="1" applyBorder="1" applyAlignment="1">
      <alignment/>
    </xf>
    <xf numFmtId="0" fontId="11" fillId="22" borderId="16" xfId="0" applyNumberFormat="1" applyFont="1" applyFill="1" applyBorder="1" applyAlignment="1">
      <alignment/>
    </xf>
    <xf numFmtId="0" fontId="0" fillId="25" borderId="0" xfId="0" applyFill="1" applyAlignment="1">
      <alignment wrapText="1"/>
    </xf>
    <xf numFmtId="0" fontId="0" fillId="25" borderId="0" xfId="0" applyFill="1" applyBorder="1" applyAlignment="1">
      <alignment wrapText="1"/>
    </xf>
    <xf numFmtId="0" fontId="0" fillId="22" borderId="15" xfId="0" applyFill="1" applyBorder="1" applyAlignment="1">
      <alignment horizontal="center" wrapText="1"/>
    </xf>
    <xf numFmtId="0" fontId="0" fillId="22" borderId="44" xfId="0" applyFill="1" applyBorder="1" applyAlignment="1">
      <alignment horizontal="center" wrapText="1"/>
    </xf>
    <xf numFmtId="0" fontId="0" fillId="22" borderId="16" xfId="0" applyFill="1" applyBorder="1" applyAlignment="1">
      <alignment horizontal="center" wrapText="1"/>
    </xf>
    <xf numFmtId="0" fontId="1" fillId="25" borderId="0" xfId="0" applyFont="1" applyFill="1" applyAlignment="1">
      <alignment wrapText="1"/>
    </xf>
    <xf numFmtId="0" fontId="0" fillId="20" borderId="15" xfId="0" applyFill="1" applyBorder="1" applyAlignment="1">
      <alignment/>
    </xf>
    <xf numFmtId="0" fontId="0" fillId="20" borderId="44" xfId="0" applyFill="1" applyBorder="1" applyAlignment="1">
      <alignment/>
    </xf>
    <xf numFmtId="0" fontId="0" fillId="20" borderId="16" xfId="0" applyFill="1" applyBorder="1" applyAlignment="1">
      <alignment/>
    </xf>
    <xf numFmtId="0" fontId="0" fillId="25" borderId="0" xfId="0" applyFill="1" applyBorder="1" applyAlignment="1">
      <alignment/>
    </xf>
    <xf numFmtId="9" fontId="0" fillId="20" borderId="15" xfId="0" applyNumberFormat="1" applyFill="1" applyBorder="1" applyAlignment="1">
      <alignment horizontal="right"/>
    </xf>
    <xf numFmtId="9" fontId="0" fillId="20" borderId="16" xfId="0" applyNumberFormat="1" applyFill="1" applyBorder="1" applyAlignment="1">
      <alignment horizontal="right"/>
    </xf>
    <xf numFmtId="0" fontId="0" fillId="20" borderId="15" xfId="0" applyFont="1" applyFill="1" applyBorder="1" applyAlignment="1">
      <alignment horizontal="left"/>
    </xf>
    <xf numFmtId="0" fontId="0" fillId="20" borderId="44" xfId="0" applyFont="1" applyFill="1" applyBorder="1" applyAlignment="1">
      <alignment horizontal="left"/>
    </xf>
    <xf numFmtId="0" fontId="0" fillId="20" borderId="16" xfId="0" applyFont="1" applyFill="1" applyBorder="1" applyAlignment="1">
      <alignment horizontal="left"/>
    </xf>
    <xf numFmtId="0" fontId="11" fillId="25" borderId="0" xfId="0" applyFont="1" applyFill="1" applyBorder="1" applyAlignment="1" quotePrefix="1">
      <alignment horizontal="center" wrapText="1"/>
    </xf>
    <xf numFmtId="0" fontId="11" fillId="25" borderId="43" xfId="0" applyFont="1" applyFill="1" applyBorder="1" applyAlignment="1" quotePrefix="1">
      <alignment horizontal="center" wrapText="1"/>
    </xf>
    <xf numFmtId="0" fontId="11" fillId="25" borderId="45" xfId="0" applyFont="1" applyFill="1" applyBorder="1" applyAlignment="1">
      <alignment horizontal="center" wrapText="1"/>
    </xf>
    <xf numFmtId="0" fontId="11" fillId="25" borderId="43" xfId="0" applyFont="1" applyFill="1" applyBorder="1" applyAlignment="1">
      <alignment horizontal="center" wrapText="1"/>
    </xf>
    <xf numFmtId="0" fontId="1" fillId="22" borderId="17" xfId="0" applyFont="1" applyFill="1" applyBorder="1" applyAlignment="1">
      <alignment/>
    </xf>
    <xf numFmtId="0" fontId="0" fillId="25" borderId="0" xfId="0" applyFont="1" applyFill="1" applyAlignment="1">
      <alignment horizontal="center" wrapText="1"/>
    </xf>
    <xf numFmtId="0" fontId="0" fillId="25" borderId="43" xfId="0" applyFont="1" applyFill="1" applyBorder="1" applyAlignment="1">
      <alignment horizontal="center" wrapText="1"/>
    </xf>
    <xf numFmtId="0" fontId="0" fillId="22" borderId="17" xfId="0" applyFill="1" applyBorder="1" applyAlignment="1">
      <alignment/>
    </xf>
    <xf numFmtId="0" fontId="0" fillId="22" borderId="15" xfId="0" applyFont="1" applyFill="1" applyBorder="1" applyAlignment="1">
      <alignment/>
    </xf>
    <xf numFmtId="0" fontId="0" fillId="22" borderId="44" xfId="0" applyFont="1" applyFill="1" applyBorder="1" applyAlignment="1">
      <alignment/>
    </xf>
    <xf numFmtId="0" fontId="0" fillId="22" borderId="16" xfId="0" applyFont="1" applyFill="1" applyBorder="1" applyAlignment="1">
      <alignment/>
    </xf>
    <xf numFmtId="0" fontId="1" fillId="22" borderId="15" xfId="0" applyFont="1" applyFill="1" applyBorder="1" applyAlignment="1">
      <alignment/>
    </xf>
    <xf numFmtId="0" fontId="1" fillId="22" borderId="44" xfId="0" applyFont="1" applyFill="1" applyBorder="1" applyAlignment="1">
      <alignment/>
    </xf>
    <xf numFmtId="0" fontId="1" fillId="22" borderId="15" xfId="0" applyFont="1" applyFill="1" applyBorder="1" applyAlignment="1">
      <alignment wrapText="1"/>
    </xf>
    <xf numFmtId="0" fontId="1" fillId="22" borderId="44" xfId="0" applyFont="1" applyFill="1" applyBorder="1" applyAlignment="1">
      <alignment wrapText="1"/>
    </xf>
    <xf numFmtId="0" fontId="1" fillId="22" borderId="15" xfId="0" applyFont="1" applyFill="1" applyBorder="1" applyAlignment="1">
      <alignment/>
    </xf>
    <xf numFmtId="0" fontId="1" fillId="22" borderId="44" xfId="0" applyFont="1" applyFill="1" applyBorder="1" applyAlignment="1">
      <alignment/>
    </xf>
    <xf numFmtId="0" fontId="0" fillId="0" borderId="44" xfId="0" applyBorder="1" applyAlignment="1">
      <alignment wrapText="1"/>
    </xf>
    <xf numFmtId="172" fontId="0" fillId="22" borderId="33" xfId="0" applyNumberFormat="1" applyFont="1" applyFill="1" applyBorder="1" applyAlignment="1" applyProtection="1">
      <alignment/>
      <protection/>
    </xf>
    <xf numFmtId="172" fontId="0" fillId="22" borderId="45" xfId="0" applyNumberFormat="1" applyFont="1" applyFill="1" applyBorder="1" applyAlignment="1" applyProtection="1">
      <alignment/>
      <protection/>
    </xf>
    <xf numFmtId="172" fontId="0" fillId="22" borderId="50" xfId="0" applyNumberFormat="1" applyFont="1" applyFill="1" applyBorder="1" applyAlignment="1" applyProtection="1">
      <alignment/>
      <protection/>
    </xf>
    <xf numFmtId="0" fontId="0" fillId="22" borderId="15" xfId="0" applyFont="1" applyFill="1" applyBorder="1" applyAlignment="1" applyProtection="1">
      <alignment/>
      <protection/>
    </xf>
    <xf numFmtId="0" fontId="0" fillId="22" borderId="44" xfId="0" applyFont="1" applyFill="1" applyBorder="1" applyAlignment="1" applyProtection="1">
      <alignment/>
      <protection/>
    </xf>
    <xf numFmtId="0" fontId="0" fillId="22" borderId="33" xfId="0" applyFill="1" applyBorder="1" applyAlignment="1" applyProtection="1">
      <alignment/>
      <protection/>
    </xf>
    <xf numFmtId="0" fontId="0" fillId="22" borderId="45" xfId="0" applyFill="1" applyBorder="1" applyAlignment="1" applyProtection="1">
      <alignment/>
      <protection/>
    </xf>
    <xf numFmtId="0" fontId="0" fillId="22" borderId="50" xfId="0" applyFill="1" applyBorder="1" applyAlignment="1" applyProtection="1">
      <alignment/>
      <protection/>
    </xf>
    <xf numFmtId="9" fontId="0" fillId="20" borderId="15" xfId="0" applyNumberFormat="1" applyFill="1" applyBorder="1" applyAlignment="1">
      <alignment/>
    </xf>
    <xf numFmtId="9" fontId="0" fillId="20" borderId="44" xfId="0" applyNumberFormat="1" applyFill="1" applyBorder="1" applyAlignment="1">
      <alignment/>
    </xf>
    <xf numFmtId="9" fontId="0" fillId="20" borderId="16" xfId="0" applyNumberFormat="1" applyFill="1" applyBorder="1" applyAlignment="1">
      <alignment/>
    </xf>
    <xf numFmtId="0" fontId="2" fillId="0" borderId="0" xfId="0" applyFont="1" applyAlignment="1">
      <alignment vertical="center" wrapText="1"/>
    </xf>
    <xf numFmtId="0" fontId="0" fillId="20" borderId="33" xfId="0" applyFont="1" applyFill="1" applyBorder="1" applyAlignment="1">
      <alignment/>
    </xf>
    <xf numFmtId="0" fontId="0" fillId="20" borderId="50" xfId="0" applyFont="1" applyFill="1" applyBorder="1" applyAlignment="1">
      <alignment/>
    </xf>
    <xf numFmtId="0" fontId="0" fillId="20" borderId="17" xfId="0" applyFont="1" applyFill="1" applyBorder="1" applyAlignment="1">
      <alignment/>
    </xf>
    <xf numFmtId="0" fontId="0" fillId="25" borderId="43" xfId="0" applyFill="1" applyBorder="1" applyAlignment="1" quotePrefix="1">
      <alignment horizontal="center"/>
    </xf>
    <xf numFmtId="0" fontId="0" fillId="25" borderId="43" xfId="0" applyFill="1" applyBorder="1" applyAlignment="1">
      <alignment horizontal="center"/>
    </xf>
    <xf numFmtId="0" fontId="0" fillId="25" borderId="0" xfId="0" applyFont="1" applyFill="1" applyBorder="1" applyAlignment="1">
      <alignment/>
    </xf>
    <xf numFmtId="0" fontId="11" fillId="25" borderId="43" xfId="0" applyFont="1" applyFill="1" applyBorder="1" applyAlignment="1" quotePrefix="1">
      <alignment/>
    </xf>
    <xf numFmtId="0" fontId="0" fillId="25" borderId="43" xfId="0" applyFill="1" applyBorder="1" applyAlignment="1">
      <alignment/>
    </xf>
    <xf numFmtId="2" fontId="0" fillId="20" borderId="12" xfId="0" applyNumberFormat="1" applyFill="1" applyBorder="1" applyAlignment="1">
      <alignment horizontal="center"/>
    </xf>
    <xf numFmtId="2" fontId="0" fillId="20" borderId="21" xfId="0" applyNumberFormat="1" applyFill="1" applyBorder="1" applyAlignment="1">
      <alignment horizontal="center"/>
    </xf>
    <xf numFmtId="2" fontId="0" fillId="20" borderId="32" xfId="0" applyNumberFormat="1" applyFill="1" applyBorder="1" applyAlignment="1">
      <alignment horizontal="center"/>
    </xf>
    <xf numFmtId="0" fontId="0" fillId="0" borderId="44" xfId="0" applyFont="1" applyBorder="1" applyAlignment="1">
      <alignment/>
    </xf>
    <xf numFmtId="0" fontId="0" fillId="0" borderId="16" xfId="0" applyFont="1" applyBorder="1" applyAlignment="1">
      <alignment/>
    </xf>
    <xf numFmtId="0" fontId="17" fillId="0" borderId="15" xfId="0" applyFont="1" applyBorder="1" applyAlignment="1">
      <alignment horizontal="center" wrapText="1"/>
    </xf>
    <xf numFmtId="0" fontId="17" fillId="0" borderId="16" xfId="0" applyFont="1" applyBorder="1" applyAlignment="1">
      <alignment horizontal="center" wrapText="1"/>
    </xf>
    <xf numFmtId="0" fontId="29" fillId="0" borderId="17" xfId="0" applyFont="1" applyBorder="1" applyAlignment="1">
      <alignment/>
    </xf>
    <xf numFmtId="0" fontId="1" fillId="0" borderId="17" xfId="0" applyFont="1" applyBorder="1" applyAlignment="1">
      <alignment/>
    </xf>
    <xf numFmtId="0" fontId="1" fillId="0" borderId="14" xfId="0" applyFont="1" applyBorder="1" applyAlignment="1">
      <alignment wrapText="1"/>
    </xf>
    <xf numFmtId="0" fontId="0" fillId="0" borderId="43" xfId="0" applyBorder="1" applyAlignment="1">
      <alignment wrapText="1"/>
    </xf>
    <xf numFmtId="0" fontId="2" fillId="0" borderId="10" xfId="0" applyFont="1" applyBorder="1" applyAlignment="1">
      <alignment/>
    </xf>
    <xf numFmtId="0" fontId="0" fillId="0" borderId="12" xfId="0" applyBorder="1" applyAlignment="1">
      <alignment/>
    </xf>
    <xf numFmtId="0" fontId="1" fillId="0" borderId="33" xfId="0" applyFont="1" applyBorder="1" applyAlignment="1">
      <alignment wrapText="1"/>
    </xf>
    <xf numFmtId="0" fontId="0" fillId="0" borderId="45" xfId="0" applyBorder="1" applyAlignment="1">
      <alignment wrapText="1"/>
    </xf>
    <xf numFmtId="0" fontId="1" fillId="0" borderId="13" xfId="0" applyFont="1" applyBorder="1" applyAlignment="1">
      <alignment wrapText="1"/>
    </xf>
    <xf numFmtId="0" fontId="0" fillId="0" borderId="0" xfId="0" applyBorder="1" applyAlignment="1">
      <alignment wrapText="1"/>
    </xf>
    <xf numFmtId="0" fontId="2" fillId="0" borderId="15" xfId="0" applyFont="1" applyFill="1" applyBorder="1" applyAlignment="1">
      <alignment horizontal="center" wrapText="1"/>
    </xf>
    <xf numFmtId="0" fontId="2" fillId="0" borderId="44" xfId="0" applyFont="1" applyFill="1" applyBorder="1" applyAlignment="1">
      <alignment horizontal="center" wrapText="1"/>
    </xf>
    <xf numFmtId="0" fontId="2" fillId="0" borderId="16" xfId="0" applyFont="1" applyFill="1" applyBorder="1" applyAlignment="1">
      <alignment horizontal="center" wrapText="1"/>
    </xf>
    <xf numFmtId="0" fontId="5" fillId="0" borderId="15" xfId="0" applyFont="1" applyFill="1" applyBorder="1" applyAlignment="1">
      <alignment horizontal="center"/>
    </xf>
    <xf numFmtId="0" fontId="5" fillId="0" borderId="16" xfId="0" applyFont="1" applyFill="1" applyBorder="1" applyAlignment="1">
      <alignment horizontal="center"/>
    </xf>
    <xf numFmtId="0" fontId="17" fillId="0" borderId="17" xfId="0" applyFont="1" applyBorder="1" applyAlignment="1">
      <alignment horizontal="center" wrapText="1"/>
    </xf>
    <xf numFmtId="0" fontId="5" fillId="0" borderId="15" xfId="0" applyFont="1" applyBorder="1" applyAlignment="1">
      <alignment horizontal="center"/>
    </xf>
    <xf numFmtId="0" fontId="5" fillId="0" borderId="44" xfId="0" applyFont="1" applyBorder="1" applyAlignment="1">
      <alignment horizontal="center"/>
    </xf>
    <xf numFmtId="0" fontId="5" fillId="0" borderId="16" xfId="0" applyFont="1" applyBorder="1" applyAlignment="1">
      <alignment horizontal="center"/>
    </xf>
    <xf numFmtId="0" fontId="5" fillId="0" borderId="0" xfId="0" applyFont="1" applyAlignment="1">
      <alignment/>
    </xf>
    <xf numFmtId="0" fontId="0" fillId="0" borderId="0" xfId="0" applyAlignment="1">
      <alignment/>
    </xf>
    <xf numFmtId="0" fontId="10" fillId="0" borderId="17" xfId="0" applyFont="1" applyBorder="1" applyAlignment="1">
      <alignment wrapText="1"/>
    </xf>
    <xf numFmtId="0" fontId="10" fillId="0" borderId="39" xfId="0" applyFont="1" applyBorder="1" applyAlignment="1">
      <alignment wrapText="1"/>
    </xf>
    <xf numFmtId="0" fontId="25" fillId="0" borderId="10" xfId="0" applyFont="1" applyBorder="1" applyAlignment="1">
      <alignment wrapText="1"/>
    </xf>
    <xf numFmtId="0" fontId="25" fillId="0" borderId="20" xfId="0" applyFont="1" applyBorder="1" applyAlignment="1">
      <alignment wrapText="1"/>
    </xf>
    <xf numFmtId="0" fontId="10" fillId="0" borderId="10" xfId="0" applyFont="1" applyBorder="1" applyAlignment="1">
      <alignment wrapText="1"/>
    </xf>
    <xf numFmtId="0" fontId="0" fillId="0" borderId="11" xfId="0" applyBorder="1" applyAlignment="1">
      <alignment/>
    </xf>
    <xf numFmtId="0" fontId="0" fillId="0" borderId="20" xfId="0" applyBorder="1" applyAlignment="1">
      <alignment/>
    </xf>
    <xf numFmtId="0" fontId="10" fillId="0" borderId="10" xfId="53" applyFont="1" applyBorder="1" applyAlignment="1" applyProtection="1">
      <alignment/>
      <protection/>
    </xf>
    <xf numFmtId="0" fontId="5" fillId="0" borderId="15" xfId="0" applyFont="1" applyBorder="1" applyAlignment="1">
      <alignment/>
    </xf>
    <xf numFmtId="0" fontId="0" fillId="0" borderId="44" xfId="0" applyBorder="1" applyAlignment="1">
      <alignment/>
    </xf>
    <xf numFmtId="0" fontId="0" fillId="0" borderId="16" xfId="0" applyBorder="1" applyAlignment="1">
      <alignment/>
    </xf>
    <xf numFmtId="0" fontId="25" fillId="0" borderId="10" xfId="0" applyFont="1" applyBorder="1" applyAlignment="1">
      <alignment horizontal="left"/>
    </xf>
    <xf numFmtId="0" fontId="25" fillId="0" borderId="20" xfId="0" applyFont="1" applyBorder="1" applyAlignment="1">
      <alignment horizontal="left"/>
    </xf>
    <xf numFmtId="0" fontId="25" fillId="0" borderId="10" xfId="0" applyFont="1" applyBorder="1" applyAlignment="1">
      <alignment horizontal="center" wrapText="1"/>
    </xf>
    <xf numFmtId="0" fontId="24" fillId="0" borderId="2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17"/>
  <sheetViews>
    <sheetView showGridLines="0" tabSelected="1" zoomScalePageLayoutView="0" workbookViewId="0" topLeftCell="A1">
      <selection activeCell="N4" sqref="N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2.8515625" style="0" customWidth="1"/>
    <col min="6" max="6" width="14.421875" style="0" customWidth="1"/>
    <col min="7" max="7" width="15.57421875" style="0" customWidth="1"/>
    <col min="8" max="8" width="6.421875" style="0" customWidth="1"/>
    <col min="9" max="9" width="10.00390625" style="0" customWidth="1"/>
    <col min="10" max="10" width="15.57421875" style="0" customWidth="1"/>
    <col min="11" max="11" width="11.7109375" style="0" customWidth="1"/>
    <col min="12" max="12" width="8.421875" style="0" customWidth="1"/>
    <col min="13" max="13" width="4.8515625" style="0" customWidth="1"/>
  </cols>
  <sheetData>
    <row r="2" spans="1:13" ht="20.25">
      <c r="A2" s="451" t="s">
        <v>21</v>
      </c>
      <c r="B2" s="114"/>
      <c r="C2" s="114"/>
      <c r="D2" s="114"/>
      <c r="E2" s="114"/>
      <c r="F2" s="114"/>
      <c r="G2" s="114"/>
      <c r="H2" s="114"/>
      <c r="I2" s="114"/>
      <c r="J2" s="114"/>
      <c r="K2" s="114"/>
      <c r="L2" s="114"/>
      <c r="M2" s="114"/>
    </row>
    <row r="3" spans="1:13" ht="96" customHeight="1">
      <c r="A3" s="543" t="s">
        <v>81</v>
      </c>
      <c r="B3" s="543"/>
      <c r="C3" s="543"/>
      <c r="D3" s="543"/>
      <c r="E3" s="543"/>
      <c r="F3" s="543"/>
      <c r="G3" s="543"/>
      <c r="H3" s="543"/>
      <c r="I3" s="543"/>
      <c r="J3" s="543"/>
      <c r="K3" s="543"/>
      <c r="L3" s="543"/>
      <c r="M3" s="543"/>
    </row>
    <row r="4" spans="1:13" ht="35.25" customHeight="1">
      <c r="A4" s="544" t="s">
        <v>535</v>
      </c>
      <c r="B4" s="544"/>
      <c r="C4" s="544"/>
      <c r="D4" s="544"/>
      <c r="E4" s="544"/>
      <c r="F4" s="544"/>
      <c r="G4" s="544"/>
      <c r="H4" s="544"/>
      <c r="I4" s="544"/>
      <c r="J4" s="544"/>
      <c r="K4" s="544"/>
      <c r="L4" s="544"/>
      <c r="M4" s="544"/>
    </row>
    <row r="5" spans="1:13" ht="12.75" customHeight="1">
      <c r="A5" s="239"/>
      <c r="B5" s="239"/>
      <c r="C5" s="239"/>
      <c r="D5" s="239"/>
      <c r="E5" s="239"/>
      <c r="F5" s="239"/>
      <c r="G5" s="239"/>
      <c r="H5" s="239"/>
      <c r="I5" s="239"/>
      <c r="J5" s="239"/>
      <c r="K5" s="239"/>
      <c r="L5" s="239"/>
      <c r="M5" s="239"/>
    </row>
    <row r="6" spans="1:13" ht="12.75" customHeight="1">
      <c r="A6" s="239"/>
      <c r="B6" s="239"/>
      <c r="C6" s="239"/>
      <c r="D6" s="239" t="s">
        <v>382</v>
      </c>
      <c r="E6" s="239"/>
      <c r="F6" s="532"/>
      <c r="G6" s="533"/>
      <c r="H6" s="533"/>
      <c r="I6" s="534"/>
      <c r="J6" s="239"/>
      <c r="K6" s="239"/>
      <c r="L6" s="239"/>
      <c r="M6" s="239"/>
    </row>
    <row r="7" spans="1:13" ht="12.75" customHeight="1">
      <c r="A7" s="239"/>
      <c r="B7" s="239"/>
      <c r="C7" s="239"/>
      <c r="D7" s="239" t="s">
        <v>467</v>
      </c>
      <c r="E7" s="239"/>
      <c r="F7" s="499"/>
      <c r="G7" s="493"/>
      <c r="H7" s="493"/>
      <c r="I7" s="493"/>
      <c r="J7" s="494"/>
      <c r="K7" s="495"/>
      <c r="L7" s="239"/>
      <c r="M7" s="239"/>
    </row>
    <row r="8" spans="1:13" ht="12.75" customHeight="1">
      <c r="A8" s="239"/>
      <c r="B8" s="239"/>
      <c r="C8" s="239"/>
      <c r="D8" s="239"/>
      <c r="E8" s="239"/>
      <c r="F8" s="239"/>
      <c r="G8" s="239"/>
      <c r="H8" s="239"/>
      <c r="I8" s="239"/>
      <c r="J8" s="239"/>
      <c r="K8" s="239"/>
      <c r="L8" s="239"/>
      <c r="M8" s="239"/>
    </row>
    <row r="9" spans="1:13" ht="16.5" customHeight="1">
      <c r="A9" s="240" t="s">
        <v>453</v>
      </c>
      <c r="B9" s="241"/>
      <c r="C9" s="241"/>
      <c r="D9" s="241"/>
      <c r="E9" s="241"/>
      <c r="F9" s="241"/>
      <c r="G9" s="241"/>
      <c r="H9" s="241"/>
      <c r="I9" s="241"/>
      <c r="J9" s="241"/>
      <c r="K9" s="241"/>
      <c r="L9" s="241"/>
      <c r="M9" s="241"/>
    </row>
    <row r="10" spans="1:13" ht="12.75">
      <c r="A10" s="242"/>
      <c r="B10" s="241"/>
      <c r="C10" s="241"/>
      <c r="D10" s="241" t="s">
        <v>383</v>
      </c>
      <c r="E10" s="241"/>
      <c r="F10" s="535"/>
      <c r="G10" s="536"/>
      <c r="H10" s="536"/>
      <c r="I10" s="509"/>
      <c r="J10" s="241"/>
      <c r="K10" s="241"/>
      <c r="L10" s="241"/>
      <c r="M10" s="241"/>
    </row>
    <row r="11" spans="1:13" ht="12.75">
      <c r="A11" s="242"/>
      <c r="B11" s="241"/>
      <c r="C11" s="241"/>
      <c r="D11" s="241" t="s">
        <v>384</v>
      </c>
      <c r="E11" s="241"/>
      <c r="F11" s="510"/>
      <c r="G11" s="500"/>
      <c r="H11" s="500"/>
      <c r="I11" s="500"/>
      <c r="J11" s="500"/>
      <c r="K11" s="500"/>
      <c r="L11" s="241"/>
      <c r="M11" s="241"/>
    </row>
    <row r="12" spans="1:13" ht="12.75">
      <c r="A12" s="242"/>
      <c r="B12" s="241"/>
      <c r="C12" s="241"/>
      <c r="D12" s="241" t="s">
        <v>385</v>
      </c>
      <c r="E12" s="241"/>
      <c r="F12" s="501"/>
      <c r="G12" s="518"/>
      <c r="H12" s="518"/>
      <c r="I12" s="519"/>
      <c r="J12" s="245"/>
      <c r="K12" s="245"/>
      <c r="L12" s="241"/>
      <c r="M12" s="241"/>
    </row>
    <row r="13" spans="1:13" ht="12.75">
      <c r="A13" s="242"/>
      <c r="B13" s="241"/>
      <c r="C13" s="241"/>
      <c r="D13" s="241" t="s">
        <v>455</v>
      </c>
      <c r="E13" s="241"/>
      <c r="F13" s="498"/>
      <c r="G13" s="494"/>
      <c r="H13" s="494"/>
      <c r="I13" s="495"/>
      <c r="J13" s="245"/>
      <c r="K13" s="245"/>
      <c r="L13" s="241"/>
      <c r="M13" s="241"/>
    </row>
    <row r="14" spans="1:13" ht="12.75">
      <c r="A14" s="242"/>
      <c r="B14" s="241"/>
      <c r="C14" s="241"/>
      <c r="D14" s="241"/>
      <c r="E14" s="241"/>
      <c r="F14" s="241"/>
      <c r="G14" s="241"/>
      <c r="H14" s="241"/>
      <c r="I14" s="241"/>
      <c r="J14" s="241"/>
      <c r="K14" s="241"/>
      <c r="L14" s="241"/>
      <c r="M14" s="241"/>
    </row>
    <row r="15" spans="1:13" ht="12.75">
      <c r="A15" s="243"/>
      <c r="B15" s="244" t="s">
        <v>454</v>
      </c>
      <c r="C15" s="241"/>
      <c r="D15" s="241"/>
      <c r="E15" s="241"/>
      <c r="F15" s="241"/>
      <c r="G15" s="241"/>
      <c r="H15" s="241"/>
      <c r="I15" s="241"/>
      <c r="J15" s="241"/>
      <c r="K15" s="241"/>
      <c r="L15" s="241"/>
      <c r="M15" s="241"/>
    </row>
    <row r="17" spans="1:13" ht="39.75" customHeight="1">
      <c r="A17" s="544" t="s">
        <v>731</v>
      </c>
      <c r="B17" s="544"/>
      <c r="C17" s="544"/>
      <c r="D17" s="544"/>
      <c r="E17" s="544"/>
      <c r="F17" s="544"/>
      <c r="G17" s="544"/>
      <c r="H17" s="544"/>
      <c r="I17" s="544"/>
      <c r="J17" s="544"/>
      <c r="K17" s="544"/>
      <c r="L17" s="544"/>
      <c r="M17" s="544"/>
    </row>
    <row r="18" spans="1:13" ht="15">
      <c r="A18" s="246" t="s">
        <v>361</v>
      </c>
      <c r="B18" s="240"/>
      <c r="C18" s="241"/>
      <c r="D18" s="241"/>
      <c r="E18" s="241"/>
      <c r="F18" s="241"/>
      <c r="G18" s="241"/>
      <c r="H18" s="241"/>
      <c r="I18" s="241"/>
      <c r="J18" s="241"/>
      <c r="K18" s="241"/>
      <c r="L18" s="241"/>
      <c r="M18" s="241"/>
    </row>
    <row r="19" spans="1:13" ht="12.75" customHeight="1">
      <c r="A19" s="247" t="s">
        <v>365</v>
      </c>
      <c r="B19" s="491" t="s">
        <v>424</v>
      </c>
      <c r="C19" s="491"/>
      <c r="D19" s="491"/>
      <c r="E19" s="491"/>
      <c r="F19" s="491"/>
      <c r="G19" s="491"/>
      <c r="H19" s="491"/>
      <c r="I19" s="491"/>
      <c r="J19" s="491"/>
      <c r="K19" s="491"/>
      <c r="L19" s="488"/>
      <c r="M19" s="241"/>
    </row>
    <row r="20" spans="1:13" ht="12.75">
      <c r="A20" s="242"/>
      <c r="B20" s="491"/>
      <c r="C20" s="491"/>
      <c r="D20" s="491"/>
      <c r="E20" s="491"/>
      <c r="F20" s="491"/>
      <c r="G20" s="491"/>
      <c r="H20" s="491"/>
      <c r="I20" s="491"/>
      <c r="J20" s="491"/>
      <c r="K20" s="491"/>
      <c r="L20" s="488"/>
      <c r="M20" s="241"/>
    </row>
    <row r="21" spans="1:13" ht="12.75">
      <c r="A21" s="242"/>
      <c r="B21" s="489"/>
      <c r="C21" s="537"/>
      <c r="D21" s="538"/>
      <c r="E21" s="248"/>
      <c r="F21" s="248"/>
      <c r="G21" s="248"/>
      <c r="H21" s="248"/>
      <c r="I21" s="248"/>
      <c r="J21" s="248"/>
      <c r="K21" s="248"/>
      <c r="L21" s="249"/>
      <c r="M21" s="241"/>
    </row>
    <row r="22" spans="1:13" ht="12.75">
      <c r="A22" s="247" t="s">
        <v>366</v>
      </c>
      <c r="B22" s="250" t="s">
        <v>113</v>
      </c>
      <c r="C22" s="241"/>
      <c r="D22" s="248"/>
      <c r="E22" s="250"/>
      <c r="F22" s="539"/>
      <c r="G22" s="540"/>
      <c r="H22" s="540"/>
      <c r="I22" s="541"/>
      <c r="J22" s="249"/>
      <c r="K22" s="248"/>
      <c r="L22" s="241"/>
      <c r="M22" s="241"/>
    </row>
    <row r="23" spans="1:13" ht="12.75">
      <c r="A23" s="251"/>
      <c r="B23" s="252"/>
      <c r="C23" s="241" t="s">
        <v>459</v>
      </c>
      <c r="D23" s="241"/>
      <c r="E23" s="253"/>
      <c r="F23" s="542"/>
      <c r="G23" s="537"/>
      <c r="H23" s="537"/>
      <c r="I23" s="537"/>
      <c r="J23" s="537"/>
      <c r="K23" s="537"/>
      <c r="L23" s="538"/>
      <c r="M23" s="241"/>
    </row>
    <row r="24" spans="1:13" ht="12.75">
      <c r="A24" s="247" t="s">
        <v>367</v>
      </c>
      <c r="B24" s="252" t="s">
        <v>668</v>
      </c>
      <c r="C24" s="241"/>
      <c r="D24" s="241"/>
      <c r="E24" s="253"/>
      <c r="F24" s="209"/>
      <c r="G24" s="256"/>
      <c r="H24" s="256"/>
      <c r="I24" s="256"/>
      <c r="J24" s="256"/>
      <c r="K24" s="256"/>
      <c r="L24" s="256"/>
      <c r="M24" s="241"/>
    </row>
    <row r="25" spans="1:13" ht="12.75">
      <c r="A25" s="247" t="s">
        <v>368</v>
      </c>
      <c r="B25" s="255" t="s">
        <v>730</v>
      </c>
      <c r="C25" s="255"/>
      <c r="D25" s="241"/>
      <c r="E25" s="253"/>
      <c r="F25" s="449"/>
      <c r="G25" s="256"/>
      <c r="H25" s="256"/>
      <c r="I25" s="256"/>
      <c r="J25" s="256"/>
      <c r="K25" s="256"/>
      <c r="L25" s="256"/>
      <c r="M25" s="241"/>
    </row>
    <row r="26" spans="1:13" ht="12.75">
      <c r="A26" s="251"/>
      <c r="B26" s="252"/>
      <c r="C26" s="241"/>
      <c r="D26" s="241"/>
      <c r="E26" s="253"/>
      <c r="F26" s="256"/>
      <c r="G26" s="256"/>
      <c r="H26" s="256"/>
      <c r="I26" s="256"/>
      <c r="J26" s="256"/>
      <c r="K26" s="256"/>
      <c r="L26" s="256"/>
      <c r="M26" s="241"/>
    </row>
    <row r="27" spans="1:13" ht="15">
      <c r="A27" s="246" t="s">
        <v>362</v>
      </c>
      <c r="B27" s="240"/>
      <c r="C27" s="241"/>
      <c r="D27" s="241"/>
      <c r="E27" s="241"/>
      <c r="F27" s="241"/>
      <c r="G27" s="241"/>
      <c r="H27" s="241"/>
      <c r="I27" s="241"/>
      <c r="J27" s="241"/>
      <c r="K27" s="241"/>
      <c r="L27" s="241"/>
      <c r="M27" s="241"/>
    </row>
    <row r="28" spans="1:13" ht="12.75">
      <c r="A28" s="257"/>
      <c r="B28" s="492"/>
      <c r="C28" s="483"/>
      <c r="D28" s="483"/>
      <c r="E28" s="483"/>
      <c r="F28" s="483"/>
      <c r="G28" s="483"/>
      <c r="H28" s="483"/>
      <c r="I28" s="483"/>
      <c r="J28" s="483"/>
      <c r="K28" s="526"/>
      <c r="L28" s="527"/>
      <c r="M28" s="241"/>
    </row>
    <row r="29" spans="1:13" ht="12.75">
      <c r="A29" s="242"/>
      <c r="B29" s="241"/>
      <c r="C29" s="258" t="s">
        <v>104</v>
      </c>
      <c r="D29" s="259"/>
      <c r="E29" s="259"/>
      <c r="F29" s="259"/>
      <c r="G29" s="259"/>
      <c r="H29" s="259"/>
      <c r="I29" s="259"/>
      <c r="J29" s="259"/>
      <c r="K29" s="259"/>
      <c r="L29" s="259"/>
      <c r="M29" s="241"/>
    </row>
    <row r="30" spans="1:13" ht="12.75">
      <c r="A30" s="242"/>
      <c r="B30" s="260"/>
      <c r="C30" s="241"/>
      <c r="D30" s="260" t="s">
        <v>369</v>
      </c>
      <c r="E30" s="260"/>
      <c r="F30" s="525"/>
      <c r="G30" s="494"/>
      <c r="H30" s="494"/>
      <c r="I30" s="495"/>
      <c r="J30" s="260"/>
      <c r="K30" s="260"/>
      <c r="L30" s="260"/>
      <c r="M30" s="241"/>
    </row>
    <row r="31" spans="1:13" ht="12.75">
      <c r="A31" s="242"/>
      <c r="B31" s="260"/>
      <c r="C31" s="241"/>
      <c r="D31" s="260" t="s">
        <v>664</v>
      </c>
      <c r="E31" s="260"/>
      <c r="F31" s="72"/>
      <c r="G31" s="261" t="s">
        <v>430</v>
      </c>
      <c r="H31" s="262"/>
      <c r="I31" s="262"/>
      <c r="J31" s="260"/>
      <c r="K31" s="260"/>
      <c r="L31" s="260"/>
      <c r="M31" s="241"/>
    </row>
    <row r="32" spans="1:13" ht="12.75">
      <c r="A32" s="242"/>
      <c r="B32" s="260"/>
      <c r="C32" s="260"/>
      <c r="D32" s="260"/>
      <c r="E32" s="260"/>
      <c r="F32" s="260"/>
      <c r="G32" s="260"/>
      <c r="H32" s="260"/>
      <c r="I32" s="260"/>
      <c r="J32" s="260"/>
      <c r="K32" s="260"/>
      <c r="L32" s="260"/>
      <c r="M32" s="241"/>
    </row>
    <row r="33" spans="1:13" ht="12.75">
      <c r="A33" s="242"/>
      <c r="B33" s="490" t="s">
        <v>426</v>
      </c>
      <c r="C33" s="491"/>
      <c r="D33" s="491"/>
      <c r="E33" s="491"/>
      <c r="F33" s="491"/>
      <c r="G33" s="491"/>
      <c r="H33" s="491"/>
      <c r="I33" s="491"/>
      <c r="J33" s="491"/>
      <c r="K33" s="491"/>
      <c r="L33" s="491"/>
      <c r="M33" s="491"/>
    </row>
    <row r="34" spans="1:13" ht="12.75">
      <c r="A34" s="242"/>
      <c r="B34" s="491"/>
      <c r="C34" s="491"/>
      <c r="D34" s="491"/>
      <c r="E34" s="491"/>
      <c r="F34" s="491"/>
      <c r="G34" s="491"/>
      <c r="H34" s="491"/>
      <c r="I34" s="491"/>
      <c r="J34" s="491"/>
      <c r="K34" s="491"/>
      <c r="L34" s="491"/>
      <c r="M34" s="491"/>
    </row>
    <row r="35" spans="1:13" ht="8.25" customHeight="1">
      <c r="A35" s="242"/>
      <c r="B35" s="484" t="s">
        <v>358</v>
      </c>
      <c r="C35" s="491"/>
      <c r="D35" s="491"/>
      <c r="E35" s="491"/>
      <c r="F35" s="491"/>
      <c r="G35" s="491"/>
      <c r="H35" s="491"/>
      <c r="I35" s="491"/>
      <c r="J35" s="491"/>
      <c r="K35" s="491"/>
      <c r="L35" s="491"/>
      <c r="M35" s="491"/>
    </row>
    <row r="36" spans="1:13" ht="12.75">
      <c r="A36" s="242"/>
      <c r="B36" s="491"/>
      <c r="C36" s="491"/>
      <c r="D36" s="491"/>
      <c r="E36" s="491"/>
      <c r="F36" s="491"/>
      <c r="G36" s="491"/>
      <c r="H36" s="491"/>
      <c r="I36" s="491"/>
      <c r="J36" s="491"/>
      <c r="K36" s="491"/>
      <c r="L36" s="491"/>
      <c r="M36" s="491"/>
    </row>
    <row r="37" spans="1:13" ht="12.75">
      <c r="A37" s="242"/>
      <c r="B37" s="491"/>
      <c r="C37" s="491"/>
      <c r="D37" s="491"/>
      <c r="E37" s="491"/>
      <c r="F37" s="491"/>
      <c r="G37" s="491"/>
      <c r="H37" s="491"/>
      <c r="I37" s="491"/>
      <c r="J37" s="491"/>
      <c r="K37" s="491"/>
      <c r="L37" s="491"/>
      <c r="M37" s="491"/>
    </row>
    <row r="38" ht="12.75">
      <c r="A38" s="92"/>
    </row>
    <row r="39" spans="1:13" ht="15">
      <c r="A39" s="246" t="s">
        <v>363</v>
      </c>
      <c r="B39" s="240"/>
      <c r="C39" s="241"/>
      <c r="D39" s="241"/>
      <c r="E39" s="241"/>
      <c r="F39" s="241"/>
      <c r="G39" s="241"/>
      <c r="H39" s="241"/>
      <c r="I39" s="241"/>
      <c r="J39" s="241"/>
      <c r="K39" s="241"/>
      <c r="L39" s="241"/>
      <c r="M39" s="241"/>
    </row>
    <row r="40" spans="1:13" ht="14.25">
      <c r="A40" s="247" t="s">
        <v>365</v>
      </c>
      <c r="B40" s="485" t="s">
        <v>922</v>
      </c>
      <c r="C40" s="486"/>
      <c r="D40" s="486"/>
      <c r="E40" s="486"/>
      <c r="F40" s="306"/>
      <c r="G40" s="530"/>
      <c r="H40" s="531"/>
      <c r="I40" s="531"/>
      <c r="J40" s="531"/>
      <c r="K40" s="531"/>
      <c r="L40" s="487"/>
      <c r="M40" s="241"/>
    </row>
    <row r="41" spans="1:13" ht="12.75">
      <c r="A41" s="247" t="s">
        <v>366</v>
      </c>
      <c r="B41" s="486" t="s">
        <v>387</v>
      </c>
      <c r="C41" s="486"/>
      <c r="D41" s="486"/>
      <c r="E41" s="486"/>
      <c r="F41" s="241"/>
      <c r="G41" s="72"/>
      <c r="H41" s="260"/>
      <c r="I41" s="260"/>
      <c r="J41" s="260"/>
      <c r="K41" s="253"/>
      <c r="L41" s="253"/>
      <c r="M41" s="241"/>
    </row>
    <row r="42" spans="1:13" ht="12.75">
      <c r="A42" s="247" t="s">
        <v>367</v>
      </c>
      <c r="B42" s="308" t="s">
        <v>887</v>
      </c>
      <c r="C42" s="260"/>
      <c r="D42" s="260"/>
      <c r="E42" s="260"/>
      <c r="F42" s="241"/>
      <c r="G42" s="73"/>
      <c r="H42" s="260"/>
      <c r="I42" s="260"/>
      <c r="J42" s="260"/>
      <c r="K42" s="253"/>
      <c r="L42" s="253"/>
      <c r="M42" s="241"/>
    </row>
    <row r="43" spans="1:13" ht="12.75">
      <c r="A43" s="439" t="s">
        <v>368</v>
      </c>
      <c r="B43" s="485" t="s">
        <v>909</v>
      </c>
      <c r="C43" s="486"/>
      <c r="D43" s="486"/>
      <c r="E43" s="486"/>
      <c r="F43" s="241"/>
      <c r="G43" s="145"/>
      <c r="H43" s="310"/>
      <c r="I43" s="253"/>
      <c r="J43" s="253"/>
      <c r="K43" s="253"/>
      <c r="L43" s="253"/>
      <c r="M43" s="241"/>
    </row>
    <row r="44" spans="1:13" ht="12.75">
      <c r="A44" s="264"/>
      <c r="B44" s="260"/>
      <c r="C44" s="260"/>
      <c r="D44" s="260"/>
      <c r="E44" s="260"/>
      <c r="F44" s="241"/>
      <c r="G44" s="260"/>
      <c r="H44" s="260"/>
      <c r="I44" s="260"/>
      <c r="J44" s="260"/>
      <c r="K44" s="253"/>
      <c r="L44" s="253"/>
      <c r="M44" s="241"/>
    </row>
    <row r="45" spans="1:13" ht="15">
      <c r="A45" s="247" t="s">
        <v>433</v>
      </c>
      <c r="B45" s="308" t="s">
        <v>915</v>
      </c>
      <c r="C45" s="260"/>
      <c r="D45" s="260"/>
      <c r="E45" s="260"/>
      <c r="F45" s="241"/>
      <c r="G45" s="72"/>
      <c r="H45" s="253"/>
      <c r="I45" s="253"/>
      <c r="J45" s="253"/>
      <c r="K45" s="253"/>
      <c r="L45" s="253"/>
      <c r="M45" s="241"/>
    </row>
    <row r="46" spans="1:13" ht="12.75">
      <c r="A46" s="247" t="s">
        <v>435</v>
      </c>
      <c r="B46" s="260" t="s">
        <v>910</v>
      </c>
      <c r="C46" s="260"/>
      <c r="D46" s="260"/>
      <c r="E46" s="260"/>
      <c r="F46" s="241"/>
      <c r="G46" s="525"/>
      <c r="H46" s="526"/>
      <c r="I46" s="526"/>
      <c r="J46" s="526"/>
      <c r="K46" s="526"/>
      <c r="L46" s="527"/>
      <c r="M46" s="241"/>
    </row>
    <row r="47" spans="1:13" ht="13.5" customHeight="1">
      <c r="A47" s="247" t="s">
        <v>434</v>
      </c>
      <c r="B47" s="308" t="s">
        <v>916</v>
      </c>
      <c r="C47" s="260"/>
      <c r="D47" s="260"/>
      <c r="E47" s="260"/>
      <c r="F47" s="241"/>
      <c r="G47" s="517"/>
      <c r="H47" s="518"/>
      <c r="I47" s="518"/>
      <c r="J47" s="518"/>
      <c r="K47" s="518"/>
      <c r="L47" s="519"/>
      <c r="M47" s="241"/>
    </row>
    <row r="48" spans="1:13" ht="14.25">
      <c r="A48" s="247" t="s">
        <v>880</v>
      </c>
      <c r="B48" s="308" t="s">
        <v>917</v>
      </c>
      <c r="C48" s="260"/>
      <c r="D48" s="260"/>
      <c r="E48" s="260"/>
      <c r="F48" s="241"/>
      <c r="G48" s="517"/>
      <c r="H48" s="518"/>
      <c r="I48" s="518"/>
      <c r="J48" s="518"/>
      <c r="K48" s="518"/>
      <c r="L48" s="519"/>
      <c r="M48" s="241"/>
    </row>
    <row r="49" spans="1:13" s="2" customFormat="1" ht="12.75">
      <c r="A49" s="247" t="s">
        <v>907</v>
      </c>
      <c r="B49" s="254" t="s">
        <v>920</v>
      </c>
      <c r="C49" s="241"/>
      <c r="D49" s="241"/>
      <c r="E49" s="241"/>
      <c r="F49" s="241"/>
      <c r="G49" s="73"/>
      <c r="H49" s="311" t="s">
        <v>684</v>
      </c>
      <c r="I49" s="260"/>
      <c r="J49" s="260"/>
      <c r="K49" s="241"/>
      <c r="L49" s="241"/>
      <c r="M49" s="241"/>
    </row>
    <row r="50" spans="1:13" s="2" customFormat="1" ht="12.75">
      <c r="A50" s="247" t="s">
        <v>908</v>
      </c>
      <c r="B50" s="254" t="s">
        <v>921</v>
      </c>
      <c r="C50" s="241"/>
      <c r="D50" s="241"/>
      <c r="E50" s="241"/>
      <c r="F50" s="241"/>
      <c r="G50" s="72"/>
      <c r="H50" s="252" t="s">
        <v>83</v>
      </c>
      <c r="I50" s="250"/>
      <c r="J50" s="241"/>
      <c r="K50" s="241"/>
      <c r="L50" s="241"/>
      <c r="M50" s="241"/>
    </row>
    <row r="51" spans="1:13" s="2" customFormat="1" ht="12.75">
      <c r="A51" s="247"/>
      <c r="B51" s="252"/>
      <c r="C51" s="241"/>
      <c r="D51" s="241"/>
      <c r="E51" s="241"/>
      <c r="F51" s="241"/>
      <c r="G51" s="260"/>
      <c r="H51" s="252"/>
      <c r="I51" s="250"/>
      <c r="J51" s="241"/>
      <c r="K51" s="241"/>
      <c r="L51" s="241"/>
      <c r="M51" s="241"/>
    </row>
    <row r="52" spans="1:13" ht="12.75">
      <c r="A52" s="307"/>
      <c r="B52" s="309" t="s">
        <v>536</v>
      </c>
      <c r="C52" s="241"/>
      <c r="D52" s="260"/>
      <c r="E52" s="260"/>
      <c r="F52" s="241"/>
      <c r="G52" s="245"/>
      <c r="H52" s="260"/>
      <c r="I52" s="260"/>
      <c r="J52" s="260"/>
      <c r="K52" s="310"/>
      <c r="L52" s="253"/>
      <c r="M52" s="241"/>
    </row>
    <row r="53" spans="1:13" ht="12.75">
      <c r="A53" s="307"/>
      <c r="B53" s="309" t="s">
        <v>923</v>
      </c>
      <c r="C53" s="241"/>
      <c r="D53" s="260"/>
      <c r="E53" s="260"/>
      <c r="F53" s="241"/>
      <c r="G53" s="245"/>
      <c r="H53" s="260"/>
      <c r="I53" s="260"/>
      <c r="J53" s="260"/>
      <c r="K53" s="310"/>
      <c r="L53" s="253"/>
      <c r="M53" s="241"/>
    </row>
    <row r="54" spans="1:13" ht="12.75">
      <c r="A54" s="307"/>
      <c r="B54" s="309" t="s">
        <v>918</v>
      </c>
      <c r="C54" s="241"/>
      <c r="D54" s="260"/>
      <c r="E54" s="260"/>
      <c r="F54" s="241"/>
      <c r="G54" s="245"/>
      <c r="H54" s="260"/>
      <c r="I54" s="260"/>
      <c r="J54" s="260"/>
      <c r="K54" s="310"/>
      <c r="L54" s="253"/>
      <c r="M54" s="241"/>
    </row>
    <row r="55" spans="1:13" ht="45" customHeight="1">
      <c r="A55" s="307"/>
      <c r="B55" s="520" t="s">
        <v>919</v>
      </c>
      <c r="C55" s="520"/>
      <c r="D55" s="520"/>
      <c r="E55" s="520"/>
      <c r="F55" s="520"/>
      <c r="G55" s="520"/>
      <c r="H55" s="520"/>
      <c r="I55" s="520"/>
      <c r="J55" s="520"/>
      <c r="K55" s="520"/>
      <c r="L55" s="520"/>
      <c r="M55" s="520"/>
    </row>
    <row r="56" spans="1:13" ht="12.75">
      <c r="A56" s="307"/>
      <c r="B56" s="309"/>
      <c r="C56" s="241"/>
      <c r="D56" s="260"/>
      <c r="E56" s="260"/>
      <c r="F56" s="241"/>
      <c r="G56" s="245"/>
      <c r="H56" s="260"/>
      <c r="I56" s="260"/>
      <c r="J56" s="260"/>
      <c r="K56" s="310"/>
      <c r="L56" s="253"/>
      <c r="M56" s="241"/>
    </row>
    <row r="57" spans="1:13" ht="12.75">
      <c r="A57" s="91"/>
      <c r="B57" s="54"/>
      <c r="C57" s="23"/>
      <c r="D57" s="23"/>
      <c r="E57" s="23"/>
      <c r="F57" s="4"/>
      <c r="G57" s="4"/>
      <c r="H57" s="4"/>
      <c r="I57" s="4"/>
      <c r="J57" s="4"/>
      <c r="K57" s="4"/>
      <c r="L57" s="2"/>
      <c r="M57" s="2"/>
    </row>
    <row r="58" spans="1:13" ht="38.25" customHeight="1">
      <c r="A58" s="496" t="s">
        <v>766</v>
      </c>
      <c r="B58" s="497"/>
      <c r="C58" s="497"/>
      <c r="D58" s="497"/>
      <c r="E58" s="497"/>
      <c r="F58" s="497"/>
      <c r="G58" s="497"/>
      <c r="H58" s="497"/>
      <c r="I58" s="497"/>
      <c r="J58" s="497"/>
      <c r="K58" s="497"/>
      <c r="L58" s="497"/>
      <c r="M58" s="497"/>
    </row>
    <row r="59" spans="1:13" ht="17.25">
      <c r="A59" s="240" t="s">
        <v>732</v>
      </c>
      <c r="B59" s="241"/>
      <c r="C59" s="241"/>
      <c r="D59" s="241"/>
      <c r="E59" s="241"/>
      <c r="F59" s="524"/>
      <c r="G59" s="524"/>
      <c r="H59" s="524"/>
      <c r="I59" s="250"/>
      <c r="J59" s="524"/>
      <c r="K59" s="524"/>
      <c r="L59" s="524"/>
      <c r="M59" s="241"/>
    </row>
    <row r="60" spans="1:13" ht="15">
      <c r="A60" s="241"/>
      <c r="B60" s="263"/>
      <c r="C60" s="241"/>
      <c r="D60" s="241"/>
      <c r="E60" s="241"/>
      <c r="F60" s="240" t="s">
        <v>106</v>
      </c>
      <c r="G60" s="240"/>
      <c r="H60" s="240"/>
      <c r="I60" s="272"/>
      <c r="J60" s="240" t="s">
        <v>107</v>
      </c>
      <c r="K60" s="241"/>
      <c r="L60" s="241"/>
      <c r="M60" s="241"/>
    </row>
    <row r="61" spans="1:13" ht="12.75">
      <c r="A61" s="242" t="s">
        <v>743</v>
      </c>
      <c r="B61" s="241"/>
      <c r="C61" s="241"/>
      <c r="D61" s="241"/>
      <c r="E61" s="241"/>
      <c r="F61" s="250"/>
      <c r="G61" s="250"/>
      <c r="H61" s="250"/>
      <c r="I61" s="250"/>
      <c r="J61" s="241"/>
      <c r="K61" s="241"/>
      <c r="L61" s="241"/>
      <c r="M61" s="241"/>
    </row>
    <row r="62" spans="1:13" ht="12.75">
      <c r="A62" s="247" t="s">
        <v>365</v>
      </c>
      <c r="B62" s="241" t="s">
        <v>388</v>
      </c>
      <c r="C62" s="241"/>
      <c r="D62" s="241"/>
      <c r="E62" s="241"/>
      <c r="F62" s="525"/>
      <c r="G62" s="526"/>
      <c r="H62" s="526"/>
      <c r="I62" s="274"/>
      <c r="J62" s="525"/>
      <c r="K62" s="526"/>
      <c r="L62" s="527"/>
      <c r="M62" s="241"/>
    </row>
    <row r="63" spans="1:13" ht="14.25">
      <c r="A63" s="247" t="s">
        <v>366</v>
      </c>
      <c r="B63" s="255" t="s">
        <v>750</v>
      </c>
      <c r="C63" s="241"/>
      <c r="D63" s="241"/>
      <c r="E63" s="241"/>
      <c r="F63" s="72"/>
      <c r="G63" s="286" t="s">
        <v>751</v>
      </c>
      <c r="H63" s="250"/>
      <c r="I63" s="250"/>
      <c r="J63" s="72"/>
      <c r="K63" s="286" t="s">
        <v>751</v>
      </c>
      <c r="L63" s="241"/>
      <c r="M63" s="241"/>
    </row>
    <row r="64" spans="1:13" ht="12.75">
      <c r="A64" s="247" t="s">
        <v>367</v>
      </c>
      <c r="B64" s="255" t="s">
        <v>744</v>
      </c>
      <c r="C64" s="252"/>
      <c r="D64" s="241"/>
      <c r="E64" s="241"/>
      <c r="F64" s="521"/>
      <c r="G64" s="522"/>
      <c r="H64" s="522"/>
      <c r="I64" s="275"/>
      <c r="J64" s="521"/>
      <c r="K64" s="522"/>
      <c r="L64" s="523"/>
      <c r="M64" s="241"/>
    </row>
    <row r="65" spans="1:13" ht="12.75">
      <c r="A65" s="264" t="s">
        <v>435</v>
      </c>
      <c r="B65" s="255" t="s">
        <v>899</v>
      </c>
      <c r="C65" s="252"/>
      <c r="D65" s="241"/>
      <c r="E65" s="241"/>
      <c r="F65" s="400">
        <f>'Calculations- All Data'!F78</f>
        <v>0</v>
      </c>
      <c r="G65" s="308" t="s">
        <v>752</v>
      </c>
      <c r="H65" s="260"/>
      <c r="I65" s="245"/>
      <c r="J65" s="400">
        <f>'Calculations- All Data'!J78</f>
        <v>0</v>
      </c>
      <c r="K65" s="308" t="s">
        <v>752</v>
      </c>
      <c r="L65" s="260"/>
      <c r="M65" s="241"/>
    </row>
    <row r="66" spans="1:13" ht="12.75">
      <c r="A66" s="247" t="s">
        <v>433</v>
      </c>
      <c r="B66" s="255" t="s">
        <v>900</v>
      </c>
      <c r="C66" s="252"/>
      <c r="D66" s="242"/>
      <c r="E66" s="241"/>
      <c r="F66" s="398">
        <f>'Calculations- All Data'!F79</f>
        <v>0</v>
      </c>
      <c r="G66" s="308" t="s">
        <v>752</v>
      </c>
      <c r="H66" s="260"/>
      <c r="I66" s="260"/>
      <c r="J66" s="399">
        <f>'Calculations- All Data'!J79</f>
        <v>0</v>
      </c>
      <c r="K66" s="308" t="s">
        <v>752</v>
      </c>
      <c r="L66" s="241"/>
      <c r="M66" s="241"/>
    </row>
    <row r="67" spans="1:13" ht="12.75">
      <c r="A67" s="241"/>
      <c r="B67" s="255"/>
      <c r="C67" s="252"/>
      <c r="D67" s="241"/>
      <c r="E67" s="241"/>
      <c r="F67" s="273"/>
      <c r="G67" s="260"/>
      <c r="H67" s="260"/>
      <c r="I67" s="260"/>
      <c r="J67" s="253"/>
      <c r="K67" s="260"/>
      <c r="L67" s="241"/>
      <c r="M67" s="241"/>
    </row>
    <row r="68" spans="1:13" ht="12.75">
      <c r="A68" s="242" t="s">
        <v>745</v>
      </c>
      <c r="B68" s="241"/>
      <c r="C68" s="252"/>
      <c r="D68" s="241"/>
      <c r="E68" s="241"/>
      <c r="F68" s="250"/>
      <c r="G68" s="250"/>
      <c r="H68" s="250"/>
      <c r="I68" s="250"/>
      <c r="J68" s="241"/>
      <c r="K68" s="241"/>
      <c r="L68" s="241"/>
      <c r="M68" s="241"/>
    </row>
    <row r="69" spans="1:13" ht="12.75">
      <c r="A69" s="247" t="s">
        <v>365</v>
      </c>
      <c r="B69" s="241" t="s">
        <v>388</v>
      </c>
      <c r="C69" s="241"/>
      <c r="D69" s="241"/>
      <c r="E69" s="241"/>
      <c r="F69" s="525"/>
      <c r="G69" s="526"/>
      <c r="H69" s="526"/>
      <c r="I69" s="274"/>
      <c r="J69" s="525"/>
      <c r="K69" s="526"/>
      <c r="L69" s="527"/>
      <c r="M69" s="241"/>
    </row>
    <row r="70" spans="1:13" ht="12.75">
      <c r="A70" s="264" t="s">
        <v>366</v>
      </c>
      <c r="B70" s="252" t="s">
        <v>364</v>
      </c>
      <c r="C70" s="241"/>
      <c r="D70" s="241"/>
      <c r="E70" s="241"/>
      <c r="F70" s="530"/>
      <c r="G70" s="531"/>
      <c r="H70" s="531"/>
      <c r="I70" s="275"/>
      <c r="J70" s="528"/>
      <c r="K70" s="529"/>
      <c r="L70" s="529"/>
      <c r="M70" s="241"/>
    </row>
    <row r="71" spans="1:13" ht="14.25">
      <c r="A71" s="264" t="s">
        <v>367</v>
      </c>
      <c r="B71" s="254" t="s">
        <v>675</v>
      </c>
      <c r="C71" s="241"/>
      <c r="D71" s="241"/>
      <c r="E71" s="241"/>
      <c r="F71" s="72"/>
      <c r="G71" s="252"/>
      <c r="H71" s="250"/>
      <c r="I71" s="250"/>
      <c r="J71" s="72"/>
      <c r="K71" s="241"/>
      <c r="L71" s="241"/>
      <c r="M71" s="241"/>
    </row>
    <row r="72" spans="1:13" s="140" customFormat="1" ht="12.75">
      <c r="A72" s="247"/>
      <c r="B72" s="286"/>
      <c r="C72" s="254" t="s">
        <v>748</v>
      </c>
      <c r="D72" s="255"/>
      <c r="E72" s="255"/>
      <c r="F72" s="394"/>
      <c r="G72" s="254">
        <f>VLOOKUP(F70,'Data Tables'!$A$203:$E$224,5,FALSE)</f>
        <v>0</v>
      </c>
      <c r="H72" s="255"/>
      <c r="I72" s="286"/>
      <c r="J72" s="394"/>
      <c r="K72" s="254">
        <f>VLOOKUP(J70,'Data Tables'!$A$203:$E$224,5,FALSE)</f>
        <v>0</v>
      </c>
      <c r="L72" s="255"/>
      <c r="M72" s="255"/>
    </row>
    <row r="73" spans="1:13" ht="12.75">
      <c r="A73" s="264" t="s">
        <v>368</v>
      </c>
      <c r="B73" s="254" t="s">
        <v>108</v>
      </c>
      <c r="C73" s="241"/>
      <c r="D73" s="241"/>
      <c r="E73" s="241"/>
      <c r="F73" s="72"/>
      <c r="G73" s="252">
        <f>VLOOKUP(F70,'Data Tables'!$A$203:$F$224,6,FALSE)</f>
        <v>0</v>
      </c>
      <c r="H73" s="250"/>
      <c r="I73" s="250"/>
      <c r="J73" s="72"/>
      <c r="K73" s="252">
        <f>VLOOKUP(J70,'Data Tables'!$A$203:$F$224,6,FALSE)</f>
        <v>0</v>
      </c>
      <c r="L73" s="241"/>
      <c r="M73" s="241"/>
    </row>
    <row r="74" spans="1:13" ht="12.75">
      <c r="A74" s="264" t="s">
        <v>433</v>
      </c>
      <c r="B74" s="255" t="s">
        <v>667</v>
      </c>
      <c r="C74" s="252"/>
      <c r="D74" s="241"/>
      <c r="E74" s="241"/>
      <c r="F74" s="521"/>
      <c r="G74" s="522"/>
      <c r="H74" s="522"/>
      <c r="I74" s="275"/>
      <c r="J74" s="521"/>
      <c r="K74" s="522"/>
      <c r="L74" s="523"/>
      <c r="M74" s="241"/>
    </row>
    <row r="75" spans="1:13" ht="12.75">
      <c r="A75" s="264" t="s">
        <v>435</v>
      </c>
      <c r="B75" s="255" t="s">
        <v>899</v>
      </c>
      <c r="C75" s="252"/>
      <c r="D75" s="241"/>
      <c r="E75" s="241"/>
      <c r="F75" s="400">
        <f>'Calculations- All Data'!F91</f>
        <v>0</v>
      </c>
      <c r="G75" s="308" t="s">
        <v>752</v>
      </c>
      <c r="H75" s="260"/>
      <c r="I75" s="245"/>
      <c r="J75" s="400">
        <f>'Calculations- All Data'!J91</f>
        <v>0</v>
      </c>
      <c r="K75" s="308" t="s">
        <v>752</v>
      </c>
      <c r="L75" s="260"/>
      <c r="M75" s="241"/>
    </row>
    <row r="76" spans="1:13" ht="12.75">
      <c r="A76" s="264" t="s">
        <v>434</v>
      </c>
      <c r="B76" s="255" t="s">
        <v>900</v>
      </c>
      <c r="C76" s="252"/>
      <c r="D76" s="242"/>
      <c r="E76" s="241"/>
      <c r="F76" s="398">
        <f>'Calculations- All Data'!F92</f>
        <v>0</v>
      </c>
      <c r="G76" s="308" t="s">
        <v>752</v>
      </c>
      <c r="H76" s="260"/>
      <c r="I76" s="260"/>
      <c r="J76" s="399">
        <f>'Calculations- All Data'!J92</f>
        <v>0</v>
      </c>
      <c r="K76" s="308" t="s">
        <v>752</v>
      </c>
      <c r="L76" s="241"/>
      <c r="M76" s="241"/>
    </row>
    <row r="77" spans="1:13" ht="12.75">
      <c r="A77" s="241"/>
      <c r="B77" s="241"/>
      <c r="C77" s="252"/>
      <c r="D77" s="241"/>
      <c r="E77" s="241"/>
      <c r="F77" s="250"/>
      <c r="G77" s="250"/>
      <c r="H77" s="250"/>
      <c r="I77" s="250"/>
      <c r="J77" s="241"/>
      <c r="K77" s="241"/>
      <c r="L77" s="241"/>
      <c r="M77" s="241"/>
    </row>
    <row r="78" spans="1:13" ht="12.75">
      <c r="A78" s="242" t="s">
        <v>746</v>
      </c>
      <c r="B78" s="241"/>
      <c r="C78" s="252"/>
      <c r="D78" s="241"/>
      <c r="E78" s="241"/>
      <c r="F78" s="250"/>
      <c r="G78" s="250"/>
      <c r="H78" s="250"/>
      <c r="I78" s="250"/>
      <c r="J78" s="241"/>
      <c r="K78" s="241"/>
      <c r="L78" s="241"/>
      <c r="M78" s="241"/>
    </row>
    <row r="79" spans="1:13" ht="12.75">
      <c r="A79" s="247" t="s">
        <v>365</v>
      </c>
      <c r="B79" s="241" t="s">
        <v>388</v>
      </c>
      <c r="C79" s="241"/>
      <c r="D79" s="241"/>
      <c r="E79" s="241"/>
      <c r="F79" s="525"/>
      <c r="G79" s="526"/>
      <c r="H79" s="526"/>
      <c r="I79" s="274"/>
      <c r="J79" s="525"/>
      <c r="K79" s="526"/>
      <c r="L79" s="527"/>
      <c r="M79" s="241"/>
    </row>
    <row r="80" spans="1:13" ht="12.75">
      <c r="A80" s="264" t="s">
        <v>366</v>
      </c>
      <c r="B80" s="252" t="s">
        <v>364</v>
      </c>
      <c r="C80" s="252"/>
      <c r="D80" s="241"/>
      <c r="E80" s="241"/>
      <c r="F80" s="530"/>
      <c r="G80" s="531"/>
      <c r="H80" s="531"/>
      <c r="I80" s="275"/>
      <c r="J80" s="528"/>
      <c r="K80" s="529"/>
      <c r="L80" s="529"/>
      <c r="M80" s="241"/>
    </row>
    <row r="81" spans="1:13" ht="14.25">
      <c r="A81" s="264" t="s">
        <v>367</v>
      </c>
      <c r="B81" s="254" t="s">
        <v>675</v>
      </c>
      <c r="C81" s="252"/>
      <c r="D81" s="241"/>
      <c r="E81" s="241"/>
      <c r="F81" s="72"/>
      <c r="G81" s="252"/>
      <c r="H81" s="250"/>
      <c r="I81" s="250"/>
      <c r="J81" s="72"/>
      <c r="K81" s="241"/>
      <c r="L81" s="241"/>
      <c r="M81" s="241"/>
    </row>
    <row r="82" spans="1:13" s="140" customFormat="1" ht="12.75">
      <c r="A82" s="247"/>
      <c r="B82" s="286"/>
      <c r="C82" s="254" t="s">
        <v>748</v>
      </c>
      <c r="D82" s="254"/>
      <c r="E82" s="255"/>
      <c r="F82" s="394"/>
      <c r="G82" s="254">
        <f>VLOOKUP(F80,'Data Tables'!$A$203:$E$224,5,FALSE)</f>
        <v>0</v>
      </c>
      <c r="H82" s="255"/>
      <c r="I82" s="286"/>
      <c r="J82" s="394"/>
      <c r="K82" s="254">
        <f>VLOOKUP(J80,'Data Tables'!$A$203:$E$224,5,FALSE)</f>
        <v>0</v>
      </c>
      <c r="L82" s="255"/>
      <c r="M82" s="255"/>
    </row>
    <row r="83" spans="1:13" ht="12.75">
      <c r="A83" s="264" t="s">
        <v>368</v>
      </c>
      <c r="B83" s="254" t="s">
        <v>108</v>
      </c>
      <c r="C83" s="252"/>
      <c r="D83" s="241"/>
      <c r="E83" s="241"/>
      <c r="F83" s="72"/>
      <c r="G83" s="252">
        <f>VLOOKUP(F80,'Data Tables'!$A$203:$F$224,6,FALSE)</f>
        <v>0</v>
      </c>
      <c r="H83" s="250"/>
      <c r="I83" s="250"/>
      <c r="J83" s="72"/>
      <c r="K83" s="252">
        <f>VLOOKUP(J80,'Data Tables'!$A$203:$F$224,6,FALSE)</f>
        <v>0</v>
      </c>
      <c r="L83" s="241"/>
      <c r="M83" s="241"/>
    </row>
    <row r="84" spans="1:13" ht="12.75">
      <c r="A84" s="264" t="s">
        <v>433</v>
      </c>
      <c r="B84" s="255" t="s">
        <v>667</v>
      </c>
      <c r="C84" s="252"/>
      <c r="D84" s="241"/>
      <c r="E84" s="241"/>
      <c r="F84" s="521"/>
      <c r="G84" s="522"/>
      <c r="H84" s="522"/>
      <c r="I84" s="275"/>
      <c r="J84" s="521"/>
      <c r="K84" s="522"/>
      <c r="L84" s="523"/>
      <c r="M84" s="241"/>
    </row>
    <row r="85" spans="1:13" ht="12.75">
      <c r="A85" s="264" t="s">
        <v>435</v>
      </c>
      <c r="B85" s="255" t="s">
        <v>899</v>
      </c>
      <c r="C85" s="252"/>
      <c r="D85" s="241"/>
      <c r="E85" s="241"/>
      <c r="F85" s="400">
        <f>'Calculations- All Data'!F104</f>
        <v>0</v>
      </c>
      <c r="G85" s="260" t="s">
        <v>303</v>
      </c>
      <c r="H85" s="260"/>
      <c r="I85" s="245"/>
      <c r="J85" s="400">
        <f>'Calculations- All Data'!J104</f>
        <v>0</v>
      </c>
      <c r="K85" s="308" t="s">
        <v>752</v>
      </c>
      <c r="L85" s="260"/>
      <c r="M85" s="241"/>
    </row>
    <row r="86" spans="1:13" ht="12.75">
      <c r="A86" s="264" t="s">
        <v>434</v>
      </c>
      <c r="B86" s="255" t="s">
        <v>900</v>
      </c>
      <c r="C86" s="252"/>
      <c r="D86" s="242"/>
      <c r="E86" s="241"/>
      <c r="F86" s="398">
        <f>'Calculations- All Data'!F105</f>
        <v>0</v>
      </c>
      <c r="G86" s="260" t="s">
        <v>303</v>
      </c>
      <c r="H86" s="260"/>
      <c r="I86" s="260"/>
      <c r="J86" s="399">
        <f>'Calculations- All Data'!J105</f>
        <v>0</v>
      </c>
      <c r="K86" s="308" t="s">
        <v>752</v>
      </c>
      <c r="L86" s="241"/>
      <c r="M86" s="241"/>
    </row>
    <row r="87" spans="1:13" ht="12.75">
      <c r="A87" s="241"/>
      <c r="B87" s="241"/>
      <c r="C87" s="252"/>
      <c r="D87" s="241"/>
      <c r="E87" s="241"/>
      <c r="F87" s="250"/>
      <c r="G87" s="250"/>
      <c r="H87" s="250"/>
      <c r="I87" s="250"/>
      <c r="J87" s="241"/>
      <c r="K87" s="241"/>
      <c r="L87" s="241"/>
      <c r="M87" s="241"/>
    </row>
    <row r="88" spans="1:13" ht="12.75">
      <c r="A88" s="242" t="s">
        <v>747</v>
      </c>
      <c r="B88" s="241"/>
      <c r="C88" s="241"/>
      <c r="D88" s="241"/>
      <c r="E88" s="241"/>
      <c r="F88" s="250"/>
      <c r="G88" s="250"/>
      <c r="H88" s="250"/>
      <c r="I88" s="250"/>
      <c r="J88" s="241"/>
      <c r="K88" s="241"/>
      <c r="L88" s="241"/>
      <c r="M88" s="241"/>
    </row>
    <row r="89" spans="1:13" ht="12.75">
      <c r="A89" s="247" t="s">
        <v>365</v>
      </c>
      <c r="B89" s="241" t="s">
        <v>388</v>
      </c>
      <c r="C89" s="241"/>
      <c r="D89" s="241"/>
      <c r="E89" s="241"/>
      <c r="F89" s="525"/>
      <c r="G89" s="526"/>
      <c r="H89" s="526"/>
      <c r="I89" s="274"/>
      <c r="J89" s="525"/>
      <c r="K89" s="526"/>
      <c r="L89" s="527"/>
      <c r="M89" s="241"/>
    </row>
    <row r="90" spans="1:13" ht="12.75">
      <c r="A90" s="264" t="s">
        <v>366</v>
      </c>
      <c r="B90" s="252" t="s">
        <v>364</v>
      </c>
      <c r="C90" s="252"/>
      <c r="D90" s="241"/>
      <c r="E90" s="241"/>
      <c r="F90" s="530"/>
      <c r="G90" s="531"/>
      <c r="H90" s="531"/>
      <c r="I90" s="275"/>
      <c r="J90" s="528"/>
      <c r="K90" s="529"/>
      <c r="L90" s="529"/>
      <c r="M90" s="241"/>
    </row>
    <row r="91" spans="1:13" ht="14.25">
      <c r="A91" s="264" t="s">
        <v>367</v>
      </c>
      <c r="B91" s="254" t="s">
        <v>675</v>
      </c>
      <c r="C91" s="252"/>
      <c r="D91" s="241"/>
      <c r="E91" s="241"/>
      <c r="F91" s="72"/>
      <c r="G91" s="252"/>
      <c r="H91" s="250"/>
      <c r="I91" s="250"/>
      <c r="J91" s="72"/>
      <c r="K91" s="241"/>
      <c r="L91" s="241"/>
      <c r="M91" s="241"/>
    </row>
    <row r="92" spans="1:13" s="140" customFormat="1" ht="12.75">
      <c r="A92" s="247"/>
      <c r="B92" s="286"/>
      <c r="C92" s="254" t="s">
        <v>748</v>
      </c>
      <c r="D92" s="254"/>
      <c r="E92" s="255"/>
      <c r="F92" s="394"/>
      <c r="G92" s="254">
        <f>VLOOKUP(F90,'Data Tables'!$A$203:$E$224,5,FALSE)</f>
        <v>0</v>
      </c>
      <c r="H92" s="255"/>
      <c r="I92" s="286"/>
      <c r="J92" s="394"/>
      <c r="K92" s="254">
        <f>VLOOKUP(J90,'Data Tables'!$A$203:$E$224,5,FALSE)</f>
        <v>0</v>
      </c>
      <c r="L92" s="255"/>
      <c r="M92" s="255"/>
    </row>
    <row r="93" spans="1:13" ht="12.75">
      <c r="A93" s="264" t="s">
        <v>368</v>
      </c>
      <c r="B93" s="254" t="s">
        <v>108</v>
      </c>
      <c r="C93" s="252"/>
      <c r="D93" s="241"/>
      <c r="E93" s="241"/>
      <c r="F93" s="72"/>
      <c r="G93" s="252">
        <f>VLOOKUP(F90,'Data Tables'!$A$203:$F$224,6,FALSE)</f>
        <v>0</v>
      </c>
      <c r="H93" s="250"/>
      <c r="I93" s="250"/>
      <c r="J93" s="72"/>
      <c r="K93" s="252">
        <f>VLOOKUP(J90,'Data Tables'!$A$203:$F$224,6,FALSE)</f>
        <v>0</v>
      </c>
      <c r="L93" s="241"/>
      <c r="M93" s="241"/>
    </row>
    <row r="94" spans="1:13" ht="12.75">
      <c r="A94" s="264" t="s">
        <v>433</v>
      </c>
      <c r="B94" s="255" t="s">
        <v>667</v>
      </c>
      <c r="C94" s="252"/>
      <c r="D94" s="241"/>
      <c r="E94" s="241"/>
      <c r="F94" s="521"/>
      <c r="G94" s="522"/>
      <c r="H94" s="522"/>
      <c r="I94" s="275"/>
      <c r="J94" s="521"/>
      <c r="K94" s="522"/>
      <c r="L94" s="523"/>
      <c r="M94" s="241"/>
    </row>
    <row r="95" spans="1:13" ht="12.75">
      <c r="A95" s="264" t="s">
        <v>435</v>
      </c>
      <c r="B95" s="255" t="s">
        <v>899</v>
      </c>
      <c r="C95" s="252"/>
      <c r="D95" s="241"/>
      <c r="E95" s="241"/>
      <c r="F95" s="400">
        <f>'Calculations- All Data'!F117</f>
        <v>0</v>
      </c>
      <c r="G95" s="308" t="s">
        <v>752</v>
      </c>
      <c r="H95" s="260"/>
      <c r="I95" s="245"/>
      <c r="J95" s="400">
        <f>'Calculations- All Data'!J117</f>
        <v>0</v>
      </c>
      <c r="K95" s="308" t="s">
        <v>752</v>
      </c>
      <c r="L95" s="260"/>
      <c r="M95" s="241"/>
    </row>
    <row r="96" spans="1:13" ht="12.75">
      <c r="A96" s="264" t="s">
        <v>434</v>
      </c>
      <c r="B96" s="255" t="s">
        <v>900</v>
      </c>
      <c r="C96" s="252"/>
      <c r="D96" s="242"/>
      <c r="E96" s="241"/>
      <c r="F96" s="398">
        <f>'Calculations- All Data'!F118</f>
        <v>0</v>
      </c>
      <c r="G96" s="308" t="s">
        <v>752</v>
      </c>
      <c r="H96" s="260"/>
      <c r="I96" s="260"/>
      <c r="J96" s="399">
        <f>'Calculations- All Data'!J118</f>
        <v>0</v>
      </c>
      <c r="K96" s="308" t="s">
        <v>752</v>
      </c>
      <c r="L96" s="241"/>
      <c r="M96" s="241"/>
    </row>
    <row r="97" spans="1:13" ht="12.75">
      <c r="A97" s="241"/>
      <c r="B97" s="255"/>
      <c r="C97" s="252"/>
      <c r="D97" s="242"/>
      <c r="E97" s="241"/>
      <c r="F97" s="273"/>
      <c r="G97" s="260"/>
      <c r="H97" s="260"/>
      <c r="I97" s="260"/>
      <c r="J97" s="241"/>
      <c r="K97" s="241"/>
      <c r="L97" s="241"/>
      <c r="M97" s="241"/>
    </row>
    <row r="98" spans="1:13" ht="13.5" thickBot="1">
      <c r="A98" s="241"/>
      <c r="B98" s="255"/>
      <c r="C98" s="252"/>
      <c r="D98" s="242"/>
      <c r="E98" s="241"/>
      <c r="F98" s="273"/>
      <c r="G98" s="260"/>
      <c r="H98" s="260"/>
      <c r="I98" s="260"/>
      <c r="J98" s="241"/>
      <c r="K98" s="241"/>
      <c r="L98" s="241"/>
      <c r="M98" s="241"/>
    </row>
    <row r="99" spans="1:13" ht="13.5" thickBot="1">
      <c r="A99" s="265" t="s">
        <v>898</v>
      </c>
      <c r="B99" s="241"/>
      <c r="C99" s="252"/>
      <c r="D99" s="241"/>
      <c r="E99" s="266"/>
      <c r="F99" s="448">
        <f>'Calculations- All Data'!F120</f>
        <v>0</v>
      </c>
      <c r="G99" s="255" t="s">
        <v>752</v>
      </c>
      <c r="H99" s="242"/>
      <c r="I99" s="276" t="s">
        <v>107</v>
      </c>
      <c r="J99" s="406">
        <f>'Calculations- All Data'!J120</f>
        <v>0</v>
      </c>
      <c r="K99" s="255" t="s">
        <v>752</v>
      </c>
      <c r="L99" s="241"/>
      <c r="M99" s="241"/>
    </row>
    <row r="100" spans="1:13" ht="13.5" thickBot="1">
      <c r="A100" s="265" t="s">
        <v>897</v>
      </c>
      <c r="B100" s="241"/>
      <c r="C100" s="241"/>
      <c r="D100" s="241"/>
      <c r="E100" s="266"/>
      <c r="F100" s="448">
        <f>'Calculations- All Data'!F121</f>
        <v>0</v>
      </c>
      <c r="G100" s="255" t="s">
        <v>752</v>
      </c>
      <c r="H100" s="242"/>
      <c r="I100" s="276" t="s">
        <v>107</v>
      </c>
      <c r="J100" s="406">
        <f>'Calculations- All Data'!J121</f>
        <v>0</v>
      </c>
      <c r="K100" s="255" t="s">
        <v>752</v>
      </c>
      <c r="L100" s="241"/>
      <c r="M100" s="241"/>
    </row>
    <row r="101" spans="1:13" ht="12.75">
      <c r="A101" s="241"/>
      <c r="B101" s="265"/>
      <c r="C101" s="241"/>
      <c r="D101" s="241"/>
      <c r="E101" s="266"/>
      <c r="F101" s="268"/>
      <c r="G101" s="255"/>
      <c r="H101" s="242"/>
      <c r="I101" s="269"/>
      <c r="J101" s="270"/>
      <c r="K101" s="241"/>
      <c r="L101" s="241"/>
      <c r="M101" s="241"/>
    </row>
    <row r="102" spans="1:13" ht="12.75">
      <c r="A102" s="241"/>
      <c r="B102" s="267" t="s">
        <v>537</v>
      </c>
      <c r="C102" s="241"/>
      <c r="D102" s="241"/>
      <c r="E102" s="266"/>
      <c r="F102" s="268"/>
      <c r="G102" s="255"/>
      <c r="H102" s="242"/>
      <c r="I102" s="269"/>
      <c r="J102" s="270"/>
      <c r="K102" s="241"/>
      <c r="L102" s="241"/>
      <c r="M102" s="241"/>
    </row>
    <row r="103" spans="1:13" ht="12.75">
      <c r="A103" s="241"/>
      <c r="B103" s="267" t="s">
        <v>101</v>
      </c>
      <c r="C103" s="241"/>
      <c r="D103" s="241"/>
      <c r="E103" s="266"/>
      <c r="F103" s="268"/>
      <c r="G103" s="255"/>
      <c r="H103" s="242"/>
      <c r="I103" s="269"/>
      <c r="J103" s="270"/>
      <c r="K103" s="241"/>
      <c r="L103" s="241"/>
      <c r="M103" s="241"/>
    </row>
    <row r="104" spans="1:13" ht="12.75">
      <c r="A104" s="241"/>
      <c r="B104" s="271" t="s">
        <v>674</v>
      </c>
      <c r="C104" s="241"/>
      <c r="D104" s="241"/>
      <c r="E104" s="266"/>
      <c r="F104" s="268"/>
      <c r="G104" s="255"/>
      <c r="H104" s="242"/>
      <c r="I104" s="269"/>
      <c r="J104" s="270"/>
      <c r="K104" s="241"/>
      <c r="L104" s="241"/>
      <c r="M104" s="241"/>
    </row>
    <row r="105" spans="2:9" s="2" customFormat="1" ht="12.75">
      <c r="B105" s="177"/>
      <c r="F105" s="3"/>
      <c r="G105" s="3"/>
      <c r="H105" s="13"/>
      <c r="I105" s="3"/>
    </row>
    <row r="106" spans="1:13" s="2" customFormat="1" ht="38.25" customHeight="1">
      <c r="A106" s="496" t="s">
        <v>772</v>
      </c>
      <c r="B106" s="552"/>
      <c r="C106" s="552"/>
      <c r="D106" s="552"/>
      <c r="E106" s="552"/>
      <c r="F106" s="552"/>
      <c r="G106" s="552"/>
      <c r="H106" s="552"/>
      <c r="I106" s="552"/>
      <c r="J106" s="552"/>
      <c r="K106" s="552"/>
      <c r="L106" s="552"/>
      <c r="M106" s="552"/>
    </row>
    <row r="107" spans="1:13" s="2" customFormat="1" ht="15">
      <c r="A107" s="240" t="s">
        <v>733</v>
      </c>
      <c r="B107" s="241"/>
      <c r="C107" s="241"/>
      <c r="D107" s="241"/>
      <c r="E107" s="241"/>
      <c r="F107" s="250"/>
      <c r="G107" s="250"/>
      <c r="H107" s="277"/>
      <c r="I107" s="250"/>
      <c r="J107" s="241"/>
      <c r="K107" s="241"/>
      <c r="L107" s="241"/>
      <c r="M107" s="241"/>
    </row>
    <row r="108" spans="1:13" s="2" customFormat="1" ht="12.75" customHeight="1">
      <c r="A108" s="240"/>
      <c r="B108" s="241"/>
      <c r="C108" s="241"/>
      <c r="D108" s="241"/>
      <c r="E108" s="241"/>
      <c r="F108" s="250"/>
      <c r="G108" s="250"/>
      <c r="H108" s="277"/>
      <c r="I108" s="250"/>
      <c r="J108" s="241"/>
      <c r="K108" s="241"/>
      <c r="L108" s="241"/>
      <c r="M108" s="241"/>
    </row>
    <row r="109" spans="1:13" ht="12.75">
      <c r="A109" s="255"/>
      <c r="B109" s="255" t="s">
        <v>911</v>
      </c>
      <c r="C109" s="241"/>
      <c r="D109" s="241"/>
      <c r="E109" s="266"/>
      <c r="F109" s="268"/>
      <c r="G109" s="255"/>
      <c r="H109" s="242"/>
      <c r="I109" s="269"/>
      <c r="J109" s="270"/>
      <c r="K109" s="241"/>
      <c r="L109" s="241"/>
      <c r="M109" s="241"/>
    </row>
    <row r="110" spans="1:13" ht="12.75">
      <c r="A110" s="242"/>
      <c r="B110" s="265"/>
      <c r="C110" s="241"/>
      <c r="D110" s="241"/>
      <c r="E110" s="266"/>
      <c r="F110" s="268"/>
      <c r="G110" s="255"/>
      <c r="H110" s="242"/>
      <c r="I110" s="269"/>
      <c r="J110" s="270"/>
      <c r="K110" s="241"/>
      <c r="L110" s="241"/>
      <c r="M110" s="241"/>
    </row>
    <row r="111" spans="1:13" ht="12.75">
      <c r="A111" s="241"/>
      <c r="B111" s="241"/>
      <c r="C111" s="254"/>
      <c r="D111" s="241"/>
      <c r="E111" s="266"/>
      <c r="F111" s="268"/>
      <c r="G111" s="255"/>
      <c r="H111" s="242"/>
      <c r="I111" s="269"/>
      <c r="J111" s="270"/>
      <c r="K111" s="241"/>
      <c r="L111" s="241"/>
      <c r="M111" s="241"/>
    </row>
    <row r="112" spans="1:13" ht="12.75">
      <c r="A112" s="241"/>
      <c r="B112" s="265"/>
      <c r="C112" s="241"/>
      <c r="D112" s="241"/>
      <c r="E112" s="266"/>
      <c r="F112" s="268"/>
      <c r="G112" s="255"/>
      <c r="H112" s="242"/>
      <c r="I112" s="269"/>
      <c r="J112" s="270"/>
      <c r="K112" s="241"/>
      <c r="L112" s="241"/>
      <c r="M112" s="241"/>
    </row>
    <row r="113" spans="1:13" ht="12.75">
      <c r="A113" s="241"/>
      <c r="B113" s="265"/>
      <c r="C113" s="241"/>
      <c r="D113" s="241"/>
      <c r="E113" s="266"/>
      <c r="F113" s="268"/>
      <c r="G113" s="255"/>
      <c r="H113" s="242"/>
      <c r="I113" s="269"/>
      <c r="J113" s="270"/>
      <c r="K113" s="241"/>
      <c r="L113" s="241"/>
      <c r="M113" s="241"/>
    </row>
    <row r="114" spans="1:13" ht="12.75">
      <c r="A114" s="241"/>
      <c r="B114" s="265"/>
      <c r="C114" s="241"/>
      <c r="D114" s="489"/>
      <c r="E114" s="551"/>
      <c r="F114" s="551"/>
      <c r="G114" s="551"/>
      <c r="H114" s="551"/>
      <c r="I114" s="551"/>
      <c r="J114" s="551"/>
      <c r="K114" s="551"/>
      <c r="L114" s="555"/>
      <c r="M114" s="241"/>
    </row>
    <row r="115" spans="1:13" s="2" customFormat="1" ht="15">
      <c r="A115" s="240"/>
      <c r="B115" s="241"/>
      <c r="C115" s="241"/>
      <c r="D115" s="241"/>
      <c r="E115" s="241"/>
      <c r="F115" s="250"/>
      <c r="G115" s="250"/>
      <c r="H115" s="277"/>
      <c r="I115" s="250"/>
      <c r="J115" s="241"/>
      <c r="K115" s="241"/>
      <c r="L115" s="241"/>
      <c r="M115" s="241"/>
    </row>
    <row r="116" spans="1:13" ht="12.75">
      <c r="A116" s="241"/>
      <c r="B116" s="242" t="s">
        <v>734</v>
      </c>
      <c r="C116" s="242"/>
      <c r="D116" s="241"/>
      <c r="E116" s="241"/>
      <c r="F116" s="260"/>
      <c r="G116" s="250"/>
      <c r="H116" s="283"/>
      <c r="I116" s="284"/>
      <c r="J116" s="284"/>
      <c r="K116" s="284"/>
      <c r="L116" s="241"/>
      <c r="M116" s="241"/>
    </row>
    <row r="117" spans="1:13" ht="14.25">
      <c r="A117" s="241"/>
      <c r="B117" s="242"/>
      <c r="C117" s="255" t="s">
        <v>690</v>
      </c>
      <c r="D117" s="241"/>
      <c r="E117" s="241"/>
      <c r="F117" s="278"/>
      <c r="G117" s="399">
        <f>'Calculations- All Data'!F128</f>
        <v>0</v>
      </c>
      <c r="H117" s="250" t="s">
        <v>446</v>
      </c>
      <c r="I117" s="284"/>
      <c r="J117" s="284"/>
      <c r="K117" s="284"/>
      <c r="L117" s="241"/>
      <c r="M117" s="241"/>
    </row>
    <row r="118" spans="1:13" ht="13.5" thickBot="1">
      <c r="A118" s="241"/>
      <c r="B118" s="241"/>
      <c r="C118" s="255" t="s">
        <v>478</v>
      </c>
      <c r="D118" s="241"/>
      <c r="E118" s="264"/>
      <c r="F118" s="279" t="s">
        <v>472</v>
      </c>
      <c r="G118" s="142">
        <f>'Calculations- All Data'!F51</f>
        <v>0</v>
      </c>
      <c r="H118" s="241"/>
      <c r="I118" s="284"/>
      <c r="J118" s="284"/>
      <c r="K118" s="284"/>
      <c r="L118" s="241"/>
      <c r="M118" s="241"/>
    </row>
    <row r="119" spans="1:13" ht="14.25" customHeight="1" thickBot="1">
      <c r="A119" s="241"/>
      <c r="B119" s="241"/>
      <c r="C119" s="280" t="s">
        <v>691</v>
      </c>
      <c r="D119" s="281"/>
      <c r="E119" s="282"/>
      <c r="F119" s="279" t="s">
        <v>473</v>
      </c>
      <c r="G119" s="401">
        <f>'Calculations- All Data'!F130</f>
        <v>0</v>
      </c>
      <c r="H119" s="241" t="s">
        <v>314</v>
      </c>
      <c r="I119" s="284"/>
      <c r="J119" s="284"/>
      <c r="K119" s="284"/>
      <c r="L119" s="241"/>
      <c r="M119" s="241"/>
    </row>
    <row r="120" spans="1:13" ht="14.25" customHeight="1">
      <c r="A120" s="241"/>
      <c r="B120" s="241"/>
      <c r="C120" s="280"/>
      <c r="D120" s="281"/>
      <c r="E120" s="282"/>
      <c r="F120" s="279"/>
      <c r="G120" s="285"/>
      <c r="H120" s="241"/>
      <c r="I120" s="284"/>
      <c r="J120" s="284"/>
      <c r="K120" s="284"/>
      <c r="L120" s="241"/>
      <c r="M120" s="241"/>
    </row>
    <row r="121" spans="1:13" ht="14.25" customHeight="1">
      <c r="A121" s="241"/>
      <c r="B121" s="557" t="s">
        <v>912</v>
      </c>
      <c r="C121" s="564"/>
      <c r="D121" s="564"/>
      <c r="E121" s="564"/>
      <c r="F121" s="564"/>
      <c r="G121" s="564"/>
      <c r="H121" s="564"/>
      <c r="I121" s="564"/>
      <c r="J121" s="564"/>
      <c r="K121" s="564"/>
      <c r="L121" s="564"/>
      <c r="M121" s="564"/>
    </row>
    <row r="122" spans="1:13" ht="24.75" customHeight="1">
      <c r="A122" s="241"/>
      <c r="B122" s="547" t="s">
        <v>689</v>
      </c>
      <c r="C122" s="547"/>
      <c r="D122" s="547"/>
      <c r="E122" s="547"/>
      <c r="F122" s="547"/>
      <c r="G122" s="547"/>
      <c r="H122" s="547"/>
      <c r="I122" s="547"/>
      <c r="J122" s="547"/>
      <c r="K122" s="547"/>
      <c r="L122" s="547"/>
      <c r="M122" s="547"/>
    </row>
    <row r="123" spans="2:11" s="2" customFormat="1" ht="12.75">
      <c r="B123" s="71"/>
      <c r="F123" s="216"/>
      <c r="G123" s="54"/>
      <c r="I123" s="217"/>
      <c r="J123" s="217"/>
      <c r="K123" s="217"/>
    </row>
    <row r="124" spans="1:13" ht="26.25" customHeight="1">
      <c r="A124" s="553" t="s">
        <v>688</v>
      </c>
      <c r="B124" s="554"/>
      <c r="C124" s="554"/>
      <c r="D124" s="554"/>
      <c r="E124" s="554"/>
      <c r="F124" s="554"/>
      <c r="G124" s="554"/>
      <c r="H124" s="554"/>
      <c r="I124" s="554"/>
      <c r="J124" s="554"/>
      <c r="K124" s="554"/>
      <c r="L124" s="554"/>
      <c r="M124" s="554"/>
    </row>
    <row r="125" spans="1:13" s="2" customFormat="1" ht="15">
      <c r="A125" s="240" t="s">
        <v>716</v>
      </c>
      <c r="B125" s="242"/>
      <c r="C125" s="241"/>
      <c r="D125" s="241"/>
      <c r="E125" s="241"/>
      <c r="F125" s="279"/>
      <c r="G125" s="250"/>
      <c r="H125" s="250"/>
      <c r="I125" s="250"/>
      <c r="J125" s="241"/>
      <c r="K125" s="241"/>
      <c r="L125" s="241"/>
      <c r="M125" s="241"/>
    </row>
    <row r="126" spans="1:13" s="2" customFormat="1" ht="15.75" thickBot="1">
      <c r="A126" s="240"/>
      <c r="B126" s="242"/>
      <c r="C126" s="241"/>
      <c r="D126" s="241"/>
      <c r="E126" s="241"/>
      <c r="F126" s="279"/>
      <c r="G126" s="250"/>
      <c r="H126" s="250"/>
      <c r="I126" s="250"/>
      <c r="J126" s="241"/>
      <c r="K126" s="241"/>
      <c r="L126" s="241"/>
      <c r="M126" s="241"/>
    </row>
    <row r="127" spans="1:13" s="2" customFormat="1" ht="15" thickBot="1">
      <c r="A127" s="241"/>
      <c r="B127" s="252"/>
      <c r="C127" s="255" t="s">
        <v>0</v>
      </c>
      <c r="D127" s="241"/>
      <c r="E127" s="241"/>
      <c r="F127" s="241"/>
      <c r="G127" s="402">
        <f>'Calculations- All Data'!F137</f>
        <v>0</v>
      </c>
      <c r="H127" s="308" t="s">
        <v>303</v>
      </c>
      <c r="I127" s="260"/>
      <c r="J127" s="260"/>
      <c r="K127" s="241"/>
      <c r="L127" s="241"/>
      <c r="M127" s="241"/>
    </row>
    <row r="128" spans="1:13" ht="15" thickBot="1">
      <c r="A128" s="241"/>
      <c r="B128" s="250"/>
      <c r="C128" s="254" t="s">
        <v>1</v>
      </c>
      <c r="D128" s="241"/>
      <c r="E128" s="241"/>
      <c r="F128" s="241"/>
      <c r="G128" s="402">
        <f>'Calculations- All Data'!F142</f>
        <v>0</v>
      </c>
      <c r="H128" s="308" t="s">
        <v>303</v>
      </c>
      <c r="I128" s="391"/>
      <c r="J128" s="241"/>
      <c r="K128" s="241"/>
      <c r="L128" s="241"/>
      <c r="M128" s="241"/>
    </row>
    <row r="129" spans="1:13" ht="12.75" customHeight="1" thickBot="1">
      <c r="A129" s="241"/>
      <c r="B129" s="265"/>
      <c r="C129" s="255" t="s">
        <v>2</v>
      </c>
      <c r="D129" s="241"/>
      <c r="E129" s="266"/>
      <c r="F129" s="241"/>
      <c r="G129" s="402">
        <f>'Calculations- All Data'!F144</f>
        <v>0</v>
      </c>
      <c r="H129" s="255" t="s">
        <v>303</v>
      </c>
      <c r="I129" s="269"/>
      <c r="J129" s="270"/>
      <c r="K129" s="241"/>
      <c r="L129" s="241"/>
      <c r="M129" s="241"/>
    </row>
    <row r="130" spans="1:13" s="2" customFormat="1" ht="15">
      <c r="A130" s="240"/>
      <c r="B130" s="242"/>
      <c r="C130" s="241"/>
      <c r="D130" s="241"/>
      <c r="E130" s="241"/>
      <c r="F130" s="279"/>
      <c r="G130" s="250"/>
      <c r="H130" s="250"/>
      <c r="I130" s="250"/>
      <c r="J130" s="241"/>
      <c r="K130" s="241"/>
      <c r="L130" s="241"/>
      <c r="M130" s="241"/>
    </row>
    <row r="131" spans="1:13" ht="12.75">
      <c r="A131" s="241"/>
      <c r="B131" s="255"/>
      <c r="C131" s="252"/>
      <c r="D131" s="241"/>
      <c r="E131" s="241"/>
      <c r="F131" s="279"/>
      <c r="G131" s="287" t="s">
        <v>93</v>
      </c>
      <c r="H131" s="288"/>
      <c r="I131" s="269"/>
      <c r="J131" s="269" t="s">
        <v>683</v>
      </c>
      <c r="K131" s="284"/>
      <c r="L131" s="241"/>
      <c r="M131" s="241"/>
    </row>
    <row r="132" spans="1:13" ht="13.5" customHeight="1">
      <c r="A132" s="241"/>
      <c r="B132" s="241"/>
      <c r="C132" s="286" t="s">
        <v>924</v>
      </c>
      <c r="D132" s="250"/>
      <c r="E132" s="250"/>
      <c r="F132" s="279" t="s">
        <v>473</v>
      </c>
      <c r="G132" s="399">
        <f>'Calculations- All Data'!F148</f>
        <v>0</v>
      </c>
      <c r="H132" s="250" t="s">
        <v>446</v>
      </c>
      <c r="I132" s="284"/>
      <c r="J132" s="399">
        <f>'Calculations- All Data'!J148</f>
        <v>0</v>
      </c>
      <c r="K132" s="286" t="s">
        <v>684</v>
      </c>
      <c r="L132" s="241"/>
      <c r="M132" s="241"/>
    </row>
    <row r="133" spans="1:13" ht="12.75">
      <c r="A133" s="241"/>
      <c r="B133" s="241"/>
      <c r="C133" s="286" t="s">
        <v>477</v>
      </c>
      <c r="D133" s="264"/>
      <c r="E133" s="279"/>
      <c r="F133" s="279" t="s">
        <v>472</v>
      </c>
      <c r="G133" s="142">
        <f>'Calculations- All Data'!F51</f>
        <v>0</v>
      </c>
      <c r="H133" s="241"/>
      <c r="I133" s="284"/>
      <c r="J133" s="142">
        <f>'Calculations- All Data'!F51</f>
        <v>0</v>
      </c>
      <c r="K133" s="241"/>
      <c r="L133" s="241"/>
      <c r="M133" s="241"/>
    </row>
    <row r="134" spans="1:13" ht="12.75">
      <c r="A134" s="241"/>
      <c r="B134" s="241"/>
      <c r="C134" s="286" t="s">
        <v>771</v>
      </c>
      <c r="D134" s="264"/>
      <c r="E134" s="279"/>
      <c r="F134" s="279" t="s">
        <v>473</v>
      </c>
      <c r="G134" s="403">
        <f>'Calculations- All Data'!F149</f>
        <v>0</v>
      </c>
      <c r="H134" s="241" t="s">
        <v>446</v>
      </c>
      <c r="I134" s="284"/>
      <c r="J134" s="403">
        <f>'Calculations- All Data'!J149</f>
        <v>0</v>
      </c>
      <c r="K134" s="255" t="s">
        <v>684</v>
      </c>
      <c r="L134" s="241"/>
      <c r="M134" s="241"/>
    </row>
    <row r="135" spans="1:13" ht="12.75" customHeight="1">
      <c r="A135" s="247"/>
      <c r="B135" s="241"/>
      <c r="C135" s="286" t="s">
        <v>681</v>
      </c>
      <c r="D135" s="250"/>
      <c r="E135" s="250"/>
      <c r="F135" s="279" t="s">
        <v>474</v>
      </c>
      <c r="G135" s="404">
        <f>'Calculations- All Data'!F150</f>
        <v>0</v>
      </c>
      <c r="H135" s="241" t="s">
        <v>100</v>
      </c>
      <c r="I135" s="241"/>
      <c r="J135" s="404">
        <f>'Calculations- All Data'!J150</f>
        <v>0</v>
      </c>
      <c r="K135" s="255" t="s">
        <v>685</v>
      </c>
      <c r="L135" s="241"/>
      <c r="M135" s="241"/>
    </row>
    <row r="136" spans="1:13" ht="12.75" customHeight="1" thickBot="1">
      <c r="A136" s="247"/>
      <c r="B136" s="241"/>
      <c r="C136" s="254" t="s">
        <v>687</v>
      </c>
      <c r="D136" s="252"/>
      <c r="E136" s="252"/>
      <c r="F136" s="279" t="s">
        <v>474</v>
      </c>
      <c r="G136" s="405">
        <f>'Calculations- All Data'!F151</f>
        <v>0</v>
      </c>
      <c r="H136" s="241" t="s">
        <v>446</v>
      </c>
      <c r="I136" s="241"/>
      <c r="J136" s="405">
        <f>'Calculations- All Data'!J151</f>
        <v>0</v>
      </c>
      <c r="K136" s="255" t="s">
        <v>684</v>
      </c>
      <c r="L136" s="241"/>
      <c r="M136" s="241"/>
    </row>
    <row r="137" spans="1:13" ht="12.75" customHeight="1" thickBot="1">
      <c r="A137" s="247"/>
      <c r="B137" s="241"/>
      <c r="C137" s="254" t="s">
        <v>682</v>
      </c>
      <c r="D137" s="254"/>
      <c r="E137" s="254"/>
      <c r="F137" s="279" t="s">
        <v>473</v>
      </c>
      <c r="G137" s="406" t="str">
        <f>'Calculations- All Data'!F153</f>
        <v>0</v>
      </c>
      <c r="H137" s="241" t="s">
        <v>446</v>
      </c>
      <c r="I137" s="241"/>
      <c r="J137" s="406" t="str">
        <f>'Calculations- All Data'!J153</f>
        <v>0</v>
      </c>
      <c r="K137" s="255" t="s">
        <v>684</v>
      </c>
      <c r="L137" s="241"/>
      <c r="M137" s="241"/>
    </row>
    <row r="138" spans="1:13" ht="13.5" thickBot="1">
      <c r="A138" s="247"/>
      <c r="B138" s="241"/>
      <c r="C138" s="254" t="s">
        <v>682</v>
      </c>
      <c r="D138" s="254"/>
      <c r="E138" s="254"/>
      <c r="F138" s="279" t="s">
        <v>473</v>
      </c>
      <c r="G138" s="406">
        <f>'Calculations- All Data'!F152</f>
        <v>0</v>
      </c>
      <c r="H138" s="252" t="s">
        <v>314</v>
      </c>
      <c r="I138" s="241"/>
      <c r="J138" s="406">
        <f>'Calculations- All Data'!J152</f>
        <v>0</v>
      </c>
      <c r="K138" s="254" t="s">
        <v>686</v>
      </c>
      <c r="L138" s="289"/>
      <c r="M138" s="289"/>
    </row>
    <row r="139" spans="1:13" ht="12.75">
      <c r="A139" s="241"/>
      <c r="B139" s="242"/>
      <c r="C139" s="252"/>
      <c r="D139" s="241"/>
      <c r="E139" s="241"/>
      <c r="F139" s="290"/>
      <c r="G139" s="250"/>
      <c r="H139" s="283"/>
      <c r="I139" s="284"/>
      <c r="J139" s="284"/>
      <c r="K139" s="284"/>
      <c r="L139" s="241"/>
      <c r="M139" s="241"/>
    </row>
    <row r="140" spans="1:13" ht="12.75">
      <c r="A140" s="241"/>
      <c r="B140" s="557" t="s">
        <v>4</v>
      </c>
      <c r="C140" s="557"/>
      <c r="D140" s="557"/>
      <c r="E140" s="557"/>
      <c r="F140" s="557"/>
      <c r="G140" s="557"/>
      <c r="H140" s="557"/>
      <c r="I140" s="557"/>
      <c r="J140" s="557"/>
      <c r="K140" s="557"/>
      <c r="L140" s="557"/>
      <c r="M140" s="557"/>
    </row>
    <row r="141" spans="1:13" ht="22.5" customHeight="1">
      <c r="A141" s="241"/>
      <c r="B141" s="558" t="s">
        <v>5</v>
      </c>
      <c r="C141" s="558"/>
      <c r="D141" s="558"/>
      <c r="E141" s="558"/>
      <c r="F141" s="558"/>
      <c r="G141" s="558"/>
      <c r="H141" s="558"/>
      <c r="I141" s="558"/>
      <c r="J141" s="558"/>
      <c r="K141" s="558"/>
      <c r="L141" s="558"/>
      <c r="M141" s="558"/>
    </row>
    <row r="142" spans="1:13" ht="12.75">
      <c r="A142" s="241"/>
      <c r="B142" s="557" t="s">
        <v>6</v>
      </c>
      <c r="C142" s="557"/>
      <c r="D142" s="557"/>
      <c r="E142" s="557"/>
      <c r="F142" s="557"/>
      <c r="G142" s="557"/>
      <c r="H142" s="557"/>
      <c r="I142" s="557"/>
      <c r="J142" s="557"/>
      <c r="K142" s="557"/>
      <c r="L142" s="557"/>
      <c r="M142" s="557"/>
    </row>
    <row r="143" spans="1:13" ht="12.75" customHeight="1">
      <c r="A143" s="241"/>
      <c r="B143" s="556" t="s">
        <v>3</v>
      </c>
      <c r="C143" s="556"/>
      <c r="D143" s="556"/>
      <c r="E143" s="556"/>
      <c r="F143" s="556"/>
      <c r="G143" s="556"/>
      <c r="H143" s="556"/>
      <c r="I143" s="556"/>
      <c r="J143" s="556"/>
      <c r="K143" s="556"/>
      <c r="L143" s="556"/>
      <c r="M143" s="556"/>
    </row>
    <row r="144" spans="2:9" s="2" customFormat="1" ht="12.75">
      <c r="B144" s="178"/>
      <c r="F144" s="23"/>
      <c r="G144" s="3"/>
      <c r="H144" s="3"/>
      <c r="I144" s="3"/>
    </row>
    <row r="145" spans="1:13" ht="39" customHeight="1">
      <c r="A145" s="544" t="s">
        <v>8</v>
      </c>
      <c r="B145" s="497"/>
      <c r="C145" s="497"/>
      <c r="D145" s="497"/>
      <c r="E145" s="497"/>
      <c r="F145" s="497"/>
      <c r="G145" s="497"/>
      <c r="H145" s="497"/>
      <c r="I145" s="497"/>
      <c r="J145" s="497"/>
      <c r="K145" s="497"/>
      <c r="L145" s="497"/>
      <c r="M145" s="497"/>
    </row>
    <row r="146" spans="1:13" ht="17.25">
      <c r="A146" s="240" t="s">
        <v>7</v>
      </c>
      <c r="B146" s="241"/>
      <c r="C146" s="241"/>
      <c r="D146" s="241"/>
      <c r="E146" s="241"/>
      <c r="F146" s="241"/>
      <c r="G146" s="241"/>
      <c r="H146" s="241"/>
      <c r="I146" s="241"/>
      <c r="J146" s="241"/>
      <c r="K146" s="241"/>
      <c r="L146" s="241"/>
      <c r="M146" s="241"/>
    </row>
    <row r="147" spans="1:13" ht="12.75">
      <c r="A147" s="247"/>
      <c r="B147" s="255"/>
      <c r="C147" s="241"/>
      <c r="D147" s="241"/>
      <c r="E147" s="241"/>
      <c r="F147" s="270"/>
      <c r="G147" s="252"/>
      <c r="H147" s="299"/>
      <c r="I147" s="241"/>
      <c r="J147" s="241"/>
      <c r="K147" s="289"/>
      <c r="L147" s="289"/>
      <c r="M147" s="289"/>
    </row>
    <row r="148" spans="1:13" s="67" customFormat="1" ht="22.5" customHeight="1">
      <c r="A148" s="248"/>
      <c r="B148" s="291" t="s">
        <v>440</v>
      </c>
      <c r="C148" s="248"/>
      <c r="D148" s="248"/>
      <c r="E148" s="292"/>
      <c r="F148" s="549"/>
      <c r="G148" s="551"/>
      <c r="H148" s="551"/>
      <c r="I148" s="551"/>
      <c r="J148" s="551"/>
      <c r="K148" s="296"/>
      <c r="L148" s="248"/>
      <c r="M148" s="248"/>
    </row>
    <row r="149" spans="1:13" s="67" customFormat="1" ht="22.5" customHeight="1">
      <c r="A149" s="293"/>
      <c r="B149" s="248"/>
      <c r="C149" s="248"/>
      <c r="D149" s="248"/>
      <c r="E149" s="292" t="s">
        <v>394</v>
      </c>
      <c r="F149" s="549"/>
      <c r="G149" s="551"/>
      <c r="H149" s="551"/>
      <c r="I149" s="551"/>
      <c r="J149" s="551"/>
      <c r="K149" s="297"/>
      <c r="L149" s="248"/>
      <c r="M149" s="248"/>
    </row>
    <row r="150" spans="1:13" s="67" customFormat="1" ht="22.5" customHeight="1">
      <c r="A150" s="293"/>
      <c r="B150" s="248"/>
      <c r="C150" s="248"/>
      <c r="D150" s="248"/>
      <c r="E150" s="292" t="s">
        <v>394</v>
      </c>
      <c r="F150" s="549"/>
      <c r="G150" s="551"/>
      <c r="H150" s="551"/>
      <c r="I150" s="551"/>
      <c r="J150" s="551"/>
      <c r="K150" s="297"/>
      <c r="L150" s="248"/>
      <c r="M150" s="248"/>
    </row>
    <row r="151" spans="1:13" s="67" customFormat="1" ht="22.5" customHeight="1">
      <c r="A151" s="293"/>
      <c r="B151" s="248"/>
      <c r="C151" s="248"/>
      <c r="D151" s="248"/>
      <c r="E151" s="292" t="s">
        <v>394</v>
      </c>
      <c r="F151" s="549"/>
      <c r="G151" s="551"/>
      <c r="H151" s="551"/>
      <c r="I151" s="551"/>
      <c r="J151" s="551"/>
      <c r="K151" s="297"/>
      <c r="L151" s="248"/>
      <c r="M151" s="248"/>
    </row>
    <row r="152" spans="1:13" s="67" customFormat="1" ht="12.75" customHeight="1">
      <c r="A152" s="293"/>
      <c r="B152" s="248"/>
      <c r="C152" s="248"/>
      <c r="D152" s="248"/>
      <c r="E152" s="292"/>
      <c r="F152" s="300"/>
      <c r="G152" s="256"/>
      <c r="H152" s="256"/>
      <c r="I152" s="256"/>
      <c r="J152" s="256"/>
      <c r="K152" s="273"/>
      <c r="L152" s="248"/>
      <c r="M152" s="248"/>
    </row>
    <row r="153" spans="1:13" s="67" customFormat="1" ht="12.75" customHeight="1">
      <c r="A153" s="293"/>
      <c r="B153" s="248"/>
      <c r="C153" s="248"/>
      <c r="D153" s="250" t="s">
        <v>486</v>
      </c>
      <c r="E153" s="292"/>
      <c r="F153" s="118"/>
      <c r="G153" s="256" t="s">
        <v>430</v>
      </c>
      <c r="H153" s="256"/>
      <c r="I153" s="256"/>
      <c r="J153" s="256"/>
      <c r="K153" s="273"/>
      <c r="L153" s="248"/>
      <c r="M153" s="248"/>
    </row>
    <row r="154" spans="1:13" ht="12.75">
      <c r="A154" s="241"/>
      <c r="B154" s="241"/>
      <c r="C154" s="241"/>
      <c r="D154" s="254" t="s">
        <v>442</v>
      </c>
      <c r="E154" s="241"/>
      <c r="F154" s="260"/>
      <c r="G154" s="260"/>
      <c r="H154" s="260"/>
      <c r="I154" s="260"/>
      <c r="J154" s="260"/>
      <c r="K154" s="260"/>
      <c r="L154" s="241"/>
      <c r="M154" s="241"/>
    </row>
    <row r="155" spans="1:13" ht="12.75" customHeight="1">
      <c r="A155" s="241"/>
      <c r="B155" s="241"/>
      <c r="C155" s="241"/>
      <c r="D155" s="252" t="s">
        <v>437</v>
      </c>
      <c r="E155" s="241"/>
      <c r="F155" s="549"/>
      <c r="G155" s="550"/>
      <c r="H155" s="550"/>
      <c r="I155" s="550"/>
      <c r="J155" s="550"/>
      <c r="K155" s="298"/>
      <c r="L155" s="241"/>
      <c r="M155" s="241"/>
    </row>
    <row r="156" spans="1:13" s="67" customFormat="1" ht="12.75" customHeight="1">
      <c r="A156" s="293"/>
      <c r="B156" s="248"/>
      <c r="C156" s="248"/>
      <c r="D156" s="248"/>
      <c r="E156" s="292"/>
      <c r="F156" s="301"/>
      <c r="G156" s="262"/>
      <c r="H156" s="262"/>
      <c r="I156" s="262"/>
      <c r="J156" s="262"/>
      <c r="K156" s="273"/>
      <c r="L156" s="248"/>
      <c r="M156" s="248"/>
    </row>
    <row r="157" spans="1:13" s="67" customFormat="1" ht="22.5" customHeight="1">
      <c r="A157" s="293"/>
      <c r="B157" s="291" t="s">
        <v>441</v>
      </c>
      <c r="C157" s="248"/>
      <c r="D157" s="248"/>
      <c r="E157" s="292"/>
      <c r="F157" s="549"/>
      <c r="G157" s="551"/>
      <c r="H157" s="551"/>
      <c r="I157" s="551"/>
      <c r="J157" s="555"/>
      <c r="K157" s="297"/>
      <c r="L157" s="248"/>
      <c r="M157" s="248"/>
    </row>
    <row r="158" spans="1:13" s="67" customFormat="1" ht="22.5" customHeight="1">
      <c r="A158" s="293"/>
      <c r="B158" s="560" t="s">
        <v>394</v>
      </c>
      <c r="C158" s="560"/>
      <c r="D158" s="560"/>
      <c r="E158" s="561"/>
      <c r="F158" s="562"/>
      <c r="G158" s="563"/>
      <c r="H158" s="563"/>
      <c r="I158" s="563"/>
      <c r="J158" s="563"/>
      <c r="K158" s="296"/>
      <c r="L158" s="248"/>
      <c r="M158" s="248"/>
    </row>
    <row r="159" spans="1:13" s="67" customFormat="1" ht="12.75" customHeight="1">
      <c r="A159" s="293"/>
      <c r="B159" s="248"/>
      <c r="C159" s="248"/>
      <c r="D159" s="248"/>
      <c r="E159" s="294"/>
      <c r="F159" s="545"/>
      <c r="G159" s="546"/>
      <c r="H159" s="546"/>
      <c r="I159" s="546"/>
      <c r="J159" s="546"/>
      <c r="K159" s="273"/>
      <c r="L159" s="248"/>
      <c r="M159" s="248"/>
    </row>
    <row r="160" spans="1:13" s="67" customFormat="1" ht="12.75" customHeight="1">
      <c r="A160" s="293"/>
      <c r="B160" s="248"/>
      <c r="C160" s="248"/>
      <c r="D160" s="250" t="s">
        <v>488</v>
      </c>
      <c r="E160" s="294"/>
      <c r="F160" s="300"/>
      <c r="G160" s="256"/>
      <c r="H160" s="256"/>
      <c r="I160" s="256"/>
      <c r="J160" s="256"/>
      <c r="K160" s="273"/>
      <c r="L160" s="248"/>
      <c r="M160" s="248"/>
    </row>
    <row r="161" spans="1:13" s="67" customFormat="1" ht="12.75" customHeight="1">
      <c r="A161" s="293"/>
      <c r="B161" s="248"/>
      <c r="C161" s="248"/>
      <c r="D161" s="250" t="s">
        <v>487</v>
      </c>
      <c r="E161" s="248"/>
      <c r="F161" s="118"/>
      <c r="G161" s="256" t="s">
        <v>430</v>
      </c>
      <c r="H161" s="256"/>
      <c r="I161" s="256"/>
      <c r="J161" s="256"/>
      <c r="K161" s="273"/>
      <c r="L161" s="248"/>
      <c r="M161" s="248"/>
    </row>
    <row r="162" spans="1:13" ht="12.75">
      <c r="A162" s="241"/>
      <c r="B162" s="241"/>
      <c r="C162" s="241"/>
      <c r="D162" s="254" t="s">
        <v>444</v>
      </c>
      <c r="E162" s="241"/>
      <c r="F162" s="302"/>
      <c r="G162" s="260"/>
      <c r="H162" s="260"/>
      <c r="I162" s="260"/>
      <c r="J162" s="260"/>
      <c r="K162" s="260"/>
      <c r="L162" s="241"/>
      <c r="M162" s="241"/>
    </row>
    <row r="163" spans="1:13" ht="12.75">
      <c r="A163" s="241"/>
      <c r="B163" s="241"/>
      <c r="C163" s="295"/>
      <c r="D163" s="241"/>
      <c r="E163" s="264" t="s">
        <v>381</v>
      </c>
      <c r="F163" s="73"/>
      <c r="G163" s="260" t="s">
        <v>380</v>
      </c>
      <c r="H163" s="260"/>
      <c r="I163" s="260"/>
      <c r="J163" s="260"/>
      <c r="K163" s="260"/>
      <c r="L163" s="241"/>
      <c r="M163" s="241"/>
    </row>
    <row r="164" spans="1:13" ht="12.75">
      <c r="A164" s="241"/>
      <c r="B164" s="241"/>
      <c r="C164" s="241"/>
      <c r="D164" s="241"/>
      <c r="E164" s="241"/>
      <c r="F164" s="259"/>
      <c r="G164" s="260"/>
      <c r="H164" s="260"/>
      <c r="I164" s="260"/>
      <c r="J164" s="260"/>
      <c r="K164" s="260"/>
      <c r="L164" s="241"/>
      <c r="M164" s="241"/>
    </row>
    <row r="165" spans="1:13" ht="13.5" thickBot="1">
      <c r="A165" s="241"/>
      <c r="B165" s="241"/>
      <c r="C165" s="241"/>
      <c r="D165" s="241"/>
      <c r="E165" s="241"/>
      <c r="F165" s="260"/>
      <c r="G165" s="260"/>
      <c r="H165" s="260"/>
      <c r="I165" s="260"/>
      <c r="J165" s="260"/>
      <c r="K165" s="260"/>
      <c r="L165" s="241"/>
      <c r="M165" s="241"/>
    </row>
    <row r="166" spans="1:13" ht="13.5" thickBot="1">
      <c r="A166" s="241"/>
      <c r="B166" s="242" t="s">
        <v>9</v>
      </c>
      <c r="C166" s="241"/>
      <c r="D166" s="241"/>
      <c r="E166" s="251" t="s">
        <v>11</v>
      </c>
      <c r="F166" s="407">
        <f>'Calculations- All Data'!F204</f>
        <v>0</v>
      </c>
      <c r="G166" s="241" t="s">
        <v>314</v>
      </c>
      <c r="H166" s="241"/>
      <c r="I166" s="251" t="s">
        <v>10</v>
      </c>
      <c r="J166" s="407">
        <f>'Calculations- All Data'!H204</f>
        <v>0</v>
      </c>
      <c r="K166" s="255" t="s">
        <v>686</v>
      </c>
      <c r="L166" s="241"/>
      <c r="M166" s="241"/>
    </row>
    <row r="167" spans="1:13" ht="12.75">
      <c r="A167" s="241"/>
      <c r="B167" s="242"/>
      <c r="C167" s="241"/>
      <c r="D167" s="241"/>
      <c r="E167" s="241"/>
      <c r="F167" s="303"/>
      <c r="G167" s="241"/>
      <c r="H167" s="241"/>
      <c r="I167" s="241"/>
      <c r="J167" s="241"/>
      <c r="K167" s="241"/>
      <c r="L167" s="241"/>
      <c r="M167" s="241"/>
    </row>
    <row r="168" spans="1:13" ht="25.5" customHeight="1">
      <c r="A168" s="241"/>
      <c r="B168" s="547" t="s">
        <v>460</v>
      </c>
      <c r="C168" s="548"/>
      <c r="D168" s="548"/>
      <c r="E168" s="548"/>
      <c r="F168" s="548"/>
      <c r="G168" s="548"/>
      <c r="H168" s="548"/>
      <c r="I168" s="548"/>
      <c r="J168" s="548"/>
      <c r="K168" s="548"/>
      <c r="L168" s="548"/>
      <c r="M168" s="548"/>
    </row>
    <row r="169" spans="1:13" ht="24" customHeight="1">
      <c r="A169" s="241"/>
      <c r="B169" s="484" t="s">
        <v>609</v>
      </c>
      <c r="C169" s="491"/>
      <c r="D169" s="491"/>
      <c r="E169" s="491"/>
      <c r="F169" s="491"/>
      <c r="G169" s="491"/>
      <c r="H169" s="491"/>
      <c r="I169" s="491"/>
      <c r="J169" s="491"/>
      <c r="K169" s="491"/>
      <c r="L169" s="491"/>
      <c r="M169" s="491"/>
    </row>
    <row r="170" spans="1:13" ht="24" customHeight="1">
      <c r="A170" s="241"/>
      <c r="B170" s="490" t="s">
        <v>14</v>
      </c>
      <c r="C170" s="491"/>
      <c r="D170" s="491"/>
      <c r="E170" s="491"/>
      <c r="F170" s="491"/>
      <c r="G170" s="491"/>
      <c r="H170" s="491"/>
      <c r="I170" s="491"/>
      <c r="J170" s="491"/>
      <c r="K170" s="491"/>
      <c r="L170" s="491"/>
      <c r="M170" s="491"/>
    </row>
    <row r="171" spans="1:13" ht="24" customHeight="1">
      <c r="A171" s="241"/>
      <c r="B171" s="490" t="s">
        <v>15</v>
      </c>
      <c r="C171" s="491"/>
      <c r="D171" s="491"/>
      <c r="E171" s="491"/>
      <c r="F171" s="491"/>
      <c r="G171" s="491"/>
      <c r="H171" s="491"/>
      <c r="I171" s="491"/>
      <c r="J171" s="491"/>
      <c r="K171" s="491"/>
      <c r="L171" s="491"/>
      <c r="M171" s="491"/>
    </row>
    <row r="172" spans="2:6" s="2" customFormat="1" ht="12.75">
      <c r="B172" s="71"/>
      <c r="F172" s="179"/>
    </row>
    <row r="173" spans="1:13" s="2" customFormat="1" ht="36.75" customHeight="1">
      <c r="A173" s="496" t="s">
        <v>735</v>
      </c>
      <c r="B173" s="496"/>
      <c r="C173" s="496"/>
      <c r="D173" s="496"/>
      <c r="E173" s="496"/>
      <c r="F173" s="496"/>
      <c r="G173" s="496"/>
      <c r="H173" s="496"/>
      <c r="I173" s="496"/>
      <c r="J173" s="496"/>
      <c r="K173" s="496"/>
      <c r="L173" s="496"/>
      <c r="M173" s="496"/>
    </row>
    <row r="174" spans="1:13" ht="15">
      <c r="A174" s="240" t="s">
        <v>449</v>
      </c>
      <c r="B174" s="241"/>
      <c r="C174" s="241"/>
      <c r="D174" s="241"/>
      <c r="E174" s="241"/>
      <c r="F174" s="241"/>
      <c r="G174" s="241"/>
      <c r="H174" s="241"/>
      <c r="I174" s="241"/>
      <c r="J174" s="241"/>
      <c r="K174" s="241"/>
      <c r="L174" s="241"/>
      <c r="M174" s="241"/>
    </row>
    <row r="175" spans="1:13" ht="15.75" thickBot="1">
      <c r="A175" s="240"/>
      <c r="B175" s="241"/>
      <c r="C175" s="241"/>
      <c r="D175" s="241"/>
      <c r="E175" s="241"/>
      <c r="F175" s="241"/>
      <c r="G175" s="255" t="s">
        <v>93</v>
      </c>
      <c r="H175" s="241"/>
      <c r="I175" s="241"/>
      <c r="J175" s="255" t="s">
        <v>683</v>
      </c>
      <c r="K175" s="241"/>
      <c r="L175" s="241"/>
      <c r="M175" s="241"/>
    </row>
    <row r="176" spans="1:13" ht="12.75" customHeight="1" thickBot="1">
      <c r="A176" s="240"/>
      <c r="B176" s="255" t="s">
        <v>713</v>
      </c>
      <c r="C176" s="241"/>
      <c r="D176" s="241"/>
      <c r="E176" s="241"/>
      <c r="F176" s="241"/>
      <c r="G176" s="407">
        <f>'Calculations- All Data'!F209</f>
        <v>0</v>
      </c>
      <c r="H176" s="241" t="s">
        <v>314</v>
      </c>
      <c r="I176" s="241"/>
      <c r="J176" s="407">
        <f>'Calculations- All Data'!J209</f>
        <v>0</v>
      </c>
      <c r="K176" s="255" t="s">
        <v>686</v>
      </c>
      <c r="L176" s="241"/>
      <c r="M176" s="241"/>
    </row>
    <row r="177" spans="1:13" ht="14.25" customHeight="1">
      <c r="A177" s="240"/>
      <c r="B177" s="255" t="s">
        <v>476</v>
      </c>
      <c r="C177" s="241"/>
      <c r="D177" s="241"/>
      <c r="E177" s="264"/>
      <c r="F177" s="264" t="s">
        <v>472</v>
      </c>
      <c r="G177" s="143">
        <f>'Calculations- All Data'!F50</f>
        <v>0</v>
      </c>
      <c r="H177" s="241"/>
      <c r="I177" s="241"/>
      <c r="J177" s="143">
        <f>'Calculations- All Data'!J210</f>
        <v>0</v>
      </c>
      <c r="K177" s="241"/>
      <c r="L177" s="241"/>
      <c r="M177" s="241"/>
    </row>
    <row r="178" spans="1:13" ht="12.75">
      <c r="A178" s="241"/>
      <c r="B178" s="242" t="s">
        <v>714</v>
      </c>
      <c r="C178" s="241"/>
      <c r="D178" s="241"/>
      <c r="E178" s="241"/>
      <c r="F178" s="264" t="s">
        <v>473</v>
      </c>
      <c r="G178" s="408">
        <f>'Calculations- All Data'!F211</f>
        <v>0</v>
      </c>
      <c r="H178" s="241" t="s">
        <v>314</v>
      </c>
      <c r="I178" s="241"/>
      <c r="J178" s="408">
        <f>'Calculations- All Data'!J211</f>
        <v>0</v>
      </c>
      <c r="K178" s="255" t="s">
        <v>686</v>
      </c>
      <c r="L178" s="241"/>
      <c r="M178" s="241"/>
    </row>
    <row r="179" spans="1:13" ht="13.5" thickBot="1">
      <c r="A179" s="241"/>
      <c r="B179" s="241" t="s">
        <v>485</v>
      </c>
      <c r="C179" s="241"/>
      <c r="D179" s="241"/>
      <c r="E179" s="241"/>
      <c r="F179" s="264" t="s">
        <v>472</v>
      </c>
      <c r="G179" s="125">
        <f>'Calculations- All Data'!F212</f>
        <v>0</v>
      </c>
      <c r="H179" s="241"/>
      <c r="I179" s="241"/>
      <c r="J179" s="125">
        <f>'Calculations- All Data'!J212</f>
        <v>0</v>
      </c>
      <c r="K179" s="241"/>
      <c r="L179" s="241"/>
      <c r="M179" s="241"/>
    </row>
    <row r="180" spans="1:13" ht="13.5" thickBot="1">
      <c r="A180" s="241"/>
      <c r="B180" s="242" t="s">
        <v>457</v>
      </c>
      <c r="C180" s="241"/>
      <c r="D180" s="241"/>
      <c r="E180" s="264"/>
      <c r="F180" s="264" t="s">
        <v>473</v>
      </c>
      <c r="G180" s="127">
        <f>'Calculations- All Data'!F214</f>
        <v>0</v>
      </c>
      <c r="H180" s="241" t="s">
        <v>356</v>
      </c>
      <c r="I180" s="241"/>
      <c r="J180" s="127">
        <f>'Calculations- All Data'!J214</f>
        <v>0</v>
      </c>
      <c r="K180" s="241" t="s">
        <v>356</v>
      </c>
      <c r="L180" s="241"/>
      <c r="M180" s="241"/>
    </row>
    <row r="181" spans="1:13" ht="12.75">
      <c r="A181" s="241"/>
      <c r="B181" s="241"/>
      <c r="C181" s="241"/>
      <c r="D181" s="241"/>
      <c r="E181" s="241"/>
      <c r="F181" s="264"/>
      <c r="G181" s="305"/>
      <c r="H181" s="241"/>
      <c r="I181" s="241"/>
      <c r="J181" s="305"/>
      <c r="K181" s="241"/>
      <c r="L181" s="241"/>
      <c r="M181" s="241"/>
    </row>
    <row r="182" spans="1:13" ht="15" thickBot="1">
      <c r="A182" s="241"/>
      <c r="B182" s="241" t="s">
        <v>643</v>
      </c>
      <c r="C182" s="241"/>
      <c r="D182" s="241"/>
      <c r="E182" s="241"/>
      <c r="F182" s="264" t="s">
        <v>472</v>
      </c>
      <c r="G182" s="126">
        <f>'Calculations- All Data'!F216</f>
        <v>0.1</v>
      </c>
      <c r="H182" s="241"/>
      <c r="I182" s="241"/>
      <c r="J182" s="126">
        <f>'Calculations- All Data'!J216</f>
        <v>0.1</v>
      </c>
      <c r="K182" s="241"/>
      <c r="L182" s="241"/>
      <c r="M182" s="241"/>
    </row>
    <row r="183" spans="1:13" ht="15.75" thickBot="1">
      <c r="A183" s="241"/>
      <c r="B183" s="240" t="s">
        <v>484</v>
      </c>
      <c r="C183" s="241"/>
      <c r="D183" s="241"/>
      <c r="E183" s="241"/>
      <c r="F183" s="264" t="s">
        <v>473</v>
      </c>
      <c r="G183" s="69">
        <f>'Calculations- All Data'!F218</f>
        <v>0</v>
      </c>
      <c r="H183" s="240" t="s">
        <v>356</v>
      </c>
      <c r="I183" s="241"/>
      <c r="J183" s="69">
        <f>'Calculations- All Data'!J218</f>
        <v>0</v>
      </c>
      <c r="K183" s="240" t="s">
        <v>356</v>
      </c>
      <c r="L183" s="241"/>
      <c r="M183" s="241"/>
    </row>
    <row r="184" spans="1:13" ht="12.75" customHeight="1">
      <c r="A184" s="241"/>
      <c r="B184" s="240"/>
      <c r="C184" s="241"/>
      <c r="D184" s="241"/>
      <c r="E184" s="241"/>
      <c r="F184" s="264"/>
      <c r="G184" s="304"/>
      <c r="H184" s="240"/>
      <c r="I184" s="241"/>
      <c r="J184" s="241"/>
      <c r="K184" s="241"/>
      <c r="L184" s="241"/>
      <c r="M184" s="241"/>
    </row>
    <row r="185" spans="1:13" ht="23.25" customHeight="1">
      <c r="A185" s="241"/>
      <c r="B185" s="484" t="s">
        <v>475</v>
      </c>
      <c r="C185" s="559"/>
      <c r="D185" s="559"/>
      <c r="E185" s="559"/>
      <c r="F185" s="559"/>
      <c r="G185" s="559"/>
      <c r="H185" s="559"/>
      <c r="I185" s="559"/>
      <c r="J185" s="559"/>
      <c r="K185" s="559"/>
      <c r="L185" s="559"/>
      <c r="M185" s="559"/>
    </row>
    <row r="186" spans="1:13" ht="23.25" customHeight="1">
      <c r="A186" s="241"/>
      <c r="B186" s="484" t="s">
        <v>427</v>
      </c>
      <c r="C186" s="559"/>
      <c r="D186" s="559"/>
      <c r="E186" s="559"/>
      <c r="F186" s="559"/>
      <c r="G186" s="559"/>
      <c r="H186" s="559"/>
      <c r="I186" s="559"/>
      <c r="J186" s="559"/>
      <c r="K186" s="559"/>
      <c r="L186" s="559"/>
      <c r="M186" s="559"/>
    </row>
    <row r="252" spans="1:13" ht="13.5" thickBot="1">
      <c r="A252" s="112" t="s">
        <v>461</v>
      </c>
      <c r="B252" s="111"/>
      <c r="C252" s="111"/>
      <c r="D252" s="111"/>
      <c r="E252" s="111"/>
      <c r="F252" s="111"/>
      <c r="G252" s="111"/>
      <c r="H252" s="111"/>
      <c r="I252" s="111"/>
      <c r="J252" s="111"/>
      <c r="K252" s="111"/>
      <c r="L252" s="111"/>
      <c r="M252" s="111"/>
    </row>
    <row r="253" spans="1:10" ht="13.5" thickTop="1">
      <c r="A253" s="53">
        <v>10</v>
      </c>
      <c r="B253" s="5" t="s">
        <v>119</v>
      </c>
      <c r="C253" s="5"/>
      <c r="D253" s="5"/>
      <c r="E253" s="5"/>
      <c r="F253" s="5"/>
      <c r="G253" s="5"/>
      <c r="H253" s="5"/>
      <c r="I253" s="5"/>
      <c r="J253" s="5"/>
    </row>
    <row r="254" spans="1:10" ht="12.75">
      <c r="A254" s="53">
        <v>20</v>
      </c>
      <c r="B254" s="5" t="s">
        <v>117</v>
      </c>
      <c r="C254" s="5"/>
      <c r="D254" s="5"/>
      <c r="E254" s="5"/>
      <c r="F254" s="5"/>
      <c r="G254" s="5"/>
      <c r="H254" s="5"/>
      <c r="I254" s="5"/>
      <c r="J254" s="5"/>
    </row>
    <row r="255" spans="1:10" ht="12.75">
      <c r="A255" s="53">
        <v>30</v>
      </c>
      <c r="B255" s="5" t="s">
        <v>118</v>
      </c>
      <c r="C255" s="5"/>
      <c r="D255" s="5"/>
      <c r="E255" s="5"/>
      <c r="F255" s="5"/>
      <c r="G255" s="5"/>
      <c r="H255" s="5"/>
      <c r="I255" s="5"/>
      <c r="J255" s="5"/>
    </row>
    <row r="256" spans="1:10" ht="14.25">
      <c r="A256" s="54">
        <v>40</v>
      </c>
      <c r="B256" s="5" t="s">
        <v>102</v>
      </c>
      <c r="C256" s="5"/>
      <c r="D256" s="5"/>
      <c r="E256" s="5"/>
      <c r="F256" s="5"/>
      <c r="G256" s="5"/>
      <c r="H256" s="5"/>
      <c r="I256" s="5"/>
      <c r="J256" s="5"/>
    </row>
    <row r="257" spans="1:10" ht="12.75">
      <c r="A257" s="54">
        <v>50</v>
      </c>
      <c r="B257" s="5" t="s">
        <v>120</v>
      </c>
      <c r="C257" s="5"/>
      <c r="D257" s="5"/>
      <c r="E257" s="5"/>
      <c r="F257" s="5"/>
      <c r="G257" s="5"/>
      <c r="H257" s="5"/>
      <c r="I257" s="5"/>
      <c r="J257" s="5"/>
    </row>
    <row r="258" spans="1:10" ht="12.75">
      <c r="A258" s="54">
        <v>60</v>
      </c>
      <c r="B258" s="5"/>
      <c r="C258" s="5"/>
      <c r="D258" s="5"/>
      <c r="E258" s="5"/>
      <c r="F258" s="5"/>
      <c r="G258" s="5"/>
      <c r="H258" s="5"/>
      <c r="I258" s="5"/>
      <c r="J258" s="5"/>
    </row>
    <row r="259" spans="1:10" ht="12.75">
      <c r="A259" s="54">
        <v>70</v>
      </c>
      <c r="B259" s="4" t="s">
        <v>360</v>
      </c>
      <c r="C259" s="5"/>
      <c r="D259" s="5"/>
      <c r="E259" s="5"/>
      <c r="F259" s="5"/>
      <c r="G259" s="5"/>
      <c r="H259" s="5"/>
      <c r="I259" s="5"/>
      <c r="J259" s="5"/>
    </row>
    <row r="260" spans="1:10" ht="12.75">
      <c r="A260" s="54">
        <v>80</v>
      </c>
      <c r="B260" s="109" t="s">
        <v>308</v>
      </c>
      <c r="C260" s="5"/>
      <c r="D260" s="5"/>
      <c r="E260" s="5"/>
      <c r="F260" s="5"/>
      <c r="G260" s="5"/>
      <c r="H260" s="5"/>
      <c r="I260" s="5"/>
      <c r="J260" s="5"/>
    </row>
    <row r="261" spans="1:10" ht="12.75">
      <c r="A261" s="54">
        <v>90</v>
      </c>
      <c r="B261" s="5"/>
      <c r="C261" s="5"/>
      <c r="D261" s="5"/>
      <c r="E261" s="5"/>
      <c r="F261" s="5"/>
      <c r="G261" s="5"/>
      <c r="H261" s="5"/>
      <c r="I261" s="5"/>
      <c r="J261" s="5"/>
    </row>
    <row r="262" spans="1:10" ht="12.75">
      <c r="A262" s="54">
        <v>100</v>
      </c>
      <c r="B262" s="215" t="s">
        <v>678</v>
      </c>
      <c r="C262" s="5"/>
      <c r="D262" s="5"/>
      <c r="E262" s="7" t="s">
        <v>275</v>
      </c>
      <c r="F262" s="105" t="s">
        <v>407</v>
      </c>
      <c r="G262" s="5"/>
      <c r="H262" s="24" t="s">
        <v>739</v>
      </c>
      <c r="I262" s="5"/>
      <c r="J262" s="5"/>
    </row>
    <row r="263" spans="1:10" ht="12.75">
      <c r="A263" s="54">
        <v>110</v>
      </c>
      <c r="B263" s="7" t="s">
        <v>147</v>
      </c>
      <c r="C263" s="5"/>
      <c r="D263" s="5"/>
      <c r="E263" s="7" t="s">
        <v>276</v>
      </c>
      <c r="F263" s="74" t="s">
        <v>411</v>
      </c>
      <c r="G263" s="5"/>
      <c r="H263" s="24" t="s">
        <v>738</v>
      </c>
      <c r="I263" s="5"/>
      <c r="J263" s="5"/>
    </row>
    <row r="264" spans="1:10" ht="12.75">
      <c r="A264" s="54">
        <v>120</v>
      </c>
      <c r="B264" s="7" t="s">
        <v>148</v>
      </c>
      <c r="C264" s="5"/>
      <c r="D264" s="5"/>
      <c r="E264" s="7" t="s">
        <v>277</v>
      </c>
      <c r="F264" s="74" t="s">
        <v>409</v>
      </c>
      <c r="G264" s="5"/>
      <c r="H264" s="17"/>
      <c r="I264" s="5"/>
      <c r="J264" s="5"/>
    </row>
    <row r="265" spans="1:10" ht="12.75">
      <c r="A265" s="54">
        <v>140</v>
      </c>
      <c r="B265" s="22" t="s">
        <v>641</v>
      </c>
      <c r="C265" s="5"/>
      <c r="D265" s="5"/>
      <c r="E265" s="7" t="s">
        <v>278</v>
      </c>
      <c r="F265" s="74" t="s">
        <v>410</v>
      </c>
      <c r="G265" s="5"/>
      <c r="H265" s="5"/>
      <c r="I265" s="5"/>
      <c r="J265" s="5"/>
    </row>
    <row r="266" spans="1:10" ht="12.75">
      <c r="A266" s="4">
        <v>160</v>
      </c>
      <c r="B266" s="7" t="s">
        <v>640</v>
      </c>
      <c r="C266" s="5"/>
      <c r="D266" s="5"/>
      <c r="E266" s="7" t="s">
        <v>279</v>
      </c>
      <c r="F266" s="74" t="s">
        <v>408</v>
      </c>
      <c r="G266" s="5"/>
      <c r="H266" s="5"/>
      <c r="I266" s="5"/>
      <c r="J266" s="5"/>
    </row>
    <row r="267" spans="1:10" ht="12.75">
      <c r="A267" s="4">
        <v>175</v>
      </c>
      <c r="B267" s="7" t="s">
        <v>149</v>
      </c>
      <c r="C267" s="5"/>
      <c r="D267" s="5"/>
      <c r="E267" s="7" t="s">
        <v>280</v>
      </c>
      <c r="F267" s="105" t="s">
        <v>405</v>
      </c>
      <c r="G267" s="5"/>
      <c r="H267" s="5"/>
      <c r="I267" s="5"/>
      <c r="J267" s="5"/>
    </row>
    <row r="268" spans="1:10" ht="12.75">
      <c r="A268" s="4">
        <v>180</v>
      </c>
      <c r="B268" s="7" t="s">
        <v>150</v>
      </c>
      <c r="C268" s="5"/>
      <c r="D268" s="5"/>
      <c r="E268" s="7" t="s">
        <v>281</v>
      </c>
      <c r="F268" s="74" t="s">
        <v>406</v>
      </c>
      <c r="G268" s="5"/>
      <c r="H268" s="5"/>
      <c r="I268" s="5"/>
      <c r="J268" s="5"/>
    </row>
    <row r="269" spans="1:10" ht="12.75">
      <c r="A269" s="4">
        <v>210</v>
      </c>
      <c r="B269" s="7" t="s">
        <v>151</v>
      </c>
      <c r="C269" s="5"/>
      <c r="D269" s="4"/>
      <c r="E269" s="7" t="s">
        <v>282</v>
      </c>
      <c r="F269" s="105" t="s">
        <v>389</v>
      </c>
      <c r="G269" s="5"/>
      <c r="H269" s="5"/>
      <c r="I269" s="5"/>
      <c r="J269" s="5"/>
    </row>
    <row r="270" spans="1:10" ht="12.75">
      <c r="A270" s="4">
        <v>450</v>
      </c>
      <c r="B270" s="7" t="s">
        <v>152</v>
      </c>
      <c r="C270" s="5"/>
      <c r="D270" s="20"/>
      <c r="E270" s="7" t="s">
        <v>283</v>
      </c>
      <c r="F270" s="105" t="s">
        <v>412</v>
      </c>
      <c r="G270" s="5"/>
      <c r="H270" s="5"/>
      <c r="I270" s="5"/>
      <c r="J270" s="5"/>
    </row>
    <row r="271" spans="1:10" ht="12.75">
      <c r="A271" s="4">
        <v>470</v>
      </c>
      <c r="B271" s="7" t="s">
        <v>153</v>
      </c>
      <c r="C271" s="5"/>
      <c r="E271" s="7" t="s">
        <v>284</v>
      </c>
      <c r="F271" s="74" t="s">
        <v>413</v>
      </c>
      <c r="G271" s="5"/>
      <c r="H271" s="5"/>
      <c r="I271" s="5"/>
      <c r="J271" s="5"/>
    </row>
    <row r="272" spans="1:10" ht="12.75">
      <c r="A272" s="4">
        <v>700</v>
      </c>
      <c r="B272" s="7" t="s">
        <v>154</v>
      </c>
      <c r="C272" s="5"/>
      <c r="E272" s="7" t="s">
        <v>285</v>
      </c>
      <c r="F272" s="74" t="s">
        <v>414</v>
      </c>
      <c r="G272" s="5"/>
      <c r="H272" s="5"/>
      <c r="I272" s="5"/>
      <c r="J272" s="5"/>
    </row>
    <row r="273" spans="1:10" ht="12.75">
      <c r="A273" s="4">
        <v>710</v>
      </c>
      <c r="B273" s="7" t="s">
        <v>155</v>
      </c>
      <c r="C273" s="5"/>
      <c r="E273" s="7" t="s">
        <v>286</v>
      </c>
      <c r="F273" s="74" t="s">
        <v>415</v>
      </c>
      <c r="G273" s="5"/>
      <c r="H273" s="5"/>
      <c r="I273" s="5"/>
      <c r="J273" s="5"/>
    </row>
    <row r="274" spans="1:10" ht="12.75">
      <c r="A274" s="4">
        <v>720</v>
      </c>
      <c r="B274" s="7" t="s">
        <v>156</v>
      </c>
      <c r="C274" s="5"/>
      <c r="D274" s="5"/>
      <c r="E274" s="7" t="s">
        <v>287</v>
      </c>
      <c r="F274" s="105" t="s">
        <v>416</v>
      </c>
      <c r="G274" s="5"/>
      <c r="H274" s="5"/>
      <c r="I274" s="5"/>
      <c r="J274" s="5"/>
    </row>
    <row r="275" spans="1:10" ht="12.75">
      <c r="A275" s="4">
        <v>730</v>
      </c>
      <c r="B275" s="7" t="s">
        <v>157</v>
      </c>
      <c r="C275" s="5"/>
      <c r="D275" s="5"/>
      <c r="E275" s="7" t="s">
        <v>288</v>
      </c>
      <c r="F275" s="105" t="s">
        <v>417</v>
      </c>
      <c r="G275" s="5"/>
      <c r="H275" s="5"/>
      <c r="I275" s="5"/>
      <c r="J275" s="5"/>
    </row>
    <row r="276" spans="1:10" ht="12.75">
      <c r="A276" s="4">
        <v>740</v>
      </c>
      <c r="B276" s="7" t="s">
        <v>158</v>
      </c>
      <c r="C276" s="5"/>
      <c r="D276" s="5"/>
      <c r="E276" s="7" t="s">
        <v>289</v>
      </c>
      <c r="F276" s="105" t="s">
        <v>422</v>
      </c>
      <c r="G276" s="5"/>
      <c r="H276" s="5"/>
      <c r="I276" s="5"/>
      <c r="J276" s="5"/>
    </row>
    <row r="277" spans="1:10" ht="12.75">
      <c r="A277" s="4">
        <v>750</v>
      </c>
      <c r="B277" s="7" t="s">
        <v>395</v>
      </c>
      <c r="C277" s="5"/>
      <c r="D277" s="5"/>
      <c r="E277" s="7" t="s">
        <v>290</v>
      </c>
      <c r="F277" s="74" t="s">
        <v>418</v>
      </c>
      <c r="G277" s="5"/>
      <c r="H277" s="5"/>
      <c r="I277" s="5"/>
      <c r="J277" s="5"/>
    </row>
    <row r="278" spans="1:10" ht="12.75">
      <c r="A278" s="4">
        <v>800</v>
      </c>
      <c r="B278" s="7" t="s">
        <v>396</v>
      </c>
      <c r="C278" s="5"/>
      <c r="D278" s="5"/>
      <c r="E278" s="7" t="s">
        <v>291</v>
      </c>
      <c r="F278" s="74" t="s">
        <v>419</v>
      </c>
      <c r="G278" s="5"/>
      <c r="H278" s="5"/>
      <c r="I278" s="5"/>
      <c r="J278" s="5"/>
    </row>
    <row r="279" spans="1:10" ht="12.75">
      <c r="A279" s="5"/>
      <c r="B279" s="7" t="s">
        <v>159</v>
      </c>
      <c r="C279" s="5"/>
      <c r="D279" s="5"/>
      <c r="E279" s="7" t="s">
        <v>292</v>
      </c>
      <c r="F279" s="74" t="s">
        <v>420</v>
      </c>
      <c r="G279" s="5"/>
      <c r="H279" s="5"/>
      <c r="I279" s="5"/>
      <c r="J279" s="5"/>
    </row>
    <row r="280" spans="1:10" ht="12.75">
      <c r="A280" s="5"/>
      <c r="B280" s="7" t="s">
        <v>160</v>
      </c>
      <c r="C280" s="5"/>
      <c r="D280" s="5"/>
      <c r="E280" s="7" t="s">
        <v>293</v>
      </c>
      <c r="F280" s="74" t="s">
        <v>421</v>
      </c>
      <c r="G280" s="5"/>
      <c r="H280" s="5"/>
      <c r="I280" s="5"/>
      <c r="J280" s="5"/>
    </row>
    <row r="281" spans="1:10" ht="12.75">
      <c r="A281" s="5"/>
      <c r="B281" s="7" t="s">
        <v>161</v>
      </c>
      <c r="C281" s="5"/>
      <c r="D281" s="5"/>
      <c r="E281" s="7" t="s">
        <v>294</v>
      </c>
      <c r="F281" s="210" t="s">
        <v>672</v>
      </c>
      <c r="G281" s="5"/>
      <c r="H281" s="5"/>
      <c r="I281" s="5"/>
      <c r="J281" s="5"/>
    </row>
    <row r="282" spans="1:10" ht="12.75">
      <c r="A282" s="5"/>
      <c r="B282" s="7" t="s">
        <v>162</v>
      </c>
      <c r="C282" s="5"/>
      <c r="D282" s="105" t="s">
        <v>611</v>
      </c>
      <c r="E282" s="7" t="s">
        <v>295</v>
      </c>
      <c r="F282" s="210" t="s">
        <v>673</v>
      </c>
      <c r="G282" s="5"/>
      <c r="H282" s="5"/>
      <c r="I282" s="5"/>
      <c r="J282" s="5"/>
    </row>
    <row r="283" spans="1:10" ht="12.75">
      <c r="A283" s="5"/>
      <c r="B283" s="7" t="s">
        <v>397</v>
      </c>
      <c r="C283" s="5"/>
      <c r="D283" s="105" t="s">
        <v>610</v>
      </c>
      <c r="E283" s="7" t="s">
        <v>296</v>
      </c>
      <c r="F283" s="5"/>
      <c r="G283" s="5"/>
      <c r="H283" s="5"/>
      <c r="I283" s="5"/>
      <c r="J283" s="5" t="e">
        <f>IF($F$284="Close Seeded",AND($F$285,$F$287,$F$289),IF($F$284="Pasture","N/A",$F$285:$F$290))</f>
        <v>#VALUE!</v>
      </c>
    </row>
    <row r="284" spans="1:10" ht="12.75">
      <c r="A284" s="5"/>
      <c r="B284" s="7" t="s">
        <v>163</v>
      </c>
      <c r="C284" s="5"/>
      <c r="D284" s="105" t="s">
        <v>612</v>
      </c>
      <c r="E284" s="7" t="s">
        <v>297</v>
      </c>
      <c r="F284" s="440">
        <f>'Calculations- All Data'!F44:I44</f>
        <v>0</v>
      </c>
      <c r="G284" s="441" t="s">
        <v>878</v>
      </c>
      <c r="H284" s="5"/>
      <c r="I284" s="5"/>
      <c r="J284" s="5"/>
    </row>
    <row r="285" spans="1:10" ht="12.75">
      <c r="A285" s="5"/>
      <c r="B285" s="7" t="s">
        <v>164</v>
      </c>
      <c r="C285" s="5"/>
      <c r="D285" s="74"/>
      <c r="E285" s="7" t="s">
        <v>298</v>
      </c>
      <c r="F285" s="219" t="s">
        <v>873</v>
      </c>
      <c r="G285" s="5"/>
      <c r="H285" s="5"/>
      <c r="I285" s="5"/>
      <c r="J285" s="5"/>
    </row>
    <row r="286" spans="1:10" ht="12.75">
      <c r="A286" s="5"/>
      <c r="B286" s="7" t="s">
        <v>165</v>
      </c>
      <c r="C286" s="5"/>
      <c r="D286" s="5"/>
      <c r="E286" s="7" t="s">
        <v>187</v>
      </c>
      <c r="F286" s="219" t="s">
        <v>872</v>
      </c>
      <c r="G286" s="5"/>
      <c r="H286" s="5"/>
      <c r="I286" s="5"/>
      <c r="J286" s="5"/>
    </row>
    <row r="287" spans="1:10" ht="12.75">
      <c r="A287" s="5"/>
      <c r="B287" s="214" t="s">
        <v>679</v>
      </c>
      <c r="C287" s="5"/>
      <c r="D287" s="5"/>
      <c r="E287" s="7" t="s">
        <v>188</v>
      </c>
      <c r="F287" s="219" t="s">
        <v>874</v>
      </c>
      <c r="G287" s="5"/>
      <c r="H287" s="5"/>
      <c r="I287" s="5"/>
      <c r="J287" s="5"/>
    </row>
    <row r="288" spans="1:10" ht="12.75">
      <c r="A288" s="5"/>
      <c r="B288" s="7" t="s">
        <v>185</v>
      </c>
      <c r="C288" s="5"/>
      <c r="D288" s="5"/>
      <c r="E288" s="7" t="s">
        <v>189</v>
      </c>
      <c r="F288" s="219" t="s">
        <v>875</v>
      </c>
      <c r="G288" s="5"/>
      <c r="H288" s="5"/>
      <c r="I288" s="5"/>
      <c r="J288" s="5"/>
    </row>
    <row r="289" spans="1:10" ht="12.75">
      <c r="A289" s="5"/>
      <c r="B289" s="22" t="s">
        <v>125</v>
      </c>
      <c r="C289" s="5"/>
      <c r="D289" s="5"/>
      <c r="E289" s="7" t="s">
        <v>190</v>
      </c>
      <c r="F289" s="219" t="s">
        <v>876</v>
      </c>
      <c r="G289" s="5"/>
      <c r="H289" s="5"/>
      <c r="I289" s="5"/>
      <c r="J289" s="5"/>
    </row>
    <row r="290" spans="1:10" ht="12.75">
      <c r="A290" s="5"/>
      <c r="B290" s="7" t="s">
        <v>398</v>
      </c>
      <c r="C290" s="5"/>
      <c r="D290" s="5"/>
      <c r="E290" s="7" t="s">
        <v>191</v>
      </c>
      <c r="F290" s="219" t="s">
        <v>877</v>
      </c>
      <c r="G290" s="5"/>
      <c r="H290" s="5"/>
      <c r="I290" s="5"/>
      <c r="J290" s="5"/>
    </row>
    <row r="291" spans="1:10" ht="12.75">
      <c r="A291" s="5"/>
      <c r="B291" s="7" t="s">
        <v>166</v>
      </c>
      <c r="C291" s="5"/>
      <c r="D291" s="5"/>
      <c r="E291" s="7" t="s">
        <v>192</v>
      </c>
      <c r="F291" s="5"/>
      <c r="G291" s="5"/>
      <c r="H291" s="5"/>
      <c r="I291" s="5"/>
      <c r="J291" s="5"/>
    </row>
    <row r="292" spans="1:10" ht="12.75">
      <c r="A292" s="5"/>
      <c r="B292" s="7" t="s">
        <v>167</v>
      </c>
      <c r="C292" s="5"/>
      <c r="D292" s="5"/>
      <c r="E292" s="7" t="s">
        <v>193</v>
      </c>
      <c r="F292" s="415" t="s">
        <v>775</v>
      </c>
      <c r="G292" s="5"/>
      <c r="H292" s="5"/>
      <c r="I292" s="5"/>
      <c r="J292" s="5"/>
    </row>
    <row r="293" spans="1:10" ht="12.75">
      <c r="A293" s="5"/>
      <c r="B293" s="7" t="s">
        <v>168</v>
      </c>
      <c r="C293" s="5"/>
      <c r="D293" s="5"/>
      <c r="E293" s="7" t="s">
        <v>194</v>
      </c>
      <c r="F293" s="417" t="s">
        <v>776</v>
      </c>
      <c r="G293" s="5"/>
      <c r="H293" s="5"/>
      <c r="I293" s="5"/>
      <c r="J293" s="5"/>
    </row>
    <row r="294" spans="1:10" ht="12.75">
      <c r="A294" s="5"/>
      <c r="B294" s="7" t="s">
        <v>126</v>
      </c>
      <c r="C294" s="5"/>
      <c r="D294" s="5"/>
      <c r="E294" s="7" t="s">
        <v>195</v>
      </c>
      <c r="F294" s="417" t="s">
        <v>777</v>
      </c>
      <c r="G294" s="5"/>
      <c r="H294" s="5"/>
      <c r="I294" s="5"/>
      <c r="J294" s="5"/>
    </row>
    <row r="295" spans="1:10" ht="12.75">
      <c r="A295" s="5"/>
      <c r="B295" s="7" t="s">
        <v>127</v>
      </c>
      <c r="C295" s="5"/>
      <c r="D295" s="5"/>
      <c r="E295" s="7" t="s">
        <v>196</v>
      </c>
      <c r="F295" s="417" t="s">
        <v>778</v>
      </c>
      <c r="G295" s="5"/>
      <c r="H295" s="5"/>
      <c r="I295" s="5"/>
      <c r="J295" s="5"/>
    </row>
    <row r="296" spans="1:10" ht="12.75">
      <c r="A296" s="5"/>
      <c r="B296" s="28" t="s">
        <v>404</v>
      </c>
      <c r="C296" s="5"/>
      <c r="D296" s="5"/>
      <c r="E296" s="7" t="s">
        <v>197</v>
      </c>
      <c r="F296" s="417" t="s">
        <v>779</v>
      </c>
      <c r="G296" s="5"/>
      <c r="H296" s="5"/>
      <c r="I296" s="5"/>
      <c r="J296" s="5"/>
    </row>
    <row r="297" spans="1:10" ht="12.75">
      <c r="A297" s="5"/>
      <c r="B297" s="9" t="s">
        <v>399</v>
      </c>
      <c r="C297" s="5"/>
      <c r="D297" s="5"/>
      <c r="E297" s="7" t="s">
        <v>198</v>
      </c>
      <c r="F297" s="417" t="s">
        <v>780</v>
      </c>
      <c r="G297" s="5"/>
      <c r="H297" s="5"/>
      <c r="I297" s="5"/>
      <c r="J297" s="5"/>
    </row>
    <row r="298" spans="1:10" ht="12.75">
      <c r="A298" s="5"/>
      <c r="B298" s="9" t="s">
        <v>400</v>
      </c>
      <c r="C298" s="5"/>
      <c r="D298" s="5"/>
      <c r="E298" s="7" t="s">
        <v>199</v>
      </c>
      <c r="F298" s="417" t="s">
        <v>781</v>
      </c>
      <c r="G298" s="5"/>
      <c r="H298" s="5"/>
      <c r="I298" s="5"/>
      <c r="J298" s="5"/>
    </row>
    <row r="299" spans="1:10" ht="12.75">
      <c r="A299" s="5"/>
      <c r="B299" s="19" t="s">
        <v>184</v>
      </c>
      <c r="C299" s="5"/>
      <c r="D299" s="5"/>
      <c r="E299" s="7" t="s">
        <v>200</v>
      </c>
      <c r="F299" s="417" t="s">
        <v>782</v>
      </c>
      <c r="G299" s="5"/>
      <c r="H299" s="5"/>
      <c r="I299" s="5"/>
      <c r="J299" s="5"/>
    </row>
    <row r="300" spans="1:10" ht="12.75">
      <c r="A300" s="5"/>
      <c r="B300" s="19" t="s">
        <v>128</v>
      </c>
      <c r="C300" s="5"/>
      <c r="D300" s="5"/>
      <c r="E300" s="7" t="s">
        <v>201</v>
      </c>
      <c r="F300" s="417" t="s">
        <v>783</v>
      </c>
      <c r="G300" s="5"/>
      <c r="H300" s="5"/>
      <c r="I300" s="5"/>
      <c r="J300" s="5"/>
    </row>
    <row r="301" spans="1:10" ht="12.75">
      <c r="A301" s="5"/>
      <c r="B301" s="19" t="s">
        <v>129</v>
      </c>
      <c r="C301" s="5"/>
      <c r="D301" s="5"/>
      <c r="E301" s="7" t="s">
        <v>202</v>
      </c>
      <c r="F301" s="417" t="s">
        <v>784</v>
      </c>
      <c r="G301" s="5"/>
      <c r="H301" s="5"/>
      <c r="I301" s="5"/>
      <c r="J301" s="5"/>
    </row>
    <row r="302" spans="1:10" ht="12.75">
      <c r="A302" s="5"/>
      <c r="B302" s="7" t="s">
        <v>130</v>
      </c>
      <c r="C302" s="5"/>
      <c r="D302" s="5"/>
      <c r="E302" s="7" t="s">
        <v>203</v>
      </c>
      <c r="F302" s="417" t="s">
        <v>785</v>
      </c>
      <c r="G302" s="5"/>
      <c r="H302" s="5"/>
      <c r="I302" s="5"/>
      <c r="J302" s="5"/>
    </row>
    <row r="303" spans="1:10" ht="12.75">
      <c r="A303" s="5"/>
      <c r="B303" s="7" t="s">
        <v>169</v>
      </c>
      <c r="C303" s="5"/>
      <c r="D303" s="5"/>
      <c r="E303" s="7" t="s">
        <v>204</v>
      </c>
      <c r="F303" s="417" t="s">
        <v>786</v>
      </c>
      <c r="G303" s="5"/>
      <c r="H303" s="5"/>
      <c r="I303" s="5"/>
      <c r="J303" s="5"/>
    </row>
    <row r="304" spans="1:10" ht="12.75">
      <c r="A304" s="5"/>
      <c r="B304" s="22" t="s">
        <v>131</v>
      </c>
      <c r="C304" s="5"/>
      <c r="D304" s="5"/>
      <c r="E304" s="7" t="s">
        <v>205</v>
      </c>
      <c r="F304" s="417" t="s">
        <v>787</v>
      </c>
      <c r="G304" s="5"/>
      <c r="H304" s="5"/>
      <c r="I304" s="5"/>
      <c r="J304" s="5"/>
    </row>
    <row r="305" spans="1:10" ht="12.75">
      <c r="A305" s="5"/>
      <c r="B305" s="22" t="s">
        <v>132</v>
      </c>
      <c r="C305" s="5"/>
      <c r="D305" s="5"/>
      <c r="E305" s="7" t="s">
        <v>206</v>
      </c>
      <c r="F305" s="417" t="s">
        <v>788</v>
      </c>
      <c r="G305" s="5"/>
      <c r="H305" s="5"/>
      <c r="I305" s="5"/>
      <c r="J305" s="5"/>
    </row>
    <row r="306" spans="1:10" ht="12.75">
      <c r="A306" s="5"/>
      <c r="B306" s="7" t="s">
        <v>401</v>
      </c>
      <c r="C306" s="5"/>
      <c r="D306" s="5"/>
      <c r="E306" s="7" t="s">
        <v>207</v>
      </c>
      <c r="F306" s="417" t="s">
        <v>789</v>
      </c>
      <c r="G306" s="5"/>
      <c r="H306" s="5"/>
      <c r="I306" s="5"/>
      <c r="J306" s="5"/>
    </row>
    <row r="307" spans="1:10" ht="12.75">
      <c r="A307" s="5"/>
      <c r="B307" s="7" t="s">
        <v>170</v>
      </c>
      <c r="C307" s="5"/>
      <c r="D307" s="5"/>
      <c r="E307" s="7" t="s">
        <v>208</v>
      </c>
      <c r="F307" s="417" t="s">
        <v>790</v>
      </c>
      <c r="G307" s="5"/>
      <c r="H307" s="5"/>
      <c r="I307" s="5"/>
      <c r="J307" s="5"/>
    </row>
    <row r="308" spans="1:10" ht="12.75">
      <c r="A308" s="5"/>
      <c r="B308" s="7" t="s">
        <v>171</v>
      </c>
      <c r="C308" s="5"/>
      <c r="D308" s="5"/>
      <c r="E308" s="7" t="s">
        <v>209</v>
      </c>
      <c r="F308" s="417" t="s">
        <v>791</v>
      </c>
      <c r="G308" s="5"/>
      <c r="H308" s="5"/>
      <c r="I308" s="5"/>
      <c r="J308" s="5"/>
    </row>
    <row r="309" spans="1:10" ht="12.75">
      <c r="A309" s="5"/>
      <c r="B309" s="7" t="s">
        <v>402</v>
      </c>
      <c r="C309" s="5"/>
      <c r="D309" s="5"/>
      <c r="E309" s="7" t="s">
        <v>210</v>
      </c>
      <c r="F309" s="417" t="s">
        <v>792</v>
      </c>
      <c r="G309" s="5"/>
      <c r="H309" s="5"/>
      <c r="I309" s="5"/>
      <c r="J309" s="5"/>
    </row>
    <row r="310" spans="1:10" ht="12.75">
      <c r="A310" s="5"/>
      <c r="B310" s="22" t="s">
        <v>133</v>
      </c>
      <c r="C310" s="5"/>
      <c r="D310" s="5"/>
      <c r="E310" s="7" t="s">
        <v>211</v>
      </c>
      <c r="F310" s="417" t="s">
        <v>793</v>
      </c>
      <c r="G310" s="5"/>
      <c r="H310" s="5"/>
      <c r="I310" s="5"/>
      <c r="J310" s="5"/>
    </row>
    <row r="311" spans="1:10" ht="12.75">
      <c r="A311" s="5"/>
      <c r="B311" s="22" t="s">
        <v>134</v>
      </c>
      <c r="C311" s="5"/>
      <c r="D311" s="5"/>
      <c r="E311" s="7" t="s">
        <v>212</v>
      </c>
      <c r="F311" s="417" t="s">
        <v>794</v>
      </c>
      <c r="G311" s="5"/>
      <c r="H311" s="5"/>
      <c r="I311" s="5"/>
      <c r="J311" s="5"/>
    </row>
    <row r="312" spans="1:10" ht="12.75">
      <c r="A312" s="5"/>
      <c r="B312" s="22" t="s">
        <v>135</v>
      </c>
      <c r="C312" s="5"/>
      <c r="D312" s="5"/>
      <c r="E312" s="7" t="s">
        <v>213</v>
      </c>
      <c r="F312" s="417" t="s">
        <v>795</v>
      </c>
      <c r="G312" s="5"/>
      <c r="H312" s="5"/>
      <c r="I312" s="5"/>
      <c r="J312" s="5"/>
    </row>
    <row r="313" spans="1:10" ht="12.75">
      <c r="A313" s="5"/>
      <c r="B313" s="22" t="s">
        <v>136</v>
      </c>
      <c r="C313" s="5"/>
      <c r="D313" s="5"/>
      <c r="E313" s="7" t="s">
        <v>214</v>
      </c>
      <c r="F313" s="417" t="s">
        <v>796</v>
      </c>
      <c r="G313" s="5"/>
      <c r="H313" s="5"/>
      <c r="I313" s="5"/>
      <c r="J313" s="5"/>
    </row>
    <row r="314" spans="1:10" ht="12.75">
      <c r="A314" s="5"/>
      <c r="B314" s="22" t="s">
        <v>137</v>
      </c>
      <c r="C314" s="5"/>
      <c r="D314" s="5"/>
      <c r="E314" s="7" t="s">
        <v>215</v>
      </c>
      <c r="F314" s="417" t="s">
        <v>797</v>
      </c>
      <c r="G314" s="5"/>
      <c r="H314" s="5"/>
      <c r="I314" s="5"/>
      <c r="J314" s="5"/>
    </row>
    <row r="315" spans="1:10" ht="12.75">
      <c r="A315" s="5"/>
      <c r="B315" s="22" t="s">
        <v>138</v>
      </c>
      <c r="C315" s="5"/>
      <c r="D315" s="5"/>
      <c r="E315" s="7" t="s">
        <v>216</v>
      </c>
      <c r="F315" s="417" t="s">
        <v>798</v>
      </c>
      <c r="G315" s="5"/>
      <c r="H315" s="5"/>
      <c r="I315" s="5"/>
      <c r="J315" s="5"/>
    </row>
    <row r="316" spans="1:10" ht="12.75">
      <c r="A316" s="5"/>
      <c r="B316" s="22" t="s">
        <v>642</v>
      </c>
      <c r="C316" s="5"/>
      <c r="D316" s="5"/>
      <c r="E316" s="7" t="s">
        <v>217</v>
      </c>
      <c r="F316" s="417" t="s">
        <v>799</v>
      </c>
      <c r="G316" s="5"/>
      <c r="H316" s="5"/>
      <c r="I316" s="5"/>
      <c r="J316" s="5"/>
    </row>
    <row r="317" spans="1:10" ht="12.75">
      <c r="A317" s="5"/>
      <c r="B317" s="22" t="s">
        <v>139</v>
      </c>
      <c r="C317" s="5"/>
      <c r="D317" s="5"/>
      <c r="E317" s="7" t="s">
        <v>218</v>
      </c>
      <c r="F317" s="417" t="s">
        <v>800</v>
      </c>
      <c r="G317" s="5"/>
      <c r="H317" s="5"/>
      <c r="I317" s="5"/>
      <c r="J317" s="5"/>
    </row>
    <row r="318" spans="1:10" ht="12.75">
      <c r="A318" s="5"/>
      <c r="B318" s="214" t="s">
        <v>680</v>
      </c>
      <c r="C318" s="5"/>
      <c r="D318" s="5"/>
      <c r="E318" s="7" t="s">
        <v>219</v>
      </c>
      <c r="F318" s="417" t="s">
        <v>801</v>
      </c>
      <c r="G318" s="5"/>
      <c r="H318" s="5"/>
      <c r="I318" s="5"/>
      <c r="J318" s="5"/>
    </row>
    <row r="319" spans="1:10" ht="12.75">
      <c r="A319" s="5"/>
      <c r="B319" s="7" t="s">
        <v>172</v>
      </c>
      <c r="C319" s="5"/>
      <c r="D319" s="5"/>
      <c r="E319" s="7" t="s">
        <v>220</v>
      </c>
      <c r="F319" s="417" t="s">
        <v>802</v>
      </c>
      <c r="G319" s="5"/>
      <c r="H319" s="5"/>
      <c r="I319" s="5"/>
      <c r="J319" s="5"/>
    </row>
    <row r="320" spans="1:10" ht="12.75">
      <c r="A320" s="5"/>
      <c r="B320" s="7" t="s">
        <v>173</v>
      </c>
      <c r="C320" s="5"/>
      <c r="D320" s="5"/>
      <c r="E320" s="7" t="s">
        <v>221</v>
      </c>
      <c r="F320" s="417" t="s">
        <v>803</v>
      </c>
      <c r="G320" s="5"/>
      <c r="H320" s="5"/>
      <c r="I320" s="5"/>
      <c r="J320" s="5"/>
    </row>
    <row r="321" spans="1:10" ht="12.75">
      <c r="A321" s="5"/>
      <c r="B321" s="7" t="s">
        <v>174</v>
      </c>
      <c r="C321" s="5"/>
      <c r="D321" s="5"/>
      <c r="E321" s="7" t="s">
        <v>222</v>
      </c>
      <c r="F321" s="417" t="s">
        <v>804</v>
      </c>
      <c r="G321" s="5"/>
      <c r="H321" s="5"/>
      <c r="I321" s="5"/>
      <c r="J321" s="5"/>
    </row>
    <row r="322" spans="1:10" ht="12.75">
      <c r="A322" s="5"/>
      <c r="B322" s="7" t="s">
        <v>175</v>
      </c>
      <c r="C322" s="5"/>
      <c r="D322" s="5"/>
      <c r="E322" s="7" t="s">
        <v>223</v>
      </c>
      <c r="F322" s="417" t="s">
        <v>805</v>
      </c>
      <c r="G322" s="5"/>
      <c r="H322" s="5"/>
      <c r="I322" s="5"/>
      <c r="J322" s="5"/>
    </row>
    <row r="323" spans="1:10" ht="12.75">
      <c r="A323" s="5"/>
      <c r="B323" s="7" t="s">
        <v>176</v>
      </c>
      <c r="C323" s="5"/>
      <c r="D323" s="5"/>
      <c r="E323" s="7" t="s">
        <v>224</v>
      </c>
      <c r="F323" s="417" t="s">
        <v>806</v>
      </c>
      <c r="G323" s="5"/>
      <c r="H323" s="5"/>
      <c r="I323" s="5"/>
      <c r="J323" s="5"/>
    </row>
    <row r="324" spans="1:10" ht="12.75">
      <c r="A324" s="5"/>
      <c r="B324" s="7" t="s">
        <v>177</v>
      </c>
      <c r="C324" s="5"/>
      <c r="D324" s="5"/>
      <c r="E324" s="7" t="s">
        <v>225</v>
      </c>
      <c r="F324" s="417" t="s">
        <v>807</v>
      </c>
      <c r="G324" s="5"/>
      <c r="H324" s="5"/>
      <c r="I324" s="5"/>
      <c r="J324" s="5"/>
    </row>
    <row r="325" spans="1:10" ht="12.75">
      <c r="A325" s="5"/>
      <c r="B325" s="7" t="s">
        <v>178</v>
      </c>
      <c r="C325" s="5"/>
      <c r="D325" s="5"/>
      <c r="E325" s="7" t="s">
        <v>226</v>
      </c>
      <c r="F325" s="417" t="s">
        <v>808</v>
      </c>
      <c r="G325" s="5"/>
      <c r="H325" s="5"/>
      <c r="I325" s="5"/>
      <c r="J325" s="5"/>
    </row>
    <row r="326" spans="1:10" ht="12.75">
      <c r="A326" s="5"/>
      <c r="B326" s="22" t="s">
        <v>140</v>
      </c>
      <c r="C326" s="5"/>
      <c r="D326" s="5"/>
      <c r="E326" s="7" t="s">
        <v>227</v>
      </c>
      <c r="F326" s="417" t="s">
        <v>809</v>
      </c>
      <c r="G326" s="5"/>
      <c r="H326" s="5"/>
      <c r="I326" s="5"/>
      <c r="J326" s="5"/>
    </row>
    <row r="327" spans="1:10" ht="12.75">
      <c r="A327" s="5"/>
      <c r="B327" s="22" t="s">
        <v>141</v>
      </c>
      <c r="C327" s="5"/>
      <c r="D327" s="5"/>
      <c r="E327" s="7" t="s">
        <v>228</v>
      </c>
      <c r="F327" s="417" t="s">
        <v>810</v>
      </c>
      <c r="G327" s="5"/>
      <c r="H327" s="5"/>
      <c r="I327" s="5"/>
      <c r="J327" s="5"/>
    </row>
    <row r="328" spans="1:10" ht="12.75">
      <c r="A328" s="5"/>
      <c r="B328" s="22" t="s">
        <v>142</v>
      </c>
      <c r="C328" s="5"/>
      <c r="D328" s="5"/>
      <c r="E328" s="7" t="s">
        <v>229</v>
      </c>
      <c r="F328" s="417" t="s">
        <v>811</v>
      </c>
      <c r="G328" s="5"/>
      <c r="H328" s="5"/>
      <c r="I328" s="5"/>
      <c r="J328" s="5"/>
    </row>
    <row r="329" spans="1:10" ht="12.75">
      <c r="A329" s="5"/>
      <c r="B329" s="22" t="s">
        <v>179</v>
      </c>
      <c r="C329" s="5"/>
      <c r="D329" s="5"/>
      <c r="E329" s="7" t="s">
        <v>230</v>
      </c>
      <c r="F329" s="417" t="s">
        <v>812</v>
      </c>
      <c r="G329" s="5"/>
      <c r="H329" s="5"/>
      <c r="I329" s="5"/>
      <c r="J329" s="5"/>
    </row>
    <row r="330" spans="1:10" ht="12.75">
      <c r="A330" s="5"/>
      <c r="B330" s="22" t="s">
        <v>180</v>
      </c>
      <c r="C330" s="5"/>
      <c r="D330" s="5"/>
      <c r="E330" s="7" t="s">
        <v>231</v>
      </c>
      <c r="F330" s="417" t="s">
        <v>813</v>
      </c>
      <c r="G330" s="5"/>
      <c r="H330" s="5"/>
      <c r="I330" s="5"/>
      <c r="J330" s="5"/>
    </row>
    <row r="331" spans="1:10" ht="12.75">
      <c r="A331" s="5"/>
      <c r="B331" s="22" t="s">
        <v>181</v>
      </c>
      <c r="C331" s="5"/>
      <c r="D331" s="5"/>
      <c r="E331" s="7" t="s">
        <v>232</v>
      </c>
      <c r="F331" s="417" t="s">
        <v>814</v>
      </c>
      <c r="G331" s="5"/>
      <c r="H331" s="5"/>
      <c r="I331" s="5"/>
      <c r="J331" s="5"/>
    </row>
    <row r="332" spans="1:10" ht="12.75">
      <c r="A332" s="5"/>
      <c r="B332" s="22" t="s">
        <v>182</v>
      </c>
      <c r="C332" s="5"/>
      <c r="D332" s="5"/>
      <c r="E332" s="7" t="s">
        <v>233</v>
      </c>
      <c r="F332" s="417" t="s">
        <v>815</v>
      </c>
      <c r="G332" s="5"/>
      <c r="H332" s="5"/>
      <c r="I332" s="5"/>
      <c r="J332" s="5"/>
    </row>
    <row r="333" spans="1:10" ht="12.75">
      <c r="A333" s="5"/>
      <c r="B333" s="7" t="s">
        <v>183</v>
      </c>
      <c r="C333" s="5"/>
      <c r="D333" s="5"/>
      <c r="E333" s="7" t="s">
        <v>234</v>
      </c>
      <c r="F333" s="417" t="s">
        <v>816</v>
      </c>
      <c r="G333" s="5"/>
      <c r="H333" s="5"/>
      <c r="I333" s="5"/>
      <c r="J333" s="5"/>
    </row>
    <row r="334" spans="1:10" ht="12.75">
      <c r="A334" s="5"/>
      <c r="B334" s="22" t="s">
        <v>143</v>
      </c>
      <c r="C334" s="5"/>
      <c r="D334" s="5"/>
      <c r="E334" s="7" t="s">
        <v>235</v>
      </c>
      <c r="F334" s="417" t="s">
        <v>817</v>
      </c>
      <c r="G334" s="5"/>
      <c r="H334" s="5"/>
      <c r="I334" s="5"/>
      <c r="J334" s="5"/>
    </row>
    <row r="335" spans="1:10" ht="12.75">
      <c r="A335" s="5"/>
      <c r="B335" s="7" t="s">
        <v>144</v>
      </c>
      <c r="C335" s="5"/>
      <c r="D335" s="5"/>
      <c r="E335" s="7" t="s">
        <v>236</v>
      </c>
      <c r="F335" s="417" t="s">
        <v>818</v>
      </c>
      <c r="G335" s="5"/>
      <c r="H335" s="5"/>
      <c r="I335" s="5"/>
      <c r="J335" s="5"/>
    </row>
    <row r="336" spans="1:10" ht="12.75">
      <c r="A336" s="5"/>
      <c r="B336" s="7" t="s">
        <v>145</v>
      </c>
      <c r="C336" s="5"/>
      <c r="D336" s="5"/>
      <c r="E336" s="7" t="s">
        <v>237</v>
      </c>
      <c r="F336" s="417" t="s">
        <v>819</v>
      </c>
      <c r="G336" s="5"/>
      <c r="H336" s="5"/>
      <c r="I336" s="5"/>
      <c r="J336" s="5"/>
    </row>
    <row r="337" spans="1:10" ht="12.75">
      <c r="A337" s="5"/>
      <c r="B337" s="7" t="s">
        <v>146</v>
      </c>
      <c r="C337" s="5"/>
      <c r="D337" s="5"/>
      <c r="E337" s="7" t="s">
        <v>238</v>
      </c>
      <c r="F337" s="417" t="s">
        <v>820</v>
      </c>
      <c r="G337" s="5"/>
      <c r="H337" s="5"/>
      <c r="I337" s="5"/>
      <c r="J337" s="5"/>
    </row>
    <row r="338" spans="1:10" ht="12.75">
      <c r="A338" s="5"/>
      <c r="B338" s="8" t="s">
        <v>403</v>
      </c>
      <c r="C338" s="5"/>
      <c r="D338" s="5"/>
      <c r="E338" s="7" t="s">
        <v>239</v>
      </c>
      <c r="F338" s="417" t="s">
        <v>821</v>
      </c>
      <c r="G338" s="5"/>
      <c r="H338" s="5"/>
      <c r="I338" s="5"/>
      <c r="J338" s="5"/>
    </row>
    <row r="339" spans="1:10" ht="12.75">
      <c r="A339" s="5"/>
      <c r="B339" s="10"/>
      <c r="C339" s="5"/>
      <c r="D339" s="5"/>
      <c r="E339" s="7" t="s">
        <v>240</v>
      </c>
      <c r="F339" s="417" t="s">
        <v>822</v>
      </c>
      <c r="G339" s="5"/>
      <c r="H339" s="5"/>
      <c r="I339" s="5"/>
      <c r="J339" s="5"/>
    </row>
    <row r="340" spans="1:10" ht="12.75">
      <c r="A340" s="5"/>
      <c r="B340" s="10"/>
      <c r="C340" s="5"/>
      <c r="D340" s="5"/>
      <c r="E340" s="7" t="s">
        <v>241</v>
      </c>
      <c r="F340" s="417" t="s">
        <v>823</v>
      </c>
      <c r="G340" s="5"/>
      <c r="H340" s="5"/>
      <c r="I340" s="5"/>
      <c r="J340" s="5"/>
    </row>
    <row r="341" spans="1:10" ht="12.75">
      <c r="A341" s="5"/>
      <c r="B341" s="10"/>
      <c r="C341" s="5"/>
      <c r="D341" s="5"/>
      <c r="E341" s="7" t="s">
        <v>242</v>
      </c>
      <c r="F341" s="417" t="s">
        <v>824</v>
      </c>
      <c r="G341" s="5"/>
      <c r="H341" s="5"/>
      <c r="I341" s="5"/>
      <c r="J341" s="5"/>
    </row>
    <row r="342" spans="1:10" ht="12.75">
      <c r="A342" s="5"/>
      <c r="B342" s="10"/>
      <c r="C342" s="5"/>
      <c r="D342" s="5"/>
      <c r="E342" s="7" t="s">
        <v>243</v>
      </c>
      <c r="F342" s="417" t="s">
        <v>825</v>
      </c>
      <c r="G342" s="5"/>
      <c r="H342" s="5"/>
      <c r="I342" s="5"/>
      <c r="J342" s="5"/>
    </row>
    <row r="343" spans="1:10" ht="12.75">
      <c r="A343" s="5"/>
      <c r="B343" s="10"/>
      <c r="C343" s="5"/>
      <c r="D343" s="5"/>
      <c r="E343" s="7" t="s">
        <v>244</v>
      </c>
      <c r="F343" s="417" t="s">
        <v>826</v>
      </c>
      <c r="G343" s="5"/>
      <c r="H343" s="5"/>
      <c r="I343" s="5"/>
      <c r="J343" s="5"/>
    </row>
    <row r="344" spans="1:10" ht="12.75">
      <c r="A344" s="5"/>
      <c r="B344" s="10"/>
      <c r="C344" s="5"/>
      <c r="D344" s="5"/>
      <c r="E344" s="7" t="s">
        <v>245</v>
      </c>
      <c r="F344" s="417" t="s">
        <v>827</v>
      </c>
      <c r="G344" s="5"/>
      <c r="H344" s="5"/>
      <c r="I344" s="5"/>
      <c r="J344" s="5"/>
    </row>
    <row r="345" spans="1:10" ht="12.75">
      <c r="A345" s="5"/>
      <c r="C345" s="5"/>
      <c r="D345" s="5"/>
      <c r="E345" s="7" t="s">
        <v>246</v>
      </c>
      <c r="F345" s="417" t="s">
        <v>828</v>
      </c>
      <c r="G345" s="5"/>
      <c r="H345" s="5"/>
      <c r="I345" s="5"/>
      <c r="J345" s="5"/>
    </row>
    <row r="346" spans="1:10" ht="12.75">
      <c r="A346" s="5"/>
      <c r="C346" s="5"/>
      <c r="D346" s="5"/>
      <c r="E346" s="7" t="s">
        <v>247</v>
      </c>
      <c r="F346" s="417" t="s">
        <v>829</v>
      </c>
      <c r="G346" s="5"/>
      <c r="H346" s="5"/>
      <c r="I346" s="5"/>
      <c r="J346" s="5"/>
    </row>
    <row r="347" spans="1:10" ht="12.75">
      <c r="A347" s="5"/>
      <c r="C347" s="5"/>
      <c r="D347" s="5"/>
      <c r="E347" s="7" t="s">
        <v>248</v>
      </c>
      <c r="F347" s="417" t="s">
        <v>830</v>
      </c>
      <c r="G347" s="5"/>
      <c r="H347" s="5"/>
      <c r="I347" s="5"/>
      <c r="J347" s="5"/>
    </row>
    <row r="348" spans="1:10" ht="12.75">
      <c r="A348" s="5"/>
      <c r="C348" s="5"/>
      <c r="D348" s="5"/>
      <c r="E348" s="7" t="s">
        <v>249</v>
      </c>
      <c r="F348" s="417" t="s">
        <v>831</v>
      </c>
      <c r="G348" s="5"/>
      <c r="H348" s="5"/>
      <c r="I348" s="5"/>
      <c r="J348" s="5"/>
    </row>
    <row r="349" spans="1:10" ht="12.75">
      <c r="A349" s="5"/>
      <c r="C349" s="5"/>
      <c r="D349" s="5"/>
      <c r="E349" s="7" t="s">
        <v>250</v>
      </c>
      <c r="F349" s="417" t="s">
        <v>832</v>
      </c>
      <c r="G349" s="5"/>
      <c r="H349" s="5"/>
      <c r="I349" s="5"/>
      <c r="J349" s="5"/>
    </row>
    <row r="350" spans="1:10" ht="12.75">
      <c r="A350" s="5"/>
      <c r="C350" s="5"/>
      <c r="D350" s="5"/>
      <c r="E350" s="7" t="s">
        <v>251</v>
      </c>
      <c r="F350" s="417" t="s">
        <v>833</v>
      </c>
      <c r="G350" s="5"/>
      <c r="H350" s="5"/>
      <c r="I350" s="5"/>
      <c r="J350" s="5"/>
    </row>
    <row r="351" spans="1:10" ht="12.75">
      <c r="A351" s="5"/>
      <c r="C351" s="5"/>
      <c r="D351" s="5"/>
      <c r="E351" s="7" t="s">
        <v>252</v>
      </c>
      <c r="F351" s="417" t="s">
        <v>834</v>
      </c>
      <c r="G351" s="5"/>
      <c r="H351" s="5"/>
      <c r="I351" s="5"/>
      <c r="J351" s="5"/>
    </row>
    <row r="352" spans="1:10" ht="12.75">
      <c r="A352" s="5"/>
      <c r="B352" s="20"/>
      <c r="C352" s="5"/>
      <c r="D352" s="5"/>
      <c r="E352" s="7" t="s">
        <v>253</v>
      </c>
      <c r="F352" s="417" t="s">
        <v>835</v>
      </c>
      <c r="G352" s="5"/>
      <c r="H352" s="5"/>
      <c r="I352" s="5"/>
      <c r="J352" s="5"/>
    </row>
    <row r="353" spans="1:10" ht="12.75">
      <c r="A353" s="5"/>
      <c r="B353" s="20"/>
      <c r="C353" s="5"/>
      <c r="D353" s="5"/>
      <c r="E353" s="7" t="s">
        <v>254</v>
      </c>
      <c r="F353" s="417" t="s">
        <v>836</v>
      </c>
      <c r="G353" s="5"/>
      <c r="H353" s="5"/>
      <c r="I353" s="5"/>
      <c r="J353" s="5"/>
    </row>
    <row r="354" spans="1:10" ht="12.75">
      <c r="A354" s="5"/>
      <c r="B354" s="20"/>
      <c r="C354" s="5"/>
      <c r="D354" s="5"/>
      <c r="E354" s="7" t="s">
        <v>255</v>
      </c>
      <c r="F354" s="417" t="s">
        <v>837</v>
      </c>
      <c r="G354" s="5"/>
      <c r="H354" s="5"/>
      <c r="I354" s="5"/>
      <c r="J354" s="5"/>
    </row>
    <row r="355" spans="1:10" ht="12.75">
      <c r="A355" s="5"/>
      <c r="B355" s="20"/>
      <c r="C355" s="5"/>
      <c r="D355" s="5"/>
      <c r="E355" s="7" t="s">
        <v>256</v>
      </c>
      <c r="F355" s="417" t="s">
        <v>838</v>
      </c>
      <c r="G355" s="5"/>
      <c r="H355" s="5"/>
      <c r="I355" s="5"/>
      <c r="J355" s="5"/>
    </row>
    <row r="356" spans="1:10" ht="12.75">
      <c r="A356" s="5"/>
      <c r="B356" s="20"/>
      <c r="C356" s="5"/>
      <c r="D356" s="5"/>
      <c r="E356" s="7" t="s">
        <v>257</v>
      </c>
      <c r="F356" s="417" t="s">
        <v>839</v>
      </c>
      <c r="G356" s="5"/>
      <c r="H356" s="5"/>
      <c r="I356" s="5"/>
      <c r="J356" s="5"/>
    </row>
    <row r="357" spans="1:10" ht="12.75">
      <c r="A357" s="5"/>
      <c r="B357" s="20"/>
      <c r="C357" s="5"/>
      <c r="D357" s="5"/>
      <c r="E357" s="7" t="s">
        <v>258</v>
      </c>
      <c r="F357" s="417" t="s">
        <v>840</v>
      </c>
      <c r="G357" s="5"/>
      <c r="H357" s="5"/>
      <c r="I357" s="5"/>
      <c r="J357" s="5"/>
    </row>
    <row r="358" spans="1:10" ht="12.75">
      <c r="A358" s="5"/>
      <c r="B358" s="20"/>
      <c r="C358" s="5"/>
      <c r="D358" s="5"/>
      <c r="E358" s="7" t="s">
        <v>259</v>
      </c>
      <c r="F358" s="419" t="s">
        <v>841</v>
      </c>
      <c r="G358" s="5"/>
      <c r="H358" s="5"/>
      <c r="I358" s="5"/>
      <c r="J358" s="5"/>
    </row>
    <row r="359" spans="1:10" ht="12.75">
      <c r="A359" s="5"/>
      <c r="B359" s="20"/>
      <c r="C359" s="5"/>
      <c r="D359" s="5"/>
      <c r="E359" s="7" t="s">
        <v>260</v>
      </c>
      <c r="F359" s="5"/>
      <c r="G359" s="5"/>
      <c r="H359" s="5"/>
      <c r="I359" s="5"/>
      <c r="J359" s="5"/>
    </row>
    <row r="360" spans="1:10" ht="12.75">
      <c r="A360" s="5"/>
      <c r="B360" s="20"/>
      <c r="C360" s="5"/>
      <c r="D360" s="5"/>
      <c r="E360" s="7" t="s">
        <v>261</v>
      </c>
      <c r="F360" s="5"/>
      <c r="G360" s="5"/>
      <c r="H360" s="5"/>
      <c r="I360" s="5"/>
      <c r="J360" s="5"/>
    </row>
    <row r="361" spans="1:10" ht="12.75">
      <c r="A361" s="5"/>
      <c r="B361" s="20"/>
      <c r="C361" s="5"/>
      <c r="D361" s="5"/>
      <c r="E361" s="7" t="s">
        <v>262</v>
      </c>
      <c r="F361" s="5"/>
      <c r="G361" s="5"/>
      <c r="H361" s="5"/>
      <c r="I361" s="5"/>
      <c r="J361" s="5"/>
    </row>
    <row r="362" spans="1:10" ht="12.75">
      <c r="A362" s="5"/>
      <c r="B362" s="20"/>
      <c r="C362" s="5"/>
      <c r="D362" s="5"/>
      <c r="E362" s="7" t="s">
        <v>263</v>
      </c>
      <c r="F362" s="5"/>
      <c r="G362" s="5"/>
      <c r="H362" s="5"/>
      <c r="I362" s="5"/>
      <c r="J362" s="5"/>
    </row>
    <row r="363" spans="1:10" ht="12.75">
      <c r="A363" s="5"/>
      <c r="B363" s="20"/>
      <c r="C363" s="5"/>
      <c r="D363" s="5"/>
      <c r="E363" s="7" t="s">
        <v>264</v>
      </c>
      <c r="F363" s="5"/>
      <c r="G363" s="5"/>
      <c r="H363" s="5"/>
      <c r="I363" s="5"/>
      <c r="J363" s="5"/>
    </row>
    <row r="364" spans="1:10" ht="12.75">
      <c r="A364" s="5"/>
      <c r="B364" s="20"/>
      <c r="C364" s="5"/>
      <c r="D364" s="5"/>
      <c r="E364" s="7" t="s">
        <v>265</v>
      </c>
      <c r="F364" s="5"/>
      <c r="G364" s="5"/>
      <c r="H364" s="5"/>
      <c r="I364" s="5"/>
      <c r="J364" s="5"/>
    </row>
    <row r="365" spans="1:10" ht="12.75">
      <c r="A365" s="5"/>
      <c r="B365" s="20"/>
      <c r="C365" s="5"/>
      <c r="D365" s="5"/>
      <c r="E365" s="7" t="s">
        <v>266</v>
      </c>
      <c r="F365" s="5"/>
      <c r="G365" s="5"/>
      <c r="H365" s="5"/>
      <c r="I365" s="5"/>
      <c r="J365" s="5"/>
    </row>
    <row r="366" spans="1:10" ht="12.75">
      <c r="A366" s="5"/>
      <c r="B366" s="20"/>
      <c r="C366" s="5"/>
      <c r="D366" s="5"/>
      <c r="E366" s="7" t="s">
        <v>267</v>
      </c>
      <c r="F366" s="5"/>
      <c r="G366" s="5"/>
      <c r="H366" s="5"/>
      <c r="I366" s="5"/>
      <c r="J366" s="5"/>
    </row>
    <row r="367" spans="1:10" ht="12.75">
      <c r="A367" s="5"/>
      <c r="B367" s="20"/>
      <c r="C367" s="5"/>
      <c r="D367" s="5"/>
      <c r="E367" s="7" t="s">
        <v>268</v>
      </c>
      <c r="F367" s="5"/>
      <c r="G367" s="5"/>
      <c r="H367" s="5"/>
      <c r="I367" s="5"/>
      <c r="J367" s="5"/>
    </row>
    <row r="368" spans="1:10" ht="12.75">
      <c r="A368" s="5"/>
      <c r="B368" s="5"/>
      <c r="C368" s="5"/>
      <c r="D368" s="5"/>
      <c r="E368" s="7" t="s">
        <v>269</v>
      </c>
      <c r="F368" s="5"/>
      <c r="G368" s="5"/>
      <c r="H368" s="5"/>
      <c r="I368" s="5"/>
      <c r="J368" s="5"/>
    </row>
    <row r="369" spans="1:10" ht="12.75">
      <c r="A369" s="5"/>
      <c r="B369" s="105"/>
      <c r="C369" s="5"/>
      <c r="D369" s="5"/>
      <c r="E369" s="7" t="s">
        <v>270</v>
      </c>
      <c r="F369" s="5"/>
      <c r="G369" s="5"/>
      <c r="H369" s="5"/>
      <c r="I369" s="5"/>
      <c r="J369" s="5"/>
    </row>
    <row r="370" spans="1:10" ht="12.75">
      <c r="A370" s="5"/>
      <c r="B370" s="105"/>
      <c r="C370" s="5"/>
      <c r="D370" s="5"/>
      <c r="E370" s="7" t="s">
        <v>271</v>
      </c>
      <c r="F370" s="5"/>
      <c r="G370" s="5"/>
      <c r="H370" s="5"/>
      <c r="I370" s="5"/>
      <c r="J370" s="5"/>
    </row>
    <row r="371" spans="1:10" ht="12.75">
      <c r="A371" s="5"/>
      <c r="B371" s="105"/>
      <c r="C371" s="5"/>
      <c r="D371" s="5"/>
      <c r="E371" s="7" t="s">
        <v>272</v>
      </c>
      <c r="F371" s="5"/>
      <c r="G371" s="5"/>
      <c r="H371" s="5"/>
      <c r="I371" s="5"/>
      <c r="J371" s="5"/>
    </row>
    <row r="372" spans="1:10" ht="12.75">
      <c r="A372" s="5"/>
      <c r="B372" s="105"/>
      <c r="C372" s="5"/>
      <c r="D372" s="5"/>
      <c r="E372" s="7" t="s">
        <v>273</v>
      </c>
      <c r="F372" s="5"/>
      <c r="G372" s="5"/>
      <c r="H372" s="5"/>
      <c r="I372" s="5"/>
      <c r="J372" s="5"/>
    </row>
    <row r="373" spans="1:10" ht="12.75">
      <c r="A373" s="5"/>
      <c r="B373" s="74"/>
      <c r="C373" s="5"/>
      <c r="D373" s="5"/>
      <c r="E373" s="8" t="s">
        <v>274</v>
      </c>
      <c r="F373" s="5"/>
      <c r="G373" s="5"/>
      <c r="H373" s="5"/>
      <c r="I373" s="5"/>
      <c r="J373" s="5"/>
    </row>
    <row r="374" spans="1:10" ht="12.75">
      <c r="A374" s="5"/>
      <c r="B374" s="5"/>
      <c r="C374" s="5"/>
      <c r="D374" s="5"/>
      <c r="E374" s="5"/>
      <c r="F374" s="5"/>
      <c r="G374" s="5"/>
      <c r="H374" s="5"/>
      <c r="I374" s="5"/>
      <c r="J374" s="5"/>
    </row>
    <row r="375" spans="1:10" ht="12.75">
      <c r="A375" s="5"/>
      <c r="B375" s="74" t="s">
        <v>95</v>
      </c>
      <c r="C375" s="17"/>
      <c r="D375" s="17"/>
      <c r="E375" s="5"/>
      <c r="F375" s="5"/>
      <c r="G375" s="5"/>
      <c r="H375" s="5"/>
      <c r="I375" s="5"/>
      <c r="J375" s="5"/>
    </row>
    <row r="376" spans="1:10" ht="12.75">
      <c r="A376" s="5"/>
      <c r="B376" s="74" t="s">
        <v>96</v>
      </c>
      <c r="C376" s="17"/>
      <c r="D376" s="17"/>
      <c r="E376" s="5"/>
      <c r="F376" s="5"/>
      <c r="G376" s="5"/>
      <c r="H376" s="5"/>
      <c r="I376" s="5"/>
      <c r="J376" s="5"/>
    </row>
    <row r="377" spans="1:10" ht="12.75">
      <c r="A377" s="5"/>
      <c r="B377" s="74" t="s">
        <v>759</v>
      </c>
      <c r="C377" s="17"/>
      <c r="D377" s="17"/>
      <c r="E377" s="5"/>
      <c r="F377" s="5"/>
      <c r="G377" s="5"/>
      <c r="H377" s="5"/>
      <c r="I377" s="5"/>
      <c r="J377" s="5"/>
    </row>
    <row r="378" spans="1:10" ht="12.75">
      <c r="A378" s="5"/>
      <c r="B378" s="74" t="s">
        <v>760</v>
      </c>
      <c r="C378" s="17"/>
      <c r="D378" s="17"/>
      <c r="E378" s="5"/>
      <c r="F378" s="5"/>
      <c r="G378" s="5"/>
      <c r="H378" s="5"/>
      <c r="I378" s="5"/>
      <c r="J378" s="5"/>
    </row>
    <row r="379" spans="1:10" ht="12.75">
      <c r="A379" s="5"/>
      <c r="B379" s="74" t="s">
        <v>97</v>
      </c>
      <c r="C379" s="17"/>
      <c r="D379" s="17"/>
      <c r="E379" s="5"/>
      <c r="F379" s="5"/>
      <c r="G379" s="5"/>
      <c r="H379" s="5"/>
      <c r="I379" s="5"/>
      <c r="J379" s="5"/>
    </row>
    <row r="380" spans="1:10" ht="12.75">
      <c r="A380" s="5"/>
      <c r="B380" s="24"/>
      <c r="C380" s="5"/>
      <c r="D380" s="5"/>
      <c r="E380" s="5"/>
      <c r="F380" s="5"/>
      <c r="G380" s="5"/>
      <c r="H380" s="5"/>
      <c r="I380" s="5"/>
      <c r="J380" s="5"/>
    </row>
    <row r="381" spans="1:10" ht="12.75">
      <c r="A381" s="5"/>
      <c r="B381" s="110" t="s">
        <v>317</v>
      </c>
      <c r="C381" s="5"/>
      <c r="D381" s="5"/>
      <c r="E381" s="5"/>
      <c r="F381" s="5"/>
      <c r="G381" s="5"/>
      <c r="H381" s="5"/>
      <c r="I381" s="5"/>
      <c r="J381" s="5"/>
    </row>
    <row r="382" spans="1:10" ht="12.75">
      <c r="A382" s="5"/>
      <c r="B382" s="110" t="s">
        <v>318</v>
      </c>
      <c r="C382" s="5"/>
      <c r="D382" s="5"/>
      <c r="E382" s="5"/>
      <c r="F382" s="5"/>
      <c r="G382" s="5"/>
      <c r="H382" s="5"/>
      <c r="I382" s="5"/>
      <c r="J382" s="5"/>
    </row>
    <row r="383" spans="1:10" ht="12.75">
      <c r="A383" s="5"/>
      <c r="B383" s="110" t="s">
        <v>319</v>
      </c>
      <c r="C383" s="5"/>
      <c r="D383" s="5"/>
      <c r="E383" s="5"/>
      <c r="F383" s="5"/>
      <c r="G383" s="5"/>
      <c r="H383" s="5"/>
      <c r="I383" s="5"/>
      <c r="J383" s="5"/>
    </row>
    <row r="384" spans="1:10" ht="12.75">
      <c r="A384" s="5"/>
      <c r="B384" s="110" t="s">
        <v>320</v>
      </c>
      <c r="C384" s="5"/>
      <c r="D384" s="5"/>
      <c r="E384" s="5"/>
      <c r="F384" s="5"/>
      <c r="G384" s="5"/>
      <c r="H384" s="5"/>
      <c r="I384" s="5"/>
      <c r="J384" s="5"/>
    </row>
    <row r="385" spans="1:10" ht="12.75">
      <c r="A385" s="5"/>
      <c r="B385" s="110" t="s">
        <v>321</v>
      </c>
      <c r="C385" s="5"/>
      <c r="D385" s="5"/>
      <c r="E385" s="5"/>
      <c r="F385" s="5"/>
      <c r="G385" s="5"/>
      <c r="H385" s="5"/>
      <c r="I385" s="5"/>
      <c r="J385" s="5"/>
    </row>
    <row r="386" spans="1:10" ht="12.75">
      <c r="A386" s="5"/>
      <c r="B386" s="110" t="s">
        <v>322</v>
      </c>
      <c r="C386" s="5"/>
      <c r="D386" s="5"/>
      <c r="E386" s="5"/>
      <c r="F386" s="5"/>
      <c r="G386" s="5"/>
      <c r="H386" s="5"/>
      <c r="I386" s="5"/>
      <c r="J386" s="5"/>
    </row>
    <row r="387" spans="1:10" ht="12.75">
      <c r="A387" s="5"/>
      <c r="B387" s="110" t="s">
        <v>323</v>
      </c>
      <c r="C387" s="5"/>
      <c r="D387" s="5"/>
      <c r="E387" s="5"/>
      <c r="F387" s="5"/>
      <c r="G387" s="5"/>
      <c r="H387" s="5"/>
      <c r="I387" s="5"/>
      <c r="J387" s="5"/>
    </row>
    <row r="388" spans="1:10" ht="12.75">
      <c r="A388" s="5"/>
      <c r="B388" s="110" t="s">
        <v>324</v>
      </c>
      <c r="C388" s="5"/>
      <c r="D388" s="5"/>
      <c r="E388" s="5"/>
      <c r="F388" s="5"/>
      <c r="G388" s="5"/>
      <c r="H388" s="5"/>
      <c r="I388" s="5"/>
      <c r="J388" s="5"/>
    </row>
    <row r="389" spans="1:10" ht="12.75">
      <c r="A389" s="5"/>
      <c r="B389" s="110" t="s">
        <v>325</v>
      </c>
      <c r="C389" s="5"/>
      <c r="D389" s="5"/>
      <c r="E389" s="5"/>
      <c r="F389" s="5"/>
      <c r="G389" s="5"/>
      <c r="H389" s="5"/>
      <c r="I389" s="5"/>
      <c r="J389" s="5"/>
    </row>
    <row r="390" spans="1:10" ht="12.75">
      <c r="A390" s="5"/>
      <c r="B390" s="110" t="s">
        <v>326</v>
      </c>
      <c r="C390" s="5"/>
      <c r="D390" s="5"/>
      <c r="E390" s="5"/>
      <c r="F390" s="5"/>
      <c r="G390" s="5"/>
      <c r="H390" s="5"/>
      <c r="I390" s="5"/>
      <c r="J390" s="5"/>
    </row>
    <row r="391" spans="1:10" ht="12.75">
      <c r="A391" s="5"/>
      <c r="B391" s="5"/>
      <c r="C391" s="5"/>
      <c r="D391" s="5"/>
      <c r="E391" s="5"/>
      <c r="F391" s="5"/>
      <c r="G391" s="5"/>
      <c r="H391" s="5"/>
      <c r="I391" s="5"/>
      <c r="J391" s="5"/>
    </row>
    <row r="392" spans="1:10" ht="12.75">
      <c r="A392" s="5"/>
      <c r="B392" s="110" t="s">
        <v>328</v>
      </c>
      <c r="C392" s="5"/>
      <c r="D392" s="5"/>
      <c r="E392" s="5"/>
      <c r="F392" s="5"/>
      <c r="G392" s="5"/>
      <c r="H392" s="5"/>
      <c r="I392" s="5"/>
      <c r="J392" s="5"/>
    </row>
    <row r="393" spans="1:10" ht="12.75">
      <c r="A393" s="5"/>
      <c r="B393" s="110" t="s">
        <v>471</v>
      </c>
      <c r="C393" s="5"/>
      <c r="D393" s="5"/>
      <c r="E393" s="5"/>
      <c r="F393" s="5"/>
      <c r="G393" s="5"/>
      <c r="H393" s="5"/>
      <c r="I393" s="5"/>
      <c r="J393" s="5"/>
    </row>
    <row r="394" spans="1:10" ht="12.75">
      <c r="A394" s="5"/>
      <c r="B394" s="5"/>
      <c r="C394" s="5"/>
      <c r="D394" s="5"/>
      <c r="E394" s="5"/>
      <c r="F394" s="5"/>
      <c r="G394" s="5"/>
      <c r="H394" s="5"/>
      <c r="I394" s="5"/>
      <c r="J394" s="5"/>
    </row>
    <row r="395" spans="1:10" ht="12.75">
      <c r="A395" s="5"/>
      <c r="B395" s="159" t="s">
        <v>465</v>
      </c>
      <c r="C395" s="5"/>
      <c r="D395" s="5"/>
      <c r="E395" s="5"/>
      <c r="F395" s="5"/>
      <c r="G395" s="5"/>
      <c r="H395" s="5"/>
      <c r="I395" s="5"/>
      <c r="J395" s="5"/>
    </row>
    <row r="396" spans="1:10" ht="12.75">
      <c r="A396" s="5"/>
      <c r="B396" s="159" t="s">
        <v>354</v>
      </c>
      <c r="C396" s="5"/>
      <c r="D396" s="5"/>
      <c r="E396" s="5"/>
      <c r="G396" s="5"/>
      <c r="H396" s="5"/>
      <c r="I396" s="5"/>
      <c r="J396" s="5"/>
    </row>
    <row r="397" spans="1:10" ht="14.25">
      <c r="A397" s="5"/>
      <c r="B397" s="108" t="s">
        <v>74</v>
      </c>
      <c r="C397" s="5"/>
      <c r="D397" s="5"/>
      <c r="E397" s="5"/>
      <c r="G397" s="5"/>
      <c r="H397" s="5"/>
      <c r="I397" s="5"/>
      <c r="J397" s="5"/>
    </row>
    <row r="398" spans="1:10" ht="12.75">
      <c r="A398" s="5"/>
      <c r="B398" s="108" t="s">
        <v>768</v>
      </c>
      <c r="C398" s="5"/>
      <c r="D398" s="5"/>
      <c r="E398" s="5"/>
      <c r="G398" s="5"/>
      <c r="H398" s="5"/>
      <c r="I398" s="5"/>
      <c r="J398" s="5"/>
    </row>
    <row r="399" spans="1:10" ht="12.75">
      <c r="A399" s="5"/>
      <c r="B399" s="108" t="s">
        <v>12</v>
      </c>
      <c r="C399" s="5"/>
      <c r="D399" s="5"/>
      <c r="E399" s="5"/>
      <c r="G399" s="5"/>
      <c r="H399" s="5"/>
      <c r="I399" s="5"/>
      <c r="J399" s="5"/>
    </row>
    <row r="400" spans="1:10" ht="12.75">
      <c r="A400" s="5"/>
      <c r="B400" s="108" t="s">
        <v>13</v>
      </c>
      <c r="C400" s="5"/>
      <c r="D400" s="5"/>
      <c r="E400" s="5"/>
      <c r="G400" s="5"/>
      <c r="H400" s="5"/>
      <c r="I400" s="5"/>
      <c r="J400" s="5"/>
    </row>
    <row r="401" spans="1:10" ht="12.75">
      <c r="A401" s="5"/>
      <c r="B401" s="108" t="s">
        <v>342</v>
      </c>
      <c r="C401" s="5"/>
      <c r="D401" s="5"/>
      <c r="E401" s="5"/>
      <c r="G401" s="5"/>
      <c r="H401" s="5"/>
      <c r="I401" s="5"/>
      <c r="J401" s="5"/>
    </row>
    <row r="402" spans="1:10" ht="12.75">
      <c r="A402" s="5"/>
      <c r="B402" s="108" t="s">
        <v>329</v>
      </c>
      <c r="C402" s="5"/>
      <c r="D402" s="5"/>
      <c r="E402" s="5"/>
      <c r="G402" s="5"/>
      <c r="H402" s="5"/>
      <c r="I402" s="5"/>
      <c r="J402" s="5"/>
    </row>
    <row r="403" spans="1:10" ht="12.75">
      <c r="A403" s="5"/>
      <c r="B403" s="108" t="s">
        <v>330</v>
      </c>
      <c r="C403" s="5"/>
      <c r="D403" s="5"/>
      <c r="E403" s="5"/>
      <c r="G403" s="5"/>
      <c r="H403" s="5"/>
      <c r="I403" s="5"/>
      <c r="J403" s="5"/>
    </row>
    <row r="404" ht="12.75">
      <c r="B404" s="108" t="s">
        <v>335</v>
      </c>
    </row>
    <row r="405" spans="2:11" ht="12.75">
      <c r="B405" s="108" t="s">
        <v>340</v>
      </c>
      <c r="K405" s="20"/>
    </row>
    <row r="406" spans="2:11" ht="12.75">
      <c r="B406" s="159" t="s">
        <v>503</v>
      </c>
      <c r="K406" s="20"/>
    </row>
    <row r="407" spans="2:11" ht="12.75">
      <c r="B407" s="159" t="s">
        <v>504</v>
      </c>
      <c r="K407" s="20"/>
    </row>
    <row r="408" spans="2:11" ht="12.75">
      <c r="B408" s="108" t="s">
        <v>376</v>
      </c>
      <c r="K408" s="20"/>
    </row>
    <row r="409" spans="2:11" ht="12.75">
      <c r="B409" s="24" t="s">
        <v>313</v>
      </c>
      <c r="K409" s="20"/>
    </row>
    <row r="410" ht="12.75">
      <c r="K410" s="20"/>
    </row>
    <row r="411" ht="12.75">
      <c r="B411" s="107"/>
    </row>
    <row r="412" ht="12.75">
      <c r="B412" s="107" t="s">
        <v>370</v>
      </c>
    </row>
    <row r="413" ht="12.75">
      <c r="B413" s="107" t="s">
        <v>373</v>
      </c>
    </row>
    <row r="414" ht="12.75">
      <c r="B414" s="108" t="s">
        <v>378</v>
      </c>
    </row>
    <row r="415" ht="12.75">
      <c r="B415" s="108" t="s">
        <v>379</v>
      </c>
    </row>
    <row r="416" ht="12.75">
      <c r="B416" s="107" t="s">
        <v>334</v>
      </c>
    </row>
    <row r="417" ht="12.75">
      <c r="B417" s="24" t="s">
        <v>313</v>
      </c>
    </row>
  </sheetData>
  <sheetProtection sheet="1"/>
  <mergeCells count="77">
    <mergeCell ref="B170:M170"/>
    <mergeCell ref="A17:M17"/>
    <mergeCell ref="B185:M185"/>
    <mergeCell ref="B186:M186"/>
    <mergeCell ref="B171:M171"/>
    <mergeCell ref="F157:J157"/>
    <mergeCell ref="B158:E158"/>
    <mergeCell ref="F158:J158"/>
    <mergeCell ref="A173:M173"/>
    <mergeCell ref="B121:M121"/>
    <mergeCell ref="F149:J149"/>
    <mergeCell ref="F150:J150"/>
    <mergeCell ref="F151:J151"/>
    <mergeCell ref="A145:M145"/>
    <mergeCell ref="A124:M124"/>
    <mergeCell ref="B122:M122"/>
    <mergeCell ref="D114:L114"/>
    <mergeCell ref="B143:M143"/>
    <mergeCell ref="B140:M140"/>
    <mergeCell ref="B141:M141"/>
    <mergeCell ref="B142:M142"/>
    <mergeCell ref="B41:E41"/>
    <mergeCell ref="A3:M3"/>
    <mergeCell ref="A4:M4"/>
    <mergeCell ref="B169:M169"/>
    <mergeCell ref="F159:J159"/>
    <mergeCell ref="B168:M168"/>
    <mergeCell ref="F155:J155"/>
    <mergeCell ref="F148:J148"/>
    <mergeCell ref="A106:M106"/>
    <mergeCell ref="B19:K20"/>
    <mergeCell ref="B21:D21"/>
    <mergeCell ref="F22:I22"/>
    <mergeCell ref="F23:L23"/>
    <mergeCell ref="F30:I30"/>
    <mergeCell ref="A58:M58"/>
    <mergeCell ref="F13:I13"/>
    <mergeCell ref="B33:M34"/>
    <mergeCell ref="B28:L28"/>
    <mergeCell ref="B35:M37"/>
    <mergeCell ref="B43:E43"/>
    <mergeCell ref="B40:E40"/>
    <mergeCell ref="G40:L40"/>
    <mergeCell ref="G46:L46"/>
    <mergeCell ref="L19:L20"/>
    <mergeCell ref="F6:I6"/>
    <mergeCell ref="F10:I10"/>
    <mergeCell ref="F11:K11"/>
    <mergeCell ref="F12:I12"/>
    <mergeCell ref="F7:K7"/>
    <mergeCell ref="J69:L69"/>
    <mergeCell ref="J80:L80"/>
    <mergeCell ref="J94:L94"/>
    <mergeCell ref="F69:H69"/>
    <mergeCell ref="F70:H70"/>
    <mergeCell ref="F80:H80"/>
    <mergeCell ref="J79:L79"/>
    <mergeCell ref="F84:H84"/>
    <mergeCell ref="J84:L84"/>
    <mergeCell ref="J89:L89"/>
    <mergeCell ref="F94:H94"/>
    <mergeCell ref="J70:L70"/>
    <mergeCell ref="F89:H89"/>
    <mergeCell ref="F74:H74"/>
    <mergeCell ref="F79:H79"/>
    <mergeCell ref="F90:H90"/>
    <mergeCell ref="J90:L90"/>
    <mergeCell ref="G47:L47"/>
    <mergeCell ref="B55:M55"/>
    <mergeCell ref="G48:L48"/>
    <mergeCell ref="J74:L74"/>
    <mergeCell ref="F59:H59"/>
    <mergeCell ref="J59:L59"/>
    <mergeCell ref="F62:H62"/>
    <mergeCell ref="J62:L62"/>
    <mergeCell ref="F64:H64"/>
    <mergeCell ref="J64:L64"/>
  </mergeCells>
  <dataValidations count="17">
    <dataValidation type="list" allowBlank="1" showInputMessage="1" showErrorMessage="1" sqref="F157:J158">
      <formula1>$B$412:$B$417</formula1>
    </dataValidation>
    <dataValidation type="list" allowBlank="1" showInputMessage="1" showErrorMessage="1" sqref="F155">
      <formula1>$B$392:$B$393</formula1>
    </dataValidation>
    <dataValidation type="list" allowBlank="1" showInputMessage="1" showErrorMessage="1" sqref="F148:J151">
      <formula1>$B$395:$B$409</formula1>
    </dataValidation>
    <dataValidation type="list" allowBlank="1" showInputMessage="1" showErrorMessage="1" sqref="F91 F24 B21:D21 J91 F81 J81 J71 F71">
      <formula1>"Yes, No"</formula1>
    </dataValidation>
    <dataValidation type="list" allowBlank="1" showInputMessage="1" showErrorMessage="1" sqref="J94:L94 F64:H64 J64:L64 F74:H74 F94:H94 J84:L84 F84:H84 J74:L74">
      <formula1>$B$375:$B$379</formula1>
    </dataValidation>
    <dataValidation type="list" allowBlank="1" showInputMessage="1" showErrorMessage="1" sqref="F90:H90 J90:L90 J80:L80 F80:H80 J70:L70 F70:H70">
      <formula1>$F$262:$F$282</formula1>
    </dataValidation>
    <dataValidation type="list" allowBlank="1" showInputMessage="1" showErrorMessage="1" sqref="F69:H69 J89:L89 F89:H89 F79:H79 J79:L79 J69:L69 F62:H62 J62:L62">
      <formula1>$H$262:$H$263</formula1>
    </dataValidation>
    <dataValidation type="list" allowBlank="1" showInputMessage="1" showErrorMessage="1" sqref="G43">
      <formula1>$A$253:$A$278</formula1>
    </dataValidation>
    <dataValidation type="list" allowBlank="1" showInputMessage="1" showErrorMessage="1" sqref="G46:L46">
      <formula1>"Conventional Till, Conservation Till, Continuous No-Till"</formula1>
    </dataValidation>
    <dataValidation type="list" allowBlank="1" showInputMessage="1" showErrorMessage="1" sqref="F30:I30">
      <formula1>"Riparian Forest Buffer, Riparian Grass Buffer"</formula1>
    </dataValidation>
    <dataValidation type="list" allowBlank="1" showInputMessage="1" showErrorMessage="1" sqref="G40:L40">
      <formula1>$B$262:$B$338</formula1>
    </dataValidation>
    <dataValidation type="list" allowBlank="1" showErrorMessage="1" promptTitle="Select" sqref="B28:L28">
      <formula1>$B$253:$B$257</formula1>
    </dataValidation>
    <dataValidation type="list" allowBlank="1" showInputMessage="1" showErrorMessage="1" sqref="F22:I22">
      <formula1>"PaDEP, County Conservation District, Other Authorized Agent"</formula1>
    </dataValidation>
    <dataValidation type="list" allowBlank="1" showInputMessage="1" showErrorMessage="1" sqref="G47:L47">
      <formula1>IF($F$284="Close Seeded",AND($F$285,$F$287,$F$289),IF($F$284="Pasture","N/A",$F$285:$F$290))</formula1>
    </dataValidation>
    <dataValidation type="list" allowBlank="1" showInputMessage="1" showErrorMessage="1" sqref="G48:L48">
      <formula1>"Poor- greater than average rainfall runoff and less infiltration, Good- less than average rainfall runoff and more infiltration"</formula1>
    </dataValidation>
    <dataValidation type="list" allowBlank="1" showInputMessage="1" showErrorMessage="1" sqref="G42">
      <formula1>$F$292:$F$358</formula1>
    </dataValidation>
    <dataValidation type="list" allowBlank="1" showInputMessage="1" showErrorMessage="1" sqref="G45">
      <formula1>$E$262:$E$373</formula1>
    </dataValidation>
  </dataValidations>
  <printOptions/>
  <pageMargins left="0.5" right="0.5" top="0.5" bottom="0.5" header="0.5" footer="0.5"/>
  <pageSetup horizontalDpi="300" verticalDpi="300" orientation="landscape" scale="84" r:id="rId2"/>
  <rowBreaks count="7" manualBreakCount="7">
    <brk id="37" max="255" man="1"/>
    <brk id="57" max="255" man="1"/>
    <brk id="104" max="255" man="1"/>
    <brk id="144" max="255" man="1"/>
    <brk id="171" max="255" man="1"/>
    <brk id="187" max="255" man="1"/>
    <brk id="238" max="12" man="1"/>
  </rowBreaks>
  <legacyDrawing r:id="rId1"/>
</worksheet>
</file>

<file path=xl/worksheets/sheet2.xml><?xml version="1.0" encoding="utf-8"?>
<worksheet xmlns="http://schemas.openxmlformats.org/spreadsheetml/2006/main" xmlns:r="http://schemas.openxmlformats.org/officeDocument/2006/relationships">
  <dimension ref="A1:O394"/>
  <sheetViews>
    <sheetView zoomScalePageLayoutView="0" workbookViewId="0" topLeftCell="A1">
      <selection activeCell="A69" sqref="A69"/>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28125" style="0" customWidth="1"/>
    <col min="7" max="8" width="9.57421875" style="0" customWidth="1"/>
    <col min="9" max="9" width="5.421875" style="0" customWidth="1"/>
    <col min="10" max="10" width="15.7109375" style="0" customWidth="1"/>
    <col min="11" max="11" width="13.00390625" style="0" customWidth="1"/>
    <col min="12" max="12" width="9.57421875" style="0" customWidth="1"/>
    <col min="13" max="13" width="8.8515625" style="0" customWidth="1"/>
  </cols>
  <sheetData>
    <row r="1" spans="1:13" ht="36" customHeight="1">
      <c r="A1" s="634" t="s">
        <v>357</v>
      </c>
      <c r="B1" s="634"/>
      <c r="C1" s="634"/>
      <c r="D1" s="634"/>
      <c r="E1" s="634"/>
      <c r="F1" s="634"/>
      <c r="G1" s="634"/>
      <c r="H1" s="634"/>
      <c r="I1" s="634"/>
      <c r="J1" s="634"/>
      <c r="K1" s="634"/>
      <c r="L1" s="634"/>
      <c r="M1" s="634"/>
    </row>
    <row r="2" spans="4:11" ht="12.75">
      <c r="D2" s="122" t="s">
        <v>468</v>
      </c>
      <c r="E2" s="205" t="s">
        <v>452</v>
      </c>
      <c r="F2" s="123" t="s">
        <v>451</v>
      </c>
      <c r="G2" s="123"/>
      <c r="H2" s="452" t="s">
        <v>450</v>
      </c>
      <c r="I2" s="124"/>
      <c r="J2" s="124"/>
      <c r="K2" s="121"/>
    </row>
    <row r="3" spans="1:13" ht="12.75">
      <c r="A3" s="233"/>
      <c r="B3" s="233"/>
      <c r="C3" s="233"/>
      <c r="D3" s="233"/>
      <c r="E3" s="233"/>
      <c r="F3" s="233"/>
      <c r="G3" s="233"/>
      <c r="H3" s="233"/>
      <c r="I3" s="233"/>
      <c r="J3" s="233"/>
      <c r="K3" s="233"/>
      <c r="L3" s="233"/>
      <c r="M3" s="233"/>
    </row>
    <row r="4" spans="1:13" ht="12.75">
      <c r="A4" s="233"/>
      <c r="B4" s="233"/>
      <c r="C4" s="233"/>
      <c r="D4" s="233" t="s">
        <v>382</v>
      </c>
      <c r="E4" s="233"/>
      <c r="F4" s="623">
        <f>'CREDIT CALCULATION FORM'!F6:I6</f>
        <v>0</v>
      </c>
      <c r="G4" s="624"/>
      <c r="H4" s="624"/>
      <c r="I4" s="625"/>
      <c r="J4" s="233"/>
      <c r="K4" s="233"/>
      <c r="L4" s="233"/>
      <c r="M4" s="233"/>
    </row>
    <row r="5" spans="1:13" ht="12.75">
      <c r="A5" s="233"/>
      <c r="B5" s="233"/>
      <c r="C5" s="233"/>
      <c r="D5" s="233" t="s">
        <v>467</v>
      </c>
      <c r="E5" s="233"/>
      <c r="F5" s="626">
        <f>'CREDIT CALCULATION FORM'!F7:K7</f>
        <v>0</v>
      </c>
      <c r="G5" s="627"/>
      <c r="H5" s="627"/>
      <c r="I5" s="627"/>
      <c r="J5" s="582"/>
      <c r="K5" s="583"/>
      <c r="L5" s="233"/>
      <c r="M5" s="233"/>
    </row>
    <row r="6" spans="1:13" ht="12.75">
      <c r="A6" s="233"/>
      <c r="B6" s="233"/>
      <c r="C6" s="233"/>
      <c r="D6" s="233"/>
      <c r="E6" s="233"/>
      <c r="F6" s="233"/>
      <c r="G6" s="233"/>
      <c r="H6" s="233"/>
      <c r="I6" s="233"/>
      <c r="J6" s="233"/>
      <c r="K6" s="233"/>
      <c r="L6" s="233"/>
      <c r="M6" s="233"/>
    </row>
    <row r="7" spans="1:13" ht="15">
      <c r="A7" s="234" t="s">
        <v>482</v>
      </c>
      <c r="B7" s="235"/>
      <c r="C7" s="235"/>
      <c r="D7" s="235"/>
      <c r="E7" s="235"/>
      <c r="F7" s="235"/>
      <c r="G7" s="235"/>
      <c r="H7" s="235"/>
      <c r="I7" s="235"/>
      <c r="J7" s="235"/>
      <c r="K7" s="235"/>
      <c r="L7" s="235"/>
      <c r="M7" s="235"/>
    </row>
    <row r="8" spans="1:13" ht="12.75">
      <c r="A8" s="236"/>
      <c r="B8" s="235"/>
      <c r="C8" s="235"/>
      <c r="D8" s="235" t="s">
        <v>383</v>
      </c>
      <c r="E8" s="235"/>
      <c r="F8" s="628">
        <f>'CREDIT CALCULATION FORM'!F10:I10</f>
        <v>0</v>
      </c>
      <c r="G8" s="629"/>
      <c r="H8" s="629"/>
      <c r="I8" s="630"/>
      <c r="J8" s="235"/>
      <c r="K8" s="235"/>
      <c r="L8" s="235"/>
      <c r="M8" s="235"/>
    </row>
    <row r="9" spans="1:13" ht="12.75">
      <c r="A9" s="236"/>
      <c r="B9" s="235"/>
      <c r="C9" s="235"/>
      <c r="D9" s="235" t="s">
        <v>384</v>
      </c>
      <c r="E9" s="235"/>
      <c r="F9" s="580">
        <f>'CREDIT CALCULATION FORM'!F11:K11</f>
        <v>0</v>
      </c>
      <c r="G9" s="580"/>
      <c r="H9" s="580"/>
      <c r="I9" s="580"/>
      <c r="J9" s="580"/>
      <c r="K9" s="580"/>
      <c r="L9" s="235"/>
      <c r="M9" s="235"/>
    </row>
    <row r="10" spans="1:13" ht="12.75">
      <c r="A10" s="236"/>
      <c r="B10" s="235"/>
      <c r="C10" s="235"/>
      <c r="D10" s="235" t="s">
        <v>385</v>
      </c>
      <c r="E10" s="235"/>
      <c r="F10" s="580">
        <f>'CREDIT CALCULATION FORM'!F12:I12</f>
        <v>0</v>
      </c>
      <c r="G10" s="580"/>
      <c r="H10" s="580"/>
      <c r="I10" s="580"/>
      <c r="J10" s="312"/>
      <c r="K10" s="312"/>
      <c r="L10" s="235"/>
      <c r="M10" s="235"/>
    </row>
    <row r="11" spans="1:13" ht="12.75">
      <c r="A11" s="236"/>
      <c r="B11" s="235"/>
      <c r="C11" s="235"/>
      <c r="D11" s="235" t="s">
        <v>455</v>
      </c>
      <c r="E11" s="235"/>
      <c r="F11" s="581">
        <f>'CREDIT CALCULATION FORM'!F13:I13</f>
        <v>0</v>
      </c>
      <c r="G11" s="582"/>
      <c r="H11" s="582"/>
      <c r="I11" s="583"/>
      <c r="J11" s="312"/>
      <c r="K11" s="312"/>
      <c r="L11" s="235"/>
      <c r="M11" s="235"/>
    </row>
    <row r="12" spans="1:13" ht="12.75" customHeight="1">
      <c r="A12" s="236"/>
      <c r="B12" s="235"/>
      <c r="C12" s="235"/>
      <c r="D12" s="235"/>
      <c r="E12" s="235"/>
      <c r="F12" s="235"/>
      <c r="G12" s="235"/>
      <c r="H12" s="235"/>
      <c r="I12" s="235"/>
      <c r="J12" s="235"/>
      <c r="K12" s="235"/>
      <c r="L12" s="235"/>
      <c r="M12" s="235"/>
    </row>
    <row r="13" spans="1:13" ht="12.75">
      <c r="A13" s="237"/>
      <c r="B13" s="238"/>
      <c r="C13" s="235"/>
      <c r="D13" s="235"/>
      <c r="E13" s="235"/>
      <c r="F13" s="235"/>
      <c r="G13" s="235"/>
      <c r="H13" s="235"/>
      <c r="I13" s="235"/>
      <c r="J13" s="235"/>
      <c r="K13" s="235"/>
      <c r="L13" s="235"/>
      <c r="M13" s="235"/>
    </row>
    <row r="15" spans="1:13" s="2" customFormat="1" ht="12.75">
      <c r="A15" s="235"/>
      <c r="B15" s="235"/>
      <c r="C15" s="235"/>
      <c r="D15" s="235"/>
      <c r="E15" s="235"/>
      <c r="F15" s="235"/>
      <c r="G15" s="235"/>
      <c r="H15" s="235"/>
      <c r="I15" s="235"/>
      <c r="J15" s="235"/>
      <c r="K15" s="235"/>
      <c r="L15" s="235"/>
      <c r="M15" s="235"/>
    </row>
    <row r="16" spans="1:13" s="2" customFormat="1" ht="15">
      <c r="A16" s="313" t="s">
        <v>110</v>
      </c>
      <c r="B16" s="234" t="s">
        <v>114</v>
      </c>
      <c r="C16" s="235"/>
      <c r="D16" s="235"/>
      <c r="E16" s="235"/>
      <c r="F16" s="235"/>
      <c r="G16" s="235"/>
      <c r="H16" s="235"/>
      <c r="I16" s="235"/>
      <c r="J16" s="235"/>
      <c r="K16" s="235"/>
      <c r="L16" s="235"/>
      <c r="M16" s="235"/>
    </row>
    <row r="17" spans="1:13" s="2" customFormat="1" ht="12.75" customHeight="1">
      <c r="A17" s="314" t="s">
        <v>109</v>
      </c>
      <c r="B17" s="590" t="s">
        <v>425</v>
      </c>
      <c r="C17" s="590"/>
      <c r="D17" s="590"/>
      <c r="E17" s="590"/>
      <c r="F17" s="590"/>
      <c r="G17" s="590"/>
      <c r="H17" s="590"/>
      <c r="I17" s="590"/>
      <c r="J17" s="590"/>
      <c r="K17" s="590"/>
      <c r="L17" s="591"/>
      <c r="M17" s="235"/>
    </row>
    <row r="18" spans="1:13" s="2" customFormat="1" ht="12.75">
      <c r="A18" s="236"/>
      <c r="B18" s="590"/>
      <c r="C18" s="590"/>
      <c r="D18" s="590"/>
      <c r="E18" s="590"/>
      <c r="F18" s="590"/>
      <c r="G18" s="590"/>
      <c r="H18" s="590"/>
      <c r="I18" s="590"/>
      <c r="J18" s="590"/>
      <c r="K18" s="590"/>
      <c r="L18" s="591"/>
      <c r="M18" s="235"/>
    </row>
    <row r="19" spans="1:13" s="2" customFormat="1" ht="12.75">
      <c r="A19" s="236"/>
      <c r="B19" s="584">
        <f>'CREDIT CALCULATION FORM'!B21</f>
        <v>0</v>
      </c>
      <c r="C19" s="585"/>
      <c r="D19" s="586"/>
      <c r="E19" s="315"/>
      <c r="F19" s="315"/>
      <c r="G19" s="315"/>
      <c r="H19" s="315"/>
      <c r="I19" s="315"/>
      <c r="J19" s="315"/>
      <c r="K19" s="315"/>
      <c r="L19" s="316"/>
      <c r="M19" s="235"/>
    </row>
    <row r="20" spans="1:13" s="2" customFormat="1" ht="12.75">
      <c r="A20" s="314" t="s">
        <v>111</v>
      </c>
      <c r="B20" s="318" t="s">
        <v>113</v>
      </c>
      <c r="C20" s="235"/>
      <c r="D20" s="315"/>
      <c r="E20" s="318"/>
      <c r="F20" s="592">
        <f>'CREDIT CALCULATION FORM'!F22</f>
        <v>0</v>
      </c>
      <c r="G20" s="593"/>
      <c r="H20" s="593"/>
      <c r="I20" s="594"/>
      <c r="J20" s="316"/>
      <c r="K20" s="315"/>
      <c r="L20" s="235"/>
      <c r="M20" s="235"/>
    </row>
    <row r="21" spans="1:13" s="2" customFormat="1" ht="12.75">
      <c r="A21" s="319"/>
      <c r="B21" s="320"/>
      <c r="C21" s="235" t="s">
        <v>112</v>
      </c>
      <c r="D21" s="235"/>
      <c r="E21" s="321"/>
      <c r="F21" s="584">
        <f>'CREDIT CALCULATION FORM'!F23</f>
        <v>0</v>
      </c>
      <c r="G21" s="585"/>
      <c r="H21" s="585"/>
      <c r="I21" s="585"/>
      <c r="J21" s="585"/>
      <c r="K21" s="585"/>
      <c r="L21" s="586"/>
      <c r="M21" s="235"/>
    </row>
    <row r="22" spans="1:13" ht="12.75">
      <c r="A22" s="314" t="s">
        <v>367</v>
      </c>
      <c r="B22" s="320" t="s">
        <v>668</v>
      </c>
      <c r="C22" s="235"/>
      <c r="D22" s="235"/>
      <c r="E22" s="321"/>
      <c r="F22" s="209" t="s">
        <v>669</v>
      </c>
      <c r="G22" s="317"/>
      <c r="H22" s="317"/>
      <c r="I22" s="317"/>
      <c r="J22" s="317"/>
      <c r="K22" s="317"/>
      <c r="L22" s="317"/>
      <c r="M22" s="235"/>
    </row>
    <row r="23" spans="1:13" ht="12.75">
      <c r="A23" s="314" t="s">
        <v>368</v>
      </c>
      <c r="B23" s="322" t="s">
        <v>670</v>
      </c>
      <c r="C23" s="235"/>
      <c r="D23" s="235"/>
      <c r="E23" s="321"/>
      <c r="F23" s="209" t="s">
        <v>669</v>
      </c>
      <c r="G23" s="317"/>
      <c r="H23" s="317"/>
      <c r="I23" s="317"/>
      <c r="J23" s="317"/>
      <c r="K23" s="317"/>
      <c r="L23" s="317"/>
      <c r="M23" s="235"/>
    </row>
    <row r="24" spans="1:13" ht="12.75">
      <c r="A24" s="314"/>
      <c r="B24" s="322"/>
      <c r="C24" s="323" t="s">
        <v>671</v>
      </c>
      <c r="D24" s="235"/>
      <c r="E24" s="321"/>
      <c r="F24" s="209"/>
      <c r="G24" s="317"/>
      <c r="H24" s="317"/>
      <c r="I24" s="317"/>
      <c r="J24" s="317"/>
      <c r="K24" s="317"/>
      <c r="L24" s="317"/>
      <c r="M24" s="235"/>
    </row>
    <row r="25" spans="1:13" ht="12.75">
      <c r="A25" s="314"/>
      <c r="B25" s="322"/>
      <c r="C25" s="323"/>
      <c r="D25" s="235"/>
      <c r="E25" s="321"/>
      <c r="F25" s="317"/>
      <c r="G25" s="317"/>
      <c r="H25" s="317"/>
      <c r="I25" s="317"/>
      <c r="J25" s="317"/>
      <c r="K25" s="317"/>
      <c r="L25" s="317"/>
      <c r="M25" s="235"/>
    </row>
    <row r="26" spans="1:13" s="2" customFormat="1" ht="15">
      <c r="A26" s="313" t="s">
        <v>115</v>
      </c>
      <c r="B26" s="234" t="s">
        <v>116</v>
      </c>
      <c r="C26" s="235"/>
      <c r="D26" s="235"/>
      <c r="E26" s="235"/>
      <c r="F26" s="235"/>
      <c r="G26" s="235"/>
      <c r="H26" s="235"/>
      <c r="I26" s="235"/>
      <c r="J26" s="235"/>
      <c r="K26" s="235"/>
      <c r="L26" s="235"/>
      <c r="M26" s="235"/>
    </row>
    <row r="27" spans="1:13" s="2" customFormat="1" ht="12.75">
      <c r="A27" s="313"/>
      <c r="B27" s="324" t="s">
        <v>359</v>
      </c>
      <c r="C27" s="235"/>
      <c r="D27" s="235"/>
      <c r="E27" s="235"/>
      <c r="F27" s="235"/>
      <c r="G27" s="235"/>
      <c r="H27" s="235"/>
      <c r="I27" s="235"/>
      <c r="J27" s="235"/>
      <c r="K27" s="235"/>
      <c r="L27" s="235"/>
      <c r="M27" s="235"/>
    </row>
    <row r="28" spans="1:13" s="2" customFormat="1" ht="12.75">
      <c r="A28" s="313"/>
      <c r="B28" s="587">
        <f>'CREDIT CALCULATION FORM'!B28</f>
        <v>0</v>
      </c>
      <c r="C28" s="588"/>
      <c r="D28" s="588"/>
      <c r="E28" s="588"/>
      <c r="F28" s="588"/>
      <c r="G28" s="588"/>
      <c r="H28" s="588"/>
      <c r="I28" s="588"/>
      <c r="J28" s="588"/>
      <c r="K28" s="588"/>
      <c r="L28" s="589"/>
      <c r="M28" s="235"/>
    </row>
    <row r="29" spans="1:13" s="2" customFormat="1" ht="12.75">
      <c r="A29" s="236"/>
      <c r="B29" s="325" t="s">
        <v>105</v>
      </c>
      <c r="C29" s="326"/>
      <c r="D29" s="326"/>
      <c r="E29" s="326"/>
      <c r="F29" s="326"/>
      <c r="G29" s="326"/>
      <c r="H29" s="326"/>
      <c r="I29" s="326"/>
      <c r="J29" s="326"/>
      <c r="K29" s="326"/>
      <c r="L29" s="326"/>
      <c r="M29" s="235"/>
    </row>
    <row r="30" spans="1:13" s="2" customFormat="1" ht="12.75">
      <c r="A30" s="236"/>
      <c r="B30" s="327"/>
      <c r="C30" s="327" t="s">
        <v>369</v>
      </c>
      <c r="D30" s="327"/>
      <c r="E30" s="327"/>
      <c r="F30" s="577">
        <f>'CREDIT CALCULATION FORM'!F30</f>
        <v>0</v>
      </c>
      <c r="G30" s="578"/>
      <c r="H30" s="578"/>
      <c r="I30" s="579"/>
      <c r="J30" s="327"/>
      <c r="K30" s="327"/>
      <c r="L30" s="327"/>
      <c r="M30" s="235"/>
    </row>
    <row r="31" spans="1:13" s="2" customFormat="1" ht="12.75">
      <c r="A31" s="236"/>
      <c r="B31" s="327"/>
      <c r="C31" s="327" t="s">
        <v>80</v>
      </c>
      <c r="D31" s="327"/>
      <c r="E31" s="327"/>
      <c r="F31" s="207">
        <f>'CREDIT CALCULATION FORM'!F31</f>
        <v>0</v>
      </c>
      <c r="G31" s="329" t="s">
        <v>430</v>
      </c>
      <c r="H31" s="329"/>
      <c r="I31" s="329"/>
      <c r="J31" s="327"/>
      <c r="K31" s="327"/>
      <c r="L31" s="327"/>
      <c r="M31" s="235"/>
    </row>
    <row r="32" spans="1:13" s="2" customFormat="1" ht="12.75">
      <c r="A32" s="236"/>
      <c r="B32" s="327"/>
      <c r="C32" s="327" t="s">
        <v>76</v>
      </c>
      <c r="D32" s="327"/>
      <c r="E32" s="327"/>
      <c r="F32" s="596" t="str">
        <f>CONCATENATE(F49,F30)</f>
        <v>00</v>
      </c>
      <c r="G32" s="597"/>
      <c r="H32" s="597"/>
      <c r="I32" s="598"/>
      <c r="J32" s="327"/>
      <c r="K32" s="327"/>
      <c r="L32" s="327"/>
      <c r="M32" s="235"/>
    </row>
    <row r="33" spans="1:13" s="2" customFormat="1" ht="12.75">
      <c r="A33" s="236"/>
      <c r="B33" s="327"/>
      <c r="C33" s="328" t="s">
        <v>78</v>
      </c>
      <c r="D33" s="327"/>
      <c r="E33" s="327"/>
      <c r="F33" s="453" t="e">
        <f>VLOOKUP(F32,'BMPs and Bay Model Data'!C67:F144,3,FALSE)</f>
        <v>#N/A</v>
      </c>
      <c r="G33" s="331" t="s">
        <v>89</v>
      </c>
      <c r="H33" s="600" t="e">
        <f>VLOOKUP(F32,'BMPs and Bay Model Data'!C67:F144,4,FALSE)</f>
        <v>#N/A</v>
      </c>
      <c r="I33" s="601"/>
      <c r="J33" s="330" t="s">
        <v>90</v>
      </c>
      <c r="K33" s="327"/>
      <c r="L33" s="327"/>
      <c r="M33" s="235"/>
    </row>
    <row r="34" spans="1:13" s="2" customFormat="1" ht="12.75">
      <c r="A34" s="236"/>
      <c r="B34" s="327"/>
      <c r="C34" s="327" t="s">
        <v>77</v>
      </c>
      <c r="D34" s="327"/>
      <c r="E34" s="327"/>
      <c r="F34" s="631" t="e">
        <f>CONCATENATE(F49,VLOOKUP(CONCATENATE(F30,F46),'BMPs and Bay Model Data'!D150:E168,2,FALSE))</f>
        <v>#N/A</v>
      </c>
      <c r="G34" s="632"/>
      <c r="H34" s="632"/>
      <c r="I34" s="633"/>
      <c r="J34" s="327"/>
      <c r="K34" s="327"/>
      <c r="L34" s="327"/>
      <c r="M34" s="235"/>
    </row>
    <row r="35" spans="1:13" s="2" customFormat="1" ht="12.75">
      <c r="A35" s="236"/>
      <c r="B35" s="327"/>
      <c r="C35" s="328" t="s">
        <v>79</v>
      </c>
      <c r="D35" s="327"/>
      <c r="E35" s="327"/>
      <c r="F35" s="454" t="b">
        <f>IF(OR(F30="Riparian Forest Buffer",F30="Riparian Grass Buffer"),VLOOKUP(F34,'BMPs and Bay Model Data'!A172:D275,3,FALSE))</f>
        <v>0</v>
      </c>
      <c r="G35" s="330" t="s">
        <v>89</v>
      </c>
      <c r="H35" s="600" t="b">
        <f>IF(OR(F30="Riparian Forest Buffer",F30="Riparian Grass Buffer"),VLOOKUP(F34,'BMPs and Bay Model Data'!A172:D275,4,FALSE))</f>
        <v>0</v>
      </c>
      <c r="I35" s="601"/>
      <c r="J35" s="330" t="s">
        <v>90</v>
      </c>
      <c r="K35" s="327"/>
      <c r="L35" s="327"/>
      <c r="M35" s="235"/>
    </row>
    <row r="36" spans="1:13" s="2" customFormat="1" ht="12.75">
      <c r="A36" s="236"/>
      <c r="B36" s="591"/>
      <c r="C36" s="591"/>
      <c r="D36" s="591"/>
      <c r="E36" s="591"/>
      <c r="F36" s="591"/>
      <c r="G36" s="591"/>
      <c r="H36" s="591"/>
      <c r="I36" s="591"/>
      <c r="J36" s="591"/>
      <c r="K36" s="591"/>
      <c r="L36" s="591"/>
      <c r="M36" s="235"/>
    </row>
    <row r="37" spans="1:13" s="2" customFormat="1" ht="12.75" customHeight="1">
      <c r="A37" s="236"/>
      <c r="B37" s="595" t="s">
        <v>426</v>
      </c>
      <c r="C37" s="595"/>
      <c r="D37" s="595"/>
      <c r="E37" s="595"/>
      <c r="F37" s="595"/>
      <c r="G37" s="595"/>
      <c r="H37" s="595"/>
      <c r="I37" s="595"/>
      <c r="J37" s="595"/>
      <c r="K37" s="595"/>
      <c r="L37" s="595"/>
      <c r="M37" s="595"/>
    </row>
    <row r="38" spans="1:13" s="2" customFormat="1" ht="14.25" customHeight="1">
      <c r="A38" s="236"/>
      <c r="B38" s="595"/>
      <c r="C38" s="595"/>
      <c r="D38" s="595"/>
      <c r="E38" s="595"/>
      <c r="F38" s="595"/>
      <c r="G38" s="595"/>
      <c r="H38" s="595"/>
      <c r="I38" s="595"/>
      <c r="J38" s="595"/>
      <c r="K38" s="595"/>
      <c r="L38" s="595"/>
      <c r="M38" s="595"/>
    </row>
    <row r="39" spans="1:13" s="2" customFormat="1" ht="33" customHeight="1">
      <c r="A39" s="236"/>
      <c r="B39" s="595" t="s">
        <v>358</v>
      </c>
      <c r="C39" s="595"/>
      <c r="D39" s="595"/>
      <c r="E39" s="595"/>
      <c r="F39" s="595"/>
      <c r="G39" s="595"/>
      <c r="H39" s="595"/>
      <c r="I39" s="595"/>
      <c r="J39" s="595"/>
      <c r="K39" s="595"/>
      <c r="L39" s="595"/>
      <c r="M39" s="595"/>
    </row>
    <row r="40" spans="1:13" s="2" customFormat="1" ht="12.75">
      <c r="A40" s="236"/>
      <c r="B40" s="318"/>
      <c r="C40" s="318"/>
      <c r="D40" s="318"/>
      <c r="E40" s="318"/>
      <c r="F40" s="318"/>
      <c r="G40" s="318"/>
      <c r="H40" s="318"/>
      <c r="I40" s="318"/>
      <c r="J40" s="318"/>
      <c r="K40" s="318"/>
      <c r="L40" s="318"/>
      <c r="M40" s="318"/>
    </row>
    <row r="41" ht="12.75">
      <c r="A41" s="1"/>
    </row>
    <row r="42" spans="1:13" ht="15">
      <c r="A42" s="393" t="s">
        <v>121</v>
      </c>
      <c r="B42" s="234" t="s">
        <v>312</v>
      </c>
      <c r="C42" s="235"/>
      <c r="D42" s="235"/>
      <c r="E42" s="235"/>
      <c r="F42" s="235"/>
      <c r="G42" s="235"/>
      <c r="H42" s="235"/>
      <c r="I42" s="235"/>
      <c r="J42" s="235"/>
      <c r="K42" s="235"/>
      <c r="L42" s="235"/>
      <c r="M42" s="235"/>
    </row>
    <row r="43" spans="1:13" ht="12.75">
      <c r="A43" s="235"/>
      <c r="B43" s="599" t="s">
        <v>122</v>
      </c>
      <c r="C43" s="599"/>
      <c r="D43" s="599"/>
      <c r="E43" s="599"/>
      <c r="F43" s="613">
        <f>'CREDIT CALCULATION FORM'!G40</f>
        <v>0</v>
      </c>
      <c r="G43" s="614"/>
      <c r="H43" s="614"/>
      <c r="I43" s="614"/>
      <c r="J43" s="614"/>
      <c r="K43" s="615"/>
      <c r="L43" s="336"/>
      <c r="M43" s="235"/>
    </row>
    <row r="44" spans="1:13" ht="12.75">
      <c r="A44" s="235"/>
      <c r="B44" s="327"/>
      <c r="C44" s="330" t="s">
        <v>858</v>
      </c>
      <c r="D44" s="327"/>
      <c r="E44" s="327"/>
      <c r="F44" s="602">
        <f>VLOOKUP(F43,'Data Tables'!A4:B81,2,FALSE)</f>
        <v>0</v>
      </c>
      <c r="G44" s="603"/>
      <c r="H44" s="603"/>
      <c r="I44" s="604"/>
      <c r="J44" s="336"/>
      <c r="K44" s="607" t="s">
        <v>68</v>
      </c>
      <c r="L44" s="605" t="s">
        <v>69</v>
      </c>
      <c r="M44" s="235"/>
    </row>
    <row r="45" spans="1:13" ht="12.75" customHeight="1">
      <c r="A45" s="235"/>
      <c r="B45" s="599" t="s">
        <v>123</v>
      </c>
      <c r="C45" s="599"/>
      <c r="D45" s="599"/>
      <c r="E45" s="599"/>
      <c r="F45" s="206">
        <f>'CREDIT CALCULATION FORM'!G41</f>
        <v>0</v>
      </c>
      <c r="G45" s="327"/>
      <c r="H45" s="327"/>
      <c r="I45" s="327"/>
      <c r="J45" s="321"/>
      <c r="K45" s="608"/>
      <c r="L45" s="606"/>
      <c r="M45" s="235"/>
    </row>
    <row r="46" spans="1:13" ht="12.75">
      <c r="A46" s="235"/>
      <c r="B46" s="327" t="s">
        <v>489</v>
      </c>
      <c r="C46" s="327"/>
      <c r="D46" s="327"/>
      <c r="E46" s="327"/>
      <c r="F46" s="577">
        <f>'CREDIT CALCULATION FORM'!G46</f>
        <v>0</v>
      </c>
      <c r="G46" s="578"/>
      <c r="H46" s="578"/>
      <c r="I46" s="337"/>
      <c r="J46" s="339" t="s">
        <v>89</v>
      </c>
      <c r="K46" s="455" t="str">
        <f>IF(F53="0","0",VLOOKUP(F53,'BMPs and Bay Model Data'!A328:C353,3,FALSE))</f>
        <v>0</v>
      </c>
      <c r="L46" s="456">
        <f>IF(F46="Continuous No-Till",VLOOKUP(CONCATENATE(F46,F52),'BMPs and Bay Model Data'!C52:F53,3,FALSE),0)</f>
        <v>0</v>
      </c>
      <c r="M46" s="235"/>
    </row>
    <row r="47" spans="1:13" ht="12.75">
      <c r="A47" s="235"/>
      <c r="B47" s="327"/>
      <c r="C47" s="327"/>
      <c r="D47" s="327"/>
      <c r="E47" s="327"/>
      <c r="F47" s="327"/>
      <c r="G47" s="327"/>
      <c r="H47" s="327"/>
      <c r="I47" s="327"/>
      <c r="J47" s="340" t="s">
        <v>90</v>
      </c>
      <c r="K47" s="455" t="str">
        <f>IF(F53="0","0",VLOOKUP(F53,'BMPs and Bay Model Data'!A329:D354,4,FALSE))</f>
        <v>0</v>
      </c>
      <c r="L47" s="456">
        <f>IF(F46="Continuous No-Till",VLOOKUP(CONCATENATE(F46,F52),'BMPs and Bay Model Data'!C53:F54,4,FALSE),0)</f>
        <v>0</v>
      </c>
      <c r="M47" s="235"/>
    </row>
    <row r="48" spans="1:13" ht="12.75">
      <c r="A48" s="235"/>
      <c r="B48" s="236" t="s">
        <v>890</v>
      </c>
      <c r="C48" s="235"/>
      <c r="D48" s="235"/>
      <c r="E48" s="235"/>
      <c r="F48" s="235"/>
      <c r="G48" s="235"/>
      <c r="H48" s="235"/>
      <c r="I48" s="235"/>
      <c r="J48" s="235"/>
      <c r="K48" s="235"/>
      <c r="L48" s="235"/>
      <c r="M48" s="235"/>
    </row>
    <row r="49" spans="1:13" ht="12.75" customHeight="1">
      <c r="A49" s="332"/>
      <c r="B49" s="640" t="s">
        <v>302</v>
      </c>
      <c r="C49" s="599"/>
      <c r="D49" s="599"/>
      <c r="E49" s="599"/>
      <c r="F49" s="442">
        <f>'CREDIT CALCULATION FORM'!G43</f>
        <v>0</v>
      </c>
      <c r="G49" s="338"/>
      <c r="H49" s="321"/>
      <c r="I49" s="321"/>
      <c r="J49" s="235"/>
      <c r="K49" s="321"/>
      <c r="L49" s="321"/>
      <c r="M49" s="235"/>
    </row>
    <row r="50" spans="1:13" ht="12.75">
      <c r="A50" s="332"/>
      <c r="B50" s="333"/>
      <c r="C50" s="599" t="s">
        <v>480</v>
      </c>
      <c r="D50" s="599"/>
      <c r="E50" s="599"/>
      <c r="F50" s="457">
        <f>VLOOKUP(F49,'BMPs and Bay Model Data'!A4:F30,6,FALSE)</f>
        <v>0</v>
      </c>
      <c r="G50" s="333" t="s">
        <v>913</v>
      </c>
      <c r="H50" s="321"/>
      <c r="I50" s="321"/>
      <c r="J50" s="321"/>
      <c r="K50" s="321"/>
      <c r="L50" s="321"/>
      <c r="M50" s="235"/>
    </row>
    <row r="51" spans="1:13" ht="12.75">
      <c r="A51" s="332"/>
      <c r="B51" s="333"/>
      <c r="C51" s="599" t="s">
        <v>481</v>
      </c>
      <c r="D51" s="599"/>
      <c r="E51" s="599"/>
      <c r="F51" s="457">
        <f>VLOOKUP(F49,'BMPs and Bay Model Data'!A4:G30,7,FALSE)</f>
        <v>0</v>
      </c>
      <c r="G51" s="333" t="s">
        <v>914</v>
      </c>
      <c r="H51" s="321"/>
      <c r="I51" s="321"/>
      <c r="J51" s="235"/>
      <c r="K51" s="321"/>
      <c r="L51" s="321"/>
      <c r="M51" s="235"/>
    </row>
    <row r="52" spans="1:13" ht="12.75">
      <c r="A52" s="235"/>
      <c r="B52" s="235"/>
      <c r="C52" s="235" t="s">
        <v>613</v>
      </c>
      <c r="D52" s="235"/>
      <c r="E52" s="235"/>
      <c r="F52" s="596" t="e">
        <f>CONCATENATE(VLOOKUP(F49,'BMPs and Bay Model Data'!A5:C30,3,FALSE)," Fall Line")</f>
        <v>#N/A</v>
      </c>
      <c r="G52" s="597"/>
      <c r="H52" s="597"/>
      <c r="I52" s="598"/>
      <c r="J52" s="321"/>
      <c r="K52" s="321"/>
      <c r="L52" s="321"/>
      <c r="M52" s="235"/>
    </row>
    <row r="53" spans="1:13" ht="12.75">
      <c r="A53" s="332"/>
      <c r="B53" s="333"/>
      <c r="C53" s="321" t="s">
        <v>75</v>
      </c>
      <c r="D53" s="327"/>
      <c r="E53" s="327"/>
      <c r="F53" s="596" t="str">
        <f>IF(OR(F46="Conservation Till",F46="Continuous No-Till"),CONCATENATE(F49,"high till to low till"),"0")</f>
        <v>0</v>
      </c>
      <c r="G53" s="597"/>
      <c r="H53" s="597"/>
      <c r="I53" s="598"/>
      <c r="J53" s="321"/>
      <c r="K53" s="321"/>
      <c r="L53" s="321"/>
      <c r="M53" s="235"/>
    </row>
    <row r="54" spans="1:13" ht="12.75">
      <c r="A54" s="332"/>
      <c r="B54" s="333"/>
      <c r="C54" s="321"/>
      <c r="D54" s="327"/>
      <c r="E54" s="327"/>
      <c r="F54" s="327"/>
      <c r="G54" s="327"/>
      <c r="H54" s="327"/>
      <c r="I54" s="327"/>
      <c r="J54" s="321"/>
      <c r="K54" s="321"/>
      <c r="L54" s="321"/>
      <c r="M54" s="235"/>
    </row>
    <row r="55" spans="1:13" ht="12.75">
      <c r="A55" s="332"/>
      <c r="B55" s="334" t="s">
        <v>19</v>
      </c>
      <c r="C55" s="321"/>
      <c r="D55" s="327"/>
      <c r="E55" s="327"/>
      <c r="F55" s="327"/>
      <c r="G55" s="327"/>
      <c r="H55" s="327"/>
      <c r="I55" s="327"/>
      <c r="J55" s="340"/>
      <c r="K55" s="327"/>
      <c r="L55" s="327"/>
      <c r="M55" s="235"/>
    </row>
    <row r="56" spans="1:13" ht="12.75" customHeight="1">
      <c r="A56" s="235"/>
      <c r="B56" s="330" t="s">
        <v>888</v>
      </c>
      <c r="C56" s="327"/>
      <c r="D56" s="327"/>
      <c r="E56" s="327"/>
      <c r="F56" s="574">
        <f>'CREDIT CALCULATION FORM'!G42</f>
        <v>0</v>
      </c>
      <c r="G56" s="574"/>
      <c r="H56" s="327"/>
      <c r="I56" s="327"/>
      <c r="J56" s="340"/>
      <c r="K56" s="575" t="s">
        <v>893</v>
      </c>
      <c r="L56" s="575"/>
      <c r="M56" s="235"/>
    </row>
    <row r="57" spans="1:13" ht="12.75">
      <c r="A57" s="235"/>
      <c r="B57" s="330"/>
      <c r="C57" s="330" t="s">
        <v>889</v>
      </c>
      <c r="D57" s="327"/>
      <c r="E57" s="327"/>
      <c r="F57" s="458">
        <f>VLOOKUP(F56,'Data Tables'!D4:H71,5,FALSE)</f>
        <v>0</v>
      </c>
      <c r="G57" s="327"/>
      <c r="H57" s="327"/>
      <c r="I57" s="327"/>
      <c r="J57" s="340"/>
      <c r="K57" s="575"/>
      <c r="L57" s="575"/>
      <c r="M57" s="235"/>
    </row>
    <row r="58" spans="1:13" ht="12.75">
      <c r="A58" s="332"/>
      <c r="B58" s="333" t="s">
        <v>885</v>
      </c>
      <c r="C58" s="333"/>
      <c r="D58" s="330"/>
      <c r="E58" s="330"/>
      <c r="F58" s="565">
        <f>'CREDIT CALCULATION FORM'!G45</f>
        <v>0</v>
      </c>
      <c r="G58" s="566"/>
      <c r="H58" s="566"/>
      <c r="I58" s="567"/>
      <c r="J58" s="340"/>
      <c r="K58" s="576">
        <f>((2.9-(0.2*H63))*(2.9-(0.2*H63)))/(2.9+(0.8*H63))</f>
        <v>2.9000000000000004</v>
      </c>
      <c r="L58" s="576"/>
      <c r="M58" s="235"/>
    </row>
    <row r="59" spans="1:13" ht="12.75">
      <c r="A59" s="332"/>
      <c r="B59" s="333"/>
      <c r="C59" s="333" t="s">
        <v>886</v>
      </c>
      <c r="D59" s="330"/>
      <c r="E59" s="330"/>
      <c r="F59" s="568">
        <f>VLOOKUP(F58,'Data Tables'!A86:C198,3,FALSE)</f>
        <v>0</v>
      </c>
      <c r="G59" s="569"/>
      <c r="H59" s="569"/>
      <c r="I59" s="570"/>
      <c r="J59" s="340"/>
      <c r="K59" s="327"/>
      <c r="L59" s="327"/>
      <c r="M59" s="235"/>
    </row>
    <row r="60" spans="1:13" ht="12.75">
      <c r="A60" s="332"/>
      <c r="B60" s="333" t="s">
        <v>879</v>
      </c>
      <c r="C60" s="327"/>
      <c r="D60" s="327"/>
      <c r="E60" s="327"/>
      <c r="F60" s="571">
        <f>'CREDIT CALCULATION FORM'!G47</f>
        <v>0</v>
      </c>
      <c r="G60" s="572"/>
      <c r="H60" s="572"/>
      <c r="I60" s="573"/>
      <c r="J60" s="321"/>
      <c r="K60" s="333" t="s">
        <v>892</v>
      </c>
      <c r="L60" s="235"/>
      <c r="M60" s="235"/>
    </row>
    <row r="61" spans="1:13" ht="12.75">
      <c r="A61" s="313"/>
      <c r="B61" s="333" t="s">
        <v>881</v>
      </c>
      <c r="C61" s="327"/>
      <c r="D61" s="327"/>
      <c r="E61" s="327"/>
      <c r="F61" s="571" t="str">
        <f>IF('CREDIT CALCULATION FORM'!G48="Poor- greater than average rainfall runoff and less infiltration","poor","good")</f>
        <v>good</v>
      </c>
      <c r="G61" s="572"/>
      <c r="H61" s="572"/>
      <c r="I61" s="573"/>
      <c r="J61" s="321"/>
      <c r="K61" s="576">
        <f>K58*F57</f>
        <v>0</v>
      </c>
      <c r="L61" s="576"/>
      <c r="M61" s="235"/>
    </row>
    <row r="62" spans="1:13" ht="12.75">
      <c r="A62" s="313"/>
      <c r="B62" s="333" t="s">
        <v>883</v>
      </c>
      <c r="C62" s="327"/>
      <c r="D62" s="327"/>
      <c r="E62" s="327"/>
      <c r="F62" s="571" t="str">
        <f>CONCATENATE(F44,F61,F60)</f>
        <v>0good0</v>
      </c>
      <c r="G62" s="572"/>
      <c r="H62" s="572"/>
      <c r="I62" s="573"/>
      <c r="J62" s="321"/>
      <c r="K62" s="321"/>
      <c r="L62" s="235"/>
      <c r="M62" s="235"/>
    </row>
    <row r="63" spans="1:13" ht="12.75">
      <c r="A63" s="313"/>
      <c r="B63" s="333" t="s">
        <v>884</v>
      </c>
      <c r="C63" s="327"/>
      <c r="D63" s="327"/>
      <c r="E63" s="327"/>
      <c r="F63" s="516">
        <f>IF(F59="a",VLOOKUP(F62,'Data Tables'!N5:R38,2,FALSE),IF(F59="b",VLOOKUP(F62,'Data Tables'!N5:R38,3,FALSE),IF(F59="c",VLOOKUP(F62,'Data Tables'!N5:R38,4,FALSE),IF(F59="d",VLOOKUP(F62,'Data Tables'!N5:R38,5,FALSE),0))))</f>
        <v>0</v>
      </c>
      <c r="G63" s="443" t="s">
        <v>891</v>
      </c>
      <c r="H63" s="444">
        <f>IF(F63=0,0,(1000/F63)-10)</f>
        <v>0</v>
      </c>
      <c r="I63" s="321" t="s">
        <v>16</v>
      </c>
      <c r="J63" s="321"/>
      <c r="K63" s="321"/>
      <c r="L63" s="235"/>
      <c r="M63" s="235"/>
    </row>
    <row r="64" spans="1:13" ht="12.75">
      <c r="A64" s="313"/>
      <c r="B64" s="333"/>
      <c r="C64" s="327"/>
      <c r="D64" s="327"/>
      <c r="E64" s="327"/>
      <c r="F64" s="327"/>
      <c r="G64" s="327"/>
      <c r="H64" s="327"/>
      <c r="I64" s="327"/>
      <c r="J64" s="321"/>
      <c r="K64" s="321"/>
      <c r="L64" s="235"/>
      <c r="M64" s="235"/>
    </row>
    <row r="65" spans="1:13" ht="12.75">
      <c r="A65" s="313"/>
      <c r="B65" s="334" t="s">
        <v>312</v>
      </c>
      <c r="C65" s="327"/>
      <c r="D65" s="327"/>
      <c r="E65" s="327"/>
      <c r="F65" s="327"/>
      <c r="G65" s="327"/>
      <c r="H65" s="327"/>
      <c r="I65" s="327"/>
      <c r="J65" s="321"/>
      <c r="K65" s="321"/>
      <c r="L65" s="235"/>
      <c r="M65" s="235"/>
    </row>
    <row r="66" spans="1:13" s="2" customFormat="1" ht="12.75">
      <c r="A66" s="235"/>
      <c r="B66" s="320" t="s">
        <v>84</v>
      </c>
      <c r="C66" s="235"/>
      <c r="D66" s="235"/>
      <c r="E66" s="235"/>
      <c r="F66" s="207">
        <f>'CREDIT CALCULATION FORM'!G49</f>
        <v>0</v>
      </c>
      <c r="G66" s="337" t="s">
        <v>684</v>
      </c>
      <c r="H66" s="327"/>
      <c r="I66" s="327"/>
      <c r="J66" s="327"/>
      <c r="K66" s="235"/>
      <c r="L66" s="235"/>
      <c r="M66" s="235"/>
    </row>
    <row r="67" spans="1:13" s="2" customFormat="1" ht="12.75">
      <c r="A67" s="235"/>
      <c r="B67" s="320" t="s">
        <v>82</v>
      </c>
      <c r="C67" s="235"/>
      <c r="D67" s="235"/>
      <c r="E67" s="235"/>
      <c r="F67" s="207">
        <f>'CREDIT CALCULATION FORM'!G50</f>
        <v>0</v>
      </c>
      <c r="G67" s="320" t="s">
        <v>83</v>
      </c>
      <c r="H67" s="341"/>
      <c r="I67" s="318"/>
      <c r="J67" s="235"/>
      <c r="K67" s="235"/>
      <c r="L67" s="235"/>
      <c r="M67" s="235"/>
    </row>
    <row r="68" spans="1:13" ht="12.75">
      <c r="A68" s="235"/>
      <c r="B68" s="235"/>
      <c r="C68" s="235"/>
      <c r="D68" s="236"/>
      <c r="E68" s="235"/>
      <c r="F68" s="375"/>
      <c r="G68" s="318"/>
      <c r="H68" s="341"/>
      <c r="I68" s="318"/>
      <c r="J68" s="235"/>
      <c r="K68" s="235"/>
      <c r="L68" s="235"/>
      <c r="M68" s="235"/>
    </row>
    <row r="69" spans="4:9" s="2" customFormat="1" ht="12.75">
      <c r="D69" s="71"/>
      <c r="F69" s="23"/>
      <c r="G69" s="3"/>
      <c r="H69" s="13"/>
      <c r="I69" s="3"/>
    </row>
    <row r="70" spans="1:13" s="2" customFormat="1" ht="15">
      <c r="A70" s="234" t="s">
        <v>737</v>
      </c>
      <c r="B70" s="235"/>
      <c r="C70" s="235"/>
      <c r="D70" s="235"/>
      <c r="E70" s="235"/>
      <c r="F70" s="318"/>
      <c r="G70" s="318"/>
      <c r="H70" s="318"/>
      <c r="I70" s="318"/>
      <c r="J70" s="235"/>
      <c r="K70" s="235"/>
      <c r="L70" s="235"/>
      <c r="M70" s="235"/>
    </row>
    <row r="71" spans="1:13" s="2" customFormat="1" ht="12.75">
      <c r="A71" s="236"/>
      <c r="B71" s="235"/>
      <c r="C71" s="235"/>
      <c r="D71" s="235"/>
      <c r="E71" s="235"/>
      <c r="F71" s="318"/>
      <c r="G71" s="318"/>
      <c r="H71" s="318"/>
      <c r="I71" s="318"/>
      <c r="J71" s="235"/>
      <c r="K71" s="235"/>
      <c r="L71" s="235"/>
      <c r="M71" s="235"/>
    </row>
    <row r="72" spans="1:13" s="2" customFormat="1" ht="15">
      <c r="A72" s="236"/>
      <c r="B72" s="235"/>
      <c r="C72" s="235"/>
      <c r="D72" s="235"/>
      <c r="E72" s="235"/>
      <c r="F72" s="234" t="s">
        <v>106</v>
      </c>
      <c r="G72" s="234"/>
      <c r="H72" s="234"/>
      <c r="I72" s="345"/>
      <c r="J72" s="234" t="s">
        <v>107</v>
      </c>
      <c r="K72" s="235"/>
      <c r="L72" s="235"/>
      <c r="M72" s="235"/>
    </row>
    <row r="73" spans="1:13" s="2" customFormat="1" ht="12.75">
      <c r="A73" s="236" t="s">
        <v>390</v>
      </c>
      <c r="B73" s="235"/>
      <c r="C73" s="320"/>
      <c r="D73" s="235"/>
      <c r="E73" s="235"/>
      <c r="F73" s="318"/>
      <c r="G73" s="318"/>
      <c r="H73" s="318"/>
      <c r="I73" s="318"/>
      <c r="J73" s="235"/>
      <c r="K73" s="235"/>
      <c r="L73" s="235"/>
      <c r="M73" s="235"/>
    </row>
    <row r="74" spans="1:13" s="2" customFormat="1" ht="12.75">
      <c r="A74" s="314"/>
      <c r="B74" s="235" t="s">
        <v>388</v>
      </c>
      <c r="C74" s="235"/>
      <c r="D74" s="235"/>
      <c r="E74" s="235"/>
      <c r="F74" s="577">
        <f>'CREDIT CALCULATION FORM'!F62:H62</f>
        <v>0</v>
      </c>
      <c r="G74" s="578"/>
      <c r="H74" s="578"/>
      <c r="I74" s="337"/>
      <c r="J74" s="612">
        <f>'CREDIT CALCULATION FORM'!J62:L62</f>
        <v>0</v>
      </c>
      <c r="K74" s="612"/>
      <c r="L74" s="612"/>
      <c r="M74" s="235"/>
    </row>
    <row r="75" spans="1:13" s="2" customFormat="1" ht="12.75">
      <c r="A75" s="235"/>
      <c r="B75" s="323" t="s">
        <v>749</v>
      </c>
      <c r="C75" s="235"/>
      <c r="D75" s="235"/>
      <c r="E75" s="235"/>
      <c r="F75" s="207">
        <f>'CREDIT CALCULATION FORM'!F63</f>
        <v>0</v>
      </c>
      <c r="G75" s="344" t="s">
        <v>751</v>
      </c>
      <c r="H75" s="318"/>
      <c r="I75" s="318"/>
      <c r="J75" s="207">
        <f>'CREDIT CALCULATION FORM'!J63</f>
        <v>0</v>
      </c>
      <c r="K75" s="344" t="s">
        <v>751</v>
      </c>
      <c r="L75" s="318"/>
      <c r="M75" s="235"/>
    </row>
    <row r="76" spans="1:13" s="2" customFormat="1" ht="12.75">
      <c r="A76" s="235"/>
      <c r="B76" s="318"/>
      <c r="C76" s="323" t="s">
        <v>765</v>
      </c>
      <c r="D76" s="323"/>
      <c r="E76" s="235"/>
      <c r="F76" s="616">
        <f>'CREDIT CALCULATION FORM'!F64:H64</f>
        <v>0</v>
      </c>
      <c r="G76" s="617"/>
      <c r="H76" s="617"/>
      <c r="I76" s="337"/>
      <c r="J76" s="609">
        <f>'CREDIT CALCULATION FORM'!J64:L64</f>
        <v>0</v>
      </c>
      <c r="K76" s="609"/>
      <c r="L76" s="609"/>
      <c r="M76" s="235"/>
    </row>
    <row r="77" spans="1:13" s="2" customFormat="1" ht="12.75">
      <c r="A77" s="235"/>
      <c r="B77" s="318"/>
      <c r="C77" s="323" t="s">
        <v>764</v>
      </c>
      <c r="D77" s="323"/>
      <c r="E77" s="235"/>
      <c r="F77" s="459">
        <f>IF(F74="April-October",VLOOKUP(F76,'Data Tables'!$A$229:$E$234,4,FALSE),VLOOKUP(F76,'Data Tables'!$A$229:$E$234,5,FALSE))</f>
        <v>0</v>
      </c>
      <c r="G77" s="318"/>
      <c r="H77" s="318"/>
      <c r="I77" s="318"/>
      <c r="J77" s="459">
        <f>IF(J74="April-October",VLOOKUP(J76,'Data Tables'!$A$229:$E$234,4,FALSE),VLOOKUP(J76,'Data Tables'!$A$229:$E$234,5,FALSE))</f>
        <v>0</v>
      </c>
      <c r="K77" s="318"/>
      <c r="L77" s="318"/>
      <c r="M77" s="235"/>
    </row>
    <row r="78" spans="1:13" s="2" customFormat="1" ht="12.75">
      <c r="A78" s="235"/>
      <c r="B78" s="323" t="s">
        <v>901</v>
      </c>
      <c r="C78" s="320"/>
      <c r="D78" s="235"/>
      <c r="E78" s="235"/>
      <c r="F78" s="460">
        <f>F75*0.43</f>
        <v>0</v>
      </c>
      <c r="G78" s="344" t="s">
        <v>752</v>
      </c>
      <c r="H78" s="318"/>
      <c r="I78" s="318"/>
      <c r="J78" s="460">
        <f>J75*0.43</f>
        <v>0</v>
      </c>
      <c r="K78" s="344" t="s">
        <v>752</v>
      </c>
      <c r="L78" s="318"/>
      <c r="M78" s="235"/>
    </row>
    <row r="79" spans="1:13" s="2" customFormat="1" ht="12.75">
      <c r="A79" s="235"/>
      <c r="B79" s="323" t="s">
        <v>900</v>
      </c>
      <c r="C79" s="320"/>
      <c r="D79" s="236"/>
      <c r="E79" s="235"/>
      <c r="F79" s="460">
        <f>F78*F77</f>
        <v>0</v>
      </c>
      <c r="G79" s="322" t="s">
        <v>752</v>
      </c>
      <c r="H79" s="318"/>
      <c r="I79" s="318"/>
      <c r="J79" s="460">
        <f>J78*J77</f>
        <v>0</v>
      </c>
      <c r="K79" s="322" t="s">
        <v>752</v>
      </c>
      <c r="L79" s="318"/>
      <c r="M79" s="235"/>
    </row>
    <row r="80" spans="1:13" s="2" customFormat="1" ht="12.75">
      <c r="A80" s="235"/>
      <c r="B80" s="235"/>
      <c r="C80" s="320"/>
      <c r="D80" s="235"/>
      <c r="E80" s="235"/>
      <c r="F80" s="318"/>
      <c r="G80" s="318"/>
      <c r="H80" s="318"/>
      <c r="I80" s="318"/>
      <c r="J80" s="235"/>
      <c r="K80" s="235"/>
      <c r="L80" s="235"/>
      <c r="M80" s="235"/>
    </row>
    <row r="81" spans="1:13" s="2" customFormat="1" ht="12.75">
      <c r="A81" s="236" t="s">
        <v>391</v>
      </c>
      <c r="B81" s="235"/>
      <c r="C81" s="320"/>
      <c r="D81" s="235"/>
      <c r="E81" s="235"/>
      <c r="F81" s="318"/>
      <c r="G81" s="318"/>
      <c r="H81" s="318"/>
      <c r="I81" s="318"/>
      <c r="J81" s="235"/>
      <c r="K81" s="235"/>
      <c r="L81" s="235"/>
      <c r="M81" s="235"/>
    </row>
    <row r="82" spans="1:13" s="2" customFormat="1" ht="12.75">
      <c r="A82" s="314"/>
      <c r="B82" s="235" t="s">
        <v>388</v>
      </c>
      <c r="C82" s="235"/>
      <c r="D82" s="235"/>
      <c r="E82" s="235"/>
      <c r="F82" s="577">
        <f>'CREDIT CALCULATION FORM'!F69:I69</f>
        <v>0</v>
      </c>
      <c r="G82" s="578"/>
      <c r="H82" s="578"/>
      <c r="I82" s="337"/>
      <c r="J82" s="612">
        <f>'CREDIT CALCULATION FORM'!J69:M69</f>
        <v>0</v>
      </c>
      <c r="K82" s="612"/>
      <c r="L82" s="612"/>
      <c r="M82" s="235"/>
    </row>
    <row r="83" spans="1:13" s="2" customFormat="1" ht="12.75">
      <c r="A83" s="235"/>
      <c r="B83" s="320" t="s">
        <v>186</v>
      </c>
      <c r="C83" s="320"/>
      <c r="D83" s="235"/>
      <c r="E83" s="235"/>
      <c r="F83" s="620">
        <f>'CREDIT CALCULATION FORM'!F70:I70</f>
        <v>0</v>
      </c>
      <c r="G83" s="621"/>
      <c r="H83" s="621"/>
      <c r="I83" s="337"/>
      <c r="J83" s="609">
        <f>'CREDIT CALCULATION FORM'!J70:M70</f>
        <v>0</v>
      </c>
      <c r="K83" s="609"/>
      <c r="L83" s="609"/>
      <c r="M83" s="235"/>
    </row>
    <row r="84" spans="1:13" s="2" customFormat="1" ht="12.75">
      <c r="A84" s="235"/>
      <c r="B84" s="318"/>
      <c r="C84" s="235" t="s">
        <v>24</v>
      </c>
      <c r="D84" s="235"/>
      <c r="E84" s="235"/>
      <c r="F84" s="459">
        <f>VLOOKUP(F83,'Data Tables'!$A$203:$G$224,7,FALSE)</f>
        <v>0</v>
      </c>
      <c r="G84" s="346"/>
      <c r="H84" s="346"/>
      <c r="I84" s="327"/>
      <c r="J84" s="459">
        <f>VLOOKUP(J83,'Data Tables'!$A$203:$G$224,7,FALSE)</f>
        <v>0</v>
      </c>
      <c r="K84" s="346"/>
      <c r="L84" s="346"/>
      <c r="M84" s="235"/>
    </row>
    <row r="85" spans="1:13" s="2" customFormat="1" ht="12.75">
      <c r="A85" s="235"/>
      <c r="B85" s="320" t="s">
        <v>309</v>
      </c>
      <c r="C85" s="320"/>
      <c r="D85" s="235"/>
      <c r="E85" s="235"/>
      <c r="F85" s="207">
        <f>'CREDIT CALCULATION FORM'!F71</f>
        <v>0</v>
      </c>
      <c r="G85" s="320"/>
      <c r="H85" s="318"/>
      <c r="I85" s="318"/>
      <c r="J85" s="207">
        <f>'CREDIT CALCULATION FORM'!J71</f>
        <v>0</v>
      </c>
      <c r="K85" s="320"/>
      <c r="L85" s="318"/>
      <c r="M85" s="235"/>
    </row>
    <row r="86" spans="1:13" s="2" customFormat="1" ht="12.75">
      <c r="A86" s="235"/>
      <c r="B86" s="322" t="s">
        <v>761</v>
      </c>
      <c r="C86" s="322"/>
      <c r="D86" s="235"/>
      <c r="E86" s="235"/>
      <c r="F86" s="207">
        <f>'CREDIT CALCULATION FORM'!F72</f>
        <v>0</v>
      </c>
      <c r="G86" s="318">
        <f>'CREDIT CALCULATION FORM'!G72</f>
        <v>0</v>
      </c>
      <c r="H86" s="235"/>
      <c r="I86" s="318"/>
      <c r="J86" s="207">
        <f>'CREDIT CALCULATION FORM'!J72</f>
        <v>0</v>
      </c>
      <c r="K86" s="318">
        <f>'CREDIT CALCULATION FORM'!K72</f>
        <v>0</v>
      </c>
      <c r="L86" s="235"/>
      <c r="M86" s="235"/>
    </row>
    <row r="87" spans="1:13" s="2" customFormat="1" ht="12.75">
      <c r="A87" s="235"/>
      <c r="B87" s="322" t="s">
        <v>762</v>
      </c>
      <c r="C87" s="322"/>
      <c r="D87" s="235"/>
      <c r="E87" s="235"/>
      <c r="F87" s="457">
        <f>VLOOKUP(F83,'Data Tables'!$A$203:$C$224,2,FALSE)</f>
        <v>0</v>
      </c>
      <c r="G87" s="318">
        <f>'CREDIT CALCULATION FORM'!G72</f>
        <v>0</v>
      </c>
      <c r="H87" s="318"/>
      <c r="I87" s="235"/>
      <c r="J87" s="457">
        <f>VLOOKUP(J83,'Data Tables'!$A$203:$C$224,2,FALSE)</f>
        <v>0</v>
      </c>
      <c r="K87" s="318">
        <f>'CREDIT CALCULATION FORM'!K72</f>
        <v>0</v>
      </c>
      <c r="L87" s="318"/>
      <c r="M87" s="235"/>
    </row>
    <row r="88" spans="1:13" s="2" customFormat="1" ht="12.75">
      <c r="A88" s="235"/>
      <c r="B88" s="320" t="s">
        <v>108</v>
      </c>
      <c r="C88" s="320"/>
      <c r="D88" s="235"/>
      <c r="E88" s="235"/>
      <c r="F88" s="207">
        <f>'CREDIT CALCULATION FORM'!F73</f>
        <v>0</v>
      </c>
      <c r="G88" s="318">
        <f>'CREDIT CALCULATION FORM'!G73</f>
        <v>0</v>
      </c>
      <c r="H88" s="318"/>
      <c r="I88" s="318"/>
      <c r="J88" s="207">
        <f>'CREDIT CALCULATION FORM'!J73</f>
        <v>0</v>
      </c>
      <c r="K88" s="318">
        <f>'CREDIT CALCULATION FORM'!K73</f>
        <v>0</v>
      </c>
      <c r="L88" s="318"/>
      <c r="M88" s="235"/>
    </row>
    <row r="89" spans="1:13" s="2" customFormat="1" ht="12.75">
      <c r="A89" s="235"/>
      <c r="B89" s="318"/>
      <c r="C89" s="323" t="s">
        <v>763</v>
      </c>
      <c r="D89" s="323"/>
      <c r="E89" s="235"/>
      <c r="F89" s="616">
        <f>'CREDIT CALCULATION FORM'!F74</f>
        <v>0</v>
      </c>
      <c r="G89" s="617"/>
      <c r="H89" s="617"/>
      <c r="I89" s="337"/>
      <c r="J89" s="609">
        <f>'CREDIT CALCULATION FORM'!J74:M74</f>
        <v>0</v>
      </c>
      <c r="K89" s="609"/>
      <c r="L89" s="609"/>
      <c r="M89" s="235"/>
    </row>
    <row r="90" spans="1:13" s="2" customFormat="1" ht="12.75">
      <c r="A90" s="235"/>
      <c r="B90" s="318"/>
      <c r="C90" s="235" t="s">
        <v>94</v>
      </c>
      <c r="D90" s="235"/>
      <c r="E90" s="235"/>
      <c r="F90" s="459">
        <f>IF(F82="April-October",VLOOKUP(F89,'Data Tables'!$A$229:$E$234,4,FALSE),VLOOKUP(F89,'Data Tables'!$A$229:$E$234,5,FALSE))</f>
        <v>0</v>
      </c>
      <c r="G90" s="318"/>
      <c r="H90" s="318"/>
      <c r="I90" s="318"/>
      <c r="J90" s="459">
        <f>IF(J82="April-October",VLOOKUP(J89,'Data Tables'!$A$229:$E$234,4,FALSE),VLOOKUP(J89,'Data Tables'!$A$229:$E$234,5,FALSE))</f>
        <v>0</v>
      </c>
      <c r="K90" s="318"/>
      <c r="L90" s="318"/>
      <c r="M90" s="235"/>
    </row>
    <row r="91" spans="1:13" s="2" customFormat="1" ht="12.75">
      <c r="A91" s="235"/>
      <c r="B91" s="323" t="s">
        <v>901</v>
      </c>
      <c r="C91" s="320"/>
      <c r="D91" s="235"/>
      <c r="E91" s="235"/>
      <c r="F91" s="460">
        <f>IF(F85="Yes",F88*F86*0.43,F88*F87*0.43)</f>
        <v>0</v>
      </c>
      <c r="G91" s="318" t="s">
        <v>303</v>
      </c>
      <c r="H91" s="318"/>
      <c r="I91" s="318"/>
      <c r="J91" s="460">
        <f>IF(J85="Yes",J88*J86*0.43,J88*J87*0.43)</f>
        <v>0</v>
      </c>
      <c r="K91" s="318" t="s">
        <v>303</v>
      </c>
      <c r="L91" s="318"/>
      <c r="M91" s="235"/>
    </row>
    <row r="92" spans="1:13" s="2" customFormat="1" ht="12.75">
      <c r="A92" s="235"/>
      <c r="B92" s="323" t="s">
        <v>900</v>
      </c>
      <c r="C92" s="320"/>
      <c r="D92" s="236"/>
      <c r="E92" s="235"/>
      <c r="F92" s="460">
        <f>F90*F91*F84</f>
        <v>0</v>
      </c>
      <c r="G92" s="320" t="s">
        <v>303</v>
      </c>
      <c r="H92" s="318"/>
      <c r="I92" s="318"/>
      <c r="J92" s="460">
        <f>J90*J91*J84</f>
        <v>0</v>
      </c>
      <c r="K92" s="320" t="s">
        <v>303</v>
      </c>
      <c r="L92" s="318"/>
      <c r="M92" s="235"/>
    </row>
    <row r="93" spans="1:13" s="2" customFormat="1" ht="12.75">
      <c r="A93" s="235"/>
      <c r="B93" s="235"/>
      <c r="C93" s="320"/>
      <c r="D93" s="235"/>
      <c r="E93" s="235"/>
      <c r="F93" s="318"/>
      <c r="G93" s="318"/>
      <c r="H93" s="318"/>
      <c r="I93" s="318"/>
      <c r="J93" s="235"/>
      <c r="K93" s="235"/>
      <c r="L93" s="235"/>
      <c r="M93" s="235"/>
    </row>
    <row r="94" spans="1:13" s="2" customFormat="1" ht="12.75">
      <c r="A94" s="236" t="s">
        <v>393</v>
      </c>
      <c r="B94" s="235"/>
      <c r="C94" s="320"/>
      <c r="D94" s="235"/>
      <c r="E94" s="235"/>
      <c r="F94" s="318"/>
      <c r="G94" s="318"/>
      <c r="H94" s="318"/>
      <c r="I94" s="318"/>
      <c r="J94" s="235"/>
      <c r="K94" s="235"/>
      <c r="L94" s="235"/>
      <c r="M94" s="235"/>
    </row>
    <row r="95" spans="1:13" s="2" customFormat="1" ht="12.75">
      <c r="A95" s="314"/>
      <c r="B95" s="235" t="s">
        <v>388</v>
      </c>
      <c r="C95" s="235"/>
      <c r="D95" s="235"/>
      <c r="E95" s="235"/>
      <c r="F95" s="577">
        <f>'CREDIT CALCULATION FORM'!F79</f>
        <v>0</v>
      </c>
      <c r="G95" s="578"/>
      <c r="H95" s="578"/>
      <c r="I95" s="337"/>
      <c r="J95" s="612">
        <f>'CREDIT CALCULATION FORM'!J79</f>
        <v>0</v>
      </c>
      <c r="K95" s="612"/>
      <c r="L95" s="612"/>
      <c r="M95" s="235"/>
    </row>
    <row r="96" spans="1:13" s="2" customFormat="1" ht="12.75">
      <c r="A96" s="235"/>
      <c r="B96" s="320" t="s">
        <v>186</v>
      </c>
      <c r="C96" s="235"/>
      <c r="D96" s="235"/>
      <c r="E96" s="235"/>
      <c r="F96" s="620">
        <f>'CREDIT CALCULATION FORM'!F80</f>
        <v>0</v>
      </c>
      <c r="G96" s="621"/>
      <c r="H96" s="621"/>
      <c r="I96" s="337"/>
      <c r="J96" s="609">
        <f>'CREDIT CALCULATION FORM'!J80</f>
        <v>0</v>
      </c>
      <c r="K96" s="609"/>
      <c r="L96" s="609"/>
      <c r="M96" s="235"/>
    </row>
    <row r="97" spans="1:13" s="2" customFormat="1" ht="12.75">
      <c r="A97" s="235"/>
      <c r="B97" s="320"/>
      <c r="C97" s="235" t="s">
        <v>24</v>
      </c>
      <c r="D97" s="235"/>
      <c r="E97" s="235"/>
      <c r="F97" s="459">
        <f>VLOOKUP(F96,'Data Tables'!$A$203:$G$224,7,FALSE)</f>
        <v>0</v>
      </c>
      <c r="G97" s="346"/>
      <c r="H97" s="346"/>
      <c r="I97" s="327"/>
      <c r="J97" s="459">
        <f>VLOOKUP(J96,'Data Tables'!$A$203:$G$224,7,FALSE)</f>
        <v>0</v>
      </c>
      <c r="K97" s="346"/>
      <c r="L97" s="346"/>
      <c r="M97" s="235"/>
    </row>
    <row r="98" spans="1:13" s="2" customFormat="1" ht="12.75">
      <c r="A98" s="235"/>
      <c r="B98" s="320" t="s">
        <v>309</v>
      </c>
      <c r="C98" s="235"/>
      <c r="D98" s="235"/>
      <c r="E98" s="235"/>
      <c r="F98" s="207">
        <f>'CREDIT CALCULATION FORM'!F81</f>
        <v>0</v>
      </c>
      <c r="G98" s="320"/>
      <c r="H98" s="318"/>
      <c r="I98" s="318"/>
      <c r="J98" s="207">
        <f>'CREDIT CALCULATION FORM'!J81</f>
        <v>0</v>
      </c>
      <c r="K98" s="346"/>
      <c r="L98" s="346"/>
      <c r="M98" s="235"/>
    </row>
    <row r="99" spans="1:13" s="2" customFormat="1" ht="12.75">
      <c r="A99" s="235"/>
      <c r="B99" s="322" t="s">
        <v>761</v>
      </c>
      <c r="C99" s="235"/>
      <c r="D99" s="235"/>
      <c r="E99" s="235"/>
      <c r="F99" s="207">
        <f>'CREDIT CALCULATION FORM'!F82</f>
        <v>0</v>
      </c>
      <c r="G99" s="318" t="str">
        <f>'CREDIT CALCULATION FORM'!G85</f>
        <v>lbs/ac</v>
      </c>
      <c r="H99" s="318"/>
      <c r="I99" s="318"/>
      <c r="J99" s="207">
        <f>'CREDIT CALCULATION FORM'!J82</f>
        <v>0</v>
      </c>
      <c r="K99" s="318" t="str">
        <f>'CREDIT CALCULATION FORM'!K85</f>
        <v>lbs P/ac</v>
      </c>
      <c r="L99" s="318"/>
      <c r="M99" s="235"/>
    </row>
    <row r="100" spans="1:13" s="2" customFormat="1" ht="12.75">
      <c r="A100" s="235"/>
      <c r="B100" s="322" t="s">
        <v>762</v>
      </c>
      <c r="C100" s="235"/>
      <c r="D100" s="235"/>
      <c r="E100" s="235"/>
      <c r="F100" s="457">
        <f>VLOOKUP(F96,'Data Tables'!$A$203:$C$224,2,FALSE)</f>
        <v>0</v>
      </c>
      <c r="G100" s="318" t="str">
        <f>'CREDIT CALCULATION FORM'!G85</f>
        <v>lbs/ac</v>
      </c>
      <c r="H100" s="235"/>
      <c r="I100" s="318"/>
      <c r="J100" s="457">
        <f>VLOOKUP(J96,'Data Tables'!$A$203:$C$224,2,FALSE)</f>
        <v>0</v>
      </c>
      <c r="K100" s="318" t="str">
        <f>'CREDIT CALCULATION FORM'!K85</f>
        <v>lbs P/ac</v>
      </c>
      <c r="L100" s="235"/>
      <c r="M100" s="235"/>
    </row>
    <row r="101" spans="1:13" s="2" customFormat="1" ht="12.75">
      <c r="A101" s="235"/>
      <c r="B101" s="320" t="s">
        <v>108</v>
      </c>
      <c r="C101" s="235"/>
      <c r="D101" s="235"/>
      <c r="E101" s="235"/>
      <c r="F101" s="207">
        <f>'CREDIT CALCULATION FORM'!F83</f>
        <v>0</v>
      </c>
      <c r="G101" s="318" t="str">
        <f>'CREDIT CALCULATION FORM'!G86</f>
        <v>lbs/ac</v>
      </c>
      <c r="H101" s="318"/>
      <c r="I101" s="235"/>
      <c r="J101" s="207">
        <f>'CREDIT CALCULATION FORM'!J83</f>
        <v>0</v>
      </c>
      <c r="K101" s="318" t="str">
        <f>'CREDIT CALCULATION FORM'!K86</f>
        <v>lbs P/ac</v>
      </c>
      <c r="L101" s="318"/>
      <c r="M101" s="235"/>
    </row>
    <row r="102" spans="1:13" s="2" customFormat="1" ht="12.75">
      <c r="A102" s="235"/>
      <c r="B102" s="320"/>
      <c r="C102" s="323" t="s">
        <v>763</v>
      </c>
      <c r="D102" s="323"/>
      <c r="E102" s="235"/>
      <c r="F102" s="616">
        <f>'CREDIT CALCULATION FORM'!F84</f>
        <v>0</v>
      </c>
      <c r="G102" s="617"/>
      <c r="H102" s="617"/>
      <c r="I102" s="337"/>
      <c r="J102" s="609">
        <f>'CREDIT CALCULATION FORM'!J84</f>
        <v>0</v>
      </c>
      <c r="K102" s="609"/>
      <c r="L102" s="609"/>
      <c r="M102" s="235"/>
    </row>
    <row r="103" spans="1:13" s="2" customFormat="1" ht="12.75">
      <c r="A103" s="235"/>
      <c r="B103" s="320"/>
      <c r="C103" s="235" t="s">
        <v>94</v>
      </c>
      <c r="D103" s="235"/>
      <c r="E103" s="235"/>
      <c r="F103" s="459">
        <f>IF(F95="April-October",VLOOKUP(F102,'Data Tables'!$A$229:$E$234,4,FALSE),VLOOKUP(F102,'Data Tables'!$A$229:$E$234,5,FALSE))</f>
        <v>0</v>
      </c>
      <c r="G103" s="318"/>
      <c r="H103" s="318"/>
      <c r="I103" s="318"/>
      <c r="J103" s="459">
        <f>IF(J95="April-October",VLOOKUP(J102,'Data Tables'!$A$229:$E$234,4,FALSE),VLOOKUP(J102,'Data Tables'!$A$229:$E$234,5,FALSE))</f>
        <v>0</v>
      </c>
      <c r="K103" s="318"/>
      <c r="L103" s="318"/>
      <c r="M103" s="235"/>
    </row>
    <row r="104" spans="1:13" s="2" customFormat="1" ht="12.75">
      <c r="A104" s="235"/>
      <c r="B104" s="323" t="s">
        <v>901</v>
      </c>
      <c r="C104" s="320"/>
      <c r="D104" s="235"/>
      <c r="E104" s="235"/>
      <c r="F104" s="460">
        <f>IF(F98="Yes",F101*F99*0.43,F101*F100*0.43)</f>
        <v>0</v>
      </c>
      <c r="G104" s="320" t="s">
        <v>303</v>
      </c>
      <c r="H104" s="318"/>
      <c r="I104" s="318"/>
      <c r="J104" s="460">
        <f>IF(J98="Yes",J101*J99*0.43,J101*J100*0.43)</f>
        <v>0</v>
      </c>
      <c r="K104" s="320" t="s">
        <v>303</v>
      </c>
      <c r="L104" s="318"/>
      <c r="M104" s="235"/>
    </row>
    <row r="105" spans="1:13" s="2" customFormat="1" ht="12.75">
      <c r="A105" s="235"/>
      <c r="B105" s="323" t="s">
        <v>900</v>
      </c>
      <c r="C105" s="320"/>
      <c r="D105" s="236"/>
      <c r="E105" s="235"/>
      <c r="F105" s="460">
        <f>F103*F104*F97</f>
        <v>0</v>
      </c>
      <c r="G105" s="323" t="s">
        <v>303</v>
      </c>
      <c r="H105" s="318"/>
      <c r="I105" s="318"/>
      <c r="J105" s="460">
        <f>J103*J104*J97</f>
        <v>0</v>
      </c>
      <c r="K105" s="323" t="s">
        <v>303</v>
      </c>
      <c r="L105" s="318"/>
      <c r="M105" s="235"/>
    </row>
    <row r="106" spans="1:13" s="2" customFormat="1" ht="12.75">
      <c r="A106" s="235"/>
      <c r="B106" s="235"/>
      <c r="C106" s="320"/>
      <c r="D106" s="235"/>
      <c r="E106" s="235"/>
      <c r="F106" s="318"/>
      <c r="G106" s="318"/>
      <c r="H106" s="318"/>
      <c r="I106" s="318"/>
      <c r="J106" s="235"/>
      <c r="K106" s="235"/>
      <c r="L106" s="235"/>
      <c r="M106" s="235"/>
    </row>
    <row r="107" spans="1:13" s="2" customFormat="1" ht="12.75">
      <c r="A107" s="236" t="s">
        <v>392</v>
      </c>
      <c r="B107" s="235"/>
      <c r="C107" s="320"/>
      <c r="D107" s="235"/>
      <c r="E107" s="235"/>
      <c r="F107" s="318"/>
      <c r="G107" s="318"/>
      <c r="H107" s="318"/>
      <c r="I107" s="318"/>
      <c r="J107" s="235"/>
      <c r="K107" s="235"/>
      <c r="L107" s="235"/>
      <c r="M107" s="235"/>
    </row>
    <row r="108" spans="1:13" s="2" customFormat="1" ht="12.75">
      <c r="A108" s="314"/>
      <c r="B108" s="235" t="s">
        <v>388</v>
      </c>
      <c r="C108" s="235"/>
      <c r="D108" s="235"/>
      <c r="E108" s="235"/>
      <c r="F108" s="577">
        <f>'CREDIT CALCULATION FORM'!F89</f>
        <v>0</v>
      </c>
      <c r="G108" s="578"/>
      <c r="H108" s="578"/>
      <c r="I108" s="337"/>
      <c r="J108" s="612">
        <f>'CREDIT CALCULATION FORM'!J89</f>
        <v>0</v>
      </c>
      <c r="K108" s="612"/>
      <c r="L108" s="612"/>
      <c r="M108" s="235"/>
    </row>
    <row r="109" spans="1:13" s="2" customFormat="1" ht="12.75">
      <c r="A109" s="235"/>
      <c r="B109" s="320" t="s">
        <v>186</v>
      </c>
      <c r="C109" s="235"/>
      <c r="D109" s="235"/>
      <c r="E109" s="235"/>
      <c r="F109" s="620">
        <f>'CREDIT CALCULATION FORM'!F90</f>
        <v>0</v>
      </c>
      <c r="G109" s="621"/>
      <c r="H109" s="621"/>
      <c r="I109" s="337"/>
      <c r="J109" s="609">
        <f>'CREDIT CALCULATION FORM'!J90</f>
        <v>0</v>
      </c>
      <c r="K109" s="609"/>
      <c r="L109" s="609"/>
      <c r="M109" s="235"/>
    </row>
    <row r="110" spans="1:13" s="2" customFormat="1" ht="12.75">
      <c r="A110" s="235"/>
      <c r="B110" s="320"/>
      <c r="C110" s="235" t="s">
        <v>24</v>
      </c>
      <c r="D110" s="235"/>
      <c r="E110" s="235"/>
      <c r="F110" s="459">
        <f>VLOOKUP(F109,'Data Tables'!$A$203:$G$224,7,FALSE)</f>
        <v>0</v>
      </c>
      <c r="G110" s="346"/>
      <c r="H110" s="346"/>
      <c r="I110" s="327"/>
      <c r="J110" s="459">
        <f>VLOOKUP(J109,'Data Tables'!$A$203:$G$224,7,FALSE)</f>
        <v>0</v>
      </c>
      <c r="K110" s="346"/>
      <c r="L110" s="346"/>
      <c r="M110" s="235"/>
    </row>
    <row r="111" spans="1:13" s="2" customFormat="1" ht="12.75">
      <c r="A111" s="235"/>
      <c r="B111" s="320" t="s">
        <v>309</v>
      </c>
      <c r="C111" s="235"/>
      <c r="D111" s="235"/>
      <c r="E111" s="235"/>
      <c r="F111" s="207">
        <f>'CREDIT CALCULATION FORM'!F91</f>
        <v>0</v>
      </c>
      <c r="G111" s="320"/>
      <c r="H111" s="318"/>
      <c r="I111" s="318"/>
      <c r="J111" s="207">
        <f>'CREDIT CALCULATION FORM'!J91</f>
        <v>0</v>
      </c>
      <c r="K111" s="346"/>
      <c r="L111" s="346"/>
      <c r="M111" s="235"/>
    </row>
    <row r="112" spans="1:13" s="2" customFormat="1" ht="12.75">
      <c r="A112" s="235"/>
      <c r="B112" s="322" t="s">
        <v>761</v>
      </c>
      <c r="C112" s="235"/>
      <c r="D112" s="235"/>
      <c r="E112" s="235"/>
      <c r="F112" s="207">
        <f>'CREDIT CALCULATION FORM'!F92</f>
        <v>0</v>
      </c>
      <c r="G112" s="318">
        <f>'CREDIT CALCULATION FORM'!G97</f>
        <v>0</v>
      </c>
      <c r="H112" s="318"/>
      <c r="I112" s="318"/>
      <c r="J112" s="207">
        <f>'CREDIT CALCULATION FORM'!J92</f>
        <v>0</v>
      </c>
      <c r="K112" s="318">
        <f>'CREDIT CALCULATION FORM'!K97</f>
        <v>0</v>
      </c>
      <c r="L112" s="318"/>
      <c r="M112" s="235"/>
    </row>
    <row r="113" spans="1:13" s="2" customFormat="1" ht="12.75">
      <c r="A113" s="235"/>
      <c r="B113" s="322" t="s">
        <v>762</v>
      </c>
      <c r="C113" s="235"/>
      <c r="D113" s="235"/>
      <c r="E113" s="235"/>
      <c r="F113" s="457">
        <f>VLOOKUP(F109,'Data Tables'!$A$203:$C$224,2,FALSE)</f>
        <v>0</v>
      </c>
      <c r="G113" s="318">
        <f>'CREDIT CALCULATION FORM'!G97</f>
        <v>0</v>
      </c>
      <c r="H113" s="235"/>
      <c r="I113" s="318"/>
      <c r="J113" s="457">
        <f>VLOOKUP(J109,'Data Tables'!$A$203:$C$224,2,FALSE)</f>
        <v>0</v>
      </c>
      <c r="K113" s="318">
        <f>'CREDIT CALCULATION FORM'!K97</f>
        <v>0</v>
      </c>
      <c r="L113" s="235"/>
      <c r="M113" s="235"/>
    </row>
    <row r="114" spans="1:13" s="2" customFormat="1" ht="12.75">
      <c r="A114" s="235"/>
      <c r="B114" s="320" t="s">
        <v>108</v>
      </c>
      <c r="C114" s="235"/>
      <c r="D114" s="235"/>
      <c r="E114" s="235"/>
      <c r="F114" s="207">
        <f>'CREDIT CALCULATION FORM'!F93</f>
        <v>0</v>
      </c>
      <c r="G114" s="318">
        <f>'CREDIT CALCULATION FORM'!G98</f>
        <v>0</v>
      </c>
      <c r="H114" s="318"/>
      <c r="I114" s="235"/>
      <c r="J114" s="207">
        <f>'CREDIT CALCULATION FORM'!J93</f>
        <v>0</v>
      </c>
      <c r="K114" s="318">
        <f>'CREDIT CALCULATION FORM'!K98</f>
        <v>0</v>
      </c>
      <c r="L114" s="318"/>
      <c r="M114" s="235"/>
    </row>
    <row r="115" spans="1:13" s="2" customFormat="1" ht="12.75">
      <c r="A115" s="235"/>
      <c r="B115" s="320"/>
      <c r="C115" s="323" t="s">
        <v>763</v>
      </c>
      <c r="D115" s="323"/>
      <c r="E115" s="235"/>
      <c r="F115" s="620">
        <f>'CREDIT CALCULATION FORM'!F94</f>
        <v>0</v>
      </c>
      <c r="G115" s="621"/>
      <c r="H115" s="621"/>
      <c r="I115" s="337"/>
      <c r="J115" s="609">
        <f>'CREDIT CALCULATION FORM'!J94</f>
        <v>0</v>
      </c>
      <c r="K115" s="609"/>
      <c r="L115" s="609"/>
      <c r="M115" s="235"/>
    </row>
    <row r="116" spans="1:13" s="2" customFormat="1" ht="12.75">
      <c r="A116" s="235"/>
      <c r="B116" s="320"/>
      <c r="C116" s="235" t="s">
        <v>94</v>
      </c>
      <c r="D116" s="235"/>
      <c r="E116" s="235"/>
      <c r="F116" s="459">
        <f>IF(F108="April-October",VLOOKUP(F115,'Data Tables'!$A$229:$E$234,4,FALSE),VLOOKUP(F115,'Data Tables'!$A$229:$E$234,5,FALSE))</f>
        <v>0</v>
      </c>
      <c r="G116" s="318"/>
      <c r="H116" s="318"/>
      <c r="I116" s="318"/>
      <c r="J116" s="459">
        <f>IF(J108="April-October",VLOOKUP(J115,'Data Tables'!$A$229:$E$234,4,FALSE),VLOOKUP(J115,'Data Tables'!$A$229:$E$234,5,FALSE))</f>
        <v>0</v>
      </c>
      <c r="K116" s="318"/>
      <c r="L116" s="318"/>
      <c r="M116" s="235"/>
    </row>
    <row r="117" spans="1:13" s="2" customFormat="1" ht="12.75">
      <c r="A117" s="235"/>
      <c r="B117" s="323" t="s">
        <v>901</v>
      </c>
      <c r="C117" s="320"/>
      <c r="D117" s="235"/>
      <c r="E117" s="235"/>
      <c r="F117" s="460">
        <f>IF(F111="Yes",F114*F112*0.43,F114*F113*0.43)</f>
        <v>0</v>
      </c>
      <c r="G117" s="320" t="s">
        <v>303</v>
      </c>
      <c r="H117" s="318"/>
      <c r="I117" s="318"/>
      <c r="J117" s="460">
        <f>IF(J111="Yes",J114*J112*0.43,J114*J113*0.43)</f>
        <v>0</v>
      </c>
      <c r="K117" s="320" t="s">
        <v>303</v>
      </c>
      <c r="L117" s="318"/>
      <c r="M117" s="235"/>
    </row>
    <row r="118" spans="1:13" s="2" customFormat="1" ht="12.75">
      <c r="A118" s="235"/>
      <c r="B118" s="323" t="s">
        <v>900</v>
      </c>
      <c r="C118" s="320"/>
      <c r="D118" s="236"/>
      <c r="E118" s="235"/>
      <c r="F118" s="460">
        <f>F116*F117*F110</f>
        <v>0</v>
      </c>
      <c r="G118" s="323" t="s">
        <v>303</v>
      </c>
      <c r="H118" s="318"/>
      <c r="I118" s="318"/>
      <c r="J118" s="460">
        <f>J116*J117*J110</f>
        <v>0</v>
      </c>
      <c r="K118" s="323" t="s">
        <v>303</v>
      </c>
      <c r="L118" s="318"/>
      <c r="M118" s="235"/>
    </row>
    <row r="119" spans="1:13" s="2" customFormat="1" ht="13.5" thickBot="1">
      <c r="A119" s="235"/>
      <c r="B119" s="323"/>
      <c r="C119" s="320"/>
      <c r="D119" s="236"/>
      <c r="E119" s="235"/>
      <c r="F119" s="327"/>
      <c r="G119" s="320"/>
      <c r="H119" s="318"/>
      <c r="I119" s="318"/>
      <c r="J119" s="235"/>
      <c r="K119" s="235"/>
      <c r="L119" s="235"/>
      <c r="M119" s="235"/>
    </row>
    <row r="120" spans="1:13" s="2" customFormat="1" ht="13.5" thickBot="1">
      <c r="A120" s="235"/>
      <c r="B120" s="236" t="s">
        <v>902</v>
      </c>
      <c r="C120" s="320"/>
      <c r="D120" s="235"/>
      <c r="E120" s="235"/>
      <c r="F120" s="183">
        <f>SUM(F79,F91,F104,F117)</f>
        <v>0</v>
      </c>
      <c r="G120" s="320" t="s">
        <v>303</v>
      </c>
      <c r="H120" s="335"/>
      <c r="I120" s="319" t="s">
        <v>107</v>
      </c>
      <c r="J120" s="183">
        <f>IF(SUM(J79,J91,J104,J117)=0,F120,SUM(J79,J104,J91,J117))</f>
        <v>0</v>
      </c>
      <c r="K120" s="235" t="s">
        <v>303</v>
      </c>
      <c r="L120" s="235"/>
      <c r="M120" s="235"/>
    </row>
    <row r="121" spans="1:13" s="2" customFormat="1" ht="13.5" thickBot="1">
      <c r="A121" s="235"/>
      <c r="B121" s="236" t="s">
        <v>903</v>
      </c>
      <c r="C121" s="320"/>
      <c r="D121" s="235"/>
      <c r="E121" s="235"/>
      <c r="F121" s="183">
        <f>SUM(F118,F105,F92,F79)</f>
        <v>0</v>
      </c>
      <c r="G121" s="320" t="s">
        <v>303</v>
      </c>
      <c r="H121" s="335"/>
      <c r="I121" s="319" t="s">
        <v>107</v>
      </c>
      <c r="J121" s="183">
        <f>IF(SUM(J118,J105,J92,J79)=0,F121,SUM(J118,J105,J92,J79))</f>
        <v>0</v>
      </c>
      <c r="K121" s="235" t="s">
        <v>303</v>
      </c>
      <c r="L121" s="235"/>
      <c r="M121" s="235"/>
    </row>
    <row r="122" spans="1:13" s="2" customFormat="1" ht="12.75">
      <c r="A122" s="235"/>
      <c r="B122" s="396"/>
      <c r="C122" s="320"/>
      <c r="D122" s="235"/>
      <c r="E122" s="235"/>
      <c r="F122" s="318"/>
      <c r="G122" s="318"/>
      <c r="H122" s="318"/>
      <c r="I122" s="318"/>
      <c r="J122" s="235"/>
      <c r="K122" s="235"/>
      <c r="L122" s="235"/>
      <c r="M122" s="235"/>
    </row>
    <row r="123" spans="1:13" s="2" customFormat="1" ht="12.75">
      <c r="A123" s="235"/>
      <c r="B123" s="235"/>
      <c r="C123" s="320"/>
      <c r="D123" s="235"/>
      <c r="E123" s="235"/>
      <c r="F123" s="318"/>
      <c r="G123" s="318"/>
      <c r="H123" s="318"/>
      <c r="I123" s="318"/>
      <c r="J123" s="235"/>
      <c r="K123" s="235"/>
      <c r="L123" s="235"/>
      <c r="M123" s="235"/>
    </row>
    <row r="124" spans="1:13" ht="12.75">
      <c r="A124" s="2"/>
      <c r="B124" s="2"/>
      <c r="C124" s="2"/>
      <c r="D124" s="71"/>
      <c r="E124" s="2"/>
      <c r="F124" s="23"/>
      <c r="G124" s="3"/>
      <c r="H124" s="13"/>
      <c r="I124" s="3"/>
      <c r="J124" s="2"/>
      <c r="K124" s="2"/>
      <c r="L124" s="2"/>
      <c r="M124" s="2"/>
    </row>
    <row r="125" spans="1:13" ht="15">
      <c r="A125" s="234" t="s">
        <v>736</v>
      </c>
      <c r="B125" s="235"/>
      <c r="C125" s="235"/>
      <c r="D125" s="236"/>
      <c r="E125" s="235"/>
      <c r="F125" s="327"/>
      <c r="G125" s="318"/>
      <c r="H125" s="341"/>
      <c r="I125" s="318"/>
      <c r="J125" s="235"/>
      <c r="K125" s="235"/>
      <c r="L125" s="235"/>
      <c r="M125" s="235"/>
    </row>
    <row r="126" spans="1:13" ht="12.75" customHeight="1">
      <c r="A126" s="234"/>
      <c r="B126" s="235"/>
      <c r="C126" s="235"/>
      <c r="D126" s="236"/>
      <c r="E126" s="235"/>
      <c r="F126" s="327"/>
      <c r="G126" s="318"/>
      <c r="H126" s="341"/>
      <c r="I126" s="318"/>
      <c r="J126" s="235"/>
      <c r="K126" s="235"/>
      <c r="L126" s="235"/>
      <c r="M126" s="235"/>
    </row>
    <row r="127" spans="1:15" ht="12.75" customHeight="1">
      <c r="A127" s="235"/>
      <c r="B127" s="236" t="s">
        <v>734</v>
      </c>
      <c r="C127" s="344"/>
      <c r="D127" s="344"/>
      <c r="E127" s="344"/>
      <c r="F127" s="347"/>
      <c r="G127" s="318"/>
      <c r="H127" s="318"/>
      <c r="I127" s="318"/>
      <c r="J127" s="235"/>
      <c r="K127" s="235"/>
      <c r="L127" s="235"/>
      <c r="M127" s="235"/>
      <c r="N127" s="17"/>
      <c r="O127" s="17"/>
    </row>
    <row r="128" spans="1:13" ht="12.75">
      <c r="A128" s="235"/>
      <c r="B128" s="235"/>
      <c r="C128" s="323" t="s">
        <v>904</v>
      </c>
      <c r="D128" s="235"/>
      <c r="E128" s="235"/>
      <c r="F128" s="460">
        <f>IF((F121-J121)&lt;0,"0",F121-J121)</f>
        <v>0</v>
      </c>
      <c r="G128" s="318" t="s">
        <v>303</v>
      </c>
      <c r="H128" s="348"/>
      <c r="I128" s="327"/>
      <c r="J128" s="235"/>
      <c r="K128" s="235"/>
      <c r="L128" s="235"/>
      <c r="M128" s="235"/>
    </row>
    <row r="129" spans="1:13" ht="12.75" customHeight="1" thickBot="1">
      <c r="A129" s="235"/>
      <c r="B129" s="235"/>
      <c r="C129" s="236" t="s">
        <v>676</v>
      </c>
      <c r="D129" s="235"/>
      <c r="E129" s="235"/>
      <c r="F129" s="113">
        <f>F128*F45</f>
        <v>0</v>
      </c>
      <c r="G129" s="235" t="s">
        <v>314</v>
      </c>
      <c r="H129" s="235"/>
      <c r="I129" s="349"/>
      <c r="J129" s="235"/>
      <c r="K129" s="235"/>
      <c r="L129" s="235"/>
      <c r="M129" s="235"/>
    </row>
    <row r="130" spans="1:13" ht="13.5" thickBot="1">
      <c r="A130" s="235"/>
      <c r="B130" s="235"/>
      <c r="C130" s="236" t="s">
        <v>677</v>
      </c>
      <c r="D130" s="235"/>
      <c r="E130" s="235"/>
      <c r="F130" s="169">
        <f>F129*F51</f>
        <v>0</v>
      </c>
      <c r="G130" s="235" t="s">
        <v>314</v>
      </c>
      <c r="H130" s="235"/>
      <c r="I130" s="235"/>
      <c r="J130" s="235"/>
      <c r="K130" s="235"/>
      <c r="L130" s="235"/>
      <c r="M130" s="235"/>
    </row>
    <row r="131" spans="1:13" s="2" customFormat="1" ht="12.75">
      <c r="A131" s="318"/>
      <c r="B131" s="318"/>
      <c r="C131" s="318"/>
      <c r="D131" s="318"/>
      <c r="E131" s="318"/>
      <c r="F131" s="318"/>
      <c r="G131" s="318"/>
      <c r="H131" s="318"/>
      <c r="I131" s="318"/>
      <c r="J131" s="318"/>
      <c r="K131" s="318"/>
      <c r="L131" s="318"/>
      <c r="M131" s="318"/>
    </row>
    <row r="132" spans="3:6" s="2" customFormat="1" ht="12.75">
      <c r="C132" s="71"/>
      <c r="F132" s="228"/>
    </row>
    <row r="133" spans="1:13" ht="15">
      <c r="A133" s="234" t="s">
        <v>717</v>
      </c>
      <c r="B133" s="236"/>
      <c r="C133" s="235"/>
      <c r="D133" s="235"/>
      <c r="E133" s="235"/>
      <c r="F133" s="321"/>
      <c r="G133" s="235"/>
      <c r="H133" s="235"/>
      <c r="I133" s="235"/>
      <c r="J133" s="235"/>
      <c r="K133" s="235"/>
      <c r="L133" s="235"/>
      <c r="M133" s="235"/>
    </row>
    <row r="134" spans="1:13" ht="15">
      <c r="A134" s="234"/>
      <c r="B134" s="236"/>
      <c r="C134" s="235"/>
      <c r="D134" s="235"/>
      <c r="E134" s="235"/>
      <c r="F134" s="321"/>
      <c r="G134" s="235"/>
      <c r="H134" s="235"/>
      <c r="I134" s="235"/>
      <c r="J134" s="235"/>
      <c r="K134" s="235"/>
      <c r="L134" s="235"/>
      <c r="M134" s="235"/>
    </row>
    <row r="135" spans="1:13" ht="12.75">
      <c r="A135" s="235"/>
      <c r="B135" s="335" t="s">
        <v>85</v>
      </c>
      <c r="C135" s="235"/>
      <c r="D135" s="235"/>
      <c r="E135" s="235"/>
      <c r="F135" s="392"/>
      <c r="G135" s="342"/>
      <c r="H135" s="342"/>
      <c r="I135" s="342"/>
      <c r="J135" s="235"/>
      <c r="K135" s="235"/>
      <c r="L135" s="235"/>
      <c r="M135" s="235"/>
    </row>
    <row r="136" spans="1:13" ht="13.5" thickBot="1">
      <c r="A136" s="235"/>
      <c r="B136" s="318"/>
      <c r="C136" s="323" t="s">
        <v>726</v>
      </c>
      <c r="D136" s="235"/>
      <c r="E136" s="235"/>
      <c r="F136" s="461">
        <f>(F67/190)*836*0.000909</f>
        <v>0</v>
      </c>
      <c r="G136" s="343" t="s">
        <v>86</v>
      </c>
      <c r="H136" s="343"/>
      <c r="I136" s="343"/>
      <c r="J136" s="323"/>
      <c r="K136" s="235"/>
      <c r="L136" s="235"/>
      <c r="M136" s="235"/>
    </row>
    <row r="137" spans="1:13" ht="13.5" thickBot="1">
      <c r="A137" s="235"/>
      <c r="B137" s="318"/>
      <c r="C137" s="235" t="s">
        <v>87</v>
      </c>
      <c r="D137" s="235"/>
      <c r="E137" s="235"/>
      <c r="F137" s="462">
        <f>F136*2.20462262*F66*2</f>
        <v>0</v>
      </c>
      <c r="G137" s="342" t="s">
        <v>303</v>
      </c>
      <c r="H137" s="342"/>
      <c r="I137" s="342"/>
      <c r="J137" s="235"/>
      <c r="K137" s="235"/>
      <c r="L137" s="235"/>
      <c r="M137" s="235"/>
    </row>
    <row r="138" spans="1:13" ht="12.75">
      <c r="A138" s="235"/>
      <c r="B138" s="335" t="s">
        <v>728</v>
      </c>
      <c r="C138" s="320"/>
      <c r="D138" s="235"/>
      <c r="E138" s="235"/>
      <c r="F138" s="447"/>
      <c r="G138" s="320"/>
      <c r="H138" s="318"/>
      <c r="I138" s="318"/>
      <c r="J138" s="235"/>
      <c r="K138" s="235"/>
      <c r="L138" s="235"/>
      <c r="M138" s="235"/>
    </row>
    <row r="139" spans="1:13" ht="12.75">
      <c r="A139" s="235"/>
      <c r="B139" s="318"/>
      <c r="C139" s="322" t="s">
        <v>727</v>
      </c>
      <c r="D139" s="235"/>
      <c r="E139" s="235"/>
      <c r="F139" s="463">
        <f>(2*F67)+43.5</f>
        <v>43.5</v>
      </c>
      <c r="G139" s="330" t="s">
        <v>729</v>
      </c>
      <c r="H139" s="327"/>
      <c r="I139" s="327"/>
      <c r="J139" s="235"/>
      <c r="K139" s="235"/>
      <c r="L139" s="235"/>
      <c r="M139" s="235"/>
    </row>
    <row r="140" spans="1:13" ht="12.75">
      <c r="A140" s="235"/>
      <c r="B140" s="318"/>
      <c r="C140" s="322" t="s">
        <v>894</v>
      </c>
      <c r="D140" s="235"/>
      <c r="E140" s="235"/>
      <c r="F140" s="464">
        <f>K61*102790.23</f>
        <v>0</v>
      </c>
      <c r="G140" s="330" t="s">
        <v>896</v>
      </c>
      <c r="H140" s="235"/>
      <c r="I140" s="330"/>
      <c r="J140" s="235"/>
      <c r="K140" s="235"/>
      <c r="L140" s="235"/>
      <c r="M140" s="235"/>
    </row>
    <row r="141" spans="1:13" ht="13.5" thickBot="1">
      <c r="A141" s="235"/>
      <c r="B141" s="318"/>
      <c r="C141" s="320" t="s">
        <v>88</v>
      </c>
      <c r="D141" s="235"/>
      <c r="E141" s="235"/>
      <c r="F141" s="465">
        <f>F139*F140</f>
        <v>0</v>
      </c>
      <c r="G141" s="330" t="s">
        <v>895</v>
      </c>
      <c r="H141" s="235"/>
      <c r="I141" s="330"/>
      <c r="J141" s="235"/>
      <c r="K141" s="235"/>
      <c r="L141" s="235"/>
      <c r="M141" s="235"/>
    </row>
    <row r="142" spans="1:13" ht="13.5" thickBot="1">
      <c r="A142" s="235"/>
      <c r="B142" s="318"/>
      <c r="C142" s="320" t="s">
        <v>88</v>
      </c>
      <c r="D142" s="235"/>
      <c r="E142" s="235"/>
      <c r="F142" s="466">
        <f>F141*0.0000000022</f>
        <v>0</v>
      </c>
      <c r="G142" s="327" t="s">
        <v>303</v>
      </c>
      <c r="H142" s="327"/>
      <c r="I142" s="327"/>
      <c r="J142" s="235"/>
      <c r="K142" s="235"/>
      <c r="L142" s="235"/>
      <c r="M142" s="235"/>
    </row>
    <row r="143" spans="1:13" s="2" customFormat="1" ht="15.75" thickBot="1">
      <c r="A143" s="234"/>
      <c r="B143" s="236" t="s">
        <v>906</v>
      </c>
      <c r="C143" s="320"/>
      <c r="D143" s="235"/>
      <c r="E143" s="235"/>
      <c r="F143" s="318"/>
      <c r="G143" s="318"/>
      <c r="H143" s="318"/>
      <c r="I143" s="318"/>
      <c r="J143" s="235"/>
      <c r="K143" s="321"/>
      <c r="L143" s="481"/>
      <c r="M143" s="362"/>
    </row>
    <row r="144" spans="1:13" s="2" customFormat="1" ht="12.75" customHeight="1" thickBot="1">
      <c r="A144" s="234"/>
      <c r="B144" s="236"/>
      <c r="C144" s="322" t="s">
        <v>905</v>
      </c>
      <c r="D144" s="235"/>
      <c r="E144" s="235"/>
      <c r="F144" s="462">
        <f>J121</f>
        <v>0</v>
      </c>
      <c r="G144" s="344" t="s">
        <v>303</v>
      </c>
      <c r="H144" s="318"/>
      <c r="I144" s="318"/>
      <c r="J144" s="235"/>
      <c r="K144" s="482"/>
      <c r="L144" s="482"/>
      <c r="M144" s="362"/>
    </row>
    <row r="145" spans="1:13" s="2" customFormat="1" ht="12.75">
      <c r="A145" s="235"/>
      <c r="B145" s="235"/>
      <c r="C145" s="322"/>
      <c r="D145" s="235"/>
      <c r="E145" s="235"/>
      <c r="F145" s="318"/>
      <c r="G145" s="318"/>
      <c r="H145" s="318"/>
      <c r="I145" s="318"/>
      <c r="J145" s="323"/>
      <c r="K145" s="482"/>
      <c r="L145" s="482"/>
      <c r="M145" s="364"/>
    </row>
    <row r="146" spans="1:13" ht="12.75">
      <c r="A146" s="236"/>
      <c r="B146" s="236"/>
      <c r="C146" s="235"/>
      <c r="D146" s="235"/>
      <c r="E146" s="235"/>
      <c r="F146" s="321"/>
      <c r="G146" s="235"/>
      <c r="H146" s="235"/>
      <c r="I146" s="235"/>
      <c r="J146" s="235"/>
      <c r="K146" s="235"/>
      <c r="L146" s="235"/>
      <c r="M146" s="235"/>
    </row>
    <row r="147" spans="1:13" ht="13.5" thickBot="1">
      <c r="A147" s="235"/>
      <c r="B147" s="235"/>
      <c r="C147" s="235"/>
      <c r="D147" s="235"/>
      <c r="E147" s="235"/>
      <c r="F147" s="236" t="s">
        <v>711</v>
      </c>
      <c r="G147" s="235"/>
      <c r="H147" s="235"/>
      <c r="I147" s="236"/>
      <c r="J147" s="236" t="s">
        <v>712</v>
      </c>
      <c r="K147" s="235"/>
      <c r="L147" s="235"/>
      <c r="M147" s="235"/>
    </row>
    <row r="148" spans="1:13" ht="13.5" thickBot="1">
      <c r="A148" s="235"/>
      <c r="B148" s="330" t="s">
        <v>718</v>
      </c>
      <c r="C148" s="235"/>
      <c r="D148" s="330"/>
      <c r="E148" s="330"/>
      <c r="F148" s="183">
        <f>F142+F137+F144</f>
        <v>0</v>
      </c>
      <c r="G148" s="330" t="s">
        <v>303</v>
      </c>
      <c r="H148" s="348"/>
      <c r="I148" s="327"/>
      <c r="J148" s="385">
        <f>F66</f>
        <v>0</v>
      </c>
      <c r="K148" s="333" t="s">
        <v>423</v>
      </c>
      <c r="L148" s="348"/>
      <c r="M148" s="235"/>
    </row>
    <row r="149" spans="1:13" ht="12.75" customHeight="1">
      <c r="A149" s="235"/>
      <c r="B149" s="344" t="s">
        <v>719</v>
      </c>
      <c r="C149" s="318"/>
      <c r="D149" s="318"/>
      <c r="E149" s="235"/>
      <c r="F149" s="113">
        <f>F148*F51</f>
        <v>0</v>
      </c>
      <c r="G149" s="320" t="s">
        <v>303</v>
      </c>
      <c r="H149" s="349"/>
      <c r="I149" s="235"/>
      <c r="J149" s="386">
        <f>J148*F51</f>
        <v>0</v>
      </c>
      <c r="K149" s="323" t="s">
        <v>423</v>
      </c>
      <c r="L149" s="235"/>
      <c r="M149" s="235"/>
    </row>
    <row r="150" spans="1:13" ht="12.75" customHeight="1">
      <c r="A150" s="235"/>
      <c r="B150" s="344" t="s">
        <v>720</v>
      </c>
      <c r="C150" s="318"/>
      <c r="D150" s="318"/>
      <c r="E150" s="235"/>
      <c r="F150" s="113">
        <f>F149-(F149*(1-K46)*(1-L46))</f>
        <v>0</v>
      </c>
      <c r="G150" s="235" t="s">
        <v>303</v>
      </c>
      <c r="H150" s="324"/>
      <c r="I150" s="235"/>
      <c r="J150" s="168">
        <f>J149-(J149*(1-K47)*(1-L47))</f>
        <v>0</v>
      </c>
      <c r="K150" s="323" t="s">
        <v>423</v>
      </c>
      <c r="L150" s="235"/>
      <c r="M150" s="235"/>
    </row>
    <row r="151" spans="1:13" ht="12.75" customHeight="1" thickBot="1">
      <c r="A151" s="235"/>
      <c r="B151" s="344" t="s">
        <v>721</v>
      </c>
      <c r="C151" s="318"/>
      <c r="D151" s="318"/>
      <c r="E151" s="235"/>
      <c r="F151" s="168">
        <f>IF(B28=B250,(((F149-F150)*4*F33)/F45)+((F35*F31*(F149-F150))/F45),0)</f>
        <v>0</v>
      </c>
      <c r="G151" s="235" t="s">
        <v>303</v>
      </c>
      <c r="H151" s="324"/>
      <c r="I151" s="235"/>
      <c r="J151" s="113">
        <f>IF(B28=B250,(((J149-J150)*4*H33)/F45)+((H35*F31*(J149-J150))/F45),0)</f>
        <v>0</v>
      </c>
      <c r="K151" s="323" t="s">
        <v>423</v>
      </c>
      <c r="L151" s="235"/>
      <c r="M151" s="235"/>
    </row>
    <row r="152" spans="1:13" ht="12.75" customHeight="1" thickBot="1">
      <c r="A152" s="235"/>
      <c r="B152" s="344" t="s">
        <v>722</v>
      </c>
      <c r="C152" s="318"/>
      <c r="D152" s="318"/>
      <c r="E152" s="235"/>
      <c r="F152" s="169">
        <f>(F149-F150-F151)*F45</f>
        <v>0</v>
      </c>
      <c r="G152" s="320" t="s">
        <v>314</v>
      </c>
      <c r="H152" s="349"/>
      <c r="I152" s="235"/>
      <c r="J152" s="169">
        <f>(J149-J150-J151)*F45</f>
        <v>0</v>
      </c>
      <c r="K152" s="323" t="s">
        <v>686</v>
      </c>
      <c r="L152" s="235"/>
      <c r="M152" s="235"/>
    </row>
    <row r="153" spans="1:13" ht="12.75" customHeight="1">
      <c r="A153" s="235"/>
      <c r="B153" s="323" t="s">
        <v>723</v>
      </c>
      <c r="C153" s="320"/>
      <c r="D153" s="235"/>
      <c r="E153" s="235"/>
      <c r="F153" s="467" t="str">
        <f>IF(F45=0,"0",F152/F45)</f>
        <v>0</v>
      </c>
      <c r="G153" s="318" t="s">
        <v>446</v>
      </c>
      <c r="H153" s="318"/>
      <c r="I153" s="318"/>
      <c r="J153" s="468" t="str">
        <f>IF(F45=0,"0",J152/F45)</f>
        <v>0</v>
      </c>
      <c r="K153" s="323" t="s">
        <v>684</v>
      </c>
      <c r="L153" s="235"/>
      <c r="M153" s="235"/>
    </row>
    <row r="154" spans="1:13" ht="12.75" customHeight="1">
      <c r="A154" s="235"/>
      <c r="B154" s="236"/>
      <c r="C154" s="235"/>
      <c r="D154" s="235"/>
      <c r="E154" s="235"/>
      <c r="F154" s="327"/>
      <c r="G154" s="318"/>
      <c r="H154" s="318"/>
      <c r="I154" s="318"/>
      <c r="J154" s="235"/>
      <c r="K154" s="235"/>
      <c r="L154" s="235"/>
      <c r="M154" s="235"/>
    </row>
    <row r="156" spans="1:13" ht="15">
      <c r="A156" s="234" t="s">
        <v>436</v>
      </c>
      <c r="B156" s="235"/>
      <c r="C156" s="235"/>
      <c r="D156" s="235"/>
      <c r="E156" s="235"/>
      <c r="F156" s="235"/>
      <c r="G156" s="235"/>
      <c r="H156" s="235"/>
      <c r="I156" s="235"/>
      <c r="J156" s="235"/>
      <c r="K156" s="235"/>
      <c r="L156" s="235"/>
      <c r="M156" s="235"/>
    </row>
    <row r="157" spans="1:13" ht="12.75">
      <c r="A157" s="236"/>
      <c r="B157" s="235"/>
      <c r="C157" s="235"/>
      <c r="D157" s="235"/>
      <c r="E157" s="235"/>
      <c r="F157" s="235"/>
      <c r="G157" s="235"/>
      <c r="H157" s="235"/>
      <c r="I157" s="235"/>
      <c r="J157" s="235"/>
      <c r="K157" s="235"/>
      <c r="L157" s="235"/>
      <c r="M157" s="235"/>
    </row>
    <row r="158" spans="1:13" ht="12.75" customHeight="1">
      <c r="A158" s="235"/>
      <c r="B158" s="591"/>
      <c r="C158" s="591"/>
      <c r="D158" s="591"/>
      <c r="E158" s="591"/>
      <c r="F158" s="235"/>
      <c r="G158" s="235"/>
      <c r="H158" s="235"/>
      <c r="I158" s="235"/>
      <c r="J158" s="235"/>
      <c r="K158" s="235"/>
      <c r="L158" s="610" t="s">
        <v>695</v>
      </c>
      <c r="M158" s="610" t="s">
        <v>696</v>
      </c>
    </row>
    <row r="159" spans="1:13" ht="12.75" customHeight="1">
      <c r="A159" s="235"/>
      <c r="B159" s="316" t="s">
        <v>365</v>
      </c>
      <c r="C159" s="327" t="s">
        <v>438</v>
      </c>
      <c r="D159" s="235"/>
      <c r="E159" s="316"/>
      <c r="F159" s="235"/>
      <c r="G159" s="638" t="s">
        <v>71</v>
      </c>
      <c r="H159" s="639"/>
      <c r="I159" s="639"/>
      <c r="J159" s="639"/>
      <c r="K159" s="350" t="s">
        <v>70</v>
      </c>
      <c r="L159" s="611"/>
      <c r="M159" s="611"/>
    </row>
    <row r="160" spans="1:13" ht="12.75" customHeight="1">
      <c r="A160" s="235"/>
      <c r="B160" s="235"/>
      <c r="C160" s="235"/>
      <c r="D160" s="235"/>
      <c r="E160" s="618">
        <f>'CREDIT CALCULATION FORM'!F148</f>
        <v>0</v>
      </c>
      <c r="F160" s="622"/>
      <c r="G160" s="596">
        <f>IF(E160=$E$276,CONCATENATE(E160,$F$167),IF(E160="Continuous No-Till*",CONCATENATE(E160,$F$52),IF(OR(E160=$E$281,E160=$E$282,E160=$E$283,E160=$E$284),CONCATENATE(E160,$F$46),E160)))</f>
        <v>0</v>
      </c>
      <c r="H160" s="597"/>
      <c r="I160" s="597"/>
      <c r="J160" s="598"/>
      <c r="K160" s="457">
        <f>IF(OR(E160=$E$281,E160=$E$282,E160=$E$283,E160=$E$284),CONCATENATE($F$49,VLOOKUP(G160,'BMPs and Bay Model Data'!$D$150:$E$168,2,FALSE)),'Calculations- All Data'!G160)</f>
        <v>0</v>
      </c>
      <c r="L160" s="469">
        <f>IF(OR(E160=$E$281,E160=$E$282,E160=$E$283,E160=$E$284),VLOOKUP(K160,'BMPs and Bay Model Data'!$A$172:$D$353,3,FALSE),VLOOKUP(K160,'BMPs and Bay Model Data'!$C$36:$F$59,3,FALSE))</f>
        <v>0</v>
      </c>
      <c r="M160" s="469">
        <f>IF(OR(E160=$E$281,E160=$E$282,E160=$E$283,E160=$E$284),VLOOKUP(K160,'BMPs and Bay Model Data'!$A$172:$D$353,4,FALSE),VLOOKUP(K160,'BMPs and Bay Model Data'!$C$36:$F$59,4,FALSE))</f>
        <v>0</v>
      </c>
    </row>
    <row r="161" spans="1:14" ht="12.75" customHeight="1">
      <c r="A161" s="235"/>
      <c r="B161" s="235"/>
      <c r="C161" s="235"/>
      <c r="D161" s="235"/>
      <c r="E161" s="618">
        <f>'CREDIT CALCULATION FORM'!F149</f>
        <v>0</v>
      </c>
      <c r="F161" s="619"/>
      <c r="G161" s="596">
        <f>IF(E161=$E$276,CONCATENATE(E161,$F$167),IF(E161="Continuous No-Till*",CONCATENATE(E161,$F$52),IF(OR(E161=$E$281,E161=$E$282,E161=$E$283,E161=$E$284),CONCATENATE(E161,$F$46),E161)))</f>
        <v>0</v>
      </c>
      <c r="H161" s="597"/>
      <c r="I161" s="597"/>
      <c r="J161" s="598"/>
      <c r="K161" s="457">
        <f>IF(OR(E161=$E$281,E161=$E$282,E161=$E$283,E161=$E$284),CONCATENATE($F$49,VLOOKUP(G161,'BMPs and Bay Model Data'!$D$150:$E$168,2,FALSE)),'Calculations- All Data'!G161)</f>
        <v>0</v>
      </c>
      <c r="L161" s="469">
        <f>IF(OR(E161=$E$281,E161=$E$282,E161=$E$283,E161=$E$284),VLOOKUP(K161,'BMPs and Bay Model Data'!$A$172:$D$353,3,FALSE),VLOOKUP(K161,'BMPs and Bay Model Data'!$C$36:$F$59,3,FALSE))</f>
        <v>0</v>
      </c>
      <c r="M161" s="469">
        <f>IF(OR(E161=$E$281,E161=$E$282,E161=$E$283,E161=$E$284),VLOOKUP(K161,'BMPs and Bay Model Data'!$A$172:$D$353,4,FALSE),VLOOKUP(K161,'BMPs and Bay Model Data'!$C$36:$F$59,4,FALSE))</f>
        <v>0</v>
      </c>
      <c r="N161" s="140"/>
    </row>
    <row r="162" spans="1:13" ht="12.75" customHeight="1">
      <c r="A162" s="235"/>
      <c r="B162" s="235"/>
      <c r="C162" s="235"/>
      <c r="D162" s="235"/>
      <c r="E162" s="618">
        <f>'CREDIT CALCULATION FORM'!F150</f>
        <v>0</v>
      </c>
      <c r="F162" s="619"/>
      <c r="G162" s="596">
        <f>IF(E162=$E$276,CONCATENATE(E162,$F$167),IF(E162="Continuous No-Till*",CONCATENATE(E162,$F$52),IF(OR(E162=$E$281,E162=$E$282,E162=$E$283,E162=$E$284),CONCATENATE(E162,$F$46),E162)))</f>
        <v>0</v>
      </c>
      <c r="H162" s="597"/>
      <c r="I162" s="597"/>
      <c r="J162" s="598"/>
      <c r="K162" s="457">
        <f>IF(OR(E162=$E$281,E162=$E$282,E162=$E$283,E162=$E$284),CONCATENATE($F$49,VLOOKUP(G162,'BMPs and Bay Model Data'!$D$150:$E$168,2,FALSE)),'Calculations- All Data'!G162)</f>
        <v>0</v>
      </c>
      <c r="L162" s="469">
        <f>IF(OR(E162=$E$281,E162=$E$282,E162=$E$283,E162=$E$284),VLOOKUP(K162,'BMPs and Bay Model Data'!$A$172:$D$353,3,FALSE),VLOOKUP(K162,'BMPs and Bay Model Data'!$C$36:$F$59,3,FALSE))</f>
        <v>0</v>
      </c>
      <c r="M162" s="469">
        <f>IF(OR(E162=$E$281,E162=$E$282,E162=$E$283,E162=$E$284),VLOOKUP(K162,'BMPs and Bay Model Data'!$A$172:$D$353,4,FALSE),VLOOKUP(K162,'BMPs and Bay Model Data'!$C$36:$F$59,4,FALSE))</f>
        <v>0</v>
      </c>
    </row>
    <row r="163" spans="1:13" ht="12.75" customHeight="1">
      <c r="A163" s="235"/>
      <c r="B163" s="235"/>
      <c r="C163" s="235"/>
      <c r="D163" s="235"/>
      <c r="E163" s="618">
        <f>'CREDIT CALCULATION FORM'!F151</f>
        <v>0</v>
      </c>
      <c r="F163" s="619"/>
      <c r="G163" s="596">
        <f>IF(E163=$E$276,CONCATENATE(E163,$F$167),IF(E163="Continuous No-Till*",CONCATENATE(E163,$F$52),IF(OR(E163=$E$281,E163=$E$282,E163=$E$283,E163=$E$284),CONCATENATE(E163,$F$46),E163)))</f>
        <v>0</v>
      </c>
      <c r="H163" s="597"/>
      <c r="I163" s="597"/>
      <c r="J163" s="598"/>
      <c r="K163" s="457">
        <f>IF(OR(E163=$E$281,E163=$E$282,E163=$E$283,E163=$E$284),CONCATENATE($F$49,VLOOKUP(G163,'BMPs and Bay Model Data'!$D$150:$E$168,2,FALSE)),'Calculations- All Data'!G163)</f>
        <v>0</v>
      </c>
      <c r="L163" s="469">
        <f>IF(OR(E163=$E$281,E163=$E$282,E163=$E$283,E163=$E$284),VLOOKUP(K163,'BMPs and Bay Model Data'!$A$172:$D$353,3,FALSE),VLOOKUP(K163,'BMPs and Bay Model Data'!$C$36:$F$59,3,FALSE))</f>
        <v>0</v>
      </c>
      <c r="M163" s="469">
        <f>IF(OR(E163=$E$281,E163=$E$282,E163=$E$283,E163=$E$284),VLOOKUP(K163,'BMPs and Bay Model Data'!$A$172:$D$353,4,FALSE),VLOOKUP(K163,'BMPs and Bay Model Data'!$C$36:$F$59,4,FALSE))</f>
        <v>0</v>
      </c>
    </row>
    <row r="164" spans="1:13" ht="22.5" customHeight="1">
      <c r="A164" s="235"/>
      <c r="B164" s="235"/>
      <c r="C164" s="235"/>
      <c r="D164" s="235"/>
      <c r="E164" s="352"/>
      <c r="F164" s="352"/>
      <c r="G164" s="321"/>
      <c r="H164" s="327"/>
      <c r="I164" s="355"/>
      <c r="J164" s="356"/>
      <c r="K164" s="235"/>
      <c r="L164" s="321"/>
      <c r="M164" s="321"/>
    </row>
    <row r="165" spans="1:13" ht="12.75" customHeight="1">
      <c r="A165" s="235"/>
      <c r="B165" s="235"/>
      <c r="C165" s="235"/>
      <c r="D165" s="318" t="s">
        <v>445</v>
      </c>
      <c r="E165" s="353"/>
      <c r="F165" s="118">
        <f>'CREDIT CALCULATION FORM'!F153</f>
        <v>0</v>
      </c>
      <c r="G165" s="317" t="s">
        <v>430</v>
      </c>
      <c r="H165" s="327"/>
      <c r="I165" s="355"/>
      <c r="J165" s="356"/>
      <c r="K165" s="356"/>
      <c r="L165" s="321"/>
      <c r="M165" s="321"/>
    </row>
    <row r="166" spans="1:13" ht="12.75" customHeight="1">
      <c r="A166" s="235"/>
      <c r="B166" s="235"/>
      <c r="C166" s="235"/>
      <c r="D166" s="323" t="s">
        <v>442</v>
      </c>
      <c r="E166" s="235"/>
      <c r="F166" s="327"/>
      <c r="G166" s="327"/>
      <c r="H166" s="327"/>
      <c r="I166" s="327"/>
      <c r="J166" s="327"/>
      <c r="K166" s="327"/>
      <c r="L166" s="235"/>
      <c r="M166" s="235"/>
    </row>
    <row r="167" spans="1:13" ht="12.75">
      <c r="A167" s="235"/>
      <c r="B167" s="235"/>
      <c r="C167" s="235"/>
      <c r="D167" s="235" t="s">
        <v>431</v>
      </c>
      <c r="E167" s="235"/>
      <c r="F167" s="613">
        <f>'CREDIT CALCULATION FORM'!F155:K155</f>
        <v>0</v>
      </c>
      <c r="G167" s="646"/>
      <c r="H167" s="646"/>
      <c r="I167" s="646"/>
      <c r="J167" s="647"/>
      <c r="K167" s="337"/>
      <c r="L167" s="235"/>
      <c r="M167" s="235"/>
    </row>
    <row r="168" spans="1:13" ht="13.5" thickBot="1">
      <c r="A168" s="235"/>
      <c r="B168" s="235"/>
      <c r="C168" s="235"/>
      <c r="D168" s="235"/>
      <c r="E168" s="352"/>
      <c r="F168" s="352"/>
      <c r="G168" s="321"/>
      <c r="H168" s="327"/>
      <c r="I168" s="355"/>
      <c r="J168" s="356"/>
      <c r="K168" s="356"/>
      <c r="L168" s="321"/>
      <c r="M168" s="321"/>
    </row>
    <row r="169" spans="1:13" ht="13.5" thickBot="1">
      <c r="A169" s="235"/>
      <c r="B169" s="235"/>
      <c r="C169" s="235"/>
      <c r="D169" s="330" t="s">
        <v>697</v>
      </c>
      <c r="E169" s="354"/>
      <c r="F169" s="470">
        <f>(F153-(F153*(1-L160)*(1-L161)*(1-L162)*(1-L163)))*F165</f>
        <v>0</v>
      </c>
      <c r="G169" s="333" t="s">
        <v>698</v>
      </c>
      <c r="H169" s="644">
        <f>(J153-(J153*(1-M160)*(1-M161)*(1-M162)*(1-M163)))*F165</f>
        <v>0</v>
      </c>
      <c r="I169" s="645"/>
      <c r="J169" s="333" t="s">
        <v>769</v>
      </c>
      <c r="K169" s="356"/>
      <c r="L169" s="321"/>
      <c r="M169" s="321"/>
    </row>
    <row r="170" spans="1:13" ht="12.75">
      <c r="A170" s="235"/>
      <c r="B170" s="235"/>
      <c r="C170" s="235"/>
      <c r="D170" s="351" t="s">
        <v>447</v>
      </c>
      <c r="E170" s="354"/>
      <c r="F170" s="471" t="str">
        <f>IF(F45=0,"0",(F152-F169)/F45)</f>
        <v>0</v>
      </c>
      <c r="G170" s="333" t="s">
        <v>699</v>
      </c>
      <c r="H170" s="643" t="str">
        <f>IF(F45=0,"0",(J152-H169)/F45)</f>
        <v>0</v>
      </c>
      <c r="I170" s="643"/>
      <c r="J170" s="333" t="s">
        <v>770</v>
      </c>
      <c r="K170" s="356"/>
      <c r="L170" s="321"/>
      <c r="M170" s="321"/>
    </row>
    <row r="171" spans="1:13" ht="15" customHeight="1">
      <c r="A171" s="235"/>
      <c r="B171" s="235"/>
      <c r="C171" s="235"/>
      <c r="D171" s="235"/>
      <c r="E171" s="352"/>
      <c r="F171" s="352"/>
      <c r="G171" s="321"/>
      <c r="H171" s="327"/>
      <c r="I171" s="355"/>
      <c r="J171" s="356"/>
      <c r="K171" s="357"/>
      <c r="L171" s="358"/>
      <c r="M171" s="321"/>
    </row>
    <row r="172" spans="1:13" ht="3.75" customHeight="1">
      <c r="A172" s="220"/>
      <c r="B172" s="220"/>
      <c r="C172" s="220"/>
      <c r="D172" s="220"/>
      <c r="E172" s="224"/>
      <c r="F172" s="224"/>
      <c r="G172" s="221"/>
      <c r="H172" s="222"/>
      <c r="I172" s="223"/>
      <c r="J172" s="225"/>
      <c r="K172" s="226"/>
      <c r="L172" s="227"/>
      <c r="M172" s="221"/>
    </row>
    <row r="173" spans="1:13" ht="15" customHeight="1">
      <c r="A173" s="235"/>
      <c r="B173" s="235"/>
      <c r="C173" s="235"/>
      <c r="D173" s="235"/>
      <c r="E173" s="352"/>
      <c r="F173" s="352"/>
      <c r="G173" s="321"/>
      <c r="H173" s="327"/>
      <c r="I173" s="355"/>
      <c r="J173" s="356"/>
      <c r="K173" s="357"/>
      <c r="L173" s="358"/>
      <c r="M173" s="321"/>
    </row>
    <row r="174" spans="1:13" ht="12.75">
      <c r="A174" s="235"/>
      <c r="B174" s="235" t="s">
        <v>366</v>
      </c>
      <c r="C174" s="235" t="s">
        <v>439</v>
      </c>
      <c r="D174" s="235"/>
      <c r="E174" s="352"/>
      <c r="F174" s="359" t="s">
        <v>65</v>
      </c>
      <c r="G174" s="360"/>
      <c r="H174" s="641" t="s">
        <v>64</v>
      </c>
      <c r="I174" s="642"/>
      <c r="J174" s="642"/>
      <c r="K174" s="357"/>
      <c r="L174" s="361"/>
      <c r="M174" s="321"/>
    </row>
    <row r="175" spans="1:13" ht="12.75">
      <c r="A175" s="235"/>
      <c r="B175" s="235"/>
      <c r="C175" s="235"/>
      <c r="D175" s="314" t="s">
        <v>702</v>
      </c>
      <c r="E175" s="167">
        <f>'CREDIT CALCULATION FORM'!F157</f>
        <v>0</v>
      </c>
      <c r="F175" s="596">
        <f>IF(OR(E175=$E$273,E175=$E$274,E175=$E$275),CONCATENATE($F$49,E175),E175)</f>
        <v>0</v>
      </c>
      <c r="G175" s="598"/>
      <c r="H175" s="635">
        <f>IF(OR(E175=$E$273,E175=$E$274,E175=$E$275),CONCATENATE(E175,$F$46),E175)</f>
        <v>0</v>
      </c>
      <c r="I175" s="636"/>
      <c r="J175" s="457">
        <f>IF(OR(E175=$E$273,E175=$E$274,E175=$E$275),CONCATENATE($F$49,VLOOKUP(H175,'BMPs and Bay Model Data'!$D$150:$E$168,2,FALSE)),0)</f>
        <v>0</v>
      </c>
      <c r="K175" s="321"/>
      <c r="L175" s="356"/>
      <c r="M175" s="362"/>
    </row>
    <row r="176" spans="1:13" ht="12.75">
      <c r="A176" s="235"/>
      <c r="B176" s="235"/>
      <c r="C176" s="235"/>
      <c r="D176" s="314" t="s">
        <v>703</v>
      </c>
      <c r="E176" s="167">
        <f>'CREDIT CALCULATION FORM'!F158</f>
        <v>0</v>
      </c>
      <c r="F176" s="596">
        <f>IF(OR(E176=$E$273,E176=$E$274,E176=$E$275),CONCATENATE($F$49,E176),E176)</f>
        <v>0</v>
      </c>
      <c r="G176" s="598"/>
      <c r="H176" s="637">
        <f>IF(OR(E176=$E$273,E176=$E$274,E176=$E$275),CONCATENATE(E176,$F$46),E176)</f>
        <v>0</v>
      </c>
      <c r="I176" s="637"/>
      <c r="J176" s="457">
        <f>IF(OR(E176=$E$273,E176=$E$274,E176=$E$275),CONCATENATE($F$49,VLOOKUP(H176,'BMPs and Bay Model Data'!$D$150:$E$168,2,FALSE)),0)</f>
        <v>0</v>
      </c>
      <c r="K176" s="321"/>
      <c r="L176" s="363"/>
      <c r="M176" s="364"/>
    </row>
    <row r="177" spans="1:13" ht="12.75">
      <c r="A177" s="235"/>
      <c r="B177" s="235"/>
      <c r="C177" s="235"/>
      <c r="D177" s="314"/>
      <c r="E177" s="364"/>
      <c r="F177" s="327"/>
      <c r="G177" s="327"/>
      <c r="H177" s="351"/>
      <c r="I177" s="351"/>
      <c r="J177" s="321"/>
      <c r="K177" s="321"/>
      <c r="L177" s="363"/>
      <c r="M177" s="364"/>
    </row>
    <row r="178" spans="1:13" ht="12.75">
      <c r="A178" s="235"/>
      <c r="B178" s="235"/>
      <c r="C178" s="235"/>
      <c r="D178" s="314"/>
      <c r="E178" s="364"/>
      <c r="F178" s="327" t="s">
        <v>711</v>
      </c>
      <c r="G178" s="327"/>
      <c r="H178" s="351" t="s">
        <v>712</v>
      </c>
      <c r="I178" s="351"/>
      <c r="J178" s="321"/>
      <c r="K178" s="321"/>
      <c r="L178" s="363"/>
      <c r="M178" s="364"/>
    </row>
    <row r="179" spans="1:13" ht="12.75" customHeight="1">
      <c r="A179" s="235"/>
      <c r="B179" s="235"/>
      <c r="C179" s="235"/>
      <c r="D179" s="388" t="s">
        <v>724</v>
      </c>
      <c r="E179" s="388"/>
      <c r="F179" s="235"/>
      <c r="G179" s="387"/>
      <c r="H179" s="320"/>
      <c r="I179" s="356"/>
      <c r="J179" s="327"/>
      <c r="K179" s="321"/>
      <c r="L179" s="321"/>
      <c r="M179" s="321"/>
    </row>
    <row r="180" spans="1:13" ht="12.75">
      <c r="A180" s="235"/>
      <c r="B180" s="235"/>
      <c r="C180" s="235"/>
      <c r="D180" s="235"/>
      <c r="E180" s="390" t="s">
        <v>702</v>
      </c>
      <c r="F180" s="472" t="str">
        <f>IF(OR(F175=$E$280,F175=$E$279,F175="NONE",F175=0),"0",VLOOKUP(F175,'BMPs and Bay Model Data'!$C$67:$F$144,3,FALSE))</f>
        <v>0</v>
      </c>
      <c r="G180" s="235"/>
      <c r="H180" s="472" t="str">
        <f>IF(OR(F175=$E$280,F175=$E$279,F175="NONE",F175=0),"0",VLOOKUP(F175,'BMPs and Bay Model Data'!$C$67:$F$144,4,FALSE))</f>
        <v>0</v>
      </c>
      <c r="I180" s="356"/>
      <c r="J180" s="327"/>
      <c r="K180" s="321"/>
      <c r="L180" s="321"/>
      <c r="M180" s="321"/>
    </row>
    <row r="181" spans="1:13" ht="12.75">
      <c r="A181" s="235"/>
      <c r="B181" s="235"/>
      <c r="C181" s="235"/>
      <c r="D181" s="235"/>
      <c r="E181" s="390" t="s">
        <v>703</v>
      </c>
      <c r="F181" s="472" t="str">
        <f>IF(OR(F176=$E$280,F176=$E$279,F176="NONE",F176=0),"0",VLOOKUP(F176,'BMPs and Bay Model Data'!$C$67:$F$144,3,FALSE))</f>
        <v>0</v>
      </c>
      <c r="G181" s="235"/>
      <c r="H181" s="472" t="str">
        <f>IF(OR(F176=$E$280,F176=$E$279,F176="NONE",F176=0),"0",VLOOKUP(F176,'BMPs and Bay Model Data'!$C$67:$F$144,4,FALSE))</f>
        <v>0</v>
      </c>
      <c r="I181" s="356"/>
      <c r="J181" s="327"/>
      <c r="K181" s="321"/>
      <c r="L181" s="321"/>
      <c r="M181" s="321"/>
    </row>
    <row r="182" spans="1:13" ht="12.75">
      <c r="A182" s="235"/>
      <c r="B182" s="235"/>
      <c r="C182" s="235"/>
      <c r="D182" s="235"/>
      <c r="E182" s="354"/>
      <c r="F182" s="370"/>
      <c r="G182" s="235"/>
      <c r="H182" s="370"/>
      <c r="I182" s="356"/>
      <c r="J182" s="327"/>
      <c r="K182" s="321"/>
      <c r="L182" s="321"/>
      <c r="M182" s="321"/>
    </row>
    <row r="183" spans="1:13" ht="12.75" customHeight="1">
      <c r="A183" s="235"/>
      <c r="B183" s="235"/>
      <c r="C183" s="235"/>
      <c r="D183" s="388" t="s">
        <v>725</v>
      </c>
      <c r="E183" s="388"/>
      <c r="F183" s="388"/>
      <c r="G183" s="389"/>
      <c r="H183" s="389"/>
      <c r="I183" s="356"/>
      <c r="J183" s="321"/>
      <c r="K183" s="235"/>
      <c r="L183" s="235"/>
      <c r="M183" s="321"/>
    </row>
    <row r="184" spans="1:13" ht="12.75">
      <c r="A184" s="235"/>
      <c r="B184" s="235"/>
      <c r="C184" s="235"/>
      <c r="D184" s="235"/>
      <c r="E184" s="366" t="s">
        <v>702</v>
      </c>
      <c r="F184" s="473" t="str">
        <f>IF(OR(F175=$E$280,F175=$E$279),VLOOKUP(F175,'BMPs and Bay Model Data'!$C$58:$F$59,3,FALSE),"0")</f>
        <v>0</v>
      </c>
      <c r="G184" s="333" t="s">
        <v>700</v>
      </c>
      <c r="H184" s="473" t="str">
        <f>IF(OR(F175=$E$280,F175=$E$279),VLOOKUP(F175,'BMPs and Bay Model Data'!$C$58:$F$59,4,FALSE),"0")</f>
        <v>0</v>
      </c>
      <c r="I184" s="333" t="s">
        <v>706</v>
      </c>
      <c r="J184" s="330"/>
      <c r="K184" s="235"/>
      <c r="L184" s="235"/>
      <c r="M184" s="321"/>
    </row>
    <row r="185" spans="1:13" ht="12.75">
      <c r="A185" s="235"/>
      <c r="B185" s="235"/>
      <c r="C185" s="235"/>
      <c r="D185" s="235"/>
      <c r="E185" s="366" t="s">
        <v>703</v>
      </c>
      <c r="F185" s="473" t="str">
        <f>IF(OR(F176=$E$280,F176=$E$279),VLOOKUP(F176,'BMPs and Bay Model Data'!$C$58:$F$59,3,FALSE),"0")</f>
        <v>0</v>
      </c>
      <c r="G185" s="333" t="s">
        <v>701</v>
      </c>
      <c r="H185" s="473" t="str">
        <f>IF(OR(F176=$E$280,F176=$E$279),VLOOKUP(F176,'BMPs and Bay Model Data'!$C$58:$F$59,4,FALSE),"0")</f>
        <v>0</v>
      </c>
      <c r="I185" s="333" t="s">
        <v>706</v>
      </c>
      <c r="J185" s="330"/>
      <c r="K185" s="235"/>
      <c r="L185" s="235"/>
      <c r="M185" s="321"/>
    </row>
    <row r="186" spans="1:13" ht="12.75">
      <c r="A186" s="235"/>
      <c r="B186" s="235"/>
      <c r="C186" s="235"/>
      <c r="D186" s="235"/>
      <c r="E186" s="366"/>
      <c r="F186" s="369"/>
      <c r="G186" s="333"/>
      <c r="H186" s="369"/>
      <c r="I186" s="333"/>
      <c r="J186" s="330"/>
      <c r="K186" s="370"/>
      <c r="L186" s="370"/>
      <c r="M186" s="321"/>
    </row>
    <row r="187" spans="1:13" s="2" customFormat="1" ht="12.75">
      <c r="A187" s="235"/>
      <c r="B187" s="235"/>
      <c r="C187" s="235"/>
      <c r="D187" s="318" t="s">
        <v>443</v>
      </c>
      <c r="E187" s="367"/>
      <c r="F187" s="371"/>
      <c r="G187" s="317"/>
      <c r="H187" s="355"/>
      <c r="I187" s="356"/>
      <c r="J187" s="327"/>
      <c r="K187" s="321"/>
      <c r="L187" s="321"/>
      <c r="M187" s="321"/>
    </row>
    <row r="188" spans="1:13" ht="12.75">
      <c r="A188" s="235"/>
      <c r="B188" s="235"/>
      <c r="C188" s="235"/>
      <c r="D188" s="318" t="s">
        <v>67</v>
      </c>
      <c r="E188" s="315"/>
      <c r="F188" s="218">
        <f>'CREDIT CALCULATION FORM'!F161</f>
        <v>0</v>
      </c>
      <c r="G188" s="317" t="s">
        <v>430</v>
      </c>
      <c r="H188" s="372"/>
      <c r="I188" s="316"/>
      <c r="J188" s="327"/>
      <c r="K188" s="355"/>
      <c r="L188" s="368"/>
      <c r="M188" s="368"/>
    </row>
    <row r="189" spans="1:13" ht="12.75">
      <c r="A189" s="235"/>
      <c r="B189" s="235"/>
      <c r="C189" s="235"/>
      <c r="D189" s="318"/>
      <c r="E189" s="315"/>
      <c r="F189" s="329"/>
      <c r="G189" s="317"/>
      <c r="H189" s="372"/>
      <c r="I189" s="348"/>
      <c r="J189" s="327"/>
      <c r="K189" s="355"/>
      <c r="L189" s="368"/>
      <c r="M189" s="368"/>
    </row>
    <row r="190" spans="1:13" ht="12.75">
      <c r="A190" s="235"/>
      <c r="B190" s="235"/>
      <c r="C190" s="235"/>
      <c r="D190" s="318" t="s">
        <v>66</v>
      </c>
      <c r="E190" s="315"/>
      <c r="F190" s="474" t="str">
        <f>IF(OR(E175=$E$273,E175=$E$274,E175=$E$275),VLOOKUP(J175,'BMPs and Bay Model Data'!A172:D353,3,FALSE),IF(OR(E176=$E$273,E176=$E$274,E176=$E$275),VLOOKUP(J176,'BMPs and Bay Model Data'!A172:D353,3,FALSE),"0"))</f>
        <v>0</v>
      </c>
      <c r="G190" s="373" t="s">
        <v>89</v>
      </c>
      <c r="H190" s="475" t="str">
        <f>IF(OR(E175=$E$273,E175=$E$274,E175=$E$275),VLOOKUP(J175,'BMPs and Bay Model Data'!A172:D353,4,FALSE),IF(OR(E176=$E$273,E176=$E$274,E176=$E$275),VLOOKUP(J176,'BMPs and Bay Model Data'!A172:D353,4,FALSE),"0"))</f>
        <v>0</v>
      </c>
      <c r="I190" s="365" t="s">
        <v>90</v>
      </c>
      <c r="J190" s="327"/>
      <c r="K190" s="355"/>
      <c r="L190" s="368"/>
      <c r="M190" s="368"/>
    </row>
    <row r="191" spans="1:13" ht="13.5" thickBot="1">
      <c r="A191" s="235"/>
      <c r="B191" s="235"/>
      <c r="C191" s="235"/>
      <c r="D191" s="318"/>
      <c r="E191" s="315"/>
      <c r="F191" s="376"/>
      <c r="G191" s="317"/>
      <c r="H191" s="372"/>
      <c r="I191" s="316"/>
      <c r="J191" s="327"/>
      <c r="K191" s="355"/>
      <c r="L191" s="368"/>
      <c r="M191" s="368"/>
    </row>
    <row r="192" spans="1:13" ht="13.5" thickBot="1">
      <c r="A192" s="235"/>
      <c r="B192" s="235"/>
      <c r="C192" s="235"/>
      <c r="D192" s="344" t="s">
        <v>704</v>
      </c>
      <c r="E192" s="315"/>
      <c r="F192" s="462">
        <f>(F170*F188*F190)</f>
        <v>0</v>
      </c>
      <c r="G192" s="373" t="s">
        <v>698</v>
      </c>
      <c r="H192" s="466">
        <f>(H170*F188*H190)</f>
        <v>0</v>
      </c>
      <c r="I192" s="330" t="s">
        <v>769</v>
      </c>
      <c r="J192" s="327"/>
      <c r="K192" s="355"/>
      <c r="L192" s="368"/>
      <c r="M192" s="368"/>
    </row>
    <row r="193" spans="1:13" ht="12.75">
      <c r="A193" s="235"/>
      <c r="B193" s="235"/>
      <c r="C193" s="235"/>
      <c r="D193" s="344"/>
      <c r="E193" s="315"/>
      <c r="F193" s="375"/>
      <c r="G193" s="373"/>
      <c r="H193" s="374"/>
      <c r="I193" s="330"/>
      <c r="J193" s="327"/>
      <c r="K193" s="355"/>
      <c r="L193" s="368"/>
      <c r="M193" s="368"/>
    </row>
    <row r="194" spans="1:13" ht="12.75">
      <c r="A194" s="235"/>
      <c r="B194" s="235"/>
      <c r="C194" s="235"/>
      <c r="D194" s="323" t="s">
        <v>444</v>
      </c>
      <c r="E194" s="235"/>
      <c r="F194" s="377"/>
      <c r="G194" s="327"/>
      <c r="H194" s="327"/>
      <c r="I194" s="327"/>
      <c r="J194" s="327"/>
      <c r="K194" s="327"/>
      <c r="L194" s="235"/>
      <c r="M194" s="235"/>
    </row>
    <row r="195" spans="1:13" ht="12.75">
      <c r="A195" s="235"/>
      <c r="B195" s="235"/>
      <c r="C195" s="324"/>
      <c r="D195" s="235" t="s">
        <v>432</v>
      </c>
      <c r="E195" s="235"/>
      <c r="F195" s="208">
        <f>'CREDIT CALCULATION FORM'!F163</f>
        <v>0</v>
      </c>
      <c r="G195" s="327" t="s">
        <v>380</v>
      </c>
      <c r="H195" s="327"/>
      <c r="I195" s="327"/>
      <c r="J195" s="327"/>
      <c r="K195" s="327"/>
      <c r="L195" s="235"/>
      <c r="M195" s="235"/>
    </row>
    <row r="196" spans="1:13" ht="12.75">
      <c r="A196" s="235"/>
      <c r="B196" s="235"/>
      <c r="C196" s="324"/>
      <c r="D196" s="235"/>
      <c r="E196" s="235"/>
      <c r="F196" s="329"/>
      <c r="G196" s="327"/>
      <c r="H196" s="327"/>
      <c r="I196" s="327"/>
      <c r="J196" s="327"/>
      <c r="K196" s="327"/>
      <c r="L196" s="235"/>
      <c r="M196" s="235"/>
    </row>
    <row r="197" spans="1:13" ht="12.75">
      <c r="A197" s="235"/>
      <c r="B197" s="235"/>
      <c r="C197" s="324"/>
      <c r="D197" s="323" t="s">
        <v>709</v>
      </c>
      <c r="E197" s="235"/>
      <c r="F197" s="476">
        <f>IF(AND(OR(E175=E279,E175=E280),OR(E176=E279,E176=E280)),$F$195*0.0041,$F$195*(SUM(F184,F185)))</f>
        <v>0</v>
      </c>
      <c r="G197" s="330" t="s">
        <v>698</v>
      </c>
      <c r="H197" s="459">
        <f>IF(AND(OR(E175=E279,E175=E280),OR(E176=E279,E176=E280)),$F$195*2.94,$F$195*(SUM(H184,H185)))</f>
        <v>0</v>
      </c>
      <c r="I197" s="330" t="s">
        <v>707</v>
      </c>
      <c r="J197" s="327"/>
      <c r="K197" s="459">
        <f>H197/2000</f>
        <v>0</v>
      </c>
      <c r="L197" s="330" t="s">
        <v>769</v>
      </c>
      <c r="M197" s="235"/>
    </row>
    <row r="198" spans="1:13" ht="12.75">
      <c r="A198" s="235"/>
      <c r="B198" s="235"/>
      <c r="C198" s="235"/>
      <c r="D198" s="235"/>
      <c r="E198" s="235"/>
      <c r="F198" s="327"/>
      <c r="G198" s="327"/>
      <c r="H198" s="327"/>
      <c r="I198" s="327"/>
      <c r="J198" s="327"/>
      <c r="K198" s="327"/>
      <c r="L198" s="235"/>
      <c r="M198" s="235"/>
    </row>
    <row r="199" spans="1:13" ht="13.5" thickBot="1">
      <c r="A199" s="235"/>
      <c r="B199" s="235"/>
      <c r="C199" s="235"/>
      <c r="D199" s="235"/>
      <c r="E199" s="235"/>
      <c r="F199" s="327"/>
      <c r="G199" s="327"/>
      <c r="H199" s="327"/>
      <c r="I199" s="327"/>
      <c r="J199" s="327"/>
      <c r="K199" s="327"/>
      <c r="L199" s="235"/>
      <c r="M199" s="235"/>
    </row>
    <row r="200" spans="1:13" ht="13.5" thickBot="1">
      <c r="A200" s="235"/>
      <c r="B200" s="235"/>
      <c r="C200" s="235"/>
      <c r="D200" s="323" t="s">
        <v>708</v>
      </c>
      <c r="E200" s="235"/>
      <c r="F200" s="462">
        <f>((F170-((F170)*(1-F180)*(1-F181)))*2)+F197+F192</f>
        <v>0</v>
      </c>
      <c r="G200" s="330" t="s">
        <v>698</v>
      </c>
      <c r="H200" s="462">
        <f>((H170-((H170)*(1-H180)*(1-H181)))*2)+K197+H192</f>
        <v>0</v>
      </c>
      <c r="I200" s="330" t="s">
        <v>769</v>
      </c>
      <c r="J200" s="327"/>
      <c r="K200" s="327"/>
      <c r="L200" s="235"/>
      <c r="M200" s="235"/>
    </row>
    <row r="201" spans="1:13" ht="12.75">
      <c r="A201" s="235"/>
      <c r="B201" s="235"/>
      <c r="C201" s="235"/>
      <c r="D201" s="235"/>
      <c r="E201" s="235"/>
      <c r="F201" s="327"/>
      <c r="G201" s="327"/>
      <c r="H201" s="327"/>
      <c r="I201" s="327"/>
      <c r="J201" s="327"/>
      <c r="K201" s="327"/>
      <c r="L201" s="235"/>
      <c r="M201" s="235"/>
    </row>
    <row r="202" spans="1:13" ht="3.75" customHeight="1">
      <c r="A202" s="220"/>
      <c r="B202" s="220"/>
      <c r="C202" s="220"/>
      <c r="D202" s="220"/>
      <c r="E202" s="224"/>
      <c r="F202" s="224"/>
      <c r="G202" s="221"/>
      <c r="H202" s="222"/>
      <c r="I202" s="223"/>
      <c r="J202" s="225"/>
      <c r="K202" s="226"/>
      <c r="L202" s="227"/>
      <c r="M202" s="221"/>
    </row>
    <row r="203" spans="1:13" ht="13.5" thickBot="1">
      <c r="A203" s="235"/>
      <c r="B203" s="235"/>
      <c r="C203" s="235"/>
      <c r="D203" s="235"/>
      <c r="E203" s="235"/>
      <c r="F203" s="327"/>
      <c r="G203" s="327"/>
      <c r="H203" s="327"/>
      <c r="I203" s="327"/>
      <c r="J203" s="327"/>
      <c r="K203" s="327"/>
      <c r="L203" s="235"/>
      <c r="M203" s="235"/>
    </row>
    <row r="204" spans="1:13" ht="13.5" thickBot="1">
      <c r="A204" s="235"/>
      <c r="B204" s="236" t="s">
        <v>710</v>
      </c>
      <c r="C204" s="235"/>
      <c r="D204" s="235"/>
      <c r="E204" s="235"/>
      <c r="F204" s="169">
        <f>F169+F200</f>
        <v>0</v>
      </c>
      <c r="G204" s="323" t="s">
        <v>698</v>
      </c>
      <c r="H204" s="183">
        <f>H200+H169</f>
        <v>0</v>
      </c>
      <c r="I204" s="330" t="s">
        <v>769</v>
      </c>
      <c r="J204" s="379"/>
      <c r="K204" s="235"/>
      <c r="L204" s="235"/>
      <c r="M204" s="235"/>
    </row>
    <row r="205" spans="1:13" ht="12.75">
      <c r="A205" s="235"/>
      <c r="B205" s="236"/>
      <c r="C205" s="235"/>
      <c r="D205" s="235"/>
      <c r="E205" s="235"/>
      <c r="F205" s="378"/>
      <c r="G205" s="235"/>
      <c r="H205" s="235"/>
      <c r="I205" s="235"/>
      <c r="J205" s="235"/>
      <c r="K205" s="235"/>
      <c r="L205" s="235"/>
      <c r="M205" s="235"/>
    </row>
    <row r="206" spans="1:13" ht="12.75">
      <c r="A206" s="2"/>
      <c r="B206" s="2"/>
      <c r="C206" s="2"/>
      <c r="D206" s="2"/>
      <c r="E206" s="2"/>
      <c r="F206" s="2"/>
      <c r="G206" s="2"/>
      <c r="H206" s="2"/>
      <c r="I206" s="2"/>
      <c r="J206" s="2"/>
      <c r="K206" s="2"/>
      <c r="L206" s="2"/>
      <c r="M206" s="2"/>
    </row>
    <row r="207" spans="1:13" ht="15">
      <c r="A207" s="234" t="s">
        <v>448</v>
      </c>
      <c r="B207" s="235"/>
      <c r="C207" s="235"/>
      <c r="D207" s="235"/>
      <c r="E207" s="235"/>
      <c r="F207" s="235"/>
      <c r="G207" s="235"/>
      <c r="H207" s="235"/>
      <c r="I207" s="235"/>
      <c r="J207" s="235"/>
      <c r="K207" s="235"/>
      <c r="L207" s="235"/>
      <c r="M207" s="235"/>
    </row>
    <row r="208" spans="1:13" ht="13.5" thickBot="1">
      <c r="A208" s="236"/>
      <c r="B208" s="235"/>
      <c r="C208" s="235"/>
      <c r="D208" s="235"/>
      <c r="E208" s="235"/>
      <c r="F208" s="236" t="s">
        <v>711</v>
      </c>
      <c r="G208" s="235"/>
      <c r="H208" s="235"/>
      <c r="I208" s="235"/>
      <c r="J208" s="236" t="s">
        <v>712</v>
      </c>
      <c r="K208" s="235"/>
      <c r="L208" s="235"/>
      <c r="M208" s="235"/>
    </row>
    <row r="209" spans="1:13" ht="13.5" thickBot="1">
      <c r="A209" s="236"/>
      <c r="B209" s="323" t="s">
        <v>713</v>
      </c>
      <c r="C209" s="235"/>
      <c r="D209" s="235"/>
      <c r="E209" s="235"/>
      <c r="F209" s="186">
        <f>SUM(F204+F130)</f>
        <v>0</v>
      </c>
      <c r="G209" s="382" t="s">
        <v>314</v>
      </c>
      <c r="H209" s="235"/>
      <c r="I209" s="235"/>
      <c r="J209" s="186">
        <f>H204</f>
        <v>0</v>
      </c>
      <c r="K209" s="238" t="s">
        <v>686</v>
      </c>
      <c r="L209" s="235"/>
      <c r="M209" s="235"/>
    </row>
    <row r="210" spans="1:13" ht="12.75">
      <c r="A210" s="236"/>
      <c r="B210" s="323" t="s">
        <v>483</v>
      </c>
      <c r="C210" s="235"/>
      <c r="D210" s="235"/>
      <c r="E210" s="235"/>
      <c r="F210" s="185">
        <f>F50</f>
        <v>0</v>
      </c>
      <c r="G210" s="382"/>
      <c r="H210" s="235"/>
      <c r="I210" s="235"/>
      <c r="J210" s="185">
        <f>F50</f>
        <v>0</v>
      </c>
      <c r="K210" s="382"/>
      <c r="L210" s="235"/>
      <c r="M210" s="235"/>
    </row>
    <row r="211" spans="1:13" ht="12.75">
      <c r="A211" s="235"/>
      <c r="B211" s="236" t="s">
        <v>715</v>
      </c>
      <c r="C211" s="235"/>
      <c r="D211" s="235"/>
      <c r="E211" s="235"/>
      <c r="F211" s="187">
        <f>F209*F50</f>
        <v>0</v>
      </c>
      <c r="G211" s="382" t="s">
        <v>314</v>
      </c>
      <c r="H211" s="235"/>
      <c r="I211" s="235"/>
      <c r="J211" s="187">
        <f>J209*J210</f>
        <v>0</v>
      </c>
      <c r="K211" s="238" t="s">
        <v>686</v>
      </c>
      <c r="L211" s="235"/>
      <c r="M211" s="235"/>
    </row>
    <row r="212" spans="1:13" ht="13.5" thickBot="1">
      <c r="A212" s="235"/>
      <c r="B212" s="235" t="s">
        <v>428</v>
      </c>
      <c r="C212" s="235"/>
      <c r="D212" s="235"/>
      <c r="E212" s="235"/>
      <c r="F212" s="125">
        <f>IF(B28=B251,0.2,0)</f>
        <v>0</v>
      </c>
      <c r="G212" s="235"/>
      <c r="H212" s="235"/>
      <c r="I212" s="235"/>
      <c r="J212" s="125">
        <f>IF(B28=B251,0.2,0)</f>
        <v>0</v>
      </c>
      <c r="K212" s="235"/>
      <c r="L212" s="235"/>
      <c r="M212" s="235"/>
    </row>
    <row r="213" spans="1:13" ht="13.5" thickBot="1">
      <c r="A213" s="235"/>
      <c r="B213" s="236" t="s">
        <v>457</v>
      </c>
      <c r="C213" s="235"/>
      <c r="D213" s="235"/>
      <c r="E213" s="235"/>
      <c r="F213" s="188">
        <f>F211*(1-F212)</f>
        <v>0</v>
      </c>
      <c r="G213" s="382" t="s">
        <v>470</v>
      </c>
      <c r="H213" s="235"/>
      <c r="I213" s="235"/>
      <c r="J213" s="188">
        <f>J211*(1-J212)</f>
        <v>0</v>
      </c>
      <c r="K213" s="382" t="s">
        <v>470</v>
      </c>
      <c r="L213" s="235"/>
      <c r="M213" s="235"/>
    </row>
    <row r="214" spans="1:13" ht="13.5" thickBot="1">
      <c r="A214" s="235"/>
      <c r="B214" s="236" t="s">
        <v>457</v>
      </c>
      <c r="C214" s="380"/>
      <c r="D214" s="380"/>
      <c r="E214" s="380"/>
      <c r="F214" s="230">
        <f>ROUND(F213,0)</f>
        <v>0</v>
      </c>
      <c r="G214" s="382" t="s">
        <v>469</v>
      </c>
      <c r="H214" s="235"/>
      <c r="I214" s="235"/>
      <c r="J214" s="230">
        <f>ROUND(J213,0)</f>
        <v>0</v>
      </c>
      <c r="K214" s="382" t="s">
        <v>469</v>
      </c>
      <c r="L214" s="235"/>
      <c r="M214" s="235"/>
    </row>
    <row r="215" spans="1:13" ht="12.75">
      <c r="A215" s="235"/>
      <c r="B215" s="323"/>
      <c r="C215" s="380"/>
      <c r="D215" s="380"/>
      <c r="E215" s="380"/>
      <c r="F215" s="384"/>
      <c r="G215" s="382"/>
      <c r="H215" s="235"/>
      <c r="I215" s="235"/>
      <c r="J215" s="384"/>
      <c r="K215" s="382"/>
      <c r="L215" s="235"/>
      <c r="M215" s="235"/>
    </row>
    <row r="216" spans="1:13" ht="13.5" thickBot="1">
      <c r="A216" s="235"/>
      <c r="B216" s="323" t="s">
        <v>458</v>
      </c>
      <c r="C216" s="380"/>
      <c r="D216" s="380"/>
      <c r="E216" s="380"/>
      <c r="F216" s="189">
        <v>0.1</v>
      </c>
      <c r="G216" s="382"/>
      <c r="H216" s="235"/>
      <c r="I216" s="235"/>
      <c r="J216" s="189">
        <v>0.1</v>
      </c>
      <c r="K216" s="382"/>
      <c r="L216" s="235"/>
      <c r="M216" s="235"/>
    </row>
    <row r="217" spans="1:13" ht="15.75" thickBot="1">
      <c r="A217" s="235"/>
      <c r="B217" s="234" t="s">
        <v>456</v>
      </c>
      <c r="C217" s="380"/>
      <c r="D217" s="380"/>
      <c r="E217" s="380"/>
      <c r="F217" s="190">
        <f>F214*(1-F216)</f>
        <v>0</v>
      </c>
      <c r="G217" s="383" t="s">
        <v>470</v>
      </c>
      <c r="H217" s="235"/>
      <c r="I217" s="235"/>
      <c r="J217" s="190">
        <f>J214*(1-J216)</f>
        <v>0</v>
      </c>
      <c r="K217" s="383" t="s">
        <v>470</v>
      </c>
      <c r="L217" s="235"/>
      <c r="M217" s="235"/>
    </row>
    <row r="218" spans="1:13" ht="15.75" thickBot="1">
      <c r="A218" s="235"/>
      <c r="B218" s="234" t="s">
        <v>456</v>
      </c>
      <c r="C218" s="381"/>
      <c r="D218" s="381"/>
      <c r="E218" s="381"/>
      <c r="F218" s="229">
        <f>ROUND(F217,0)</f>
        <v>0</v>
      </c>
      <c r="G218" s="383" t="s">
        <v>469</v>
      </c>
      <c r="H218" s="235"/>
      <c r="I218" s="235"/>
      <c r="J218" s="229">
        <f>ROUND(J217,0)</f>
        <v>0</v>
      </c>
      <c r="K218" s="383" t="s">
        <v>469</v>
      </c>
      <c r="L218" s="235"/>
      <c r="M218" s="235"/>
    </row>
    <row r="219" spans="1:13" ht="12.75">
      <c r="A219" s="235"/>
      <c r="B219" s="235"/>
      <c r="C219" s="235"/>
      <c r="D219" s="235"/>
      <c r="E219" s="235"/>
      <c r="F219" s="235"/>
      <c r="G219" s="235"/>
      <c r="H219" s="235"/>
      <c r="I219" s="235"/>
      <c r="J219" s="235"/>
      <c r="K219" s="235"/>
      <c r="L219" s="235"/>
      <c r="M219" s="235"/>
    </row>
    <row r="221" ht="12.75">
      <c r="A221" t="s">
        <v>692</v>
      </c>
    </row>
    <row r="222" ht="12.75">
      <c r="A222" t="s">
        <v>693</v>
      </c>
    </row>
    <row r="223" ht="12.75">
      <c r="A223" t="s">
        <v>694</v>
      </c>
    </row>
    <row r="247" spans="2:6" ht="12.75">
      <c r="B247" s="5" t="s">
        <v>119</v>
      </c>
      <c r="C247" s="5"/>
      <c r="E247" s="5"/>
      <c r="F247" s="5"/>
    </row>
    <row r="248" spans="2:6" ht="12.75">
      <c r="B248" s="5" t="s">
        <v>117</v>
      </c>
      <c r="C248" s="5"/>
      <c r="E248" s="5"/>
      <c r="F248" s="5"/>
    </row>
    <row r="249" spans="2:6" ht="12.75">
      <c r="B249" s="5" t="s">
        <v>118</v>
      </c>
      <c r="C249" s="5"/>
      <c r="E249" s="5"/>
      <c r="F249" s="5"/>
    </row>
    <row r="250" spans="2:6" ht="12.75">
      <c r="B250" s="5" t="s">
        <v>103</v>
      </c>
      <c r="C250" s="5"/>
      <c r="E250" s="5"/>
      <c r="F250" s="5"/>
    </row>
    <row r="251" spans="2:6" ht="12.75">
      <c r="B251" s="5" t="s">
        <v>120</v>
      </c>
      <c r="C251" s="5"/>
      <c r="E251" s="5"/>
      <c r="F251" s="5"/>
    </row>
    <row r="252" spans="2:6" ht="12.75">
      <c r="B252" s="5"/>
      <c r="C252" s="5"/>
      <c r="E252" s="5"/>
      <c r="F252" s="5"/>
    </row>
    <row r="253" spans="2:6" ht="12.75">
      <c r="B253" s="4" t="s">
        <v>360</v>
      </c>
      <c r="C253" s="5"/>
      <c r="E253" s="106" t="s">
        <v>407</v>
      </c>
      <c r="F253" s="5"/>
    </row>
    <row r="254" spans="2:6" ht="12.75">
      <c r="B254" s="109" t="s">
        <v>308</v>
      </c>
      <c r="C254" s="5"/>
      <c r="E254" s="10" t="s">
        <v>411</v>
      </c>
      <c r="F254" s="5"/>
    </row>
    <row r="255" spans="2:6" ht="12.75">
      <c r="B255" s="5"/>
      <c r="C255" s="5"/>
      <c r="E255" s="10" t="s">
        <v>409</v>
      </c>
      <c r="F255" s="5"/>
    </row>
    <row r="256" spans="2:6" ht="12.75">
      <c r="B256" s="20"/>
      <c r="C256" s="5" t="s">
        <v>275</v>
      </c>
      <c r="D256" s="5"/>
      <c r="E256" s="10" t="s">
        <v>410</v>
      </c>
      <c r="F256" s="5"/>
    </row>
    <row r="257" spans="2:6" ht="12.75">
      <c r="B257" s="20"/>
      <c r="C257" s="5" t="s">
        <v>276</v>
      </c>
      <c r="D257" s="5"/>
      <c r="E257" s="10" t="s">
        <v>408</v>
      </c>
      <c r="F257" s="5"/>
    </row>
    <row r="258" spans="2:6" ht="12.75">
      <c r="B258" s="20"/>
      <c r="C258" s="5" t="s">
        <v>277</v>
      </c>
      <c r="D258" s="5"/>
      <c r="E258" s="10" t="s">
        <v>405</v>
      </c>
      <c r="F258" s="5"/>
    </row>
    <row r="259" spans="2:6" ht="12.75">
      <c r="B259" s="20"/>
      <c r="C259" s="5" t="s">
        <v>278</v>
      </c>
      <c r="D259" s="5"/>
      <c r="E259" s="10" t="s">
        <v>406</v>
      </c>
      <c r="F259" s="5"/>
    </row>
    <row r="260" spans="2:6" ht="12.75">
      <c r="B260" s="20"/>
      <c r="C260" s="5" t="s">
        <v>279</v>
      </c>
      <c r="D260" s="5"/>
      <c r="E260" s="10" t="s">
        <v>389</v>
      </c>
      <c r="F260" s="5"/>
    </row>
    <row r="261" spans="2:6" ht="12.75">
      <c r="B261" s="20"/>
      <c r="C261" s="5" t="s">
        <v>280</v>
      </c>
      <c r="D261" s="5"/>
      <c r="E261" s="10" t="s">
        <v>412</v>
      </c>
      <c r="F261" s="5"/>
    </row>
    <row r="262" spans="2:6" ht="12.75">
      <c r="B262" s="20"/>
      <c r="C262" s="5" t="s">
        <v>281</v>
      </c>
      <c r="D262" s="5"/>
      <c r="E262" s="10" t="s">
        <v>413</v>
      </c>
      <c r="F262" s="5"/>
    </row>
    <row r="263" spans="2:6" ht="12.75">
      <c r="B263" s="20"/>
      <c r="C263" s="5" t="s">
        <v>282</v>
      </c>
      <c r="D263" s="5"/>
      <c r="E263" s="10" t="s">
        <v>414</v>
      </c>
      <c r="F263" s="5"/>
    </row>
    <row r="264" spans="2:6" ht="12.75">
      <c r="B264" s="20"/>
      <c r="C264" s="5" t="s">
        <v>283</v>
      </c>
      <c r="D264" s="5"/>
      <c r="E264" s="10" t="s">
        <v>415</v>
      </c>
      <c r="F264" s="5"/>
    </row>
    <row r="265" spans="2:6" ht="12.75">
      <c r="B265" s="20"/>
      <c r="C265" s="5" t="s">
        <v>284</v>
      </c>
      <c r="D265" s="5"/>
      <c r="E265" s="10" t="s">
        <v>416</v>
      </c>
      <c r="F265" s="5"/>
    </row>
    <row r="266" spans="2:6" ht="12.75">
      <c r="B266" s="20"/>
      <c r="C266" s="5" t="s">
        <v>285</v>
      </c>
      <c r="D266" s="5"/>
      <c r="E266" s="10" t="s">
        <v>417</v>
      </c>
      <c r="F266" s="5"/>
    </row>
    <row r="267" spans="2:6" ht="12.75">
      <c r="B267" s="20"/>
      <c r="C267" s="5" t="s">
        <v>286</v>
      </c>
      <c r="D267" s="5"/>
      <c r="E267" s="10" t="s">
        <v>422</v>
      </c>
      <c r="F267" s="5"/>
    </row>
    <row r="268" spans="2:6" ht="12.75">
      <c r="B268" s="20"/>
      <c r="C268" s="5" t="s">
        <v>287</v>
      </c>
      <c r="D268" s="5"/>
      <c r="E268" s="10" t="s">
        <v>418</v>
      </c>
      <c r="F268" s="5"/>
    </row>
    <row r="269" spans="2:6" ht="12.75">
      <c r="B269" s="20"/>
      <c r="C269" s="5" t="s">
        <v>288</v>
      </c>
      <c r="D269" s="5"/>
      <c r="E269" s="10" t="s">
        <v>419</v>
      </c>
      <c r="F269" s="5"/>
    </row>
    <row r="270" spans="2:6" ht="12.75">
      <c r="B270" s="20"/>
      <c r="C270" s="5" t="s">
        <v>289</v>
      </c>
      <c r="D270" s="5"/>
      <c r="E270" s="10" t="s">
        <v>420</v>
      </c>
      <c r="F270" s="5"/>
    </row>
    <row r="271" spans="2:6" ht="12.75">
      <c r="B271" s="20"/>
      <c r="C271" s="5" t="s">
        <v>290</v>
      </c>
      <c r="D271" s="5"/>
      <c r="E271" s="10" t="s">
        <v>421</v>
      </c>
      <c r="F271" s="5"/>
    </row>
    <row r="272" spans="2:6" ht="12.75">
      <c r="B272" s="20"/>
      <c r="C272" s="5" t="s">
        <v>291</v>
      </c>
      <c r="D272" s="5"/>
      <c r="F272" s="5"/>
    </row>
    <row r="273" spans="2:6" ht="12.75">
      <c r="B273" s="20"/>
      <c r="C273" s="5" t="s">
        <v>292</v>
      </c>
      <c r="D273" s="5"/>
      <c r="E273" s="180" t="s">
        <v>334</v>
      </c>
      <c r="F273" s="5"/>
    </row>
    <row r="274" spans="2:6" ht="12.75">
      <c r="B274" s="20"/>
      <c r="C274" s="5" t="s">
        <v>293</v>
      </c>
      <c r="D274" s="5"/>
      <c r="E274" s="180" t="s">
        <v>370</v>
      </c>
      <c r="F274" s="5"/>
    </row>
    <row r="275" spans="2:6" ht="12.75">
      <c r="B275" s="20"/>
      <c r="C275" s="5" t="s">
        <v>294</v>
      </c>
      <c r="D275" s="5"/>
      <c r="E275" s="180" t="s">
        <v>373</v>
      </c>
      <c r="F275" s="5"/>
    </row>
    <row r="276" spans="2:6" ht="12.75">
      <c r="B276" s="20"/>
      <c r="C276" s="5" t="s">
        <v>295</v>
      </c>
      <c r="D276" s="5"/>
      <c r="E276" s="108" t="s">
        <v>768</v>
      </c>
      <c r="F276" s="5"/>
    </row>
    <row r="277" spans="2:6" ht="12.75">
      <c r="B277" s="20"/>
      <c r="C277" s="5" t="s">
        <v>296</v>
      </c>
      <c r="D277" s="5"/>
      <c r="E277" s="108" t="s">
        <v>12</v>
      </c>
      <c r="F277" s="5"/>
    </row>
    <row r="278" spans="2:6" ht="12.75">
      <c r="B278" s="20"/>
      <c r="C278" s="5" t="s">
        <v>297</v>
      </c>
      <c r="D278" s="5"/>
      <c r="E278" s="108" t="s">
        <v>13</v>
      </c>
      <c r="F278" s="5"/>
    </row>
    <row r="279" spans="2:6" ht="12.75">
      <c r="B279" s="20"/>
      <c r="C279" s="5" t="s">
        <v>298</v>
      </c>
      <c r="D279" s="5"/>
      <c r="E279" s="108" t="s">
        <v>378</v>
      </c>
      <c r="F279" s="5"/>
    </row>
    <row r="280" spans="2:6" ht="12.75">
      <c r="B280" s="20"/>
      <c r="C280" s="5" t="s">
        <v>187</v>
      </c>
      <c r="D280" s="5"/>
      <c r="E280" s="108" t="s">
        <v>379</v>
      </c>
      <c r="F280" s="5"/>
    </row>
    <row r="281" spans="2:6" ht="12.75">
      <c r="B281" s="20"/>
      <c r="C281" s="5" t="s">
        <v>188</v>
      </c>
      <c r="D281" s="5"/>
      <c r="E281" s="159" t="s">
        <v>503</v>
      </c>
      <c r="F281" s="5"/>
    </row>
    <row r="282" spans="2:6" ht="12.75">
      <c r="B282" s="20"/>
      <c r="C282" s="5" t="s">
        <v>189</v>
      </c>
      <c r="D282" s="5"/>
      <c r="E282" s="159" t="s">
        <v>504</v>
      </c>
      <c r="F282" s="5"/>
    </row>
    <row r="283" spans="2:6" ht="12.75">
      <c r="B283" s="20"/>
      <c r="C283" s="5" t="s">
        <v>190</v>
      </c>
      <c r="D283" s="5"/>
      <c r="E283" s="159" t="s">
        <v>465</v>
      </c>
      <c r="F283" s="5"/>
    </row>
    <row r="284" spans="2:6" ht="12.75">
      <c r="B284" s="20"/>
      <c r="C284" s="5" t="s">
        <v>191</v>
      </c>
      <c r="D284" s="5"/>
      <c r="E284" s="159" t="s">
        <v>354</v>
      </c>
      <c r="F284" s="5"/>
    </row>
    <row r="285" spans="2:6" ht="12.75">
      <c r="B285" s="20"/>
      <c r="C285" s="5" t="s">
        <v>192</v>
      </c>
      <c r="D285" s="5"/>
      <c r="E285" s="20"/>
      <c r="F285" s="5"/>
    </row>
    <row r="286" spans="2:6" ht="12.75">
      <c r="B286" s="20"/>
      <c r="C286" s="5" t="s">
        <v>193</v>
      </c>
      <c r="D286" s="5"/>
      <c r="E286" s="20"/>
      <c r="F286" s="5"/>
    </row>
    <row r="287" spans="2:6" ht="12.75">
      <c r="B287" s="20"/>
      <c r="C287" s="5" t="s">
        <v>194</v>
      </c>
      <c r="D287" s="5"/>
      <c r="E287" s="20"/>
      <c r="F287" s="5"/>
    </row>
    <row r="288" spans="2:6" ht="12.75">
      <c r="B288" s="20"/>
      <c r="C288" s="5" t="s">
        <v>195</v>
      </c>
      <c r="D288" s="5"/>
      <c r="E288" s="20"/>
      <c r="F288" s="5"/>
    </row>
    <row r="289" spans="2:6" ht="12.75">
      <c r="B289" s="20"/>
      <c r="C289" s="5" t="s">
        <v>196</v>
      </c>
      <c r="D289" s="5"/>
      <c r="E289" s="10"/>
      <c r="F289" s="5"/>
    </row>
    <row r="290" spans="2:6" ht="12.75">
      <c r="B290" s="20"/>
      <c r="C290" s="5" t="s">
        <v>197</v>
      </c>
      <c r="D290" s="5"/>
      <c r="E290" s="10"/>
      <c r="F290" s="5"/>
    </row>
    <row r="291" spans="2:6" ht="12.75">
      <c r="B291" s="20"/>
      <c r="C291" s="5" t="s">
        <v>198</v>
      </c>
      <c r="D291" s="5"/>
      <c r="E291" s="20"/>
      <c r="F291" s="5"/>
    </row>
    <row r="292" spans="2:6" ht="12.75">
      <c r="B292" s="20"/>
      <c r="C292" s="5" t="s">
        <v>199</v>
      </c>
      <c r="D292" s="5"/>
      <c r="E292" s="20"/>
      <c r="F292" s="5"/>
    </row>
    <row r="293" spans="2:6" ht="12.75">
      <c r="B293" s="20"/>
      <c r="C293" s="5" t="s">
        <v>200</v>
      </c>
      <c r="D293" s="5"/>
      <c r="E293" s="20"/>
      <c r="F293" s="5"/>
    </row>
    <row r="294" spans="2:6" ht="12.75">
      <c r="B294" s="20"/>
      <c r="C294" s="5" t="s">
        <v>201</v>
      </c>
      <c r="D294" s="5"/>
      <c r="E294" s="20"/>
      <c r="F294" s="5"/>
    </row>
    <row r="295" spans="2:6" ht="12.75">
      <c r="B295" s="20"/>
      <c r="C295" s="5" t="s">
        <v>202</v>
      </c>
      <c r="D295" s="5"/>
      <c r="E295" s="20"/>
      <c r="F295" s="5"/>
    </row>
    <row r="296" spans="2:5" ht="12.75">
      <c r="B296" s="20"/>
      <c r="C296" s="5" t="s">
        <v>203</v>
      </c>
      <c r="E296" s="10"/>
    </row>
    <row r="297" spans="2:5" ht="12.75">
      <c r="B297" s="20"/>
      <c r="C297" s="5" t="s">
        <v>204</v>
      </c>
      <c r="E297" s="10"/>
    </row>
    <row r="298" spans="2:5" ht="12.75">
      <c r="B298" s="20"/>
      <c r="C298" s="5" t="s">
        <v>205</v>
      </c>
      <c r="E298" s="20"/>
    </row>
    <row r="299" spans="2:5" ht="12.75">
      <c r="B299" s="20"/>
      <c r="C299" s="5" t="s">
        <v>206</v>
      </c>
      <c r="E299" s="20"/>
    </row>
    <row r="300" spans="2:5" ht="12.75">
      <c r="B300" s="20"/>
      <c r="C300" s="5" t="s">
        <v>207</v>
      </c>
      <c r="E300" s="20"/>
    </row>
    <row r="301" spans="2:5" ht="12.75">
      <c r="B301" s="20"/>
      <c r="C301" s="5" t="s">
        <v>208</v>
      </c>
      <c r="E301" s="20"/>
    </row>
    <row r="302" spans="2:5" ht="12.75">
      <c r="B302" s="20"/>
      <c r="C302" s="5" t="s">
        <v>209</v>
      </c>
      <c r="E302" s="10"/>
    </row>
    <row r="303" spans="2:5" ht="12.75">
      <c r="B303" s="20"/>
      <c r="C303" s="5" t="s">
        <v>210</v>
      </c>
      <c r="E303" s="10"/>
    </row>
    <row r="304" spans="2:5" ht="12.75">
      <c r="B304" s="20"/>
      <c r="C304" s="5" t="s">
        <v>211</v>
      </c>
      <c r="E304" s="10"/>
    </row>
    <row r="305" spans="2:5" ht="12.75">
      <c r="B305" s="20"/>
      <c r="C305" s="5" t="s">
        <v>212</v>
      </c>
      <c r="E305" s="10"/>
    </row>
    <row r="306" spans="2:5" ht="12.75">
      <c r="B306" s="20"/>
      <c r="C306" s="5" t="s">
        <v>213</v>
      </c>
      <c r="E306" s="10"/>
    </row>
    <row r="307" spans="2:5" ht="12.75">
      <c r="B307" s="20"/>
      <c r="C307" s="5" t="s">
        <v>214</v>
      </c>
      <c r="E307" s="10"/>
    </row>
    <row r="308" spans="2:5" ht="12.75">
      <c r="B308" s="20"/>
      <c r="C308" s="5" t="s">
        <v>215</v>
      </c>
      <c r="E308" s="10"/>
    </row>
    <row r="309" spans="2:3" ht="12.75">
      <c r="B309" s="20"/>
      <c r="C309" s="5" t="s">
        <v>216</v>
      </c>
    </row>
    <row r="310" spans="2:3" ht="12.75">
      <c r="B310" s="20"/>
      <c r="C310" s="5" t="s">
        <v>217</v>
      </c>
    </row>
    <row r="311" spans="2:3" ht="12.75">
      <c r="B311" s="20"/>
      <c r="C311" s="5" t="s">
        <v>218</v>
      </c>
    </row>
    <row r="312" spans="2:3" ht="12.75">
      <c r="B312" s="20"/>
      <c r="C312" s="5" t="s">
        <v>219</v>
      </c>
    </row>
    <row r="313" spans="2:3" ht="12.75">
      <c r="B313" s="20"/>
      <c r="C313" s="5" t="s">
        <v>220</v>
      </c>
    </row>
    <row r="314" spans="2:3" ht="12.75">
      <c r="B314" s="20"/>
      <c r="C314" s="5" t="s">
        <v>221</v>
      </c>
    </row>
    <row r="315" spans="2:3" ht="12.75">
      <c r="B315" s="20"/>
      <c r="C315" s="5" t="s">
        <v>222</v>
      </c>
    </row>
    <row r="316" spans="2:3" ht="12.75">
      <c r="B316" s="20"/>
      <c r="C316" s="5" t="s">
        <v>223</v>
      </c>
    </row>
    <row r="317" spans="2:3" ht="12.75">
      <c r="B317" s="20"/>
      <c r="C317" s="5" t="s">
        <v>224</v>
      </c>
    </row>
    <row r="318" spans="2:3" ht="12.75">
      <c r="B318" s="20"/>
      <c r="C318" s="5" t="s">
        <v>225</v>
      </c>
    </row>
    <row r="319" spans="2:3" ht="12.75">
      <c r="B319" s="20"/>
      <c r="C319" s="5" t="s">
        <v>226</v>
      </c>
    </row>
    <row r="320" spans="2:3" ht="12.75">
      <c r="B320" s="20"/>
      <c r="C320" s="5" t="s">
        <v>227</v>
      </c>
    </row>
    <row r="321" spans="2:3" ht="12.75">
      <c r="B321" s="20"/>
      <c r="C321" s="5" t="s">
        <v>228</v>
      </c>
    </row>
    <row r="322" spans="2:3" ht="12.75">
      <c r="B322" s="20"/>
      <c r="C322" s="5" t="s">
        <v>229</v>
      </c>
    </row>
    <row r="323" spans="2:3" ht="12.75">
      <c r="B323" s="20"/>
      <c r="C323" s="5" t="s">
        <v>230</v>
      </c>
    </row>
    <row r="324" spans="2:3" ht="12.75">
      <c r="B324" s="20"/>
      <c r="C324" s="5" t="s">
        <v>231</v>
      </c>
    </row>
    <row r="325" spans="2:3" ht="12.75">
      <c r="B325" s="20"/>
      <c r="C325" s="5" t="s">
        <v>232</v>
      </c>
    </row>
    <row r="326" spans="2:3" ht="12.75">
      <c r="B326" s="20"/>
      <c r="C326" s="5" t="s">
        <v>233</v>
      </c>
    </row>
    <row r="327" spans="2:3" ht="12.75">
      <c r="B327" s="20"/>
      <c r="C327" s="5" t="s">
        <v>234</v>
      </c>
    </row>
    <row r="328" spans="2:3" ht="12.75">
      <c r="B328" s="20"/>
      <c r="C328" s="5" t="s">
        <v>235</v>
      </c>
    </row>
    <row r="329" spans="2:3" ht="12.75">
      <c r="B329" s="20"/>
      <c r="C329" s="5" t="s">
        <v>236</v>
      </c>
    </row>
    <row r="330" spans="2:3" ht="12.75">
      <c r="B330" s="20"/>
      <c r="C330" s="5" t="s">
        <v>237</v>
      </c>
    </row>
    <row r="331" spans="2:3" ht="12.75">
      <c r="B331" s="20"/>
      <c r="C331" s="5" t="s">
        <v>238</v>
      </c>
    </row>
    <row r="332" spans="2:3" ht="12.75">
      <c r="B332" s="20"/>
      <c r="C332" s="5" t="s">
        <v>239</v>
      </c>
    </row>
    <row r="333" spans="2:3" ht="12.75">
      <c r="B333" s="20"/>
      <c r="C333" s="5" t="s">
        <v>240</v>
      </c>
    </row>
    <row r="334" spans="2:3" ht="12.75">
      <c r="B334" s="20"/>
      <c r="C334" s="5" t="s">
        <v>241</v>
      </c>
    </row>
    <row r="335" spans="2:3" ht="12.75">
      <c r="B335" s="20"/>
      <c r="C335" s="5" t="s">
        <v>242</v>
      </c>
    </row>
    <row r="336" spans="2:3" ht="12.75">
      <c r="B336" s="20"/>
      <c r="C336" s="5" t="s">
        <v>243</v>
      </c>
    </row>
    <row r="337" spans="2:3" ht="12.75">
      <c r="B337" s="20"/>
      <c r="C337" s="5" t="s">
        <v>244</v>
      </c>
    </row>
    <row r="338" spans="2:3" ht="12.75">
      <c r="B338" s="20"/>
      <c r="C338" s="5" t="s">
        <v>245</v>
      </c>
    </row>
    <row r="339" spans="2:3" ht="12.75">
      <c r="B339" s="20"/>
      <c r="C339" s="5" t="s">
        <v>246</v>
      </c>
    </row>
    <row r="340" spans="2:3" ht="12.75">
      <c r="B340" s="20"/>
      <c r="C340" s="5" t="s">
        <v>247</v>
      </c>
    </row>
    <row r="341" spans="2:3" ht="12.75">
      <c r="B341" s="20"/>
      <c r="C341" s="5" t="s">
        <v>248</v>
      </c>
    </row>
    <row r="342" spans="2:3" ht="12.75">
      <c r="B342" s="20"/>
      <c r="C342" s="5" t="s">
        <v>249</v>
      </c>
    </row>
    <row r="343" spans="2:3" ht="12.75">
      <c r="B343" s="20"/>
      <c r="C343" s="5" t="s">
        <v>250</v>
      </c>
    </row>
    <row r="344" spans="2:3" ht="12.75">
      <c r="B344" s="20"/>
      <c r="C344" s="5" t="s">
        <v>251</v>
      </c>
    </row>
    <row r="345" spans="2:3" ht="12.75">
      <c r="B345" s="20"/>
      <c r="C345" s="5" t="s">
        <v>252</v>
      </c>
    </row>
    <row r="346" spans="2:3" ht="12.75">
      <c r="B346" s="20"/>
      <c r="C346" s="5" t="s">
        <v>253</v>
      </c>
    </row>
    <row r="347" spans="2:3" ht="12.75">
      <c r="B347" s="20"/>
      <c r="C347" s="5" t="s">
        <v>254</v>
      </c>
    </row>
    <row r="348" spans="2:3" ht="12.75">
      <c r="B348" s="20"/>
      <c r="C348" s="5" t="s">
        <v>255</v>
      </c>
    </row>
    <row r="349" spans="2:3" ht="12.75">
      <c r="B349" s="20"/>
      <c r="C349" s="5" t="s">
        <v>256</v>
      </c>
    </row>
    <row r="350" spans="2:3" ht="12.75">
      <c r="B350" s="20"/>
      <c r="C350" s="5" t="s">
        <v>257</v>
      </c>
    </row>
    <row r="351" spans="2:3" ht="12.75">
      <c r="B351" s="20"/>
      <c r="C351" s="5" t="s">
        <v>258</v>
      </c>
    </row>
    <row r="352" spans="2:3" ht="12.75">
      <c r="B352" s="20"/>
      <c r="C352" s="5" t="s">
        <v>259</v>
      </c>
    </row>
    <row r="353" spans="2:3" ht="12.75">
      <c r="B353" s="20"/>
      <c r="C353" s="5" t="s">
        <v>260</v>
      </c>
    </row>
    <row r="354" spans="2:3" ht="12.75">
      <c r="B354" s="20"/>
      <c r="C354" s="5" t="s">
        <v>261</v>
      </c>
    </row>
    <row r="355" spans="2:3" ht="12.75">
      <c r="B355" s="20"/>
      <c r="C355" s="5" t="s">
        <v>262</v>
      </c>
    </row>
    <row r="356" spans="2:3" ht="12.75">
      <c r="B356" s="20"/>
      <c r="C356" s="5" t="s">
        <v>263</v>
      </c>
    </row>
    <row r="357" spans="2:3" ht="12.75">
      <c r="B357" s="20"/>
      <c r="C357" s="5" t="s">
        <v>264</v>
      </c>
    </row>
    <row r="358" spans="2:3" ht="12.75">
      <c r="B358" s="20"/>
      <c r="C358" s="5" t="s">
        <v>265</v>
      </c>
    </row>
    <row r="359" spans="2:3" ht="12.75">
      <c r="B359" s="20"/>
      <c r="C359" s="5" t="s">
        <v>266</v>
      </c>
    </row>
    <row r="360" spans="2:3" ht="12.75">
      <c r="B360" s="20"/>
      <c r="C360" s="5" t="s">
        <v>267</v>
      </c>
    </row>
    <row r="361" spans="2:3" ht="12.75">
      <c r="B361" s="20"/>
      <c r="C361" s="5" t="s">
        <v>268</v>
      </c>
    </row>
    <row r="362" spans="2:3" ht="12.75">
      <c r="B362" s="5"/>
      <c r="C362" s="5" t="s">
        <v>269</v>
      </c>
    </row>
    <row r="363" spans="2:3" ht="12.75">
      <c r="B363" s="5"/>
      <c r="C363" s="5" t="s">
        <v>270</v>
      </c>
    </row>
    <row r="364" spans="2:3" ht="12.75">
      <c r="B364" s="5"/>
      <c r="C364" s="5" t="s">
        <v>271</v>
      </c>
    </row>
    <row r="365" spans="2:3" ht="12.75">
      <c r="B365" s="5"/>
      <c r="C365" s="5" t="s">
        <v>272</v>
      </c>
    </row>
    <row r="366" spans="2:3" ht="12.75">
      <c r="B366" s="5"/>
      <c r="C366" s="5" t="s">
        <v>273</v>
      </c>
    </row>
    <row r="367" spans="2:3" ht="12.75">
      <c r="B367" s="5"/>
      <c r="C367" s="5" t="s">
        <v>274</v>
      </c>
    </row>
    <row r="368" spans="2:3" ht="12.75">
      <c r="B368" s="5"/>
      <c r="C368" s="5"/>
    </row>
    <row r="369" spans="2:3" ht="12.75">
      <c r="B369" s="5"/>
      <c r="C369" s="53">
        <v>10</v>
      </c>
    </row>
    <row r="370" spans="2:3" ht="12.75">
      <c r="B370" s="4"/>
      <c r="C370" s="53">
        <v>20</v>
      </c>
    </row>
    <row r="371" ht="12.75">
      <c r="C371" s="53">
        <v>30</v>
      </c>
    </row>
    <row r="372" spans="2:3" ht="12.75">
      <c r="B372" s="24" t="s">
        <v>305</v>
      </c>
      <c r="C372" s="54">
        <v>40</v>
      </c>
    </row>
    <row r="373" spans="2:3" ht="12.75">
      <c r="B373" s="23" t="s">
        <v>307</v>
      </c>
      <c r="C373" s="54">
        <v>50</v>
      </c>
    </row>
    <row r="374" spans="2:3" ht="12.75">
      <c r="B374" s="23" t="s">
        <v>306</v>
      </c>
      <c r="C374" s="54">
        <v>60</v>
      </c>
    </row>
    <row r="375" spans="2:3" ht="12.75">
      <c r="B375" s="24" t="s">
        <v>304</v>
      </c>
      <c r="C375" s="54">
        <v>70</v>
      </c>
    </row>
    <row r="376" spans="2:3" ht="12.75">
      <c r="B376" s="24" t="s">
        <v>355</v>
      </c>
      <c r="C376" s="54">
        <v>80</v>
      </c>
    </row>
    <row r="377" ht="12.75">
      <c r="C377" s="54">
        <v>90</v>
      </c>
    </row>
    <row r="378" spans="2:3" ht="12.75">
      <c r="B378" s="24"/>
      <c r="C378" s="54">
        <v>100</v>
      </c>
    </row>
    <row r="379" spans="2:3" ht="12.75">
      <c r="B379" s="24"/>
      <c r="C379" s="54">
        <v>110</v>
      </c>
    </row>
    <row r="380" spans="2:3" ht="12.75">
      <c r="B380" s="24"/>
      <c r="C380" s="54">
        <v>120</v>
      </c>
    </row>
    <row r="381" spans="2:3" ht="12.75">
      <c r="B381" s="24"/>
      <c r="C381" s="54">
        <v>140</v>
      </c>
    </row>
    <row r="382" spans="2:3" ht="12.75">
      <c r="B382" s="17"/>
      <c r="C382" s="4">
        <v>160</v>
      </c>
    </row>
    <row r="383" spans="2:3" ht="12.75">
      <c r="B383" s="17"/>
      <c r="C383" s="4">
        <v>175</v>
      </c>
    </row>
    <row r="384" spans="2:3" ht="12.75">
      <c r="B384" s="24"/>
      <c r="C384" s="4">
        <v>180</v>
      </c>
    </row>
    <row r="385" spans="2:3" ht="12.75">
      <c r="B385" s="24"/>
      <c r="C385" s="4">
        <v>210</v>
      </c>
    </row>
    <row r="386" spans="2:3" ht="12.75">
      <c r="B386" s="17"/>
      <c r="C386" s="4">
        <v>450</v>
      </c>
    </row>
    <row r="387" spans="2:3" ht="12.75">
      <c r="B387" s="17"/>
      <c r="C387" s="4">
        <v>470</v>
      </c>
    </row>
    <row r="388" spans="2:3" ht="12.75">
      <c r="B388" s="17"/>
      <c r="C388" s="4">
        <v>700</v>
      </c>
    </row>
    <row r="389" spans="2:3" ht="12.75">
      <c r="B389" s="17"/>
      <c r="C389" s="4">
        <v>710</v>
      </c>
    </row>
    <row r="390" ht="12.75">
      <c r="C390" s="4">
        <v>720</v>
      </c>
    </row>
    <row r="391" ht="12.75">
      <c r="C391" s="4">
        <v>730</v>
      </c>
    </row>
    <row r="392" ht="12.75">
      <c r="C392" s="4">
        <v>740</v>
      </c>
    </row>
    <row r="393" ht="12.75">
      <c r="C393" s="4">
        <v>750</v>
      </c>
    </row>
    <row r="394" ht="12.75">
      <c r="C394" s="4">
        <v>800</v>
      </c>
    </row>
  </sheetData>
  <sheetProtection sheet="1"/>
  <mergeCells count="84">
    <mergeCell ref="F175:G175"/>
    <mergeCell ref="J89:L89"/>
    <mergeCell ref="F89:H89"/>
    <mergeCell ref="F115:H115"/>
    <mergeCell ref="H174:J174"/>
    <mergeCell ref="H170:I170"/>
    <mergeCell ref="H169:I169"/>
    <mergeCell ref="F109:H109"/>
    <mergeCell ref="G163:J163"/>
    <mergeCell ref="F167:J167"/>
    <mergeCell ref="F83:H83"/>
    <mergeCell ref="J83:L83"/>
    <mergeCell ref="C51:E51"/>
    <mergeCell ref="C50:E50"/>
    <mergeCell ref="F53:I53"/>
    <mergeCell ref="F61:I61"/>
    <mergeCell ref="K61:L61"/>
    <mergeCell ref="F60:I60"/>
    <mergeCell ref="A1:M1"/>
    <mergeCell ref="B39:M39"/>
    <mergeCell ref="M158:M159"/>
    <mergeCell ref="F176:G176"/>
    <mergeCell ref="H175:I175"/>
    <mergeCell ref="H176:I176"/>
    <mergeCell ref="G159:J159"/>
    <mergeCell ref="G160:J160"/>
    <mergeCell ref="G161:J161"/>
    <mergeCell ref="F46:H46"/>
    <mergeCell ref="E163:F163"/>
    <mergeCell ref="F4:I4"/>
    <mergeCell ref="F5:K5"/>
    <mergeCell ref="F8:I8"/>
    <mergeCell ref="F9:K9"/>
    <mergeCell ref="F95:H95"/>
    <mergeCell ref="F82:H82"/>
    <mergeCell ref="F34:I34"/>
    <mergeCell ref="E162:F162"/>
    <mergeCell ref="B36:L36"/>
    <mergeCell ref="E161:F161"/>
    <mergeCell ref="F96:H96"/>
    <mergeCell ref="J96:L96"/>
    <mergeCell ref="G162:J162"/>
    <mergeCell ref="E160:F160"/>
    <mergeCell ref="J102:L102"/>
    <mergeCell ref="F102:H102"/>
    <mergeCell ref="J109:L109"/>
    <mergeCell ref="B158:E158"/>
    <mergeCell ref="F43:K43"/>
    <mergeCell ref="F74:H74"/>
    <mergeCell ref="J74:L74"/>
    <mergeCell ref="F76:H76"/>
    <mergeCell ref="J76:L76"/>
    <mergeCell ref="J95:L95"/>
    <mergeCell ref="F52:I52"/>
    <mergeCell ref="B49:E49"/>
    <mergeCell ref="J82:L82"/>
    <mergeCell ref="F108:H108"/>
    <mergeCell ref="J115:L115"/>
    <mergeCell ref="L158:L159"/>
    <mergeCell ref="J108:L108"/>
    <mergeCell ref="F20:I20"/>
    <mergeCell ref="B37:M38"/>
    <mergeCell ref="F32:I32"/>
    <mergeCell ref="B45:E45"/>
    <mergeCell ref="B43:E43"/>
    <mergeCell ref="H35:I35"/>
    <mergeCell ref="H33:I33"/>
    <mergeCell ref="F44:I44"/>
    <mergeCell ref="L44:L45"/>
    <mergeCell ref="K44:K45"/>
    <mergeCell ref="K56:L57"/>
    <mergeCell ref="K58:L58"/>
    <mergeCell ref="F30:I30"/>
    <mergeCell ref="F10:I10"/>
    <mergeCell ref="F11:I11"/>
    <mergeCell ref="F21:L21"/>
    <mergeCell ref="B28:L28"/>
    <mergeCell ref="B17:K18"/>
    <mergeCell ref="L17:L18"/>
    <mergeCell ref="B19:D19"/>
    <mergeCell ref="F58:I58"/>
    <mergeCell ref="F59:I59"/>
    <mergeCell ref="F62:I62"/>
    <mergeCell ref="F56:G56"/>
  </mergeCells>
  <dataValidations count="1">
    <dataValidation type="list" allowBlank="1" showInputMessage="1" showErrorMessage="1" sqref="F22:F23">
      <formula1>"Yes, No"</formula1>
    </dataValidation>
  </dataValidation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R243"/>
  <sheetViews>
    <sheetView zoomScalePageLayoutView="0" workbookViewId="0" topLeftCell="A1">
      <selection activeCell="K85" sqref="K85"/>
    </sheetView>
  </sheetViews>
  <sheetFormatPr defaultColWidth="9.140625" defaultRowHeight="12.75"/>
  <cols>
    <col min="1" max="1" width="35.140625" style="0" customWidth="1"/>
    <col min="2" max="2" width="12.57421875" style="0" customWidth="1"/>
    <col min="3" max="3" width="12.8515625" style="0" customWidth="1"/>
    <col min="4" max="4" width="9.00390625" style="0" customWidth="1"/>
    <col min="5" max="5" width="12.140625" style="0" customWidth="1"/>
    <col min="6" max="6" width="12.421875" style="0" customWidth="1"/>
    <col min="7" max="7" width="11.8515625" style="0" customWidth="1"/>
    <col min="8" max="8" width="20.28125" style="0" customWidth="1"/>
    <col min="9" max="9" width="28.00390625" style="0" customWidth="1"/>
    <col min="10" max="10" width="10.140625" style="0" customWidth="1"/>
    <col min="11" max="11" width="12.57421875" style="0" customWidth="1"/>
    <col min="12" max="12" width="9.8515625" style="0" customWidth="1"/>
    <col min="13" max="13" width="22.421875" style="0" customWidth="1"/>
    <col min="14" max="14" width="44.140625" style="0" customWidth="1"/>
  </cols>
  <sheetData>
    <row r="1" spans="4:15" ht="12.75">
      <c r="D1" t="s">
        <v>774</v>
      </c>
      <c r="E1" t="s">
        <v>773</v>
      </c>
      <c r="M1" s="140" t="s">
        <v>848</v>
      </c>
      <c r="N1" s="140"/>
      <c r="O1" s="140" t="s">
        <v>850</v>
      </c>
    </row>
    <row r="2" spans="1:15" s="2" customFormat="1" ht="15">
      <c r="A2" s="663" t="s">
        <v>767</v>
      </c>
      <c r="B2" s="664"/>
      <c r="M2" s="413" t="s">
        <v>849</v>
      </c>
      <c r="N2" s="413"/>
      <c r="O2" s="413" t="s">
        <v>851</v>
      </c>
    </row>
    <row r="3" spans="1:18" s="2" customFormat="1" ht="38.25" customHeight="1">
      <c r="A3" s="422" t="s">
        <v>124</v>
      </c>
      <c r="B3" s="414" t="s">
        <v>852</v>
      </c>
      <c r="D3" s="414" t="s">
        <v>842</v>
      </c>
      <c r="E3" s="414" t="s">
        <v>843</v>
      </c>
      <c r="F3" s="414" t="s">
        <v>844</v>
      </c>
      <c r="G3" s="421" t="s">
        <v>846</v>
      </c>
      <c r="H3" s="421" t="s">
        <v>847</v>
      </c>
      <c r="K3" s="414" t="s">
        <v>858</v>
      </c>
      <c r="L3" s="434" t="s">
        <v>867</v>
      </c>
      <c r="M3" s="426" t="s">
        <v>879</v>
      </c>
      <c r="N3" s="433" t="s">
        <v>882</v>
      </c>
      <c r="O3" s="660" t="s">
        <v>857</v>
      </c>
      <c r="P3" s="661"/>
      <c r="Q3" s="661"/>
      <c r="R3" s="662"/>
    </row>
    <row r="4" spans="1:18" s="178" customFormat="1" ht="12.75" customHeight="1">
      <c r="A4" s="412">
        <v>0</v>
      </c>
      <c r="B4" s="213">
        <v>0</v>
      </c>
      <c r="D4" s="415" t="s">
        <v>775</v>
      </c>
      <c r="E4" s="160">
        <v>4</v>
      </c>
      <c r="F4" s="416">
        <f>SUM(3.35,2.8,3.63,3.5,4.26,4.04,3.6,3.35,4.09,3.19,3.44,3.16)</f>
        <v>42.41</v>
      </c>
      <c r="G4" s="148">
        <v>2.9</v>
      </c>
      <c r="H4" s="148">
        <f>F4/G4</f>
        <v>14.624137931034483</v>
      </c>
      <c r="K4" s="436"/>
      <c r="L4" s="435"/>
      <c r="M4" s="429"/>
      <c r="N4" s="429"/>
      <c r="O4" s="426" t="s">
        <v>854</v>
      </c>
      <c r="P4" s="426" t="s">
        <v>855</v>
      </c>
      <c r="Q4" s="426" t="s">
        <v>845</v>
      </c>
      <c r="R4" s="426" t="s">
        <v>856</v>
      </c>
    </row>
    <row r="5" spans="1:18" s="178" customFormat="1" ht="12.75" customHeight="1">
      <c r="A5" s="213" t="s">
        <v>678</v>
      </c>
      <c r="B5" s="424" t="s">
        <v>859</v>
      </c>
      <c r="D5" s="417" t="s">
        <v>776</v>
      </c>
      <c r="E5" s="22">
        <v>9</v>
      </c>
      <c r="F5" s="418">
        <f>SUM(2.99,2.66,3.56,3.56,4.2,4.32,4.33,3.91,3.8,2.78,3.53,3.17)</f>
        <v>42.81000000000001</v>
      </c>
      <c r="G5" s="14">
        <v>2.9</v>
      </c>
      <c r="H5" s="14">
        <f aca="true" t="shared" si="0" ref="H5:H68">F5/G5</f>
        <v>14.762068965517246</v>
      </c>
      <c r="K5" s="437" t="s">
        <v>859</v>
      </c>
      <c r="L5" s="56" t="s">
        <v>868</v>
      </c>
      <c r="M5" s="430" t="s">
        <v>873</v>
      </c>
      <c r="N5" s="430" t="str">
        <f>CONCATENATE(K5,L5,M5)</f>
        <v>Row CroppoorStraight row</v>
      </c>
      <c r="O5" s="427">
        <v>72</v>
      </c>
      <c r="P5" s="427">
        <v>81</v>
      </c>
      <c r="Q5" s="427">
        <v>88</v>
      </c>
      <c r="R5" s="427">
        <v>91</v>
      </c>
    </row>
    <row r="6" spans="1:18" s="2" customFormat="1" ht="12.75">
      <c r="A6" s="22" t="s">
        <v>147</v>
      </c>
      <c r="B6" s="424" t="s">
        <v>859</v>
      </c>
      <c r="C6" s="10"/>
      <c r="D6" s="417" t="s">
        <v>777</v>
      </c>
      <c r="E6" s="22">
        <v>9</v>
      </c>
      <c r="F6" s="418">
        <f>SUM(2.99,2.66,3.56,3.56,4.2,4.32,4.33,3.91,3.8,2.78,3.53,3.17)</f>
        <v>42.81000000000001</v>
      </c>
      <c r="G6" s="14">
        <v>2.9</v>
      </c>
      <c r="H6" s="14">
        <f t="shared" si="0"/>
        <v>14.762068965517246</v>
      </c>
      <c r="K6" s="437" t="s">
        <v>859</v>
      </c>
      <c r="L6" s="56" t="s">
        <v>869</v>
      </c>
      <c r="M6" s="430" t="s">
        <v>873</v>
      </c>
      <c r="N6" s="430" t="str">
        <f aca="true" t="shared" si="1" ref="N6:N36">CONCATENATE(K6,L6,M6)</f>
        <v>Row CropgoodStraight row</v>
      </c>
      <c r="O6" s="427">
        <v>67</v>
      </c>
      <c r="P6" s="427">
        <v>78</v>
      </c>
      <c r="Q6" s="427">
        <v>85</v>
      </c>
      <c r="R6" s="427">
        <v>89</v>
      </c>
    </row>
    <row r="7" spans="1:18" s="2" customFormat="1" ht="12.75">
      <c r="A7" s="22" t="s">
        <v>148</v>
      </c>
      <c r="B7" s="424" t="s">
        <v>859</v>
      </c>
      <c r="C7" s="10"/>
      <c r="D7" s="417" t="s">
        <v>778</v>
      </c>
      <c r="E7" s="22">
        <v>9</v>
      </c>
      <c r="F7" s="418">
        <f>SUM(2.99,2.66,3.56,3.56,4.2,4.32,4.33,3.91,3.8,2.78,3.53,3.17)</f>
        <v>42.81000000000001</v>
      </c>
      <c r="G7" s="14">
        <v>2.9</v>
      </c>
      <c r="H7" s="14">
        <f t="shared" si="0"/>
        <v>14.762068965517246</v>
      </c>
      <c r="K7" s="437" t="s">
        <v>859</v>
      </c>
      <c r="L7" s="56" t="s">
        <v>868</v>
      </c>
      <c r="M7" s="430" t="s">
        <v>872</v>
      </c>
      <c r="N7" s="430" t="str">
        <f t="shared" si="1"/>
        <v>Row CroppoorStraight row with crop residue cover</v>
      </c>
      <c r="O7" s="427">
        <v>71</v>
      </c>
      <c r="P7" s="427">
        <v>80</v>
      </c>
      <c r="Q7" s="427">
        <v>87</v>
      </c>
      <c r="R7" s="427">
        <v>90</v>
      </c>
    </row>
    <row r="8" spans="1:18" s="2" customFormat="1" ht="12.75">
      <c r="A8" s="22" t="s">
        <v>641</v>
      </c>
      <c r="B8" s="22" t="s">
        <v>860</v>
      </c>
      <c r="C8" s="10"/>
      <c r="D8" s="417" t="s">
        <v>779</v>
      </c>
      <c r="E8" s="22">
        <v>8</v>
      </c>
      <c r="F8" s="418">
        <f>SUM(2.98,2.66,3.57,3.62,4.16,4.13,4.07,3.41,3.72,3.14,3.55,2.92)</f>
        <v>41.93</v>
      </c>
      <c r="G8" s="14">
        <v>2.9</v>
      </c>
      <c r="H8" s="14">
        <f t="shared" si="0"/>
        <v>14.458620689655172</v>
      </c>
      <c r="K8" s="437" t="s">
        <v>859</v>
      </c>
      <c r="L8" s="56" t="s">
        <v>869</v>
      </c>
      <c r="M8" s="430" t="s">
        <v>872</v>
      </c>
      <c r="N8" s="430" t="str">
        <f t="shared" si="1"/>
        <v>Row CropgoodStraight row with crop residue cover</v>
      </c>
      <c r="O8" s="427">
        <v>64</v>
      </c>
      <c r="P8" s="427">
        <v>75</v>
      </c>
      <c r="Q8" s="427">
        <v>82</v>
      </c>
      <c r="R8" s="427">
        <v>85</v>
      </c>
    </row>
    <row r="9" spans="1:18" s="2" customFormat="1" ht="12.75">
      <c r="A9" s="22" t="s">
        <v>640</v>
      </c>
      <c r="B9" s="22" t="s">
        <v>860</v>
      </c>
      <c r="C9" s="10"/>
      <c r="D9" s="417" t="s">
        <v>780</v>
      </c>
      <c r="E9" s="22">
        <v>3</v>
      </c>
      <c r="F9" s="418">
        <f>SUM(3.69,2.77,3.76,3.67,4.46,3.96,4.51,3.82,4.33,3.35,3.72,3.43)</f>
        <v>45.47</v>
      </c>
      <c r="G9" s="14">
        <v>2.9</v>
      </c>
      <c r="H9" s="14">
        <f t="shared" si="0"/>
        <v>15.679310344827586</v>
      </c>
      <c r="K9" s="437" t="s">
        <v>859</v>
      </c>
      <c r="L9" s="56" t="s">
        <v>868</v>
      </c>
      <c r="M9" s="430" t="s">
        <v>874</v>
      </c>
      <c r="N9" s="430" t="str">
        <f t="shared" si="1"/>
        <v>Row CroppoorContoured</v>
      </c>
      <c r="O9" s="427">
        <v>70</v>
      </c>
      <c r="P9" s="427">
        <v>79</v>
      </c>
      <c r="Q9" s="427">
        <v>84</v>
      </c>
      <c r="R9" s="427">
        <v>88</v>
      </c>
    </row>
    <row r="10" spans="1:18" s="2" customFormat="1" ht="12.75">
      <c r="A10" s="22" t="s">
        <v>149</v>
      </c>
      <c r="B10" s="424" t="s">
        <v>859</v>
      </c>
      <c r="C10" s="10"/>
      <c r="D10" s="417" t="s">
        <v>781</v>
      </c>
      <c r="E10" s="22">
        <v>8</v>
      </c>
      <c r="F10" s="418">
        <f>SUM(2.98,2.66,3.57,3.62,4.16,4.13,4.07,3.41,3.72,3.14,3.55,2.92)</f>
        <v>41.93</v>
      </c>
      <c r="G10" s="14">
        <v>2.9</v>
      </c>
      <c r="H10" s="14">
        <f t="shared" si="0"/>
        <v>14.458620689655172</v>
      </c>
      <c r="K10" s="437" t="s">
        <v>859</v>
      </c>
      <c r="L10" s="56" t="s">
        <v>869</v>
      </c>
      <c r="M10" s="430" t="s">
        <v>874</v>
      </c>
      <c r="N10" s="430" t="str">
        <f t="shared" si="1"/>
        <v>Row CropgoodContoured</v>
      </c>
      <c r="O10" s="427">
        <v>65</v>
      </c>
      <c r="P10" s="427">
        <v>75</v>
      </c>
      <c r="Q10" s="427">
        <v>82</v>
      </c>
      <c r="R10" s="427">
        <v>86</v>
      </c>
    </row>
    <row r="11" spans="1:18" s="2" customFormat="1" ht="12.75">
      <c r="A11" s="22" t="s">
        <v>150</v>
      </c>
      <c r="B11" s="424" t="s">
        <v>859</v>
      </c>
      <c r="C11" s="10"/>
      <c r="D11" s="417" t="s">
        <v>782</v>
      </c>
      <c r="E11" s="22">
        <v>6</v>
      </c>
      <c r="F11" s="418">
        <f>SUM(2.66,2.27,2.85,3.29,3.55,4.31,3.62,3.32,3.74,3.11,3.3,2.76)</f>
        <v>38.779999999999994</v>
      </c>
      <c r="G11" s="14">
        <v>2.9</v>
      </c>
      <c r="H11" s="14">
        <f t="shared" si="0"/>
        <v>13.372413793103446</v>
      </c>
      <c r="K11" s="437" t="s">
        <v>859</v>
      </c>
      <c r="L11" s="56" t="s">
        <v>868</v>
      </c>
      <c r="M11" s="430" t="s">
        <v>875</v>
      </c>
      <c r="N11" s="430" t="str">
        <f t="shared" si="1"/>
        <v>Row CroppoorContoured with crop residue cover</v>
      </c>
      <c r="O11" s="427">
        <v>69</v>
      </c>
      <c r="P11" s="427">
        <v>78</v>
      </c>
      <c r="Q11" s="427">
        <v>83</v>
      </c>
      <c r="R11" s="427">
        <v>87</v>
      </c>
    </row>
    <row r="12" spans="1:18" s="2" customFormat="1" ht="12.75">
      <c r="A12" s="22" t="s">
        <v>151</v>
      </c>
      <c r="B12" s="424" t="s">
        <v>859</v>
      </c>
      <c r="C12" s="10"/>
      <c r="D12" s="417" t="s">
        <v>783</v>
      </c>
      <c r="E12" s="22">
        <v>3</v>
      </c>
      <c r="F12" s="418">
        <f>SUM(3.69,2.77,3.76,3.67,4.46,3.96,4.51,3.82,4.33,3.35,3.72,3.43)</f>
        <v>45.47</v>
      </c>
      <c r="G12" s="14">
        <v>2.9</v>
      </c>
      <c r="H12" s="14">
        <f t="shared" si="0"/>
        <v>15.679310344827586</v>
      </c>
      <c r="K12" s="437" t="s">
        <v>859</v>
      </c>
      <c r="L12" s="56" t="s">
        <v>869</v>
      </c>
      <c r="M12" s="430" t="s">
        <v>875</v>
      </c>
      <c r="N12" s="430" t="str">
        <f t="shared" si="1"/>
        <v>Row CropgoodContoured with crop residue cover</v>
      </c>
      <c r="O12" s="427">
        <v>64</v>
      </c>
      <c r="P12" s="427">
        <v>74</v>
      </c>
      <c r="Q12" s="427">
        <v>81</v>
      </c>
      <c r="R12" s="427">
        <v>85</v>
      </c>
    </row>
    <row r="13" spans="1:18" s="2" customFormat="1" ht="12.75">
      <c r="A13" s="22" t="s">
        <v>152</v>
      </c>
      <c r="B13" s="424" t="s">
        <v>859</v>
      </c>
      <c r="C13" s="10"/>
      <c r="D13" s="417" t="s">
        <v>784</v>
      </c>
      <c r="E13" s="22">
        <v>9</v>
      </c>
      <c r="F13" s="418">
        <f>SUM(2.99,2.66,3.56,3.56,4.2,4.32,4.33,3.91,3.8,2.78,3.53,3.17)</f>
        <v>42.81000000000001</v>
      </c>
      <c r="G13" s="14">
        <v>2.9</v>
      </c>
      <c r="H13" s="14">
        <f t="shared" si="0"/>
        <v>14.762068965517246</v>
      </c>
      <c r="K13" s="437" t="s">
        <v>859</v>
      </c>
      <c r="L13" s="56" t="s">
        <v>868</v>
      </c>
      <c r="M13" s="430" t="s">
        <v>876</v>
      </c>
      <c r="N13" s="430" t="str">
        <f t="shared" si="1"/>
        <v>Row CroppoorContoured and terraced</v>
      </c>
      <c r="O13" s="427">
        <v>66</v>
      </c>
      <c r="P13" s="427">
        <v>74</v>
      </c>
      <c r="Q13" s="427">
        <v>80</v>
      </c>
      <c r="R13" s="427">
        <v>82</v>
      </c>
    </row>
    <row r="14" spans="1:18" s="2" customFormat="1" ht="12.75">
      <c r="A14" s="22" t="s">
        <v>153</v>
      </c>
      <c r="B14" s="424" t="s">
        <v>859</v>
      </c>
      <c r="C14" s="10"/>
      <c r="D14" s="417" t="s">
        <v>785</v>
      </c>
      <c r="E14" s="22">
        <v>8</v>
      </c>
      <c r="F14" s="418">
        <f>SUM(2.98,2.66,3.57,3.62,4.16,4.13,4.07,3.41,3.72,3.14,3.55,2.92)</f>
        <v>41.93</v>
      </c>
      <c r="G14" s="14">
        <v>2.9</v>
      </c>
      <c r="H14" s="14">
        <f t="shared" si="0"/>
        <v>14.458620689655172</v>
      </c>
      <c r="K14" s="437" t="s">
        <v>859</v>
      </c>
      <c r="L14" s="56" t="s">
        <v>869</v>
      </c>
      <c r="M14" s="430" t="s">
        <v>876</v>
      </c>
      <c r="N14" s="430" t="str">
        <f t="shared" si="1"/>
        <v>Row CropgoodContoured and terraced</v>
      </c>
      <c r="O14" s="427">
        <v>62</v>
      </c>
      <c r="P14" s="427">
        <v>71</v>
      </c>
      <c r="Q14" s="427">
        <v>78</v>
      </c>
      <c r="R14" s="427">
        <v>81</v>
      </c>
    </row>
    <row r="15" spans="1:18" s="2" customFormat="1" ht="12.75">
      <c r="A15" s="22" t="s">
        <v>154</v>
      </c>
      <c r="B15" s="424" t="s">
        <v>859</v>
      </c>
      <c r="C15" s="10"/>
      <c r="D15" s="417" t="s">
        <v>786</v>
      </c>
      <c r="E15" s="22">
        <v>7</v>
      </c>
      <c r="F15" s="418">
        <f>SUM(2.56,2.38,3.2,3.31,3.78,4.85,4.11,3.8,3.93,3.02,3.46,2.79)</f>
        <v>41.19</v>
      </c>
      <c r="G15" s="14">
        <v>2.9</v>
      </c>
      <c r="H15" s="14">
        <f t="shared" si="0"/>
        <v>14.203448275862069</v>
      </c>
      <c r="K15" s="437" t="s">
        <v>859</v>
      </c>
      <c r="L15" s="56" t="s">
        <v>868</v>
      </c>
      <c r="M15" s="430" t="s">
        <v>877</v>
      </c>
      <c r="N15" s="430" t="str">
        <f t="shared" si="1"/>
        <v>Row CroppoorContoured and terraced with crop residue cover</v>
      </c>
      <c r="O15" s="427">
        <v>65</v>
      </c>
      <c r="P15" s="427">
        <v>73</v>
      </c>
      <c r="Q15" s="427">
        <v>79</v>
      </c>
      <c r="R15" s="427">
        <v>81</v>
      </c>
    </row>
    <row r="16" spans="1:18" s="2" customFormat="1" ht="12.75">
      <c r="A16" s="22" t="s">
        <v>155</v>
      </c>
      <c r="B16" s="424" t="s">
        <v>859</v>
      </c>
      <c r="C16" s="10"/>
      <c r="D16" s="417" t="s">
        <v>787</v>
      </c>
      <c r="E16" s="22">
        <v>2</v>
      </c>
      <c r="F16" s="418">
        <f>SUM(3.55,2.69,3.74,3.64,4.71,4.35,4.3,4.13,4.55,3.59,3.77,3.53)</f>
        <v>46.550000000000004</v>
      </c>
      <c r="G16" s="14">
        <v>2.9</v>
      </c>
      <c r="H16" s="14">
        <f t="shared" si="0"/>
        <v>16.051724137931036</v>
      </c>
      <c r="K16" s="437" t="s">
        <v>859</v>
      </c>
      <c r="L16" s="56" t="s">
        <v>869</v>
      </c>
      <c r="M16" s="430" t="s">
        <v>877</v>
      </c>
      <c r="N16" s="430" t="str">
        <f t="shared" si="1"/>
        <v>Row CropgoodContoured and terraced with crop residue cover</v>
      </c>
      <c r="O16" s="427">
        <v>61</v>
      </c>
      <c r="P16" s="427">
        <v>70</v>
      </c>
      <c r="Q16" s="427">
        <v>77</v>
      </c>
      <c r="R16" s="427">
        <v>80</v>
      </c>
    </row>
    <row r="17" spans="1:18" s="2" customFormat="1" ht="12.75">
      <c r="A17" s="22" t="s">
        <v>156</v>
      </c>
      <c r="B17" s="424" t="s">
        <v>859</v>
      </c>
      <c r="C17" s="10"/>
      <c r="D17" s="417" t="s">
        <v>788</v>
      </c>
      <c r="E17" s="22">
        <v>7</v>
      </c>
      <c r="F17" s="418">
        <f>SUM(2.56,2.38,3.2,3.31,3.78,4.85,4.11,3.8,3.93,3.02,3.46,2.79)</f>
        <v>41.19</v>
      </c>
      <c r="G17" s="14">
        <v>2.9</v>
      </c>
      <c r="H17" s="14">
        <f t="shared" si="0"/>
        <v>14.203448275862069</v>
      </c>
      <c r="K17" s="437" t="s">
        <v>860</v>
      </c>
      <c r="L17" s="56" t="s">
        <v>868</v>
      </c>
      <c r="M17" s="430" t="s">
        <v>873</v>
      </c>
      <c r="N17" s="430" t="str">
        <f t="shared" si="1"/>
        <v>Small GrainpoorStraight row</v>
      </c>
      <c r="O17" s="427">
        <v>65</v>
      </c>
      <c r="P17" s="427">
        <v>76</v>
      </c>
      <c r="Q17" s="427">
        <v>84</v>
      </c>
      <c r="R17" s="427">
        <v>88</v>
      </c>
    </row>
    <row r="18" spans="1:18" s="2" customFormat="1" ht="12.75">
      <c r="A18" s="22" t="s">
        <v>157</v>
      </c>
      <c r="B18" s="424" t="s">
        <v>859</v>
      </c>
      <c r="C18" s="10"/>
      <c r="D18" s="417" t="s">
        <v>789</v>
      </c>
      <c r="E18" s="22">
        <v>3</v>
      </c>
      <c r="F18" s="418">
        <f>SUM(3.69,2.77,3.76,3.67,4.46,3.96,4.51,3.82,4.33,3.35,3.72,3.43)</f>
        <v>45.47</v>
      </c>
      <c r="G18" s="14">
        <v>2.9</v>
      </c>
      <c r="H18" s="14">
        <f t="shared" si="0"/>
        <v>15.679310344827586</v>
      </c>
      <c r="K18" s="437" t="s">
        <v>860</v>
      </c>
      <c r="L18" s="56" t="s">
        <v>869</v>
      </c>
      <c r="M18" s="430" t="s">
        <v>873</v>
      </c>
      <c r="N18" s="430" t="str">
        <f t="shared" si="1"/>
        <v>Small GraingoodStraight row</v>
      </c>
      <c r="O18" s="427">
        <v>63</v>
      </c>
      <c r="P18" s="427">
        <v>75</v>
      </c>
      <c r="Q18" s="427">
        <v>83</v>
      </c>
      <c r="R18" s="427">
        <v>87</v>
      </c>
    </row>
    <row r="19" spans="1:18" s="2" customFormat="1" ht="12.75">
      <c r="A19" s="22" t="s">
        <v>158</v>
      </c>
      <c r="B19" s="424" t="s">
        <v>859</v>
      </c>
      <c r="D19" s="417" t="s">
        <v>790</v>
      </c>
      <c r="E19" s="22">
        <v>10</v>
      </c>
      <c r="F19" s="418">
        <f>SUM(2.84,2.44,3.28,3.58,3.82,4.98,4.3,4.17,4.36,3.33,3.72,3.48)</f>
        <v>44.29999999999999</v>
      </c>
      <c r="G19" s="14">
        <v>2.9</v>
      </c>
      <c r="H19" s="14">
        <f t="shared" si="0"/>
        <v>15.275862068965514</v>
      </c>
      <c r="K19" s="437" t="s">
        <v>860</v>
      </c>
      <c r="L19" s="56" t="s">
        <v>868</v>
      </c>
      <c r="M19" s="430" t="s">
        <v>872</v>
      </c>
      <c r="N19" s="430" t="str">
        <f t="shared" si="1"/>
        <v>Small GrainpoorStraight row with crop residue cover</v>
      </c>
      <c r="O19" s="427">
        <v>64</v>
      </c>
      <c r="P19" s="427">
        <v>75</v>
      </c>
      <c r="Q19" s="427">
        <v>83</v>
      </c>
      <c r="R19" s="427">
        <v>86</v>
      </c>
    </row>
    <row r="20" spans="1:18" s="2" customFormat="1" ht="12.75">
      <c r="A20" s="22" t="s">
        <v>395</v>
      </c>
      <c r="B20" s="424" t="s">
        <v>859</v>
      </c>
      <c r="D20" s="417" t="s">
        <v>791</v>
      </c>
      <c r="E20" s="22">
        <v>7</v>
      </c>
      <c r="F20" s="418">
        <f>SUM(2.56,2.38,3.2,3.31,3.78,4.85,4.11,3.8,3.93,3.02,3.46,2.79)</f>
        <v>41.19</v>
      </c>
      <c r="G20" s="14">
        <v>2.9</v>
      </c>
      <c r="H20" s="14">
        <f t="shared" si="0"/>
        <v>14.203448275862069</v>
      </c>
      <c r="K20" s="437" t="s">
        <v>860</v>
      </c>
      <c r="L20" s="56" t="s">
        <v>869</v>
      </c>
      <c r="M20" s="430" t="s">
        <v>872</v>
      </c>
      <c r="N20" s="430" t="str">
        <f t="shared" si="1"/>
        <v>Small GraingoodStraight row with crop residue cover</v>
      </c>
      <c r="O20" s="427">
        <v>60</v>
      </c>
      <c r="P20" s="427">
        <v>72</v>
      </c>
      <c r="Q20" s="427">
        <v>80</v>
      </c>
      <c r="R20" s="427">
        <v>84</v>
      </c>
    </row>
    <row r="21" spans="1:18" s="2" customFormat="1" ht="12" customHeight="1">
      <c r="A21" s="22" t="s">
        <v>396</v>
      </c>
      <c r="B21" s="424" t="s">
        <v>859</v>
      </c>
      <c r="D21" s="417" t="s">
        <v>792</v>
      </c>
      <c r="E21" s="22">
        <v>7</v>
      </c>
      <c r="F21" s="418">
        <f>SUM(2.56,2.38,3.2,3.31,3.78,4.85,4.11,3.8,3.93,3.02,3.46,2.79)</f>
        <v>41.19</v>
      </c>
      <c r="G21" s="14">
        <v>2.9</v>
      </c>
      <c r="H21" s="14">
        <f t="shared" si="0"/>
        <v>14.203448275862069</v>
      </c>
      <c r="K21" s="437" t="s">
        <v>860</v>
      </c>
      <c r="L21" s="56" t="s">
        <v>868</v>
      </c>
      <c r="M21" s="430" t="s">
        <v>874</v>
      </c>
      <c r="N21" s="430" t="str">
        <f t="shared" si="1"/>
        <v>Small GrainpoorContoured</v>
      </c>
      <c r="O21" s="427">
        <v>63</v>
      </c>
      <c r="P21" s="427">
        <v>74</v>
      </c>
      <c r="Q21" s="427">
        <v>82</v>
      </c>
      <c r="R21" s="427">
        <v>85</v>
      </c>
    </row>
    <row r="22" spans="1:18" s="2" customFormat="1" ht="12.75">
      <c r="A22" s="22" t="s">
        <v>159</v>
      </c>
      <c r="B22" s="424" t="s">
        <v>859</v>
      </c>
      <c r="D22" s="417" t="s">
        <v>793</v>
      </c>
      <c r="E22" s="22">
        <v>5</v>
      </c>
      <c r="F22" s="418">
        <f>SUM(2.98,2.6,3.34,3.44,3.96,4.54,3.93,3.54,4.09,3.22,3.54,3.01)</f>
        <v>42.19</v>
      </c>
      <c r="G22" s="14">
        <v>2.9</v>
      </c>
      <c r="H22" s="14">
        <f t="shared" si="0"/>
        <v>14.548275862068966</v>
      </c>
      <c r="K22" s="437" t="s">
        <v>860</v>
      </c>
      <c r="L22" s="56" t="s">
        <v>869</v>
      </c>
      <c r="M22" s="430" t="s">
        <v>874</v>
      </c>
      <c r="N22" s="430" t="str">
        <f t="shared" si="1"/>
        <v>Small GraingoodContoured</v>
      </c>
      <c r="O22" s="427">
        <v>61</v>
      </c>
      <c r="P22" s="427">
        <v>73</v>
      </c>
      <c r="Q22" s="427">
        <v>81</v>
      </c>
      <c r="R22" s="427">
        <v>84</v>
      </c>
    </row>
    <row r="23" spans="1:18" s="2" customFormat="1" ht="12.75">
      <c r="A23" s="22" t="s">
        <v>160</v>
      </c>
      <c r="B23" s="424" t="s">
        <v>859</v>
      </c>
      <c r="D23" s="417" t="s">
        <v>794</v>
      </c>
      <c r="E23" s="22">
        <v>10</v>
      </c>
      <c r="F23" s="418">
        <f>SUM(2.84,2.44,3.28,3.58,3.82,4.98,4.3,4.17,4.36,3.33,3.72,3.48)</f>
        <v>44.29999999999999</v>
      </c>
      <c r="G23" s="14">
        <v>2.9</v>
      </c>
      <c r="H23" s="14">
        <f t="shared" si="0"/>
        <v>15.275862068965514</v>
      </c>
      <c r="K23" s="437" t="s">
        <v>860</v>
      </c>
      <c r="L23" s="56" t="s">
        <v>868</v>
      </c>
      <c r="M23" s="430" t="s">
        <v>875</v>
      </c>
      <c r="N23" s="430" t="str">
        <f t="shared" si="1"/>
        <v>Small GrainpoorContoured with crop residue cover</v>
      </c>
      <c r="O23" s="427">
        <v>62</v>
      </c>
      <c r="P23" s="427">
        <v>73</v>
      </c>
      <c r="Q23" s="427">
        <v>81</v>
      </c>
      <c r="R23" s="427">
        <v>84</v>
      </c>
    </row>
    <row r="24" spans="1:18" s="2" customFormat="1" ht="12.75">
      <c r="A24" s="22" t="s">
        <v>161</v>
      </c>
      <c r="B24" s="424" t="s">
        <v>859</v>
      </c>
      <c r="D24" s="417" t="s">
        <v>795</v>
      </c>
      <c r="E24" s="22">
        <v>4</v>
      </c>
      <c r="F24" s="418">
        <f>SUM(3.35,2.8,3.63,3.5,4.26,4.04,3.6,3.35,4.09,3.19,3.44,3.16)</f>
        <v>42.41</v>
      </c>
      <c r="G24" s="14">
        <v>2.9</v>
      </c>
      <c r="H24" s="14">
        <f t="shared" si="0"/>
        <v>14.624137931034483</v>
      </c>
      <c r="K24" s="437" t="s">
        <v>860</v>
      </c>
      <c r="L24" s="56" t="s">
        <v>869</v>
      </c>
      <c r="M24" s="430" t="s">
        <v>875</v>
      </c>
      <c r="N24" s="430" t="str">
        <f t="shared" si="1"/>
        <v>Small GraingoodContoured with crop residue cover</v>
      </c>
      <c r="O24" s="427">
        <v>60</v>
      </c>
      <c r="P24" s="427">
        <v>72</v>
      </c>
      <c r="Q24" s="427">
        <v>80</v>
      </c>
      <c r="R24" s="427">
        <v>83</v>
      </c>
    </row>
    <row r="25" spans="1:18" s="2" customFormat="1" ht="12.75">
      <c r="A25" s="22" t="s">
        <v>162</v>
      </c>
      <c r="B25" s="424" t="s">
        <v>859</v>
      </c>
      <c r="D25" s="417" t="s">
        <v>796</v>
      </c>
      <c r="E25" s="22">
        <v>5</v>
      </c>
      <c r="F25" s="418">
        <f>SUM(2.98,2.6,3.34,3.44,3.96,4.54,3.93,3.54,4.09,3.22,3.54,3.01)</f>
        <v>42.19</v>
      </c>
      <c r="G25" s="14">
        <v>2.9</v>
      </c>
      <c r="H25" s="14">
        <f t="shared" si="0"/>
        <v>14.548275862068966</v>
      </c>
      <c r="K25" s="437" t="s">
        <v>860</v>
      </c>
      <c r="L25" s="56" t="s">
        <v>868</v>
      </c>
      <c r="M25" s="430" t="s">
        <v>876</v>
      </c>
      <c r="N25" s="430" t="str">
        <f t="shared" si="1"/>
        <v>Small GrainpoorContoured and terraced</v>
      </c>
      <c r="O25" s="427">
        <v>61</v>
      </c>
      <c r="P25" s="427">
        <v>72</v>
      </c>
      <c r="Q25" s="427">
        <v>79</v>
      </c>
      <c r="R25" s="427">
        <v>82</v>
      </c>
    </row>
    <row r="26" spans="1:18" s="2" customFormat="1" ht="12.75">
      <c r="A26" s="22" t="s">
        <v>397</v>
      </c>
      <c r="B26" s="424" t="s">
        <v>859</v>
      </c>
      <c r="D26" s="417" t="s">
        <v>797</v>
      </c>
      <c r="E26" s="22">
        <v>3</v>
      </c>
      <c r="F26" s="418">
        <f>SUM(3.69,2.77,3.76,3.67,4.46,3.96,4.51,3.82,4.33,3.35,3.72,3.43)</f>
        <v>45.47</v>
      </c>
      <c r="G26" s="14">
        <v>2.9</v>
      </c>
      <c r="H26" s="14">
        <f t="shared" si="0"/>
        <v>15.679310344827586</v>
      </c>
      <c r="K26" s="437" t="s">
        <v>860</v>
      </c>
      <c r="L26" s="56" t="s">
        <v>869</v>
      </c>
      <c r="M26" s="430" t="s">
        <v>876</v>
      </c>
      <c r="N26" s="430" t="str">
        <f t="shared" si="1"/>
        <v>Small GraingoodContoured and terraced</v>
      </c>
      <c r="O26" s="427">
        <v>59</v>
      </c>
      <c r="P26" s="427">
        <v>70</v>
      </c>
      <c r="Q26" s="427">
        <v>78</v>
      </c>
      <c r="R26" s="427">
        <v>81</v>
      </c>
    </row>
    <row r="27" spans="1:18" s="2" customFormat="1" ht="12.75">
      <c r="A27" s="22" t="s">
        <v>163</v>
      </c>
      <c r="B27" s="424" t="s">
        <v>859</v>
      </c>
      <c r="D27" s="417" t="s">
        <v>798</v>
      </c>
      <c r="E27" s="22">
        <v>7</v>
      </c>
      <c r="F27" s="418">
        <f>SUM(2.56,2.38,3.2,3.31,3.78,4.85,4.11,3.8,3.93,3.02,3.46,2.79)</f>
        <v>41.19</v>
      </c>
      <c r="G27" s="14">
        <v>2.9</v>
      </c>
      <c r="H27" s="14">
        <f t="shared" si="0"/>
        <v>14.203448275862069</v>
      </c>
      <c r="K27" s="437" t="s">
        <v>860</v>
      </c>
      <c r="L27" s="56" t="s">
        <v>868</v>
      </c>
      <c r="M27" s="430" t="s">
        <v>877</v>
      </c>
      <c r="N27" s="430" t="str">
        <f t="shared" si="1"/>
        <v>Small GrainpoorContoured and terraced with crop residue cover</v>
      </c>
      <c r="O27" s="427">
        <v>60</v>
      </c>
      <c r="P27" s="427">
        <v>71</v>
      </c>
      <c r="Q27" s="427">
        <v>78</v>
      </c>
      <c r="R27" s="427">
        <v>81</v>
      </c>
    </row>
    <row r="28" spans="1:18" s="2" customFormat="1" ht="12.75">
      <c r="A28" s="22" t="s">
        <v>164</v>
      </c>
      <c r="B28" s="424" t="s">
        <v>859</v>
      </c>
      <c r="D28" s="417" t="s">
        <v>799</v>
      </c>
      <c r="E28" s="22">
        <v>10</v>
      </c>
      <c r="F28" s="418">
        <f>SUM(2.84,2.44,3.28,3.58,3.82,4.98,4.3,4.17,4.36,3.33,3.72,3.48)</f>
        <v>44.29999999999999</v>
      </c>
      <c r="G28" s="14">
        <v>2.9</v>
      </c>
      <c r="H28" s="14">
        <f t="shared" si="0"/>
        <v>15.275862068965514</v>
      </c>
      <c r="K28" s="437" t="s">
        <v>860</v>
      </c>
      <c r="L28" s="56" t="s">
        <v>869</v>
      </c>
      <c r="M28" s="430" t="s">
        <v>877</v>
      </c>
      <c r="N28" s="430" t="str">
        <f t="shared" si="1"/>
        <v>Small GraingoodContoured and terraced with crop residue cover</v>
      </c>
      <c r="O28" s="427">
        <v>58</v>
      </c>
      <c r="P28" s="427">
        <v>69</v>
      </c>
      <c r="Q28" s="427">
        <v>77</v>
      </c>
      <c r="R28" s="427">
        <v>80</v>
      </c>
    </row>
    <row r="29" spans="1:18" s="2" customFormat="1" ht="12.75">
      <c r="A29" s="22" t="s">
        <v>165</v>
      </c>
      <c r="B29" s="424" t="s">
        <v>859</v>
      </c>
      <c r="D29" s="417" t="s">
        <v>800</v>
      </c>
      <c r="E29" s="22">
        <v>9</v>
      </c>
      <c r="F29" s="418">
        <f>SUM(2.99,2.66,3.56,3.56,4.2,4.32,4.33,3.91,3.8,2.78,3.53,3.17)</f>
        <v>42.81000000000001</v>
      </c>
      <c r="G29" s="14">
        <v>2.9</v>
      </c>
      <c r="H29" s="14">
        <f t="shared" si="0"/>
        <v>14.762068965517246</v>
      </c>
      <c r="K29" s="437" t="s">
        <v>20</v>
      </c>
      <c r="L29" s="56" t="s">
        <v>868</v>
      </c>
      <c r="M29" s="430" t="s">
        <v>873</v>
      </c>
      <c r="N29" s="430" t="str">
        <f>CONCATENATE(K29,L29,M29)</f>
        <v>Close SeededpoorStraight row</v>
      </c>
      <c r="O29" s="427">
        <v>66</v>
      </c>
      <c r="P29" s="427">
        <v>77</v>
      </c>
      <c r="Q29" s="427">
        <v>85</v>
      </c>
      <c r="R29" s="427">
        <v>89</v>
      </c>
    </row>
    <row r="30" spans="1:18" s="2" customFormat="1" ht="12.75">
      <c r="A30" s="214" t="s">
        <v>679</v>
      </c>
      <c r="B30" s="424" t="s">
        <v>861</v>
      </c>
      <c r="D30" s="417" t="s">
        <v>801</v>
      </c>
      <c r="E30" s="22">
        <v>10</v>
      </c>
      <c r="F30" s="418">
        <f>SUM(2.84,2.44,3.28,3.58,3.82,4.98,4.3,4.17,4.36,3.33,3.72,3.48)</f>
        <v>44.29999999999999</v>
      </c>
      <c r="G30" s="14">
        <v>2.9</v>
      </c>
      <c r="H30" s="14">
        <f t="shared" si="0"/>
        <v>15.275862068965514</v>
      </c>
      <c r="K30" s="437" t="s">
        <v>20</v>
      </c>
      <c r="L30" s="56" t="s">
        <v>869</v>
      </c>
      <c r="M30" s="430" t="s">
        <v>873</v>
      </c>
      <c r="N30" s="430" t="str">
        <f t="shared" si="1"/>
        <v>Close SeededgoodStraight row</v>
      </c>
      <c r="O30" s="427">
        <v>58</v>
      </c>
      <c r="P30" s="427">
        <v>72</v>
      </c>
      <c r="Q30" s="427">
        <v>81</v>
      </c>
      <c r="R30" s="427">
        <v>85</v>
      </c>
    </row>
    <row r="31" spans="1:18" s="2" customFormat="1" ht="12.75">
      <c r="A31" s="22" t="s">
        <v>185</v>
      </c>
      <c r="B31" s="424" t="s">
        <v>859</v>
      </c>
      <c r="D31" s="417" t="s">
        <v>802</v>
      </c>
      <c r="E31" s="22">
        <v>4</v>
      </c>
      <c r="F31" s="418">
        <f>SUM(3.35,2.8,3.63,3.5,4.26,4.04,3.6,3.35,4.09,3.19,3.44,3.16)</f>
        <v>42.41</v>
      </c>
      <c r="G31" s="14">
        <v>2.9</v>
      </c>
      <c r="H31" s="14">
        <f t="shared" si="0"/>
        <v>14.624137931034483</v>
      </c>
      <c r="K31" s="437" t="s">
        <v>20</v>
      </c>
      <c r="L31" s="56" t="s">
        <v>868</v>
      </c>
      <c r="M31" s="430" t="s">
        <v>874</v>
      </c>
      <c r="N31" s="430" t="str">
        <f t="shared" si="1"/>
        <v>Close SeededpoorContoured</v>
      </c>
      <c r="O31" s="427">
        <v>64</v>
      </c>
      <c r="P31" s="427">
        <v>75</v>
      </c>
      <c r="Q31" s="427">
        <v>83</v>
      </c>
      <c r="R31" s="427">
        <v>85</v>
      </c>
    </row>
    <row r="32" spans="1:18" s="2" customFormat="1" ht="12.75">
      <c r="A32" s="22" t="s">
        <v>125</v>
      </c>
      <c r="B32" s="424" t="s">
        <v>859</v>
      </c>
      <c r="D32" s="417" t="s">
        <v>803</v>
      </c>
      <c r="E32" s="22">
        <v>8</v>
      </c>
      <c r="F32" s="418">
        <f>SUM(2.98,2.66,3.57,3.62,4.16,4.13,4.07,3.41,3.72,3.14,3.55,2.92)</f>
        <v>41.93</v>
      </c>
      <c r="G32" s="14">
        <v>2.9</v>
      </c>
      <c r="H32" s="14">
        <f t="shared" si="0"/>
        <v>14.458620689655172</v>
      </c>
      <c r="K32" s="437" t="s">
        <v>20</v>
      </c>
      <c r="L32" s="56" t="s">
        <v>869</v>
      </c>
      <c r="M32" s="430" t="s">
        <v>874</v>
      </c>
      <c r="N32" s="430" t="str">
        <f t="shared" si="1"/>
        <v>Close SeededgoodContoured</v>
      </c>
      <c r="O32" s="427">
        <v>55</v>
      </c>
      <c r="P32" s="427">
        <v>69</v>
      </c>
      <c r="Q32" s="427">
        <v>78</v>
      </c>
      <c r="R32" s="427">
        <v>83</v>
      </c>
    </row>
    <row r="33" spans="1:18" s="2" customFormat="1" ht="12.75">
      <c r="A33" s="22" t="s">
        <v>398</v>
      </c>
      <c r="B33" s="424" t="s">
        <v>859</v>
      </c>
      <c r="D33" s="417" t="s">
        <v>804</v>
      </c>
      <c r="E33" s="22">
        <v>9</v>
      </c>
      <c r="F33" s="418">
        <f>SUM(2.99,2.66,3.56,3.56,4.2,4.32,4.33,3.91,3.8,2.78,3.53,3.17)</f>
        <v>42.81000000000001</v>
      </c>
      <c r="G33" s="14">
        <v>2.9</v>
      </c>
      <c r="H33" s="14">
        <f t="shared" si="0"/>
        <v>14.762068965517246</v>
      </c>
      <c r="K33" s="437" t="s">
        <v>20</v>
      </c>
      <c r="L33" s="56" t="s">
        <v>868</v>
      </c>
      <c r="M33" s="430" t="s">
        <v>876</v>
      </c>
      <c r="N33" s="430" t="str">
        <f t="shared" si="1"/>
        <v>Close SeededpoorContoured and terraced</v>
      </c>
      <c r="O33" s="427">
        <v>63</v>
      </c>
      <c r="P33" s="427">
        <v>73</v>
      </c>
      <c r="Q33" s="427">
        <v>80</v>
      </c>
      <c r="R33" s="427">
        <v>83</v>
      </c>
    </row>
    <row r="34" spans="1:18" s="2" customFormat="1" ht="12.75">
      <c r="A34" s="22" t="s">
        <v>166</v>
      </c>
      <c r="B34" s="424" t="s">
        <v>859</v>
      </c>
      <c r="D34" s="417" t="s">
        <v>805</v>
      </c>
      <c r="E34" s="22">
        <v>8</v>
      </c>
      <c r="F34" s="418">
        <f>SUM(2.98,2.66,3.57,3.62,4.16,4.13,4.07,3.41,3.72,3.14,3.55,2.92)</f>
        <v>41.93</v>
      </c>
      <c r="G34" s="14">
        <v>2.9</v>
      </c>
      <c r="H34" s="14">
        <f t="shared" si="0"/>
        <v>14.458620689655172</v>
      </c>
      <c r="K34" s="437" t="s">
        <v>20</v>
      </c>
      <c r="L34" s="56" t="s">
        <v>869</v>
      </c>
      <c r="M34" s="430" t="s">
        <v>876</v>
      </c>
      <c r="N34" s="430" t="str">
        <f t="shared" si="1"/>
        <v>Close SeededgoodContoured and terraced</v>
      </c>
      <c r="O34" s="427">
        <v>51</v>
      </c>
      <c r="P34" s="427">
        <v>67</v>
      </c>
      <c r="Q34" s="427">
        <v>76</v>
      </c>
      <c r="R34" s="427">
        <v>80</v>
      </c>
    </row>
    <row r="35" spans="1:18" s="2" customFormat="1" ht="12.75">
      <c r="A35" s="22" t="s">
        <v>167</v>
      </c>
      <c r="B35" s="424" t="s">
        <v>859</v>
      </c>
      <c r="D35" s="417" t="s">
        <v>806</v>
      </c>
      <c r="E35" s="22">
        <v>9</v>
      </c>
      <c r="F35" s="418">
        <f>SUM(2.99,2.66,3.56,3.56,4.2,4.32,4.33,3.91,3.8,2.78,3.53,3.17)</f>
        <v>42.81000000000001</v>
      </c>
      <c r="G35" s="14">
        <v>2.9</v>
      </c>
      <c r="H35" s="14">
        <f t="shared" si="0"/>
        <v>14.762068965517246</v>
      </c>
      <c r="K35" s="437" t="s">
        <v>861</v>
      </c>
      <c r="L35" s="56" t="s">
        <v>868</v>
      </c>
      <c r="M35" s="430">
        <v>0</v>
      </c>
      <c r="N35" s="430" t="str">
        <f t="shared" si="1"/>
        <v>Pasturepoor0</v>
      </c>
      <c r="O35" s="427">
        <v>68</v>
      </c>
      <c r="P35" s="427">
        <v>79</v>
      </c>
      <c r="Q35" s="427">
        <v>86</v>
      </c>
      <c r="R35" s="427">
        <v>89</v>
      </c>
    </row>
    <row r="36" spans="1:18" s="2" customFormat="1" ht="12.75">
      <c r="A36" s="22" t="s">
        <v>168</v>
      </c>
      <c r="B36" s="424" t="s">
        <v>859</v>
      </c>
      <c r="D36" s="417" t="s">
        <v>807</v>
      </c>
      <c r="E36" s="22">
        <v>10</v>
      </c>
      <c r="F36" s="418">
        <f>SUM(2.84,2.44,3.28,3.58,3.82,4.98,4.3,4.17,4.36,3.33,3.72,3.48)</f>
        <v>44.29999999999999</v>
      </c>
      <c r="G36" s="14">
        <v>2.9</v>
      </c>
      <c r="H36" s="14">
        <f t="shared" si="0"/>
        <v>15.275862068965514</v>
      </c>
      <c r="K36" s="437" t="s">
        <v>861</v>
      </c>
      <c r="L36" s="56" t="s">
        <v>870</v>
      </c>
      <c r="M36" s="430">
        <v>0</v>
      </c>
      <c r="N36" s="430" t="str">
        <f t="shared" si="1"/>
        <v>Pasturefair0</v>
      </c>
      <c r="O36" s="427">
        <v>49</v>
      </c>
      <c r="P36" s="427">
        <v>69</v>
      </c>
      <c r="Q36" s="427">
        <v>79</v>
      </c>
      <c r="R36" s="427">
        <v>84</v>
      </c>
    </row>
    <row r="37" spans="1:18" s="2" customFormat="1" ht="12.75">
      <c r="A37" s="22" t="s">
        <v>126</v>
      </c>
      <c r="B37" s="424" t="s">
        <v>861</v>
      </c>
      <c r="D37" s="417" t="s">
        <v>808</v>
      </c>
      <c r="E37" s="22">
        <v>5</v>
      </c>
      <c r="F37" s="418">
        <f>SUM(2.98,2.6,3.34,3.44,3.96,4.54,3.93,3.54,4.09,3.22,3.54,3.01)</f>
        <v>42.19</v>
      </c>
      <c r="G37" s="14">
        <v>2.9</v>
      </c>
      <c r="H37" s="14">
        <f t="shared" si="0"/>
        <v>14.548275862068966</v>
      </c>
      <c r="K37" s="438" t="s">
        <v>861</v>
      </c>
      <c r="L37" s="432" t="s">
        <v>871</v>
      </c>
      <c r="M37" s="431">
        <v>0</v>
      </c>
      <c r="N37" s="430" t="str">
        <f>CONCATENATE(K37,L37,M37)</f>
        <v>Pasturegood 0</v>
      </c>
      <c r="O37" s="428">
        <v>39</v>
      </c>
      <c r="P37" s="428">
        <v>61</v>
      </c>
      <c r="Q37" s="428">
        <v>74</v>
      </c>
      <c r="R37" s="428">
        <v>80</v>
      </c>
    </row>
    <row r="38" spans="1:18" s="2" customFormat="1" ht="12.75">
      <c r="A38" s="22" t="s">
        <v>127</v>
      </c>
      <c r="B38" s="424" t="s">
        <v>861</v>
      </c>
      <c r="D38" s="417" t="s">
        <v>809</v>
      </c>
      <c r="E38" s="22">
        <v>1</v>
      </c>
      <c r="F38" s="418">
        <f>SUM(3.35,2.69,3.38,3.92,4.45,4.52,4.13,3.88,4.49,3.58,3.86,3.32)</f>
        <v>45.56999999999999</v>
      </c>
      <c r="G38" s="14">
        <v>2.9</v>
      </c>
      <c r="H38" s="14">
        <f t="shared" si="0"/>
        <v>15.713793103448275</v>
      </c>
      <c r="K38" s="438">
        <v>0</v>
      </c>
      <c r="L38" s="432" t="s">
        <v>869</v>
      </c>
      <c r="M38" s="431">
        <v>0</v>
      </c>
      <c r="N38" s="477" t="str">
        <f>CONCATENATE(K38,L38,M38)</f>
        <v>0good0</v>
      </c>
      <c r="O38" s="428">
        <v>0</v>
      </c>
      <c r="P38" s="428">
        <v>0</v>
      </c>
      <c r="Q38" s="428">
        <v>0</v>
      </c>
      <c r="R38" s="428">
        <v>0</v>
      </c>
    </row>
    <row r="39" spans="1:14" s="2" customFormat="1" ht="12.75">
      <c r="A39" s="22" t="s">
        <v>404</v>
      </c>
      <c r="B39" s="424" t="s">
        <v>859</v>
      </c>
      <c r="D39" s="417" t="s">
        <v>810</v>
      </c>
      <c r="E39" s="22">
        <v>3</v>
      </c>
      <c r="F39" s="418">
        <f>SUM(3.69,2.77,3.76,3.67,4.46,3.96,4.51,3.82,4.33,3.35,3.72,3.43)</f>
        <v>45.47</v>
      </c>
      <c r="G39" s="14">
        <v>2.9</v>
      </c>
      <c r="H39" s="14">
        <f t="shared" si="0"/>
        <v>15.679310344827586</v>
      </c>
      <c r="N39" s="423"/>
    </row>
    <row r="40" spans="1:8" s="2" customFormat="1" ht="12" customHeight="1">
      <c r="A40" s="22" t="s">
        <v>399</v>
      </c>
      <c r="B40" s="424" t="s">
        <v>859</v>
      </c>
      <c r="D40" s="417" t="s">
        <v>811</v>
      </c>
      <c r="E40" s="22">
        <v>9</v>
      </c>
      <c r="F40" s="418">
        <f>SUM(2.99,2.66,3.56,3.56,4.2,4.32,4.33,3.91,3.8,2.78,3.53,3.17)</f>
        <v>42.81000000000001</v>
      </c>
      <c r="G40" s="14">
        <v>2.9</v>
      </c>
      <c r="H40" s="14">
        <f t="shared" si="0"/>
        <v>14.762068965517246</v>
      </c>
    </row>
    <row r="41" spans="1:14" s="2" customFormat="1" ht="12.75">
      <c r="A41" s="22" t="s">
        <v>400</v>
      </c>
      <c r="B41" s="424" t="s">
        <v>859</v>
      </c>
      <c r="D41" s="417" t="s">
        <v>812</v>
      </c>
      <c r="E41" s="22">
        <v>3</v>
      </c>
      <c r="F41" s="418">
        <f>SUM(3.69,2.77,3.76,3.67,4.46,3.96,4.51,3.82,4.33,3.35,3.72,3.43)</f>
        <v>45.47</v>
      </c>
      <c r="G41" s="14">
        <v>2.9</v>
      </c>
      <c r="H41" s="14">
        <f t="shared" si="0"/>
        <v>15.679310344827586</v>
      </c>
      <c r="M41" s="423" t="s">
        <v>853</v>
      </c>
      <c r="N41" s="413"/>
    </row>
    <row r="42" spans="1:14" s="2" customFormat="1" ht="12.75">
      <c r="A42" s="22" t="s">
        <v>184</v>
      </c>
      <c r="B42" s="424" t="s">
        <v>859</v>
      </c>
      <c r="D42" s="417" t="s">
        <v>813</v>
      </c>
      <c r="E42" s="22">
        <v>2</v>
      </c>
      <c r="F42" s="418">
        <f>SUM(3.55,2.69,3.74,3.64,4.71,4.35,4.3,4.13,4.55,3.59,3.77,3.53)</f>
        <v>46.550000000000004</v>
      </c>
      <c r="G42" s="14">
        <v>2.9</v>
      </c>
      <c r="H42" s="14">
        <f t="shared" si="0"/>
        <v>16.051724137931036</v>
      </c>
      <c r="N42" s="413"/>
    </row>
    <row r="43" spans="1:14" s="2" customFormat="1" ht="12.75">
      <c r="A43" s="22" t="s">
        <v>128</v>
      </c>
      <c r="B43" s="22" t="s">
        <v>860</v>
      </c>
      <c r="D43" s="417" t="s">
        <v>814</v>
      </c>
      <c r="E43" s="22">
        <v>1</v>
      </c>
      <c r="F43" s="418">
        <f>SUM(3.35,2.69,3.38,3.92,4.45,4.52,4.13,3.88,4.49,3.58,3.86,3.32)</f>
        <v>45.56999999999999</v>
      </c>
      <c r="G43" s="14">
        <v>2.9</v>
      </c>
      <c r="H43" s="14">
        <f t="shared" si="0"/>
        <v>15.713793103448275</v>
      </c>
      <c r="M43" s="413" t="s">
        <v>862</v>
      </c>
      <c r="N43" s="413"/>
    </row>
    <row r="44" spans="1:14" s="2" customFormat="1" ht="12.75">
      <c r="A44" s="22" t="s">
        <v>129</v>
      </c>
      <c r="B44" s="22" t="s">
        <v>860</v>
      </c>
      <c r="D44" s="417" t="s">
        <v>815</v>
      </c>
      <c r="E44" s="22">
        <v>5</v>
      </c>
      <c r="F44" s="418">
        <f>SUM(2.98,2.6,3.34,3.44,3.96,4.54,3.93,3.54,4.09,3.22,3.54,3.01)</f>
        <v>42.19</v>
      </c>
      <c r="G44" s="14">
        <v>2.9</v>
      </c>
      <c r="H44" s="14">
        <f t="shared" si="0"/>
        <v>14.548275862068966</v>
      </c>
      <c r="M44" s="413" t="s">
        <v>863</v>
      </c>
      <c r="N44" s="413"/>
    </row>
    <row r="45" spans="1:14" s="2" customFormat="1" ht="12.75">
      <c r="A45" s="22" t="s">
        <v>130</v>
      </c>
      <c r="B45" s="22" t="s">
        <v>860</v>
      </c>
      <c r="D45" s="417" t="s">
        <v>816</v>
      </c>
      <c r="E45" s="22">
        <v>10</v>
      </c>
      <c r="F45" s="418">
        <f>SUM(2.84,2.44,3.28,3.58,3.82,4.98,4.3,4.17,4.36,3.33,3.72,3.48)</f>
        <v>44.29999999999999</v>
      </c>
      <c r="G45" s="14">
        <v>2.9</v>
      </c>
      <c r="H45" s="14">
        <f t="shared" si="0"/>
        <v>15.275862068965514</v>
      </c>
      <c r="M45" s="413" t="s">
        <v>864</v>
      </c>
      <c r="N45" s="413"/>
    </row>
    <row r="46" spans="1:13" s="2" customFormat="1" ht="12.75">
      <c r="A46" s="22" t="s">
        <v>169</v>
      </c>
      <c r="B46" s="424" t="s">
        <v>859</v>
      </c>
      <c r="D46" s="417" t="s">
        <v>817</v>
      </c>
      <c r="E46" s="22">
        <v>10</v>
      </c>
      <c r="F46" s="418">
        <f>SUM(2.84,2.44,3.28,3.58,3.82,4.98,4.3,4.17,4.36,3.33,3.72,3.48)</f>
        <v>44.29999999999999</v>
      </c>
      <c r="G46" s="14">
        <v>2.9</v>
      </c>
      <c r="H46" s="14">
        <f t="shared" si="0"/>
        <v>15.275862068965514</v>
      </c>
      <c r="M46" s="413" t="s">
        <v>865</v>
      </c>
    </row>
    <row r="47" spans="1:13" s="2" customFormat="1" ht="12.75">
      <c r="A47" s="22" t="s">
        <v>131</v>
      </c>
      <c r="B47" s="424" t="s">
        <v>861</v>
      </c>
      <c r="D47" s="417" t="s">
        <v>818</v>
      </c>
      <c r="E47" s="22">
        <v>5</v>
      </c>
      <c r="F47" s="418">
        <f>SUM(2.98,2.6,3.34,3.44,3.96,4.54,3.93,3.54,4.09,3.22,3.54,3.01)</f>
        <v>42.19</v>
      </c>
      <c r="G47" s="14">
        <v>2.9</v>
      </c>
      <c r="H47" s="14">
        <f t="shared" si="0"/>
        <v>14.548275862068966</v>
      </c>
      <c r="M47" s="413" t="s">
        <v>866</v>
      </c>
    </row>
    <row r="48" spans="1:8" s="2" customFormat="1" ht="12.75">
      <c r="A48" s="22" t="s">
        <v>132</v>
      </c>
      <c r="B48" s="424" t="s">
        <v>861</v>
      </c>
      <c r="D48" s="417" t="s">
        <v>819</v>
      </c>
      <c r="E48" s="22">
        <v>1</v>
      </c>
      <c r="F48" s="418">
        <f>SUM(3.35,2.69,3.38,3.92,4.45,4.52,4.13,3.88,4.49,3.58,3.86,3.32)</f>
        <v>45.56999999999999</v>
      </c>
      <c r="G48" s="14">
        <v>2.9</v>
      </c>
      <c r="H48" s="14">
        <f t="shared" si="0"/>
        <v>15.713793103448275</v>
      </c>
    </row>
    <row r="49" spans="1:8" s="2" customFormat="1" ht="12.75">
      <c r="A49" s="22" t="s">
        <v>401</v>
      </c>
      <c r="B49" s="424" t="s">
        <v>859</v>
      </c>
      <c r="D49" s="417" t="s">
        <v>820</v>
      </c>
      <c r="E49" s="22">
        <v>3</v>
      </c>
      <c r="F49" s="418">
        <f>SUM(3.69,2.77,3.76,3.67,4.46,3.96,4.51,3.82,4.33,3.35,3.72,3.43)</f>
        <v>45.47</v>
      </c>
      <c r="G49" s="14">
        <v>2.9</v>
      </c>
      <c r="H49" s="14">
        <f t="shared" si="0"/>
        <v>15.679310344827586</v>
      </c>
    </row>
    <row r="50" spans="1:8" s="2" customFormat="1" ht="12.75">
      <c r="A50" s="22" t="s">
        <v>170</v>
      </c>
      <c r="B50" s="424" t="s">
        <v>859</v>
      </c>
      <c r="D50" s="417" t="s">
        <v>821</v>
      </c>
      <c r="E50" s="22">
        <v>5</v>
      </c>
      <c r="F50" s="418">
        <f>SUM(2.98,2.6,3.34,3.44,3.96,4.54,3.93,3.54,4.09,3.22,3.54,3.01)</f>
        <v>42.19</v>
      </c>
      <c r="G50" s="14">
        <v>2.9</v>
      </c>
      <c r="H50" s="14">
        <f t="shared" si="0"/>
        <v>14.548275862068966</v>
      </c>
    </row>
    <row r="51" spans="1:8" s="2" customFormat="1" ht="12.75">
      <c r="A51" s="22" t="s">
        <v>171</v>
      </c>
      <c r="B51" s="424" t="s">
        <v>859</v>
      </c>
      <c r="D51" s="417" t="s">
        <v>822</v>
      </c>
      <c r="E51" s="22">
        <v>2</v>
      </c>
      <c r="F51" s="418">
        <f>SUM(3.55,2.69,3.74,3.64,4.71,4.35,4.3,4.13,4.55,3.59,3.77,3.53)</f>
        <v>46.550000000000004</v>
      </c>
      <c r="G51" s="14">
        <v>2.9</v>
      </c>
      <c r="H51" s="14">
        <f t="shared" si="0"/>
        <v>16.051724137931036</v>
      </c>
    </row>
    <row r="52" spans="1:8" s="2" customFormat="1" ht="12.75">
      <c r="A52" s="22" t="s">
        <v>402</v>
      </c>
      <c r="B52" s="424" t="s">
        <v>859</v>
      </c>
      <c r="D52" s="417" t="s">
        <v>823</v>
      </c>
      <c r="E52" s="22">
        <v>5</v>
      </c>
      <c r="F52" s="418">
        <f>SUM(2.98,2.6,3.34,3.44,3.96,4.54,3.93,3.54,4.09,3.22,3.54,3.01)</f>
        <v>42.19</v>
      </c>
      <c r="G52" s="14">
        <v>2.9</v>
      </c>
      <c r="H52" s="14">
        <f t="shared" si="0"/>
        <v>14.548275862068966</v>
      </c>
    </row>
    <row r="53" spans="1:8" s="2" customFormat="1" ht="12.75">
      <c r="A53" s="22" t="s">
        <v>133</v>
      </c>
      <c r="B53" s="22" t="s">
        <v>860</v>
      </c>
      <c r="D53" s="417" t="s">
        <v>824</v>
      </c>
      <c r="E53" s="22">
        <v>5</v>
      </c>
      <c r="F53" s="418">
        <f>SUM(2.98,2.6,3.34,3.44,3.96,4.54,3.93,3.54,4.09,3.22,3.54,3.01)</f>
        <v>42.19</v>
      </c>
      <c r="G53" s="14">
        <v>2.9</v>
      </c>
      <c r="H53" s="14">
        <f t="shared" si="0"/>
        <v>14.548275862068966</v>
      </c>
    </row>
    <row r="54" spans="1:8" s="2" customFormat="1" ht="12.75">
      <c r="A54" s="22" t="s">
        <v>134</v>
      </c>
      <c r="B54" s="22" t="s">
        <v>860</v>
      </c>
      <c r="D54" s="417" t="s">
        <v>825</v>
      </c>
      <c r="E54" s="22">
        <v>3</v>
      </c>
      <c r="F54" s="418">
        <f>SUM(3.69,2.77,3.76,3.67,4.46,3.96,4.51,3.82,4.33,3.35,3.72,3.43)</f>
        <v>45.47</v>
      </c>
      <c r="G54" s="14">
        <v>2.9</v>
      </c>
      <c r="H54" s="14">
        <f t="shared" si="0"/>
        <v>15.679310344827586</v>
      </c>
    </row>
    <row r="55" spans="1:8" s="2" customFormat="1" ht="12.75">
      <c r="A55" s="22" t="s">
        <v>135</v>
      </c>
      <c r="B55" s="22" t="s">
        <v>860</v>
      </c>
      <c r="D55" s="417" t="s">
        <v>826</v>
      </c>
      <c r="E55" s="22">
        <v>1</v>
      </c>
      <c r="F55" s="418">
        <f>SUM(3.35,2.69,3.38,3.92,4.45,4.52,4.13,3.88,4.49,3.58,3.86,3.32)</f>
        <v>45.56999999999999</v>
      </c>
      <c r="G55" s="14">
        <v>2.9</v>
      </c>
      <c r="H55" s="14">
        <f t="shared" si="0"/>
        <v>15.713793103448275</v>
      </c>
    </row>
    <row r="56" spans="1:8" s="2" customFormat="1" ht="12.75">
      <c r="A56" s="22" t="s">
        <v>136</v>
      </c>
      <c r="B56" s="424" t="s">
        <v>859</v>
      </c>
      <c r="D56" s="417" t="s">
        <v>827</v>
      </c>
      <c r="E56" s="22">
        <v>10</v>
      </c>
      <c r="F56" s="418">
        <f>SUM(2.84,2.44,3.28,3.58,3.82,4.98,4.3,4.17,4.36,3.33,3.72,3.48)</f>
        <v>44.29999999999999</v>
      </c>
      <c r="G56" s="14">
        <v>2.9</v>
      </c>
      <c r="H56" s="14">
        <f t="shared" si="0"/>
        <v>15.275862068965514</v>
      </c>
    </row>
    <row r="57" spans="1:8" s="2" customFormat="1" ht="12.75">
      <c r="A57" s="22" t="s">
        <v>137</v>
      </c>
      <c r="B57" s="424" t="s">
        <v>859</v>
      </c>
      <c r="D57" s="417" t="s">
        <v>828</v>
      </c>
      <c r="E57" s="22">
        <v>2</v>
      </c>
      <c r="F57" s="418">
        <f>SUM(3.55,2.69,3.74,3.64,4.71,4.35,4.3,4.13,4.55,3.59,3.77,3.53)</f>
        <v>46.550000000000004</v>
      </c>
      <c r="G57" s="14">
        <v>2.9</v>
      </c>
      <c r="H57" s="14">
        <f t="shared" si="0"/>
        <v>16.051724137931036</v>
      </c>
    </row>
    <row r="58" spans="1:8" s="2" customFormat="1" ht="12.75">
      <c r="A58" s="22" t="s">
        <v>138</v>
      </c>
      <c r="B58" s="424" t="s">
        <v>859</v>
      </c>
      <c r="D58" s="417" t="s">
        <v>829</v>
      </c>
      <c r="E58" s="22">
        <v>5</v>
      </c>
      <c r="F58" s="418">
        <f>SUM(2.98,2.6,3.34,3.44,3.96,4.54,3.93,3.54,4.09,3.22,3.54,3.01)</f>
        <v>42.19</v>
      </c>
      <c r="G58" s="14">
        <v>2.9</v>
      </c>
      <c r="H58" s="14">
        <f t="shared" si="0"/>
        <v>14.548275862068966</v>
      </c>
    </row>
    <row r="59" spans="1:8" s="2" customFormat="1" ht="12.75">
      <c r="A59" s="22" t="s">
        <v>642</v>
      </c>
      <c r="B59" s="424" t="s">
        <v>861</v>
      </c>
      <c r="D59" s="417" t="s">
        <v>830</v>
      </c>
      <c r="E59" s="22">
        <v>9</v>
      </c>
      <c r="F59" s="418">
        <f>SUM(2.99,2.66,3.56,3.56,4.2,4.32,4.33,3.91,3.8,2.78,3.53,3.17)</f>
        <v>42.81000000000001</v>
      </c>
      <c r="G59" s="14">
        <v>2.9</v>
      </c>
      <c r="H59" s="14">
        <f t="shared" si="0"/>
        <v>14.762068965517246</v>
      </c>
    </row>
    <row r="60" spans="1:8" s="2" customFormat="1" ht="12.75">
      <c r="A60" s="22" t="s">
        <v>139</v>
      </c>
      <c r="B60" s="424" t="s">
        <v>861</v>
      </c>
      <c r="D60" s="417" t="s">
        <v>831</v>
      </c>
      <c r="E60" s="22">
        <v>6</v>
      </c>
      <c r="F60" s="418">
        <f>SUM(2.66,2.27,2.85,3.29,3.55,4.31,3.62,3.32,3.74,3.11,3.3,2.76)</f>
        <v>38.779999999999994</v>
      </c>
      <c r="G60" s="14">
        <v>2.9</v>
      </c>
      <c r="H60" s="14">
        <f t="shared" si="0"/>
        <v>13.372413793103446</v>
      </c>
    </row>
    <row r="61" spans="1:8" s="2" customFormat="1" ht="12.75">
      <c r="A61" s="214" t="s">
        <v>680</v>
      </c>
      <c r="B61" s="424" t="s">
        <v>859</v>
      </c>
      <c r="D61" s="417" t="s">
        <v>832</v>
      </c>
      <c r="E61" s="22">
        <v>6</v>
      </c>
      <c r="F61" s="418">
        <f>SUM(2.66,2.27,2.85,3.29,3.55,4.31,3.62,3.32,3.74,3.11,3.3,2.76)</f>
        <v>38.779999999999994</v>
      </c>
      <c r="G61" s="14">
        <v>2.9</v>
      </c>
      <c r="H61" s="14">
        <f t="shared" si="0"/>
        <v>13.372413793103446</v>
      </c>
    </row>
    <row r="62" spans="1:8" s="2" customFormat="1" ht="12.75">
      <c r="A62" s="22" t="s">
        <v>172</v>
      </c>
      <c r="B62" s="424" t="s">
        <v>859</v>
      </c>
      <c r="D62" s="417" t="s">
        <v>833</v>
      </c>
      <c r="E62" s="22">
        <v>6</v>
      </c>
      <c r="F62" s="418">
        <f>SUM(2.66,2.27,2.85,3.29,3.55,4.31,3.62,3.32,3.74,3.11,3.3,2.76)</f>
        <v>38.779999999999994</v>
      </c>
      <c r="G62" s="14">
        <v>2.9</v>
      </c>
      <c r="H62" s="14">
        <f t="shared" si="0"/>
        <v>13.372413793103446</v>
      </c>
    </row>
    <row r="63" spans="1:8" s="2" customFormat="1" ht="12.75">
      <c r="A63" s="22" t="s">
        <v>173</v>
      </c>
      <c r="B63" s="424" t="s">
        <v>859</v>
      </c>
      <c r="D63" s="417" t="s">
        <v>834</v>
      </c>
      <c r="E63" s="22">
        <v>5</v>
      </c>
      <c r="F63" s="418">
        <f>SUM(2.98,2.6,3.34,3.44,3.96,4.54,3.93,3.54,4.09,3.22,3.54,3.01)</f>
        <v>42.19</v>
      </c>
      <c r="G63" s="14">
        <v>2.9</v>
      </c>
      <c r="H63" s="14">
        <f t="shared" si="0"/>
        <v>14.548275862068966</v>
      </c>
    </row>
    <row r="64" spans="1:8" s="2" customFormat="1" ht="12.75">
      <c r="A64" s="22" t="s">
        <v>174</v>
      </c>
      <c r="B64" s="424" t="s">
        <v>859</v>
      </c>
      <c r="D64" s="417" t="s">
        <v>835</v>
      </c>
      <c r="E64" s="22">
        <v>10</v>
      </c>
      <c r="F64" s="418">
        <f>SUM(2.84,2.44,3.28,3.58,3.82,4.98,4.3,4.17,4.36,3.33,3.72,3.48)</f>
        <v>44.29999999999999</v>
      </c>
      <c r="G64" s="14">
        <v>2.9</v>
      </c>
      <c r="H64" s="14">
        <f t="shared" si="0"/>
        <v>15.275862068965514</v>
      </c>
    </row>
    <row r="65" spans="1:8" s="2" customFormat="1" ht="12.75">
      <c r="A65" s="22" t="s">
        <v>175</v>
      </c>
      <c r="B65" s="424" t="s">
        <v>859</v>
      </c>
      <c r="D65" s="417" t="s">
        <v>836</v>
      </c>
      <c r="E65" s="22">
        <v>10</v>
      </c>
      <c r="F65" s="418">
        <f>SUM(2.84,2.44,3.28,3.58,3.82,4.98,4.3,4.17,4.36,3.33,3.72,3.48)</f>
        <v>44.29999999999999</v>
      </c>
      <c r="G65" s="14">
        <v>2.9</v>
      </c>
      <c r="H65" s="14">
        <f t="shared" si="0"/>
        <v>15.275862068965514</v>
      </c>
    </row>
    <row r="66" spans="1:8" s="2" customFormat="1" ht="12.75">
      <c r="A66" s="22" t="s">
        <v>176</v>
      </c>
      <c r="B66" s="424" t="s">
        <v>859</v>
      </c>
      <c r="D66" s="417" t="s">
        <v>837</v>
      </c>
      <c r="E66" s="22">
        <v>9</v>
      </c>
      <c r="F66" s="418">
        <f>SUM(2.99,2.66,3.56,3.56,4.2,4.32,4.33,3.91,3.8,2.78,3.53,3.17)</f>
        <v>42.81000000000001</v>
      </c>
      <c r="G66" s="14">
        <v>2.9</v>
      </c>
      <c r="H66" s="14">
        <f t="shared" si="0"/>
        <v>14.762068965517246</v>
      </c>
    </row>
    <row r="67" spans="1:8" s="2" customFormat="1" ht="12.75">
      <c r="A67" s="22" t="s">
        <v>177</v>
      </c>
      <c r="B67" s="424" t="s">
        <v>859</v>
      </c>
      <c r="D67" s="417" t="s">
        <v>838</v>
      </c>
      <c r="E67" s="22">
        <v>1</v>
      </c>
      <c r="F67" s="418">
        <f>SUM(3.35,2.69,3.38,3.92,4.45,4.52,4.13,3.88,4.49,3.58,3.86,3.32)</f>
        <v>45.56999999999999</v>
      </c>
      <c r="G67" s="14">
        <v>2.9</v>
      </c>
      <c r="H67" s="14">
        <f t="shared" si="0"/>
        <v>15.713793103448275</v>
      </c>
    </row>
    <row r="68" spans="1:8" s="2" customFormat="1" ht="12.75">
      <c r="A68" s="22" t="s">
        <v>178</v>
      </c>
      <c r="B68" s="424" t="s">
        <v>859</v>
      </c>
      <c r="D68" s="417" t="s">
        <v>839</v>
      </c>
      <c r="E68" s="22">
        <v>9</v>
      </c>
      <c r="F68" s="418">
        <f>SUM(2.99,2.66,3.56,3.56,4.2,4.32,4.33,3.91,3.8,2.78,3.53,3.17)</f>
        <v>42.81000000000001</v>
      </c>
      <c r="G68" s="14">
        <v>2.9</v>
      </c>
      <c r="H68" s="14">
        <f t="shared" si="0"/>
        <v>14.762068965517246</v>
      </c>
    </row>
    <row r="69" spans="1:8" s="2" customFormat="1" ht="12.75">
      <c r="A69" s="22" t="s">
        <v>140</v>
      </c>
      <c r="B69" s="424" t="s">
        <v>861</v>
      </c>
      <c r="D69" s="417" t="s">
        <v>840</v>
      </c>
      <c r="E69" s="22">
        <v>6</v>
      </c>
      <c r="F69" s="418">
        <f>SUM(2.66,2.27,2.85,3.29,3.55,4.31,3.62,3.32,3.74,3.11,3.3,2.76)</f>
        <v>38.779999999999994</v>
      </c>
      <c r="G69" s="14">
        <v>2.9</v>
      </c>
      <c r="H69" s="14">
        <f>F69/G69</f>
        <v>13.372413793103446</v>
      </c>
    </row>
    <row r="70" spans="1:8" s="2" customFormat="1" ht="12.75">
      <c r="A70" s="22" t="s">
        <v>141</v>
      </c>
      <c r="B70" s="424" t="s">
        <v>861</v>
      </c>
      <c r="D70" s="419" t="s">
        <v>841</v>
      </c>
      <c r="E70" s="166">
        <v>4</v>
      </c>
      <c r="F70" s="420">
        <f>SUM(3.35,2.8,3.63,3.5,4.26,4.04,3.6,3.35,4.09,3.19,3.44,3.16)</f>
        <v>42.41</v>
      </c>
      <c r="G70" s="70">
        <v>2.9</v>
      </c>
      <c r="H70" s="70">
        <f>F70/G70</f>
        <v>14.624137931034483</v>
      </c>
    </row>
    <row r="71" spans="1:8" s="2" customFormat="1" ht="12.75">
      <c r="A71" s="22" t="s">
        <v>142</v>
      </c>
      <c r="B71" s="424" t="s">
        <v>861</v>
      </c>
      <c r="D71" s="419">
        <v>0</v>
      </c>
      <c r="E71" s="166">
        <v>0</v>
      </c>
      <c r="F71" s="420">
        <v>0</v>
      </c>
      <c r="G71" s="70">
        <v>0</v>
      </c>
      <c r="H71" s="70">
        <v>0</v>
      </c>
    </row>
    <row r="72" spans="1:2" s="2" customFormat="1" ht="12.75">
      <c r="A72" s="22" t="s">
        <v>179</v>
      </c>
      <c r="B72" s="424" t="s">
        <v>859</v>
      </c>
    </row>
    <row r="73" spans="1:2" s="2" customFormat="1" ht="12.75">
      <c r="A73" s="22" t="s">
        <v>180</v>
      </c>
      <c r="B73" s="424" t="s">
        <v>859</v>
      </c>
    </row>
    <row r="74" spans="1:2" s="2" customFormat="1" ht="12.75">
      <c r="A74" s="22" t="s">
        <v>181</v>
      </c>
      <c r="B74" s="424" t="s">
        <v>859</v>
      </c>
    </row>
    <row r="75" spans="1:2" s="2" customFormat="1" ht="12.75">
      <c r="A75" s="22" t="s">
        <v>182</v>
      </c>
      <c r="B75" s="424" t="s">
        <v>859</v>
      </c>
    </row>
    <row r="76" spans="1:2" s="2" customFormat="1" ht="12.75">
      <c r="A76" s="22" t="s">
        <v>183</v>
      </c>
      <c r="B76" s="424" t="s">
        <v>859</v>
      </c>
    </row>
    <row r="77" spans="1:2" s="2" customFormat="1" ht="12.75">
      <c r="A77" s="22" t="s">
        <v>143</v>
      </c>
      <c r="B77" s="22" t="s">
        <v>860</v>
      </c>
    </row>
    <row r="78" spans="1:2" s="2" customFormat="1" ht="12.75">
      <c r="A78" s="22" t="s">
        <v>144</v>
      </c>
      <c r="B78" s="22" t="s">
        <v>860</v>
      </c>
    </row>
    <row r="79" spans="1:2" s="2" customFormat="1" ht="12.75">
      <c r="A79" s="22" t="s">
        <v>145</v>
      </c>
      <c r="B79" s="22" t="s">
        <v>860</v>
      </c>
    </row>
    <row r="80" spans="1:2" s="2" customFormat="1" ht="12.75">
      <c r="A80" s="22" t="s">
        <v>146</v>
      </c>
      <c r="B80" s="22" t="s">
        <v>860</v>
      </c>
    </row>
    <row r="81" spans="1:2" s="2" customFormat="1" ht="12.75">
      <c r="A81" s="166" t="s">
        <v>403</v>
      </c>
      <c r="B81" s="425" t="s">
        <v>859</v>
      </c>
    </row>
    <row r="82" spans="1:8" ht="12" customHeight="1">
      <c r="A82" s="20"/>
      <c r="B82" s="20"/>
      <c r="C82" s="20"/>
      <c r="D82" s="2"/>
      <c r="E82" s="2"/>
      <c r="F82" s="2"/>
      <c r="G82" s="2"/>
      <c r="H82" s="2"/>
    </row>
    <row r="83" spans="4:6" ht="12.75">
      <c r="D83" s="20"/>
      <c r="E83" s="20"/>
      <c r="F83" s="20"/>
    </row>
    <row r="84" spans="1:7" ht="15">
      <c r="A84" s="666" t="s">
        <v>300</v>
      </c>
      <c r="B84" s="667"/>
      <c r="C84" s="668"/>
      <c r="D84" s="105"/>
      <c r="E84" s="175"/>
      <c r="F84" s="17"/>
      <c r="G84" s="5"/>
    </row>
    <row r="85" spans="1:7" ht="38.25">
      <c r="A85" s="15" t="s">
        <v>299</v>
      </c>
      <c r="B85" s="16" t="s">
        <v>301</v>
      </c>
      <c r="C85" s="149" t="s">
        <v>857</v>
      </c>
      <c r="D85" s="105"/>
      <c r="E85" s="175"/>
      <c r="F85" s="17"/>
      <c r="G85" s="5"/>
    </row>
    <row r="86" spans="1:7" ht="12.75">
      <c r="A86" s="93">
        <v>0</v>
      </c>
      <c r="B86" s="102">
        <v>0</v>
      </c>
      <c r="C86" s="502">
        <v>0</v>
      </c>
      <c r="D86" s="105"/>
      <c r="E86" s="175"/>
      <c r="F86" s="17"/>
      <c r="G86" s="5"/>
    </row>
    <row r="87" spans="1:7" ht="12.75">
      <c r="A87" s="7" t="s">
        <v>275</v>
      </c>
      <c r="B87" s="7">
        <v>4</v>
      </c>
      <c r="C87" s="503" t="s">
        <v>17</v>
      </c>
      <c r="D87" s="105"/>
      <c r="E87" s="175"/>
      <c r="F87" s="17"/>
      <c r="G87" s="5"/>
    </row>
    <row r="88" spans="1:7" ht="12.75">
      <c r="A88" s="7" t="s">
        <v>276</v>
      </c>
      <c r="B88" s="7">
        <v>3</v>
      </c>
      <c r="C88" s="503" t="s">
        <v>17</v>
      </c>
      <c r="D88" s="105"/>
      <c r="E88" s="175"/>
      <c r="F88" s="17"/>
      <c r="G88" s="5"/>
    </row>
    <row r="89" spans="1:7" ht="12.75">
      <c r="A89" s="7" t="s">
        <v>277</v>
      </c>
      <c r="B89" s="7">
        <v>1</v>
      </c>
      <c r="C89" s="503" t="s">
        <v>111</v>
      </c>
      <c r="D89" s="105"/>
      <c r="E89" s="175"/>
      <c r="F89" s="17"/>
      <c r="G89" s="5"/>
    </row>
    <row r="90" spans="1:7" ht="12.75">
      <c r="A90" s="7" t="s">
        <v>278</v>
      </c>
      <c r="B90" s="7">
        <v>1</v>
      </c>
      <c r="C90" s="503" t="s">
        <v>111</v>
      </c>
      <c r="D90" s="105"/>
      <c r="E90" s="175"/>
      <c r="F90" s="17"/>
      <c r="G90" s="5"/>
    </row>
    <row r="91" spans="1:7" ht="12.75">
      <c r="A91" s="7" t="s">
        <v>279</v>
      </c>
      <c r="B91" s="7">
        <v>3</v>
      </c>
      <c r="C91" s="503" t="s">
        <v>109</v>
      </c>
      <c r="D91" s="105"/>
      <c r="E91" s="175"/>
      <c r="F91" s="17"/>
      <c r="G91" s="5"/>
    </row>
    <row r="92" spans="1:7" ht="12.75">
      <c r="A92" s="7" t="s">
        <v>280</v>
      </c>
      <c r="B92" s="7">
        <v>4</v>
      </c>
      <c r="C92" s="503" t="s">
        <v>17</v>
      </c>
      <c r="D92" s="105"/>
      <c r="E92" s="175"/>
      <c r="F92" s="17"/>
      <c r="G92" s="5"/>
    </row>
    <row r="93" spans="1:7" ht="12.75">
      <c r="A93" s="7" t="s">
        <v>281</v>
      </c>
      <c r="B93" s="7">
        <v>4</v>
      </c>
      <c r="C93" s="503" t="s">
        <v>18</v>
      </c>
      <c r="D93" s="105"/>
      <c r="E93" s="175"/>
      <c r="F93" s="17"/>
      <c r="G93" s="5"/>
    </row>
    <row r="94" spans="1:7" ht="12.75">
      <c r="A94" s="7" t="s">
        <v>282</v>
      </c>
      <c r="B94" s="7">
        <v>4</v>
      </c>
      <c r="C94" s="503" t="s">
        <v>18</v>
      </c>
      <c r="D94" s="105"/>
      <c r="E94" s="175"/>
      <c r="F94" s="17"/>
      <c r="G94" s="5"/>
    </row>
    <row r="95" spans="1:7" ht="12.75">
      <c r="A95" s="7" t="s">
        <v>283</v>
      </c>
      <c r="B95" s="7">
        <v>4</v>
      </c>
      <c r="C95" s="503" t="s">
        <v>18</v>
      </c>
      <c r="D95" s="105"/>
      <c r="E95" s="175"/>
      <c r="F95" s="17"/>
      <c r="G95" s="5"/>
    </row>
    <row r="96" spans="1:7" ht="12.75">
      <c r="A96" s="7" t="s">
        <v>284</v>
      </c>
      <c r="B96" s="7">
        <v>1</v>
      </c>
      <c r="C96" s="503" t="s">
        <v>111</v>
      </c>
      <c r="D96" s="105"/>
      <c r="E96" s="175"/>
      <c r="F96" s="17"/>
      <c r="G96" s="5"/>
    </row>
    <row r="97" spans="1:7" ht="12.75">
      <c r="A97" s="7" t="s">
        <v>285</v>
      </c>
      <c r="B97" s="7">
        <v>2</v>
      </c>
      <c r="C97" s="503" t="s">
        <v>111</v>
      </c>
      <c r="D97" s="105"/>
      <c r="E97" s="175"/>
      <c r="F97" s="17"/>
      <c r="G97" s="5"/>
    </row>
    <row r="98" spans="1:7" ht="12.75">
      <c r="A98" s="7" t="s">
        <v>286</v>
      </c>
      <c r="B98" s="7">
        <v>2</v>
      </c>
      <c r="C98" s="503" t="s">
        <v>17</v>
      </c>
      <c r="D98" s="105"/>
      <c r="E98" s="175"/>
      <c r="F98" s="17"/>
      <c r="G98" s="5"/>
    </row>
    <row r="99" spans="1:7" ht="12.75">
      <c r="A99" s="7" t="s">
        <v>287</v>
      </c>
      <c r="B99" s="7">
        <v>1</v>
      </c>
      <c r="C99" s="504" t="s">
        <v>111</v>
      </c>
      <c r="D99" s="105"/>
      <c r="E99" s="175"/>
      <c r="F99" s="17"/>
      <c r="G99" s="5"/>
    </row>
    <row r="100" spans="1:7" ht="12.75">
      <c r="A100" s="7" t="s">
        <v>288</v>
      </c>
      <c r="B100" s="7">
        <v>3</v>
      </c>
      <c r="C100" s="503" t="s">
        <v>17</v>
      </c>
      <c r="D100" s="176"/>
      <c r="E100" s="175"/>
      <c r="F100" s="17"/>
      <c r="G100" s="5"/>
    </row>
    <row r="101" spans="1:3" ht="12.75">
      <c r="A101" s="7" t="s">
        <v>289</v>
      </c>
      <c r="B101" s="7">
        <v>5</v>
      </c>
      <c r="C101" s="503" t="s">
        <v>18</v>
      </c>
    </row>
    <row r="102" spans="1:3" ht="12.75" customHeight="1">
      <c r="A102" s="7" t="s">
        <v>290</v>
      </c>
      <c r="B102" s="7">
        <v>1</v>
      </c>
      <c r="C102" s="503" t="s">
        <v>111</v>
      </c>
    </row>
    <row r="103" spans="1:3" ht="12.75" customHeight="1">
      <c r="A103" s="7" t="s">
        <v>291</v>
      </c>
      <c r="B103" s="7">
        <v>4</v>
      </c>
      <c r="C103" s="503" t="s">
        <v>17</v>
      </c>
    </row>
    <row r="104" spans="1:3" ht="12.75">
      <c r="A104" s="7" t="s">
        <v>292</v>
      </c>
      <c r="B104" s="7">
        <v>4</v>
      </c>
      <c r="C104" s="503" t="s">
        <v>111</v>
      </c>
    </row>
    <row r="105" spans="1:3" ht="12.75">
      <c r="A105" s="7" t="s">
        <v>293</v>
      </c>
      <c r="B105" s="7">
        <v>3</v>
      </c>
      <c r="C105" s="503" t="s">
        <v>17</v>
      </c>
    </row>
    <row r="106" spans="1:3" ht="12.75">
      <c r="A106" s="7" t="s">
        <v>294</v>
      </c>
      <c r="B106" s="7">
        <v>2</v>
      </c>
      <c r="C106" s="503" t="s">
        <v>111</v>
      </c>
    </row>
    <row r="107" spans="1:3" ht="12.75">
      <c r="A107" s="7" t="s">
        <v>295</v>
      </c>
      <c r="B107" s="7">
        <v>4</v>
      </c>
      <c r="C107" s="505" t="s">
        <v>18</v>
      </c>
    </row>
    <row r="108" spans="1:3" ht="12.75">
      <c r="A108" s="7" t="s">
        <v>296</v>
      </c>
      <c r="B108" s="7">
        <v>2</v>
      </c>
      <c r="C108" s="503" t="s">
        <v>18</v>
      </c>
    </row>
    <row r="109" spans="1:3" ht="12.75">
      <c r="A109" s="7" t="s">
        <v>297</v>
      </c>
      <c r="B109" s="7">
        <v>3</v>
      </c>
      <c r="C109" s="503" t="s">
        <v>17</v>
      </c>
    </row>
    <row r="110" spans="1:3" ht="12.75">
      <c r="A110" s="7" t="s">
        <v>298</v>
      </c>
      <c r="B110" s="7">
        <v>1</v>
      </c>
      <c r="C110" s="503" t="s">
        <v>111</v>
      </c>
    </row>
    <row r="111" spans="1:3" ht="12.75">
      <c r="A111" s="7" t="s">
        <v>187</v>
      </c>
      <c r="B111" s="7">
        <v>3</v>
      </c>
      <c r="C111" s="503" t="s">
        <v>17</v>
      </c>
    </row>
    <row r="112" spans="1:3" ht="12.75">
      <c r="A112" s="7" t="s">
        <v>188</v>
      </c>
      <c r="B112" s="7">
        <v>3</v>
      </c>
      <c r="C112" s="503" t="s">
        <v>17</v>
      </c>
    </row>
    <row r="113" spans="1:3" ht="12.75">
      <c r="A113" s="7" t="s">
        <v>189</v>
      </c>
      <c r="B113" s="7">
        <v>3</v>
      </c>
      <c r="C113" s="503" t="s">
        <v>17</v>
      </c>
    </row>
    <row r="114" spans="1:3" ht="12.75">
      <c r="A114" s="7" t="s">
        <v>190</v>
      </c>
      <c r="B114" s="7">
        <v>4</v>
      </c>
      <c r="C114" s="503" t="s">
        <v>17</v>
      </c>
    </row>
    <row r="115" spans="1:3" ht="12.75">
      <c r="A115" s="7" t="s">
        <v>191</v>
      </c>
      <c r="B115" s="7">
        <v>2</v>
      </c>
      <c r="C115" s="503" t="s">
        <v>109</v>
      </c>
    </row>
    <row r="116" spans="1:3" ht="12.75">
      <c r="A116" s="7" t="s">
        <v>192</v>
      </c>
      <c r="B116" s="7">
        <v>1</v>
      </c>
      <c r="C116" s="503" t="s">
        <v>111</v>
      </c>
    </row>
    <row r="117" spans="1:3" ht="12.75">
      <c r="A117" s="7" t="s">
        <v>193</v>
      </c>
      <c r="B117" s="7">
        <v>4</v>
      </c>
      <c r="C117" s="503" t="s">
        <v>18</v>
      </c>
    </row>
    <row r="118" spans="1:3" ht="12.75">
      <c r="A118" s="7" t="s">
        <v>194</v>
      </c>
      <c r="B118" s="7">
        <v>3</v>
      </c>
      <c r="C118" s="503" t="s">
        <v>17</v>
      </c>
    </row>
    <row r="119" spans="1:3" ht="12.75">
      <c r="A119" s="7" t="s">
        <v>195</v>
      </c>
      <c r="B119" s="7">
        <v>2</v>
      </c>
      <c r="C119" s="503" t="s">
        <v>111</v>
      </c>
    </row>
    <row r="120" spans="1:3" ht="12.75">
      <c r="A120" s="7" t="s">
        <v>196</v>
      </c>
      <c r="B120" s="7">
        <v>3</v>
      </c>
      <c r="C120" s="503" t="s">
        <v>17</v>
      </c>
    </row>
    <row r="121" spans="1:3" ht="12.75">
      <c r="A121" s="7" t="s">
        <v>197</v>
      </c>
      <c r="B121" s="7">
        <v>1</v>
      </c>
      <c r="C121" s="503" t="s">
        <v>111</v>
      </c>
    </row>
    <row r="122" spans="1:3" ht="12.75">
      <c r="A122" s="7" t="s">
        <v>198</v>
      </c>
      <c r="B122" s="7">
        <v>2</v>
      </c>
      <c r="C122" s="505" t="s">
        <v>111</v>
      </c>
    </row>
    <row r="123" spans="1:3" ht="12.75">
      <c r="A123" s="7" t="s">
        <v>199</v>
      </c>
      <c r="B123" s="7">
        <v>3</v>
      </c>
      <c r="C123" s="503" t="s">
        <v>17</v>
      </c>
    </row>
    <row r="124" spans="1:3" ht="12.75">
      <c r="A124" s="7" t="s">
        <v>200</v>
      </c>
      <c r="B124" s="7">
        <v>4</v>
      </c>
      <c r="C124" s="503" t="s">
        <v>18</v>
      </c>
    </row>
    <row r="125" spans="1:3" ht="12.75">
      <c r="A125" s="7" t="s">
        <v>201</v>
      </c>
      <c r="B125" s="7">
        <v>3</v>
      </c>
      <c r="C125" s="505" t="s">
        <v>111</v>
      </c>
    </row>
    <row r="126" spans="1:3" ht="12.75">
      <c r="A126" s="7" t="s">
        <v>202</v>
      </c>
      <c r="B126" s="7">
        <v>3</v>
      </c>
      <c r="C126" s="503" t="s">
        <v>17</v>
      </c>
    </row>
    <row r="127" spans="1:3" ht="12.75">
      <c r="A127" s="7" t="s">
        <v>203</v>
      </c>
      <c r="B127" s="7">
        <v>3</v>
      </c>
      <c r="C127" s="503" t="s">
        <v>17</v>
      </c>
    </row>
    <row r="128" spans="1:3" ht="12.75">
      <c r="A128" s="7" t="s">
        <v>204</v>
      </c>
      <c r="B128" s="7">
        <v>1</v>
      </c>
      <c r="C128" s="503" t="s">
        <v>111</v>
      </c>
    </row>
    <row r="129" spans="1:3" ht="12.75">
      <c r="A129" s="7" t="s">
        <v>205</v>
      </c>
      <c r="B129" s="7">
        <v>1</v>
      </c>
      <c r="C129" s="503" t="s">
        <v>111</v>
      </c>
    </row>
    <row r="130" spans="1:3" ht="12.75">
      <c r="A130" s="7" t="s">
        <v>206</v>
      </c>
      <c r="B130" s="7">
        <v>2</v>
      </c>
      <c r="C130" s="503" t="s">
        <v>111</v>
      </c>
    </row>
    <row r="131" spans="1:3" ht="12.75">
      <c r="A131" s="7" t="s">
        <v>207</v>
      </c>
      <c r="B131" s="7">
        <v>2</v>
      </c>
      <c r="C131" s="503" t="s">
        <v>17</v>
      </c>
    </row>
    <row r="132" spans="1:3" ht="12.75">
      <c r="A132" s="7" t="s">
        <v>208</v>
      </c>
      <c r="B132" s="7">
        <v>2</v>
      </c>
      <c r="C132" s="503" t="s">
        <v>109</v>
      </c>
    </row>
    <row r="133" spans="1:3" ht="12.75">
      <c r="A133" s="7" t="s">
        <v>209</v>
      </c>
      <c r="B133" s="7">
        <v>4</v>
      </c>
      <c r="C133" s="503" t="s">
        <v>17</v>
      </c>
    </row>
    <row r="134" spans="1:3" ht="12.75">
      <c r="A134" s="7" t="s">
        <v>210</v>
      </c>
      <c r="B134" s="7">
        <v>3</v>
      </c>
      <c r="C134" s="503" t="s">
        <v>17</v>
      </c>
    </row>
    <row r="135" spans="1:3" ht="12.75">
      <c r="A135" s="7" t="s">
        <v>211</v>
      </c>
      <c r="B135" s="7">
        <v>4</v>
      </c>
      <c r="C135" s="503" t="s">
        <v>17</v>
      </c>
    </row>
    <row r="136" spans="1:3" ht="12.75">
      <c r="A136" s="7" t="s">
        <v>212</v>
      </c>
      <c r="B136" s="7">
        <v>4</v>
      </c>
      <c r="C136" s="503" t="s">
        <v>18</v>
      </c>
    </row>
    <row r="137" spans="1:3" ht="12.75">
      <c r="A137" s="7" t="s">
        <v>213</v>
      </c>
      <c r="B137" s="7">
        <v>3</v>
      </c>
      <c r="C137" s="503" t="s">
        <v>17</v>
      </c>
    </row>
    <row r="138" spans="1:3" ht="12.75">
      <c r="A138" s="7" t="s">
        <v>214</v>
      </c>
      <c r="B138" s="7">
        <v>1</v>
      </c>
      <c r="C138" s="503" t="s">
        <v>111</v>
      </c>
    </row>
    <row r="139" spans="1:3" ht="12.75">
      <c r="A139" s="7" t="s">
        <v>215</v>
      </c>
      <c r="B139" s="7">
        <v>3</v>
      </c>
      <c r="C139" s="503" t="s">
        <v>17</v>
      </c>
    </row>
    <row r="140" spans="1:3" ht="12.75">
      <c r="A140" s="7" t="s">
        <v>216</v>
      </c>
      <c r="B140" s="7">
        <v>3</v>
      </c>
      <c r="C140" s="503" t="s">
        <v>17</v>
      </c>
    </row>
    <row r="141" spans="1:3" ht="12.75">
      <c r="A141" s="7" t="s">
        <v>217</v>
      </c>
      <c r="B141" s="7">
        <v>1</v>
      </c>
      <c r="C141" s="503" t="s">
        <v>111</v>
      </c>
    </row>
    <row r="142" spans="1:3" ht="12.75">
      <c r="A142" s="7" t="s">
        <v>218</v>
      </c>
      <c r="B142" s="7">
        <v>2</v>
      </c>
      <c r="C142" s="503" t="s">
        <v>17</v>
      </c>
    </row>
    <row r="143" spans="1:3" ht="12.75">
      <c r="A143" s="7" t="s">
        <v>219</v>
      </c>
      <c r="B143" s="7">
        <v>3</v>
      </c>
      <c r="C143" s="503" t="s">
        <v>111</v>
      </c>
    </row>
    <row r="144" spans="1:3" ht="12.75">
      <c r="A144" s="7" t="s">
        <v>220</v>
      </c>
      <c r="B144" s="7">
        <v>2</v>
      </c>
      <c r="C144" s="505" t="s">
        <v>111</v>
      </c>
    </row>
    <row r="145" spans="1:3" ht="12.75">
      <c r="A145" s="7" t="s">
        <v>221</v>
      </c>
      <c r="B145" s="7">
        <v>1</v>
      </c>
      <c r="C145" s="503" t="s">
        <v>111</v>
      </c>
    </row>
    <row r="146" spans="1:3" ht="12.75">
      <c r="A146" s="7" t="s">
        <v>222</v>
      </c>
      <c r="B146" s="7">
        <v>4</v>
      </c>
      <c r="C146" s="503" t="s">
        <v>111</v>
      </c>
    </row>
    <row r="147" spans="1:3" ht="12.75">
      <c r="A147" s="7" t="s">
        <v>223</v>
      </c>
      <c r="B147" s="7">
        <v>1</v>
      </c>
      <c r="C147" s="503" t="s">
        <v>111</v>
      </c>
    </row>
    <row r="148" spans="1:3" ht="12.75">
      <c r="A148" s="7" t="s">
        <v>224</v>
      </c>
      <c r="B148" s="7">
        <v>1</v>
      </c>
      <c r="C148" s="503" t="s">
        <v>111</v>
      </c>
    </row>
    <row r="149" spans="1:3" ht="12.75">
      <c r="A149" s="7" t="s">
        <v>225</v>
      </c>
      <c r="B149" s="7">
        <v>4</v>
      </c>
      <c r="C149" s="503" t="s">
        <v>17</v>
      </c>
    </row>
    <row r="150" spans="1:3" ht="12.75">
      <c r="A150" s="7" t="s">
        <v>226</v>
      </c>
      <c r="B150" s="7">
        <v>3</v>
      </c>
      <c r="C150" s="503" t="s">
        <v>17</v>
      </c>
    </row>
    <row r="151" spans="1:3" ht="12.75">
      <c r="A151" s="7" t="s">
        <v>227</v>
      </c>
      <c r="B151" s="7">
        <v>2</v>
      </c>
      <c r="C151" s="503" t="s">
        <v>17</v>
      </c>
    </row>
    <row r="152" spans="1:3" ht="12.75">
      <c r="A152" s="7" t="s">
        <v>228</v>
      </c>
      <c r="B152" s="7">
        <v>2</v>
      </c>
      <c r="C152" s="503" t="s">
        <v>17</v>
      </c>
    </row>
    <row r="153" spans="1:3" ht="12.75">
      <c r="A153" s="7" t="s">
        <v>229</v>
      </c>
      <c r="B153" s="7">
        <v>3</v>
      </c>
      <c r="C153" s="503" t="s">
        <v>17</v>
      </c>
    </row>
    <row r="154" spans="1:3" ht="12.75">
      <c r="A154" s="7" t="s">
        <v>230</v>
      </c>
      <c r="B154" s="7">
        <v>2</v>
      </c>
      <c r="C154" s="503" t="s">
        <v>111</v>
      </c>
    </row>
    <row r="155" spans="1:3" ht="12.75">
      <c r="A155" s="7" t="s">
        <v>231</v>
      </c>
      <c r="B155" s="7">
        <v>2</v>
      </c>
      <c r="C155" s="503" t="s">
        <v>111</v>
      </c>
    </row>
    <row r="156" spans="1:3" ht="12.75">
      <c r="A156" s="7" t="s">
        <v>232</v>
      </c>
      <c r="B156" s="7">
        <v>4</v>
      </c>
      <c r="C156" s="503" t="s">
        <v>17</v>
      </c>
    </row>
    <row r="157" spans="1:3" ht="12.75">
      <c r="A157" s="7" t="s">
        <v>233</v>
      </c>
      <c r="B157" s="7">
        <v>1</v>
      </c>
      <c r="C157" s="503" t="s">
        <v>111</v>
      </c>
    </row>
    <row r="158" spans="1:3" ht="12.75">
      <c r="A158" s="7" t="s">
        <v>234</v>
      </c>
      <c r="B158" s="7">
        <v>2</v>
      </c>
      <c r="C158" s="503" t="s">
        <v>111</v>
      </c>
    </row>
    <row r="159" spans="1:3" ht="12.75">
      <c r="A159" s="7" t="s">
        <v>235</v>
      </c>
      <c r="B159" s="7">
        <v>3</v>
      </c>
      <c r="C159" s="503" t="s">
        <v>17</v>
      </c>
    </row>
    <row r="160" spans="1:3" ht="12.75">
      <c r="A160" s="7" t="s">
        <v>236</v>
      </c>
      <c r="B160" s="7">
        <v>2</v>
      </c>
      <c r="C160" s="503" t="s">
        <v>111</v>
      </c>
    </row>
    <row r="161" spans="1:3" ht="12.75">
      <c r="A161" s="7" t="s">
        <v>237</v>
      </c>
      <c r="B161" s="7">
        <v>3</v>
      </c>
      <c r="C161" s="503" t="s">
        <v>17</v>
      </c>
    </row>
    <row r="162" spans="1:3" ht="12.75">
      <c r="A162" s="7" t="s">
        <v>238</v>
      </c>
      <c r="B162" s="7">
        <v>2</v>
      </c>
      <c r="C162" s="503" t="s">
        <v>17</v>
      </c>
    </row>
    <row r="163" spans="1:3" ht="12.75">
      <c r="A163" s="7" t="s">
        <v>239</v>
      </c>
      <c r="B163" s="7">
        <v>4</v>
      </c>
      <c r="C163" s="503" t="s">
        <v>18</v>
      </c>
    </row>
    <row r="164" spans="1:3" ht="12.75">
      <c r="A164" s="7" t="s">
        <v>240</v>
      </c>
      <c r="B164" s="7">
        <v>2</v>
      </c>
      <c r="C164" s="503" t="s">
        <v>17</v>
      </c>
    </row>
    <row r="165" spans="1:3" ht="12.75">
      <c r="A165" s="7" t="s">
        <v>241</v>
      </c>
      <c r="B165" s="7">
        <v>3</v>
      </c>
      <c r="C165" s="503" t="s">
        <v>17</v>
      </c>
    </row>
    <row r="166" spans="1:3" ht="12.75">
      <c r="A166" s="7" t="s">
        <v>242</v>
      </c>
      <c r="B166" s="7">
        <v>4</v>
      </c>
      <c r="C166" s="503" t="s">
        <v>17</v>
      </c>
    </row>
    <row r="167" spans="1:3" ht="12.75">
      <c r="A167" s="7" t="s">
        <v>243</v>
      </c>
      <c r="B167" s="7">
        <v>2</v>
      </c>
      <c r="C167" s="503" t="s">
        <v>111</v>
      </c>
    </row>
    <row r="168" spans="1:3" ht="12.75">
      <c r="A168" s="7" t="s">
        <v>244</v>
      </c>
      <c r="B168" s="7">
        <v>1</v>
      </c>
      <c r="C168" s="503" t="s">
        <v>111</v>
      </c>
    </row>
    <row r="169" spans="1:3" ht="12.75">
      <c r="A169" s="7" t="s">
        <v>245</v>
      </c>
      <c r="B169" s="7">
        <v>1</v>
      </c>
      <c r="C169" s="503" t="s">
        <v>111</v>
      </c>
    </row>
    <row r="170" spans="1:3" ht="12.75">
      <c r="A170" s="7" t="s">
        <v>246</v>
      </c>
      <c r="B170" s="7">
        <v>4</v>
      </c>
      <c r="C170" s="503" t="s">
        <v>17</v>
      </c>
    </row>
    <row r="171" spans="1:3" ht="12.75">
      <c r="A171" s="7" t="s">
        <v>247</v>
      </c>
      <c r="B171" s="7">
        <v>3</v>
      </c>
      <c r="C171" s="503" t="s">
        <v>17</v>
      </c>
    </row>
    <row r="172" spans="1:3" ht="12.75">
      <c r="A172" s="7" t="s">
        <v>248</v>
      </c>
      <c r="B172" s="7">
        <v>3</v>
      </c>
      <c r="C172" s="503" t="s">
        <v>17</v>
      </c>
    </row>
    <row r="173" spans="1:3" ht="12.75">
      <c r="A173" s="7" t="s">
        <v>249</v>
      </c>
      <c r="B173" s="7">
        <v>2</v>
      </c>
      <c r="C173" s="503" t="s">
        <v>111</v>
      </c>
    </row>
    <row r="174" spans="1:3" ht="12.75">
      <c r="A174" s="7" t="s">
        <v>250</v>
      </c>
      <c r="B174" s="7">
        <v>4</v>
      </c>
      <c r="C174" s="503" t="s">
        <v>17</v>
      </c>
    </row>
    <row r="175" spans="1:3" ht="12.75">
      <c r="A175" s="7" t="s">
        <v>251</v>
      </c>
      <c r="B175" s="7">
        <v>1</v>
      </c>
      <c r="C175" s="503" t="s">
        <v>111</v>
      </c>
    </row>
    <row r="176" spans="1:3" ht="12.75">
      <c r="A176" s="7" t="s">
        <v>252</v>
      </c>
      <c r="B176" s="7">
        <v>3</v>
      </c>
      <c r="C176" s="503" t="s">
        <v>17</v>
      </c>
    </row>
    <row r="177" spans="1:3" ht="12.75">
      <c r="A177" s="7" t="s">
        <v>253</v>
      </c>
      <c r="B177" s="7">
        <v>4</v>
      </c>
      <c r="C177" s="503" t="s">
        <v>18</v>
      </c>
    </row>
    <row r="178" spans="1:3" ht="12.75">
      <c r="A178" s="7" t="s">
        <v>254</v>
      </c>
      <c r="B178" s="7">
        <v>1</v>
      </c>
      <c r="C178" s="503" t="s">
        <v>111</v>
      </c>
    </row>
    <row r="179" spans="1:3" ht="12.75">
      <c r="A179" s="7" t="s">
        <v>255</v>
      </c>
      <c r="B179" s="7">
        <v>3</v>
      </c>
      <c r="C179" s="503" t="s">
        <v>17</v>
      </c>
    </row>
    <row r="180" spans="1:3" ht="12.75">
      <c r="A180" s="7" t="s">
        <v>256</v>
      </c>
      <c r="B180" s="7">
        <v>4</v>
      </c>
      <c r="C180" s="503" t="s">
        <v>17</v>
      </c>
    </row>
    <row r="181" spans="1:3" ht="12.75">
      <c r="A181" s="7" t="s">
        <v>257</v>
      </c>
      <c r="B181" s="7">
        <v>4</v>
      </c>
      <c r="C181" s="505" t="s">
        <v>17</v>
      </c>
    </row>
    <row r="182" spans="1:3" ht="12.75">
      <c r="A182" s="7" t="s">
        <v>258</v>
      </c>
      <c r="B182" s="7">
        <v>4</v>
      </c>
      <c r="C182" s="503" t="s">
        <v>18</v>
      </c>
    </row>
    <row r="183" spans="1:3" ht="12.75">
      <c r="A183" s="7" t="s">
        <v>259</v>
      </c>
      <c r="B183" s="7">
        <v>4</v>
      </c>
      <c r="C183" s="503" t="s">
        <v>18</v>
      </c>
    </row>
    <row r="184" spans="1:3" ht="12.75">
      <c r="A184" s="7" t="s">
        <v>260</v>
      </c>
      <c r="B184" s="7">
        <v>2</v>
      </c>
      <c r="C184" s="503" t="s">
        <v>17</v>
      </c>
    </row>
    <row r="185" spans="1:3" ht="12.75">
      <c r="A185" s="7" t="s">
        <v>261</v>
      </c>
      <c r="B185" s="7">
        <v>2</v>
      </c>
      <c r="C185" s="503" t="s">
        <v>109</v>
      </c>
    </row>
    <row r="186" spans="1:3" ht="12.75">
      <c r="A186" s="7" t="s">
        <v>262</v>
      </c>
      <c r="B186" s="7">
        <v>4</v>
      </c>
      <c r="C186" s="503" t="s">
        <v>18</v>
      </c>
    </row>
    <row r="187" spans="1:3" ht="12.75">
      <c r="A187" s="7" t="s">
        <v>263</v>
      </c>
      <c r="B187" s="7">
        <v>2</v>
      </c>
      <c r="C187" s="503" t="s">
        <v>18</v>
      </c>
    </row>
    <row r="188" spans="1:3" ht="12.75">
      <c r="A188" s="7" t="s">
        <v>264</v>
      </c>
      <c r="B188" s="7">
        <v>4</v>
      </c>
      <c r="C188" s="505" t="s">
        <v>17</v>
      </c>
    </row>
    <row r="189" spans="1:3" ht="12.75">
      <c r="A189" s="7" t="s">
        <v>265</v>
      </c>
      <c r="B189" s="7">
        <v>4</v>
      </c>
      <c r="C189" s="505" t="s">
        <v>17</v>
      </c>
    </row>
    <row r="190" spans="1:3" ht="12.75">
      <c r="A190" s="7" t="s">
        <v>266</v>
      </c>
      <c r="B190" s="7">
        <v>1</v>
      </c>
      <c r="C190" s="503" t="s">
        <v>111</v>
      </c>
    </row>
    <row r="191" spans="1:3" ht="12.75">
      <c r="A191" s="7" t="s">
        <v>267</v>
      </c>
      <c r="B191" s="7">
        <v>3</v>
      </c>
      <c r="C191" s="503" t="s">
        <v>17</v>
      </c>
    </row>
    <row r="192" spans="1:3" ht="12.75">
      <c r="A192" s="7" t="s">
        <v>268</v>
      </c>
      <c r="B192" s="7">
        <v>4</v>
      </c>
      <c r="C192" s="503" t="s">
        <v>17</v>
      </c>
    </row>
    <row r="193" spans="1:3" ht="12.75">
      <c r="A193" s="7" t="s">
        <v>269</v>
      </c>
      <c r="B193" s="7">
        <v>3</v>
      </c>
      <c r="C193" s="503" t="s">
        <v>17</v>
      </c>
    </row>
    <row r="194" spans="1:3" ht="12.75">
      <c r="A194" s="7" t="s">
        <v>270</v>
      </c>
      <c r="B194" s="7">
        <v>2</v>
      </c>
      <c r="C194" s="503" t="s">
        <v>111</v>
      </c>
    </row>
    <row r="195" spans="1:3" ht="12.75">
      <c r="A195" s="7" t="s">
        <v>271</v>
      </c>
      <c r="B195" s="7">
        <v>3</v>
      </c>
      <c r="C195" s="503" t="s">
        <v>17</v>
      </c>
    </row>
    <row r="196" spans="1:3" ht="12.75">
      <c r="A196" s="7" t="s">
        <v>272</v>
      </c>
      <c r="B196" s="7">
        <v>1</v>
      </c>
      <c r="C196" s="503" t="s">
        <v>111</v>
      </c>
    </row>
    <row r="197" spans="1:3" ht="12.75">
      <c r="A197" s="7" t="s">
        <v>273</v>
      </c>
      <c r="B197" s="7">
        <v>3</v>
      </c>
      <c r="C197" s="503" t="s">
        <v>17</v>
      </c>
    </row>
    <row r="198" spans="1:3" ht="12.75">
      <c r="A198" s="8" t="s">
        <v>274</v>
      </c>
      <c r="B198" s="8">
        <v>3</v>
      </c>
      <c r="C198" s="506" t="s">
        <v>109</v>
      </c>
    </row>
    <row r="200" spans="1:10" ht="15.75">
      <c r="A200" s="666" t="s">
        <v>23</v>
      </c>
      <c r="B200" s="667"/>
      <c r="C200" s="667"/>
      <c r="D200" s="668"/>
      <c r="E200" s="665" t="s">
        <v>757</v>
      </c>
      <c r="F200" s="665" t="s">
        <v>758</v>
      </c>
      <c r="G200" s="665" t="s">
        <v>99</v>
      </c>
      <c r="J200" s="198"/>
    </row>
    <row r="201" spans="1:11" ht="15.75" customHeight="1">
      <c r="A201" s="654" t="s">
        <v>310</v>
      </c>
      <c r="B201" s="445" t="s">
        <v>91</v>
      </c>
      <c r="C201" s="446"/>
      <c r="D201" s="479"/>
      <c r="E201" s="665"/>
      <c r="F201" s="665"/>
      <c r="G201" s="665"/>
      <c r="H201" s="198"/>
      <c r="K201" s="198"/>
    </row>
    <row r="202" spans="1:11" ht="19.5" customHeight="1">
      <c r="A202" s="655"/>
      <c r="B202" s="196" t="s">
        <v>92</v>
      </c>
      <c r="C202" s="507" t="s">
        <v>93</v>
      </c>
      <c r="D202" s="478"/>
      <c r="E202" s="665"/>
      <c r="F202" s="665"/>
      <c r="G202" s="665"/>
      <c r="H202" s="198"/>
      <c r="K202" s="198"/>
    </row>
    <row r="203" spans="1:11" ht="12.75" customHeight="1">
      <c r="A203" s="103" t="s">
        <v>407</v>
      </c>
      <c r="B203" s="103">
        <v>13</v>
      </c>
      <c r="C203" s="508">
        <f>B203*0.43</f>
        <v>5.59</v>
      </c>
      <c r="D203" s="192" t="s">
        <v>755</v>
      </c>
      <c r="E203" s="409" t="s">
        <v>753</v>
      </c>
      <c r="F203" s="200" t="s">
        <v>479</v>
      </c>
      <c r="G203" s="201">
        <v>0.8</v>
      </c>
      <c r="H203" s="198"/>
      <c r="K203" s="198"/>
    </row>
    <row r="204" spans="1:11" ht="12.75" customHeight="1">
      <c r="A204" s="19" t="s">
        <v>411</v>
      </c>
      <c r="B204" s="19">
        <v>4</v>
      </c>
      <c r="C204" s="151">
        <f>B204*0.43</f>
        <v>1.72</v>
      </c>
      <c r="D204" s="74" t="s">
        <v>756</v>
      </c>
      <c r="E204" s="410" t="s">
        <v>754</v>
      </c>
      <c r="F204" s="19" t="s">
        <v>423</v>
      </c>
      <c r="G204" s="202">
        <v>0.8</v>
      </c>
      <c r="H204" s="198"/>
      <c r="K204" s="198"/>
    </row>
    <row r="205" spans="1:8" ht="12.75" customHeight="1">
      <c r="A205" s="19" t="s">
        <v>409</v>
      </c>
      <c r="B205" s="19">
        <v>3</v>
      </c>
      <c r="C205" s="151">
        <f>B205*0.43</f>
        <v>1.29</v>
      </c>
      <c r="D205" s="74" t="s">
        <v>756</v>
      </c>
      <c r="E205" s="410" t="s">
        <v>754</v>
      </c>
      <c r="F205" s="19" t="s">
        <v>423</v>
      </c>
      <c r="G205" s="202">
        <v>0.8</v>
      </c>
      <c r="H205" s="198"/>
    </row>
    <row r="206" spans="1:8" ht="15.75">
      <c r="A206" s="21" t="s">
        <v>410</v>
      </c>
      <c r="B206" s="21">
        <v>2</v>
      </c>
      <c r="C206" s="151">
        <f>B206*0.43</f>
        <v>0.86</v>
      </c>
      <c r="D206" s="194" t="s">
        <v>311</v>
      </c>
      <c r="E206" s="410" t="s">
        <v>754</v>
      </c>
      <c r="F206" s="21" t="s">
        <v>423</v>
      </c>
      <c r="G206" s="202">
        <v>0.8</v>
      </c>
      <c r="H206" s="198"/>
    </row>
    <row r="207" spans="1:7" ht="12.75">
      <c r="A207" s="28" t="s">
        <v>408</v>
      </c>
      <c r="B207" s="19">
        <v>27</v>
      </c>
      <c r="C207" s="511">
        <f>B207*0.43</f>
        <v>11.61</v>
      </c>
      <c r="D207" s="192" t="s">
        <v>755</v>
      </c>
      <c r="E207" s="395" t="s">
        <v>753</v>
      </c>
      <c r="F207" s="104" t="s">
        <v>479</v>
      </c>
      <c r="G207" s="203">
        <v>0.8</v>
      </c>
    </row>
    <row r="208" spans="1:7" ht="12.75">
      <c r="A208" s="68" t="s">
        <v>405</v>
      </c>
      <c r="B208" s="512">
        <v>7</v>
      </c>
      <c r="C208" s="151">
        <f aca="true" t="shared" si="2" ref="C208:C223">B208*0.43</f>
        <v>3.01</v>
      </c>
      <c r="D208" s="74" t="s">
        <v>756</v>
      </c>
      <c r="E208" s="410" t="s">
        <v>754</v>
      </c>
      <c r="F208" s="19" t="s">
        <v>423</v>
      </c>
      <c r="G208" s="202">
        <v>0.8</v>
      </c>
    </row>
    <row r="209" spans="1:7" ht="12.75">
      <c r="A209" s="21" t="s">
        <v>406</v>
      </c>
      <c r="B209" s="21">
        <v>5</v>
      </c>
      <c r="C209" s="151">
        <f t="shared" si="2"/>
        <v>2.15</v>
      </c>
      <c r="D209" s="194" t="s">
        <v>756</v>
      </c>
      <c r="E209" s="410" t="s">
        <v>754</v>
      </c>
      <c r="F209" s="21" t="s">
        <v>423</v>
      </c>
      <c r="G209" s="202">
        <v>0.8</v>
      </c>
    </row>
    <row r="210" spans="1:7" ht="12.75">
      <c r="A210" s="104" t="s">
        <v>389</v>
      </c>
      <c r="B210" s="104">
        <v>5</v>
      </c>
      <c r="C210" s="511">
        <f t="shared" si="2"/>
        <v>2.15</v>
      </c>
      <c r="D210" s="74" t="s">
        <v>756</v>
      </c>
      <c r="E210" s="395" t="s">
        <v>754</v>
      </c>
      <c r="F210" s="19" t="s">
        <v>423</v>
      </c>
      <c r="G210" s="203">
        <v>0.8</v>
      </c>
    </row>
    <row r="211" spans="1:7" ht="12.75">
      <c r="A211" s="9" t="s">
        <v>412</v>
      </c>
      <c r="B211" s="513">
        <v>35</v>
      </c>
      <c r="C211" s="151">
        <f t="shared" si="2"/>
        <v>15.049999999999999</v>
      </c>
      <c r="D211" s="192" t="s">
        <v>755</v>
      </c>
      <c r="E211" s="410" t="s">
        <v>753</v>
      </c>
      <c r="F211" s="200" t="s">
        <v>479</v>
      </c>
      <c r="G211" s="202">
        <v>1</v>
      </c>
    </row>
    <row r="212" spans="1:7" ht="12.75">
      <c r="A212" s="20" t="s">
        <v>413</v>
      </c>
      <c r="B212" s="19">
        <v>55</v>
      </c>
      <c r="C212" s="151">
        <f t="shared" si="2"/>
        <v>23.65</v>
      </c>
      <c r="D212" s="74" t="s">
        <v>755</v>
      </c>
      <c r="E212" s="410" t="s">
        <v>753</v>
      </c>
      <c r="F212" s="19" t="s">
        <v>479</v>
      </c>
      <c r="G212" s="202">
        <v>1</v>
      </c>
    </row>
    <row r="213" spans="1:7" ht="12.75">
      <c r="A213" s="20" t="s">
        <v>414</v>
      </c>
      <c r="B213" s="19">
        <v>40</v>
      </c>
      <c r="C213" s="151">
        <f t="shared" si="2"/>
        <v>17.2</v>
      </c>
      <c r="D213" s="74" t="s">
        <v>755</v>
      </c>
      <c r="E213" s="410" t="s">
        <v>753</v>
      </c>
      <c r="F213" s="19" t="s">
        <v>479</v>
      </c>
      <c r="G213" s="202">
        <v>1</v>
      </c>
    </row>
    <row r="214" spans="1:7" ht="12.75">
      <c r="A214" s="20" t="s">
        <v>415</v>
      </c>
      <c r="B214" s="19">
        <v>25</v>
      </c>
      <c r="C214" s="151">
        <f t="shared" si="2"/>
        <v>10.75</v>
      </c>
      <c r="D214" s="74" t="s">
        <v>755</v>
      </c>
      <c r="E214" s="410" t="s">
        <v>753</v>
      </c>
      <c r="F214" s="19" t="s">
        <v>479</v>
      </c>
      <c r="G214" s="202">
        <v>1</v>
      </c>
    </row>
    <row r="215" spans="1:7" ht="12.75">
      <c r="A215" s="197" t="s">
        <v>416</v>
      </c>
      <c r="B215" s="514">
        <v>35</v>
      </c>
      <c r="C215" s="152">
        <f t="shared" si="2"/>
        <v>15.049999999999999</v>
      </c>
      <c r="D215" s="194" t="s">
        <v>755</v>
      </c>
      <c r="E215" s="410" t="s">
        <v>753</v>
      </c>
      <c r="F215" s="21" t="s">
        <v>479</v>
      </c>
      <c r="G215" s="204">
        <v>1</v>
      </c>
    </row>
    <row r="216" spans="1:7" ht="12.75">
      <c r="A216" s="9" t="s">
        <v>417</v>
      </c>
      <c r="B216" s="9">
        <v>55</v>
      </c>
      <c r="C216" s="151">
        <f t="shared" si="2"/>
        <v>23.65</v>
      </c>
      <c r="D216" s="74" t="s">
        <v>756</v>
      </c>
      <c r="E216" s="409" t="s">
        <v>754</v>
      </c>
      <c r="F216" s="19" t="s">
        <v>423</v>
      </c>
      <c r="G216" s="202">
        <v>0.8</v>
      </c>
    </row>
    <row r="217" spans="1:7" ht="12.75">
      <c r="A217" s="10" t="s">
        <v>422</v>
      </c>
      <c r="B217" s="19">
        <v>46</v>
      </c>
      <c r="C217" s="151">
        <f t="shared" si="2"/>
        <v>19.78</v>
      </c>
      <c r="D217" s="74" t="s">
        <v>756</v>
      </c>
      <c r="E217" s="410" t="s">
        <v>754</v>
      </c>
      <c r="F217" s="19" t="s">
        <v>423</v>
      </c>
      <c r="G217" s="202">
        <v>0.8</v>
      </c>
    </row>
    <row r="218" spans="1:7" ht="12.75">
      <c r="A218" s="28" t="s">
        <v>418</v>
      </c>
      <c r="B218" s="19">
        <v>62</v>
      </c>
      <c r="C218" s="151">
        <f t="shared" si="2"/>
        <v>26.66</v>
      </c>
      <c r="D218" s="74" t="s">
        <v>756</v>
      </c>
      <c r="E218" s="410" t="s">
        <v>754</v>
      </c>
      <c r="F218" s="19" t="s">
        <v>423</v>
      </c>
      <c r="G218" s="202">
        <v>0.8</v>
      </c>
    </row>
    <row r="219" spans="1:7" ht="12.75">
      <c r="A219" s="28" t="s">
        <v>419</v>
      </c>
      <c r="B219" s="19">
        <v>63</v>
      </c>
      <c r="C219" s="151">
        <f t="shared" si="2"/>
        <v>27.09</v>
      </c>
      <c r="D219" s="74" t="s">
        <v>756</v>
      </c>
      <c r="E219" s="410" t="s">
        <v>754</v>
      </c>
      <c r="F219" s="19" t="s">
        <v>423</v>
      </c>
      <c r="G219" s="202">
        <v>0.8</v>
      </c>
    </row>
    <row r="220" spans="1:7" ht="12.75">
      <c r="A220" s="28" t="s">
        <v>420</v>
      </c>
      <c r="B220" s="19">
        <v>76</v>
      </c>
      <c r="C220" s="151">
        <f t="shared" si="2"/>
        <v>32.68</v>
      </c>
      <c r="D220" s="74" t="s">
        <v>756</v>
      </c>
      <c r="E220" s="410" t="s">
        <v>754</v>
      </c>
      <c r="F220" s="19" t="s">
        <v>423</v>
      </c>
      <c r="G220" s="202">
        <v>0.8</v>
      </c>
    </row>
    <row r="221" spans="1:7" ht="12.75">
      <c r="A221" s="28" t="s">
        <v>421</v>
      </c>
      <c r="B221" s="19">
        <v>88</v>
      </c>
      <c r="C221" s="151">
        <f t="shared" si="2"/>
        <v>37.839999999999996</v>
      </c>
      <c r="D221" s="74" t="s">
        <v>756</v>
      </c>
      <c r="E221" s="411" t="s">
        <v>754</v>
      </c>
      <c r="F221" s="19" t="s">
        <v>423</v>
      </c>
      <c r="G221" s="202">
        <v>0.8</v>
      </c>
    </row>
    <row r="222" spans="1:7" ht="12.75">
      <c r="A222" s="212" t="s">
        <v>672</v>
      </c>
      <c r="B222" s="200">
        <v>0</v>
      </c>
      <c r="C222" s="508">
        <f t="shared" si="2"/>
        <v>0</v>
      </c>
      <c r="D222" s="192" t="s">
        <v>756</v>
      </c>
      <c r="E222" s="410" t="s">
        <v>754</v>
      </c>
      <c r="F222" s="212" t="s">
        <v>423</v>
      </c>
      <c r="G222" s="231">
        <v>0.8</v>
      </c>
    </row>
    <row r="223" spans="1:7" ht="12.75">
      <c r="A223" s="211" t="s">
        <v>673</v>
      </c>
      <c r="B223" s="21">
        <v>0</v>
      </c>
      <c r="C223" s="152">
        <f t="shared" si="2"/>
        <v>0</v>
      </c>
      <c r="D223" s="194" t="s">
        <v>755</v>
      </c>
      <c r="E223" s="411" t="s">
        <v>753</v>
      </c>
      <c r="F223" s="211" t="s">
        <v>479</v>
      </c>
      <c r="G223" s="232">
        <v>0.8</v>
      </c>
    </row>
    <row r="224" spans="1:7" ht="12.75">
      <c r="A224" s="104">
        <v>0</v>
      </c>
      <c r="B224" s="515">
        <v>0</v>
      </c>
      <c r="C224" s="511">
        <v>0</v>
      </c>
      <c r="D224" s="193">
        <v>0</v>
      </c>
      <c r="E224" s="193">
        <v>0</v>
      </c>
      <c r="F224" s="12"/>
      <c r="G224" s="203">
        <v>0</v>
      </c>
    </row>
    <row r="225" spans="1:3" ht="12.75">
      <c r="A225" s="28"/>
      <c r="B225" s="28"/>
      <c r="C225" s="28"/>
    </row>
    <row r="226" spans="1:4" ht="12.75">
      <c r="A226" s="28"/>
      <c r="B226" s="28"/>
      <c r="C226" s="28"/>
      <c r="D226" s="28"/>
    </row>
    <row r="227" spans="1:5" ht="14.25" customHeight="1">
      <c r="A227" s="38" t="s">
        <v>94</v>
      </c>
      <c r="B227" s="28"/>
      <c r="C227" s="28"/>
      <c r="D227" s="397" t="s">
        <v>742</v>
      </c>
      <c r="E227" s="397" t="s">
        <v>741</v>
      </c>
    </row>
    <row r="228" spans="1:5" ht="12.75" customHeight="1">
      <c r="A228" s="199" t="s">
        <v>98</v>
      </c>
      <c r="B228" s="191"/>
      <c r="C228" s="191"/>
      <c r="D228" s="648" t="s">
        <v>740</v>
      </c>
      <c r="E228" s="649"/>
    </row>
    <row r="229" spans="1:5" ht="12.75" customHeight="1">
      <c r="A229" s="656" t="s">
        <v>95</v>
      </c>
      <c r="B229" s="657"/>
      <c r="C229" s="657"/>
      <c r="D229" s="7">
        <v>0.2</v>
      </c>
      <c r="E229" s="6">
        <v>0.2</v>
      </c>
    </row>
    <row r="230" spans="1:5" ht="12.75" customHeight="1">
      <c r="A230" s="658" t="s">
        <v>96</v>
      </c>
      <c r="B230" s="659"/>
      <c r="C230" s="659"/>
      <c r="D230" s="7">
        <v>0.4</v>
      </c>
      <c r="E230" s="7">
        <v>0.4</v>
      </c>
    </row>
    <row r="231" spans="1:5" ht="12.75" customHeight="1">
      <c r="A231" s="658" t="s">
        <v>759</v>
      </c>
      <c r="B231" s="659"/>
      <c r="C231" s="659"/>
      <c r="D231" s="7">
        <v>0.6</v>
      </c>
      <c r="E231" s="7">
        <v>0.8</v>
      </c>
    </row>
    <row r="232" spans="1:5" ht="12.75" customHeight="1">
      <c r="A232" s="658" t="s">
        <v>760</v>
      </c>
      <c r="B232" s="659"/>
      <c r="C232" s="659"/>
      <c r="D232" s="7">
        <v>0.6</v>
      </c>
      <c r="E232" s="7">
        <v>0.8</v>
      </c>
    </row>
    <row r="233" spans="1:5" ht="12.75" customHeight="1">
      <c r="A233" s="652" t="s">
        <v>97</v>
      </c>
      <c r="B233" s="653"/>
      <c r="C233" s="653"/>
      <c r="D233" s="8">
        <v>1</v>
      </c>
      <c r="E233" s="8">
        <v>1</v>
      </c>
    </row>
    <row r="234" spans="1:5" ht="12.75" customHeight="1">
      <c r="A234" s="650">
        <v>0</v>
      </c>
      <c r="B234" s="651"/>
      <c r="C234" s="651"/>
      <c r="D234" s="184">
        <v>0</v>
      </c>
      <c r="E234" s="184">
        <v>0</v>
      </c>
    </row>
    <row r="235" ht="12.75" customHeight="1">
      <c r="A235" s="198"/>
    </row>
    <row r="236" spans="1:5" ht="12.75" customHeight="1">
      <c r="A236" s="198"/>
      <c r="E236" s="20"/>
    </row>
    <row r="237" ht="12.75" customHeight="1">
      <c r="E237" s="20"/>
    </row>
    <row r="238" ht="12.75" customHeight="1">
      <c r="E238" s="20"/>
    </row>
    <row r="239" ht="12.75" customHeight="1">
      <c r="E239" s="20"/>
    </row>
    <row r="240" ht="12.75" customHeight="1">
      <c r="E240" s="20"/>
    </row>
    <row r="241" ht="12.75" customHeight="1">
      <c r="E241" s="20"/>
    </row>
    <row r="242" ht="12.75" customHeight="1">
      <c r="E242" s="20"/>
    </row>
    <row r="243" ht="12.75">
      <c r="E243" s="20"/>
    </row>
  </sheetData>
  <sheetProtection sheet="1"/>
  <mergeCells count="15">
    <mergeCell ref="O3:R3"/>
    <mergeCell ref="A2:B2"/>
    <mergeCell ref="G200:G202"/>
    <mergeCell ref="F200:F202"/>
    <mergeCell ref="E200:E202"/>
    <mergeCell ref="A84:C84"/>
    <mergeCell ref="A200:D200"/>
    <mergeCell ref="D228:E228"/>
    <mergeCell ref="A234:C234"/>
    <mergeCell ref="A233:C233"/>
    <mergeCell ref="A201:A202"/>
    <mergeCell ref="A229:C229"/>
    <mergeCell ref="A230:C230"/>
    <mergeCell ref="A231:C231"/>
    <mergeCell ref="A232:C23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3"/>
  <sheetViews>
    <sheetView zoomScalePageLayoutView="0" workbookViewId="0" topLeftCell="A1">
      <selection activeCell="B45" sqref="B45"/>
    </sheetView>
  </sheetViews>
  <sheetFormatPr defaultColWidth="9.140625" defaultRowHeight="12.75"/>
  <cols>
    <col min="1" max="1" width="25.28125" style="0" customWidth="1"/>
    <col min="2" max="2" width="23.421875" style="28" customWidth="1"/>
    <col min="3" max="3" width="41.421875" style="0" customWidth="1"/>
    <col min="4" max="4" width="29.57421875" style="0" customWidth="1"/>
    <col min="5" max="5" width="16.57421875" style="0" customWidth="1"/>
    <col min="6" max="7" width="16.00390625" style="0" customWidth="1"/>
  </cols>
  <sheetData>
    <row r="1" ht="12.75"/>
    <row r="2" ht="13.5" thickBot="1">
      <c r="E2" s="25"/>
    </row>
    <row r="3" spans="1:7" ht="13.5" thickBot="1">
      <c r="A3" s="45" t="s">
        <v>344</v>
      </c>
      <c r="B3" s="46" t="s">
        <v>343</v>
      </c>
      <c r="C3" s="64" t="s">
        <v>350</v>
      </c>
      <c r="D3" s="64" t="s">
        <v>348</v>
      </c>
      <c r="E3" s="65" t="s">
        <v>345</v>
      </c>
      <c r="F3" s="64" t="s">
        <v>347</v>
      </c>
      <c r="G3" s="66" t="s">
        <v>346</v>
      </c>
    </row>
    <row r="4" spans="1:7" s="140" customFormat="1" ht="12.75">
      <c r="A4" s="141">
        <v>0</v>
      </c>
      <c r="B4" s="52">
        <v>0</v>
      </c>
      <c r="C4" s="55">
        <v>0</v>
      </c>
      <c r="D4" s="57">
        <v>0</v>
      </c>
      <c r="E4" s="75">
        <v>0</v>
      </c>
      <c r="F4" s="57">
        <v>0</v>
      </c>
      <c r="G4" s="195">
        <v>0</v>
      </c>
    </row>
    <row r="5" spans="1:7" ht="12.75">
      <c r="A5" s="53">
        <v>10</v>
      </c>
      <c r="B5" s="53" t="s">
        <v>352</v>
      </c>
      <c r="C5" s="56" t="s">
        <v>353</v>
      </c>
      <c r="D5" s="54">
        <v>0.474</v>
      </c>
      <c r="E5" s="76">
        <v>0.36</v>
      </c>
      <c r="F5" s="58">
        <v>0.436</v>
      </c>
      <c r="G5" s="59">
        <v>0.1</v>
      </c>
    </row>
    <row r="6" spans="1:7" ht="12.75">
      <c r="A6" s="53">
        <v>20</v>
      </c>
      <c r="B6" s="53" t="s">
        <v>352</v>
      </c>
      <c r="C6" s="56" t="s">
        <v>353</v>
      </c>
      <c r="D6" s="54">
        <v>0.495</v>
      </c>
      <c r="E6" s="76">
        <v>0.38</v>
      </c>
      <c r="F6" s="58">
        <v>0.436</v>
      </c>
      <c r="G6" s="59">
        <v>0.13</v>
      </c>
    </row>
    <row r="7" spans="1:7" ht="12.75">
      <c r="A7" s="53">
        <v>30</v>
      </c>
      <c r="B7" s="53" t="s">
        <v>352</v>
      </c>
      <c r="C7" s="56" t="s">
        <v>353</v>
      </c>
      <c r="D7" s="54">
        <v>0.733</v>
      </c>
      <c r="E7" s="76">
        <v>0.43</v>
      </c>
      <c r="F7" s="58">
        <v>0.436</v>
      </c>
      <c r="G7" s="59">
        <v>0.11</v>
      </c>
    </row>
    <row r="8" spans="1:7" ht="12.75">
      <c r="A8" s="54">
        <v>40</v>
      </c>
      <c r="B8" s="54" t="s">
        <v>352</v>
      </c>
      <c r="C8" s="56" t="s">
        <v>353</v>
      </c>
      <c r="D8" s="54">
        <v>0.871</v>
      </c>
      <c r="E8" s="76">
        <v>0.42</v>
      </c>
      <c r="F8" s="58">
        <v>0.436</v>
      </c>
      <c r="G8" s="59">
        <v>0.12</v>
      </c>
    </row>
    <row r="9" spans="1:7" ht="12.75">
      <c r="A9" s="54">
        <v>50</v>
      </c>
      <c r="B9" s="54" t="s">
        <v>352</v>
      </c>
      <c r="C9" s="56" t="s">
        <v>353</v>
      </c>
      <c r="D9" s="54">
        <v>0.836</v>
      </c>
      <c r="E9" s="76">
        <v>0.5</v>
      </c>
      <c r="F9" s="58">
        <v>0.436</v>
      </c>
      <c r="G9" s="59">
        <v>0.15</v>
      </c>
    </row>
    <row r="10" spans="1:7" ht="12.75">
      <c r="A10" s="54">
        <v>60</v>
      </c>
      <c r="B10" s="54" t="s">
        <v>352</v>
      </c>
      <c r="C10" s="56" t="s">
        <v>353</v>
      </c>
      <c r="D10" s="54">
        <v>0.93</v>
      </c>
      <c r="E10" s="76">
        <v>0.55</v>
      </c>
      <c r="F10" s="58">
        <v>0.436</v>
      </c>
      <c r="G10" s="59">
        <v>0.11</v>
      </c>
    </row>
    <row r="11" spans="1:7" ht="12.75">
      <c r="A11" s="54">
        <v>70</v>
      </c>
      <c r="B11" s="54" t="s">
        <v>352</v>
      </c>
      <c r="C11" s="56" t="s">
        <v>353</v>
      </c>
      <c r="D11" s="54">
        <v>0.941</v>
      </c>
      <c r="E11" s="76">
        <v>0.45</v>
      </c>
      <c r="F11" s="58">
        <v>0.436</v>
      </c>
      <c r="G11" s="59">
        <v>0.27</v>
      </c>
    </row>
    <row r="12" spans="1:7" ht="12.75">
      <c r="A12" s="54">
        <v>80</v>
      </c>
      <c r="B12" s="54" t="s">
        <v>352</v>
      </c>
      <c r="C12" s="56" t="s">
        <v>353</v>
      </c>
      <c r="D12" s="54">
        <v>0.951</v>
      </c>
      <c r="E12" s="76">
        <v>0.32</v>
      </c>
      <c r="F12" s="58">
        <v>0.436</v>
      </c>
      <c r="G12" s="59">
        <v>0.12</v>
      </c>
    </row>
    <row r="13" spans="1:7" ht="12.75">
      <c r="A13" s="54">
        <v>90</v>
      </c>
      <c r="B13" s="54" t="s">
        <v>352</v>
      </c>
      <c r="C13" s="56" t="s">
        <v>353</v>
      </c>
      <c r="D13" s="54">
        <v>0.897</v>
      </c>
      <c r="E13" s="76">
        <v>0.45</v>
      </c>
      <c r="F13" s="58">
        <v>0.436</v>
      </c>
      <c r="G13" s="59">
        <v>0.11</v>
      </c>
    </row>
    <row r="14" spans="1:7" ht="12.75">
      <c r="A14" s="54">
        <v>100</v>
      </c>
      <c r="B14" s="54" t="s">
        <v>352</v>
      </c>
      <c r="C14" s="56" t="s">
        <v>353</v>
      </c>
      <c r="D14" s="54">
        <v>0.88</v>
      </c>
      <c r="E14" s="76">
        <v>0.35</v>
      </c>
      <c r="F14" s="58">
        <v>0.436</v>
      </c>
      <c r="G14" s="59">
        <v>0.08</v>
      </c>
    </row>
    <row r="15" spans="1:7" ht="12.75">
      <c r="A15" s="54">
        <v>110</v>
      </c>
      <c r="B15" s="54" t="s">
        <v>352</v>
      </c>
      <c r="C15" s="56" t="s">
        <v>353</v>
      </c>
      <c r="D15" s="54">
        <v>0.961</v>
      </c>
      <c r="E15" s="76">
        <v>0.31</v>
      </c>
      <c r="F15" s="58">
        <v>0.436</v>
      </c>
      <c r="G15" s="59">
        <v>0.09</v>
      </c>
    </row>
    <row r="16" spans="1:7" ht="12.75">
      <c r="A16" s="54">
        <v>120</v>
      </c>
      <c r="B16" s="54" t="s">
        <v>352</v>
      </c>
      <c r="C16" s="56" t="s">
        <v>353</v>
      </c>
      <c r="D16" s="54">
        <v>0.98</v>
      </c>
      <c r="E16" s="76">
        <v>0.29</v>
      </c>
      <c r="F16" s="58">
        <v>0.436</v>
      </c>
      <c r="G16" s="59">
        <v>0.08</v>
      </c>
    </row>
    <row r="17" spans="1:7" ht="12.75">
      <c r="A17" s="54">
        <v>140</v>
      </c>
      <c r="B17" s="54" t="s">
        <v>352</v>
      </c>
      <c r="C17" s="56" t="s">
        <v>353</v>
      </c>
      <c r="D17" s="54">
        <v>0.99</v>
      </c>
      <c r="E17" s="76">
        <v>0.3</v>
      </c>
      <c r="F17" s="58">
        <v>0.436</v>
      </c>
      <c r="G17" s="59">
        <v>0.25</v>
      </c>
    </row>
    <row r="18" spans="1:7" ht="12.75" customHeight="1">
      <c r="A18" s="47">
        <v>160</v>
      </c>
      <c r="B18" s="5" t="s">
        <v>349</v>
      </c>
      <c r="C18" s="56" t="s">
        <v>353</v>
      </c>
      <c r="D18" s="48">
        <v>0.583</v>
      </c>
      <c r="E18" s="76">
        <v>0.33</v>
      </c>
      <c r="F18" s="11">
        <v>0.67</v>
      </c>
      <c r="G18" s="59">
        <v>0.32</v>
      </c>
    </row>
    <row r="19" spans="1:7" ht="12.75" customHeight="1">
      <c r="A19" s="47">
        <v>175</v>
      </c>
      <c r="B19" s="5" t="s">
        <v>349</v>
      </c>
      <c r="C19" s="56" t="s">
        <v>353</v>
      </c>
      <c r="D19" s="48">
        <v>0.7</v>
      </c>
      <c r="E19" s="76">
        <v>0.33</v>
      </c>
      <c r="F19" s="11">
        <v>0.67</v>
      </c>
      <c r="G19" s="59">
        <v>0.05</v>
      </c>
    </row>
    <row r="20" spans="1:7" ht="12.75" customHeight="1">
      <c r="A20" s="47">
        <v>180</v>
      </c>
      <c r="B20" s="5" t="s">
        <v>349</v>
      </c>
      <c r="C20" s="56" t="s">
        <v>353</v>
      </c>
      <c r="D20" s="48">
        <v>0.819</v>
      </c>
      <c r="E20" s="76">
        <v>0.34</v>
      </c>
      <c r="F20" s="11">
        <v>0.67</v>
      </c>
      <c r="G20" s="27">
        <v>0.09</v>
      </c>
    </row>
    <row r="21" spans="1:7" ht="12.75" customHeight="1">
      <c r="A21" s="47">
        <v>210</v>
      </c>
      <c r="B21" s="4" t="s">
        <v>349</v>
      </c>
      <c r="C21" s="56" t="s">
        <v>353</v>
      </c>
      <c r="D21" s="48">
        <v>0.72</v>
      </c>
      <c r="E21" s="76">
        <v>0.46</v>
      </c>
      <c r="F21" s="11">
        <v>0.669</v>
      </c>
      <c r="G21" s="27">
        <v>0.11</v>
      </c>
    </row>
    <row r="22" spans="1:7" ht="12.75" customHeight="1">
      <c r="A22" s="47">
        <v>450</v>
      </c>
      <c r="B22" s="4" t="s">
        <v>352</v>
      </c>
      <c r="C22" s="62" t="s">
        <v>351</v>
      </c>
      <c r="D22" s="48">
        <v>1</v>
      </c>
      <c r="E22" s="76">
        <v>0.3</v>
      </c>
      <c r="F22" s="11">
        <v>1</v>
      </c>
      <c r="G22" s="27">
        <v>0.05</v>
      </c>
    </row>
    <row r="23" spans="1:7" ht="12.75" customHeight="1">
      <c r="A23" s="47">
        <v>470</v>
      </c>
      <c r="B23" s="4" t="s">
        <v>352</v>
      </c>
      <c r="C23" s="62" t="s">
        <v>351</v>
      </c>
      <c r="D23" s="48">
        <v>1</v>
      </c>
      <c r="E23" s="76">
        <v>0.25</v>
      </c>
      <c r="F23" s="11">
        <v>1</v>
      </c>
      <c r="G23" s="27">
        <v>0.22</v>
      </c>
    </row>
    <row r="24" spans="1:7" ht="12.75" customHeight="1">
      <c r="A24" s="47">
        <v>700</v>
      </c>
      <c r="B24" s="4" t="s">
        <v>352</v>
      </c>
      <c r="C24" s="56" t="s">
        <v>353</v>
      </c>
      <c r="D24" s="48">
        <v>0.7</v>
      </c>
      <c r="E24" s="76">
        <v>0.4</v>
      </c>
      <c r="F24" s="11">
        <v>0.436</v>
      </c>
      <c r="G24" s="27">
        <v>0.07</v>
      </c>
    </row>
    <row r="25" spans="1:7" ht="12.75" customHeight="1">
      <c r="A25" s="47">
        <v>710</v>
      </c>
      <c r="B25" s="4" t="s">
        <v>352</v>
      </c>
      <c r="C25" s="56" t="s">
        <v>353</v>
      </c>
      <c r="D25" s="48">
        <v>0.97</v>
      </c>
      <c r="E25" s="76">
        <v>0.28</v>
      </c>
      <c r="F25" s="11">
        <v>0.436</v>
      </c>
      <c r="G25" s="27">
        <v>0.06</v>
      </c>
    </row>
    <row r="26" spans="1:7" ht="12.75" customHeight="1">
      <c r="A26" s="47">
        <v>720</v>
      </c>
      <c r="B26" s="4" t="s">
        <v>352</v>
      </c>
      <c r="C26" s="56" t="s">
        <v>353</v>
      </c>
      <c r="D26" s="48">
        <v>0.891</v>
      </c>
      <c r="E26" s="76">
        <v>0.27</v>
      </c>
      <c r="F26" s="11">
        <v>0.436</v>
      </c>
      <c r="G26" s="27">
        <v>0.06</v>
      </c>
    </row>
    <row r="27" spans="1:7" ht="12.75" customHeight="1">
      <c r="A27" s="47">
        <v>730</v>
      </c>
      <c r="B27" s="5" t="s">
        <v>349</v>
      </c>
      <c r="C27" s="56" t="s">
        <v>353</v>
      </c>
      <c r="D27" s="48">
        <v>0.683</v>
      </c>
      <c r="E27" s="76">
        <v>0.23</v>
      </c>
      <c r="F27" s="11">
        <v>0.67</v>
      </c>
      <c r="G27" s="27">
        <v>0.15</v>
      </c>
    </row>
    <row r="28" spans="1:7" ht="12.75" customHeight="1">
      <c r="A28" s="47">
        <v>740</v>
      </c>
      <c r="B28" s="5" t="s">
        <v>349</v>
      </c>
      <c r="C28" s="56" t="s">
        <v>353</v>
      </c>
      <c r="D28" s="48">
        <v>0.749</v>
      </c>
      <c r="E28" s="76">
        <v>0.21</v>
      </c>
      <c r="F28" s="11">
        <v>0.67</v>
      </c>
      <c r="G28" s="27">
        <v>0.12</v>
      </c>
    </row>
    <row r="29" spans="1:7" ht="12.75" customHeight="1">
      <c r="A29" s="47">
        <v>750</v>
      </c>
      <c r="B29" s="5" t="s">
        <v>349</v>
      </c>
      <c r="C29" s="56" t="s">
        <v>353</v>
      </c>
      <c r="D29" s="48">
        <v>0.627</v>
      </c>
      <c r="E29" s="76">
        <v>0.47</v>
      </c>
      <c r="F29" s="11">
        <v>0.67</v>
      </c>
      <c r="G29" s="27">
        <v>0.13</v>
      </c>
    </row>
    <row r="30" spans="1:7" ht="12.75" customHeight="1" thickBot="1">
      <c r="A30" s="49">
        <v>800</v>
      </c>
      <c r="B30" s="50" t="s">
        <v>352</v>
      </c>
      <c r="C30" s="63" t="s">
        <v>351</v>
      </c>
      <c r="D30" s="51">
        <v>1</v>
      </c>
      <c r="E30" s="77">
        <v>0.48</v>
      </c>
      <c r="F30" s="60">
        <v>1</v>
      </c>
      <c r="G30" s="26">
        <v>0.15</v>
      </c>
    </row>
    <row r="31" ht="12.75">
      <c r="G31" s="5"/>
    </row>
    <row r="32" spans="1:7" ht="12.75">
      <c r="A32" s="181"/>
      <c r="B32" s="182" t="s">
        <v>644</v>
      </c>
      <c r="C32" s="5"/>
      <c r="D32" s="146"/>
      <c r="E32" s="146"/>
      <c r="F32" s="146"/>
      <c r="G32" s="144"/>
    </row>
    <row r="33" spans="1:7" ht="15">
      <c r="A33" s="679" t="s">
        <v>339</v>
      </c>
      <c r="B33" s="680"/>
      <c r="C33" s="680"/>
      <c r="D33" s="680"/>
      <c r="E33" s="680"/>
      <c r="F33" s="681"/>
      <c r="G33" s="96"/>
    </row>
    <row r="34" spans="1:7" ht="12.75" customHeight="1">
      <c r="A34" s="673" t="s">
        <v>315</v>
      </c>
      <c r="B34" s="682" t="s">
        <v>466</v>
      </c>
      <c r="C34" s="673" t="s">
        <v>371</v>
      </c>
      <c r="D34" s="684" t="s">
        <v>462</v>
      </c>
      <c r="E34" s="684" t="s">
        <v>463</v>
      </c>
      <c r="F34" s="684" t="s">
        <v>464</v>
      </c>
      <c r="G34" s="96"/>
    </row>
    <row r="35" spans="1:7" ht="26.25" customHeight="1" thickBot="1">
      <c r="A35" s="674"/>
      <c r="B35" s="683"/>
      <c r="C35" s="674"/>
      <c r="D35" s="685"/>
      <c r="E35" s="685"/>
      <c r="F35" s="685"/>
      <c r="G35" s="96"/>
    </row>
    <row r="36" spans="1:7" ht="12.75">
      <c r="A36" s="136"/>
      <c r="B36" s="137"/>
      <c r="C36" s="100">
        <v>0</v>
      </c>
      <c r="D36" s="101">
        <v>0</v>
      </c>
      <c r="E36" s="101">
        <v>0</v>
      </c>
      <c r="F36" s="101">
        <v>0</v>
      </c>
      <c r="G36" s="96"/>
    </row>
    <row r="37" spans="1:7" ht="12.75">
      <c r="A37" s="138"/>
      <c r="B37" s="139"/>
      <c r="C37" s="119" t="s">
        <v>313</v>
      </c>
      <c r="D37" s="120">
        <v>0</v>
      </c>
      <c r="E37" s="120">
        <v>0</v>
      </c>
      <c r="F37" s="120">
        <v>0</v>
      </c>
      <c r="G37" s="96"/>
    </row>
    <row r="38" spans="1:7" s="67" customFormat="1" ht="25.5" customHeight="1">
      <c r="A38" s="129" t="s">
        <v>429</v>
      </c>
      <c r="B38" s="130"/>
      <c r="C38" s="131" t="s">
        <v>374</v>
      </c>
      <c r="D38" s="132">
        <v>0.08</v>
      </c>
      <c r="E38" s="132">
        <v>0.15</v>
      </c>
      <c r="F38" s="132">
        <v>0.25</v>
      </c>
      <c r="G38" s="97"/>
    </row>
    <row r="39" spans="1:7" ht="25.5">
      <c r="A39" s="133" t="s">
        <v>375</v>
      </c>
      <c r="B39" s="134"/>
      <c r="C39" s="135" t="s">
        <v>375</v>
      </c>
      <c r="D39" s="117">
        <v>0.03</v>
      </c>
      <c r="E39" s="117">
        <v>0.05</v>
      </c>
      <c r="F39" s="117">
        <v>0.08</v>
      </c>
      <c r="G39" s="96"/>
    </row>
    <row r="40" spans="1:7" ht="25.5">
      <c r="A40" s="133" t="s">
        <v>327</v>
      </c>
      <c r="B40" s="134"/>
      <c r="C40" s="135" t="s">
        <v>327</v>
      </c>
      <c r="D40" s="117">
        <v>0.05</v>
      </c>
      <c r="E40" s="117">
        <v>0.1</v>
      </c>
      <c r="F40" s="117">
        <v>0.14</v>
      </c>
      <c r="G40" s="96"/>
    </row>
    <row r="41" spans="1:7" ht="25.5" customHeight="1">
      <c r="A41" s="39" t="s">
        <v>768</v>
      </c>
      <c r="B41" s="61" t="s">
        <v>328</v>
      </c>
      <c r="C41" s="70" t="str">
        <f>CONCATENATE(A41,B41)</f>
        <v>Cereal Cover Crop on Conventional TillEarly-Planting - Up to 7 days prior to published first frost date</v>
      </c>
      <c r="D41" s="41">
        <v>0.45</v>
      </c>
      <c r="E41" s="41">
        <v>0.15</v>
      </c>
      <c r="F41" s="41">
        <v>0.2</v>
      </c>
      <c r="G41" s="98"/>
    </row>
    <row r="42" spans="1:7" ht="33.75">
      <c r="A42" s="39" t="s">
        <v>768</v>
      </c>
      <c r="B42" s="450" t="s">
        <v>471</v>
      </c>
      <c r="C42" s="70" t="str">
        <f>CONCATENATE(A42,B42)</f>
        <v>Cereal Cover Crop on Conventional TillLate-Planting - Up to 7 days after published first frost date</v>
      </c>
      <c r="D42" s="41">
        <v>0.3</v>
      </c>
      <c r="E42" s="41">
        <v>0.07</v>
      </c>
      <c r="F42" s="41">
        <v>0.1</v>
      </c>
      <c r="G42" s="98"/>
    </row>
    <row r="43" spans="1:7" ht="24" customHeight="1">
      <c r="A43" s="39" t="s">
        <v>12</v>
      </c>
      <c r="B43" s="61" t="s">
        <v>328</v>
      </c>
      <c r="C43" s="70" t="str">
        <f>CONCATENATE(A43,B43)</f>
        <v>Cereal Cover Crop on Conservation or No-Till**Early-Planting - Up to 7 days prior to published first frost date</v>
      </c>
      <c r="D43" s="41">
        <v>0.45</v>
      </c>
      <c r="E43" s="41">
        <v>0</v>
      </c>
      <c r="F43" s="41">
        <v>0</v>
      </c>
      <c r="G43" s="480"/>
    </row>
    <row r="44" spans="1:7" ht="33.75">
      <c r="A44" s="39" t="s">
        <v>12</v>
      </c>
      <c r="B44" s="450" t="s">
        <v>471</v>
      </c>
      <c r="C44" s="70" t="str">
        <f>CONCATENATE(A44,B44)</f>
        <v>Cereal Cover Crop on Conservation or No-Till**Late-Planting - Up to 7 days after published first frost date</v>
      </c>
      <c r="D44" s="41">
        <v>0.3</v>
      </c>
      <c r="E44" s="41">
        <v>0</v>
      </c>
      <c r="F44" s="41">
        <v>0</v>
      </c>
      <c r="G44" s="480"/>
    </row>
    <row r="45" spans="1:7" ht="25.5" customHeight="1">
      <c r="A45" s="39" t="s">
        <v>13</v>
      </c>
      <c r="B45" s="61" t="s">
        <v>328</v>
      </c>
      <c r="C45" s="70" t="str">
        <f>CONCATENATE(A45,B45)</f>
        <v>Commodity Cereal Cover Crop**Early-Planting - Up to 7 days prior to published first frost date</v>
      </c>
      <c r="D45" s="41">
        <v>0.25</v>
      </c>
      <c r="E45" s="41">
        <v>0</v>
      </c>
      <c r="F45" s="41">
        <v>0</v>
      </c>
      <c r="G45" s="96"/>
    </row>
    <row r="46" spans="1:7" ht="25.5" customHeight="1">
      <c r="A46" s="39" t="s">
        <v>13</v>
      </c>
      <c r="B46" s="61" t="s">
        <v>471</v>
      </c>
      <c r="C46" s="70" t="str">
        <f>CONCATENATE(A46,B46)</f>
        <v>Commodity Cereal Cover Crop**Late-Planting - Up to 7 days after published first frost date</v>
      </c>
      <c r="D46" s="41">
        <v>0.17</v>
      </c>
      <c r="E46" s="41">
        <v>0</v>
      </c>
      <c r="F46" s="41">
        <v>0</v>
      </c>
      <c r="G46" s="96"/>
    </row>
    <row r="47" spans="1:7" ht="25.5">
      <c r="A47" s="39" t="s">
        <v>329</v>
      </c>
      <c r="B47" s="40"/>
      <c r="C47" s="31" t="s">
        <v>329</v>
      </c>
      <c r="D47" s="41">
        <v>0.6</v>
      </c>
      <c r="E47" s="41">
        <v>0.6</v>
      </c>
      <c r="F47" s="41">
        <v>0.75</v>
      </c>
      <c r="G47" s="96"/>
    </row>
    <row r="48" spans="1:7" ht="25.5">
      <c r="A48" s="39" t="s">
        <v>330</v>
      </c>
      <c r="B48" s="40"/>
      <c r="C48" s="31" t="s">
        <v>330</v>
      </c>
      <c r="D48" s="41">
        <v>0.3</v>
      </c>
      <c r="E48" s="41">
        <v>0.3</v>
      </c>
      <c r="F48" s="41">
        <v>0.38</v>
      </c>
      <c r="G48" s="96"/>
    </row>
    <row r="49" spans="1:7" ht="51">
      <c r="A49" s="39" t="s">
        <v>335</v>
      </c>
      <c r="B49" s="40"/>
      <c r="C49" s="31" t="s">
        <v>335</v>
      </c>
      <c r="D49" s="41">
        <v>0.2</v>
      </c>
      <c r="E49" s="41">
        <v>0.2</v>
      </c>
      <c r="F49" s="41">
        <v>0.4</v>
      </c>
      <c r="G49" s="96"/>
    </row>
    <row r="50" spans="1:7" ht="12.75">
      <c r="A50" s="31" t="s">
        <v>73</v>
      </c>
      <c r="B50" s="29" t="s">
        <v>332</v>
      </c>
      <c r="C50" s="70" t="str">
        <f>CONCATENATE(A50,B50)</f>
        <v>Continuous No-Till*Below Fall Line</v>
      </c>
      <c r="D50" s="30">
        <v>0.1</v>
      </c>
      <c r="E50" s="30">
        <v>0.2</v>
      </c>
      <c r="F50" s="30">
        <v>0.7</v>
      </c>
      <c r="G50" s="96"/>
    </row>
    <row r="51" spans="1:7" ht="12.75">
      <c r="A51" s="31" t="s">
        <v>73</v>
      </c>
      <c r="B51" s="29" t="s">
        <v>333</v>
      </c>
      <c r="C51" s="70" t="str">
        <f>CONCATENATE(A51,B51)</f>
        <v>Continuous No-Till*Above Fall Line</v>
      </c>
      <c r="D51" s="30">
        <v>0.15</v>
      </c>
      <c r="E51" s="30">
        <v>0.4</v>
      </c>
      <c r="F51" s="30">
        <v>0.7</v>
      </c>
      <c r="G51" s="96"/>
    </row>
    <row r="52" spans="1:7" ht="12.75">
      <c r="A52" s="31" t="s">
        <v>72</v>
      </c>
      <c r="B52" s="29" t="s">
        <v>332</v>
      </c>
      <c r="C52" s="70" t="str">
        <f>CONCATENATE(A52,B52)</f>
        <v>Continuous No-TillBelow Fall Line</v>
      </c>
      <c r="D52" s="30">
        <v>0.1</v>
      </c>
      <c r="E52" s="30">
        <v>0.2</v>
      </c>
      <c r="F52" s="30">
        <v>0.7</v>
      </c>
      <c r="G52" s="96"/>
    </row>
    <row r="53" spans="1:7" ht="12.75">
      <c r="A53" s="31" t="s">
        <v>72</v>
      </c>
      <c r="B53" s="29" t="s">
        <v>333</v>
      </c>
      <c r="C53" s="70" t="str">
        <f>CONCATENATE(A53,B53)</f>
        <v>Continuous No-TillAbove Fall Line</v>
      </c>
      <c r="D53" s="30">
        <v>0.15</v>
      </c>
      <c r="E53" s="30">
        <v>0.4</v>
      </c>
      <c r="F53" s="30">
        <v>0.7</v>
      </c>
      <c r="G53" s="96"/>
    </row>
    <row r="54" spans="1:7" ht="12.75">
      <c r="A54" s="42" t="s">
        <v>376</v>
      </c>
      <c r="B54" s="43"/>
      <c r="C54" s="42" t="s">
        <v>376</v>
      </c>
      <c r="D54" s="37">
        <v>0.33</v>
      </c>
      <c r="E54" s="43"/>
      <c r="F54" s="43"/>
      <c r="G54" s="96"/>
    </row>
    <row r="55" spans="1:7" ht="12.75">
      <c r="A55" s="39" t="s">
        <v>340</v>
      </c>
      <c r="B55" s="44"/>
      <c r="C55" s="31" t="s">
        <v>340</v>
      </c>
      <c r="D55" s="41">
        <v>0.25</v>
      </c>
      <c r="E55" s="41">
        <v>0.25</v>
      </c>
      <c r="F55" s="41">
        <v>0.25</v>
      </c>
      <c r="G55" s="96"/>
    </row>
    <row r="56" spans="1:7" ht="12.75">
      <c r="A56" s="115" t="s">
        <v>377</v>
      </c>
      <c r="B56" s="153"/>
      <c r="C56" s="154" t="s">
        <v>341</v>
      </c>
      <c r="D56" s="117">
        <v>0.14</v>
      </c>
      <c r="E56" s="117">
        <v>0.14</v>
      </c>
      <c r="F56" s="116" t="s">
        <v>331</v>
      </c>
      <c r="G56" s="99"/>
    </row>
    <row r="57" spans="1:7" ht="25.5">
      <c r="A57" s="39" t="s">
        <v>342</v>
      </c>
      <c r="B57" s="44"/>
      <c r="C57" s="31" t="s">
        <v>342</v>
      </c>
      <c r="D57" s="41">
        <v>0.2</v>
      </c>
      <c r="E57" s="41">
        <v>0.2</v>
      </c>
      <c r="F57" s="41">
        <v>0.4</v>
      </c>
      <c r="G57" s="99"/>
    </row>
    <row r="58" spans="1:7" ht="12.75">
      <c r="A58" s="31" t="s">
        <v>378</v>
      </c>
      <c r="B58" s="44"/>
      <c r="C58" s="31" t="s">
        <v>378</v>
      </c>
      <c r="D58" s="36">
        <v>0.026</v>
      </c>
      <c r="E58" s="36">
        <v>0.0046</v>
      </c>
      <c r="F58" s="36">
        <v>3.32</v>
      </c>
      <c r="G58" s="219" t="s">
        <v>705</v>
      </c>
    </row>
    <row r="59" spans="1:7" ht="12.75">
      <c r="A59" s="31" t="s">
        <v>379</v>
      </c>
      <c r="B59" s="44"/>
      <c r="C59" s="31" t="s">
        <v>379</v>
      </c>
      <c r="D59" s="36">
        <v>0.02</v>
      </c>
      <c r="E59" s="36">
        <v>0.0035</v>
      </c>
      <c r="F59" s="36">
        <v>2.55</v>
      </c>
      <c r="G59" s="219" t="s">
        <v>705</v>
      </c>
    </row>
    <row r="60" ht="12.75">
      <c r="G60" s="5"/>
    </row>
    <row r="61" ht="12.75">
      <c r="B61" s="128"/>
    </row>
    <row r="62" spans="1:6" ht="15">
      <c r="A62" s="679" t="s">
        <v>608</v>
      </c>
      <c r="B62" s="680"/>
      <c r="C62" s="680"/>
      <c r="D62" s="680"/>
      <c r="E62" s="680"/>
      <c r="F62" s="681"/>
    </row>
    <row r="63" spans="1:7" ht="38.25">
      <c r="A63" s="675" t="s">
        <v>315</v>
      </c>
      <c r="B63" s="678" t="s">
        <v>386</v>
      </c>
      <c r="C63" s="671" t="s">
        <v>372</v>
      </c>
      <c r="D63" s="32" t="s">
        <v>462</v>
      </c>
      <c r="E63" s="32" t="s">
        <v>463</v>
      </c>
      <c r="F63" s="32" t="s">
        <v>464</v>
      </c>
      <c r="G63" s="94"/>
    </row>
    <row r="64" spans="1:7" ht="12.75">
      <c r="A64" s="676"/>
      <c r="B64" s="676"/>
      <c r="C64" s="671"/>
      <c r="D64" s="33" t="s">
        <v>336</v>
      </c>
      <c r="E64" s="33" t="s">
        <v>336</v>
      </c>
      <c r="F64" s="33" t="s">
        <v>336</v>
      </c>
      <c r="G64" s="95"/>
    </row>
    <row r="65" spans="1:7" ht="12.75">
      <c r="A65" s="676"/>
      <c r="B65" s="676"/>
      <c r="C65" s="671"/>
      <c r="D65" s="34" t="s">
        <v>316</v>
      </c>
      <c r="E65" s="34" t="s">
        <v>316</v>
      </c>
      <c r="F65" s="34" t="s">
        <v>316</v>
      </c>
      <c r="G65" s="95"/>
    </row>
    <row r="66" spans="1:7" ht="13.5" thickBot="1">
      <c r="A66" s="677"/>
      <c r="B66" s="677"/>
      <c r="C66" s="672"/>
      <c r="D66" s="35" t="s">
        <v>337</v>
      </c>
      <c r="E66" s="35" t="s">
        <v>338</v>
      </c>
      <c r="F66" s="35" t="s">
        <v>338</v>
      </c>
      <c r="G66" s="95"/>
    </row>
    <row r="67" spans="1:7" ht="13.5" thickBot="1">
      <c r="A67" s="78" t="s">
        <v>334</v>
      </c>
      <c r="B67" s="85">
        <v>10</v>
      </c>
      <c r="C67" s="79" t="str">
        <f>CONCATENATE(B67,A67)</f>
        <v>10Wetland Restoration</v>
      </c>
      <c r="D67" s="80">
        <v>0.6</v>
      </c>
      <c r="E67" s="80">
        <v>0.6</v>
      </c>
      <c r="F67" s="80">
        <v>0.6</v>
      </c>
      <c r="G67" s="96"/>
    </row>
    <row r="68" spans="1:7" ht="13.5" thickBot="1">
      <c r="A68" s="81" t="s">
        <v>334</v>
      </c>
      <c r="B68" s="86">
        <v>20</v>
      </c>
      <c r="C68" s="79" t="str">
        <f aca="true" t="shared" si="0" ref="C68:C131">CONCATENATE(B68,A68)</f>
        <v>20Wetland Restoration</v>
      </c>
      <c r="D68" s="30">
        <v>0.6</v>
      </c>
      <c r="E68" s="30">
        <v>0.6</v>
      </c>
      <c r="F68" s="30">
        <v>0.6</v>
      </c>
      <c r="G68" s="96"/>
    </row>
    <row r="69" spans="1:7" ht="13.5" thickBot="1">
      <c r="A69" s="81" t="s">
        <v>334</v>
      </c>
      <c r="B69" s="86">
        <v>30</v>
      </c>
      <c r="C69" s="79" t="str">
        <f t="shared" si="0"/>
        <v>30Wetland Restoration</v>
      </c>
      <c r="D69" s="30">
        <v>0.6</v>
      </c>
      <c r="E69" s="30">
        <v>0.6</v>
      </c>
      <c r="F69" s="30">
        <v>0.6</v>
      </c>
      <c r="G69" s="96"/>
    </row>
    <row r="70" spans="1:7" ht="13.5" thickBot="1">
      <c r="A70" s="81" t="s">
        <v>334</v>
      </c>
      <c r="B70" s="87">
        <v>40</v>
      </c>
      <c r="C70" s="79" t="str">
        <f t="shared" si="0"/>
        <v>40Wetland Restoration</v>
      </c>
      <c r="D70" s="30">
        <v>0.55</v>
      </c>
      <c r="E70" s="30">
        <v>0.65</v>
      </c>
      <c r="F70" s="30">
        <v>0.65</v>
      </c>
      <c r="G70" s="96"/>
    </row>
    <row r="71" spans="1:7" ht="13.5" thickBot="1">
      <c r="A71" s="81" t="s">
        <v>334</v>
      </c>
      <c r="B71" s="87">
        <v>50</v>
      </c>
      <c r="C71" s="79" t="str">
        <f t="shared" si="0"/>
        <v>50Wetland Restoration</v>
      </c>
      <c r="D71" s="30">
        <v>0.6</v>
      </c>
      <c r="E71" s="30">
        <v>0.6</v>
      </c>
      <c r="F71" s="30">
        <v>0.6</v>
      </c>
      <c r="G71" s="96"/>
    </row>
    <row r="72" spans="1:7" ht="13.5" thickBot="1">
      <c r="A72" s="81" t="s">
        <v>334</v>
      </c>
      <c r="B72" s="87">
        <v>60</v>
      </c>
      <c r="C72" s="79" t="str">
        <f t="shared" si="0"/>
        <v>60Wetland Restoration</v>
      </c>
      <c r="D72" s="30">
        <v>0.6</v>
      </c>
      <c r="E72" s="30">
        <v>0.6</v>
      </c>
      <c r="F72" s="30">
        <v>0.6</v>
      </c>
      <c r="G72" s="96"/>
    </row>
    <row r="73" spans="1:7" ht="13.5" thickBot="1">
      <c r="A73" s="81" t="s">
        <v>334</v>
      </c>
      <c r="B73" s="87">
        <v>70</v>
      </c>
      <c r="C73" s="79" t="str">
        <f t="shared" si="0"/>
        <v>70Wetland Restoration</v>
      </c>
      <c r="D73" s="30">
        <v>0.55</v>
      </c>
      <c r="E73" s="30">
        <v>0.65</v>
      </c>
      <c r="F73" s="30">
        <v>0.65</v>
      </c>
      <c r="G73" s="96"/>
    </row>
    <row r="74" spans="1:7" ht="13.5" thickBot="1">
      <c r="A74" s="81" t="s">
        <v>334</v>
      </c>
      <c r="B74" s="87">
        <v>80</v>
      </c>
      <c r="C74" s="79" t="str">
        <f t="shared" si="0"/>
        <v>80Wetland Restoration</v>
      </c>
      <c r="D74" s="30">
        <v>0.55</v>
      </c>
      <c r="E74" s="30">
        <v>0.65</v>
      </c>
      <c r="F74" s="30">
        <v>0.65</v>
      </c>
      <c r="G74" s="96"/>
    </row>
    <row r="75" spans="1:7" ht="13.5" thickBot="1">
      <c r="A75" s="81" t="s">
        <v>334</v>
      </c>
      <c r="B75" s="87">
        <v>90</v>
      </c>
      <c r="C75" s="79" t="str">
        <f t="shared" si="0"/>
        <v>90Wetland Restoration</v>
      </c>
      <c r="D75" s="30">
        <v>0.55</v>
      </c>
      <c r="E75" s="30">
        <v>0.65</v>
      </c>
      <c r="F75" s="30">
        <v>0.65</v>
      </c>
      <c r="G75" s="96"/>
    </row>
    <row r="76" spans="1:7" ht="13.5" thickBot="1">
      <c r="A76" s="81" t="s">
        <v>334</v>
      </c>
      <c r="B76" s="87">
        <v>100</v>
      </c>
      <c r="C76" s="79" t="str">
        <f t="shared" si="0"/>
        <v>100Wetland Restoration</v>
      </c>
      <c r="D76" s="30">
        <v>0.55</v>
      </c>
      <c r="E76" s="30">
        <v>0.65</v>
      </c>
      <c r="F76" s="30">
        <v>0.65</v>
      </c>
      <c r="G76" s="96"/>
    </row>
    <row r="77" spans="1:7" ht="13.5" thickBot="1">
      <c r="A77" s="81" t="s">
        <v>334</v>
      </c>
      <c r="B77" s="87">
        <v>110</v>
      </c>
      <c r="C77" s="79" t="str">
        <f t="shared" si="0"/>
        <v>110Wetland Restoration</v>
      </c>
      <c r="D77" s="30">
        <v>0.7</v>
      </c>
      <c r="E77" s="30">
        <v>0.7</v>
      </c>
      <c r="F77" s="30">
        <v>0.7</v>
      </c>
      <c r="G77" s="96"/>
    </row>
    <row r="78" spans="1:7" ht="13.5" thickBot="1">
      <c r="A78" s="81" t="s">
        <v>334</v>
      </c>
      <c r="B78" s="87">
        <v>120</v>
      </c>
      <c r="C78" s="79" t="str">
        <f t="shared" si="0"/>
        <v>120Wetland Restoration</v>
      </c>
      <c r="D78" s="30">
        <v>0.6</v>
      </c>
      <c r="E78" s="30">
        <v>0.6</v>
      </c>
      <c r="F78" s="30">
        <v>0.6</v>
      </c>
      <c r="G78" s="96"/>
    </row>
    <row r="79" spans="1:7" ht="13.5" thickBot="1">
      <c r="A79" s="81" t="s">
        <v>334</v>
      </c>
      <c r="B79" s="87">
        <v>140</v>
      </c>
      <c r="C79" s="79" t="str">
        <f t="shared" si="0"/>
        <v>140Wetland Restoration</v>
      </c>
      <c r="D79" s="30">
        <v>0.6</v>
      </c>
      <c r="E79" s="30">
        <v>0.6</v>
      </c>
      <c r="F79" s="30">
        <v>0.6</v>
      </c>
      <c r="G79" s="96"/>
    </row>
    <row r="80" spans="1:7" ht="13.5" thickBot="1">
      <c r="A80" s="81" t="s">
        <v>334</v>
      </c>
      <c r="B80" s="88">
        <v>160</v>
      </c>
      <c r="C80" s="79" t="str">
        <f t="shared" si="0"/>
        <v>160Wetland Restoration</v>
      </c>
      <c r="D80" s="30">
        <v>0.6</v>
      </c>
      <c r="E80" s="30">
        <v>0.6</v>
      </c>
      <c r="F80" s="30">
        <v>0.6</v>
      </c>
      <c r="G80" s="96"/>
    </row>
    <row r="81" spans="1:7" ht="13.5" thickBot="1">
      <c r="A81" s="81" t="s">
        <v>334</v>
      </c>
      <c r="B81" s="88">
        <v>175</v>
      </c>
      <c r="C81" s="79" t="str">
        <f t="shared" si="0"/>
        <v>175Wetland Restoration</v>
      </c>
      <c r="D81" s="30">
        <v>0.55</v>
      </c>
      <c r="E81" s="30">
        <v>0.65</v>
      </c>
      <c r="F81" s="30">
        <v>0.65</v>
      </c>
      <c r="G81" s="96"/>
    </row>
    <row r="82" spans="1:7" ht="13.5" thickBot="1">
      <c r="A82" s="81" t="s">
        <v>334</v>
      </c>
      <c r="B82" s="88">
        <v>180</v>
      </c>
      <c r="C82" s="79" t="str">
        <f t="shared" si="0"/>
        <v>180Wetland Restoration</v>
      </c>
      <c r="D82" s="30">
        <v>0.45</v>
      </c>
      <c r="E82" s="30">
        <v>0.5</v>
      </c>
      <c r="F82" s="30">
        <v>0.5</v>
      </c>
      <c r="G82" s="96"/>
    </row>
    <row r="83" spans="1:7" ht="13.5" thickBot="1">
      <c r="A83" s="81" t="s">
        <v>334</v>
      </c>
      <c r="B83" s="88">
        <v>210</v>
      </c>
      <c r="C83" s="79" t="str">
        <f t="shared" si="0"/>
        <v>210Wetland Restoration</v>
      </c>
      <c r="D83" s="30">
        <v>0.45</v>
      </c>
      <c r="E83" s="30">
        <v>0.5</v>
      </c>
      <c r="F83" s="30">
        <v>0.5</v>
      </c>
      <c r="G83" s="96"/>
    </row>
    <row r="84" spans="1:7" ht="13.5" thickBot="1">
      <c r="A84" s="81" t="s">
        <v>334</v>
      </c>
      <c r="B84" s="88">
        <v>450</v>
      </c>
      <c r="C84" s="79" t="str">
        <f t="shared" si="0"/>
        <v>450Wetland Restoration</v>
      </c>
      <c r="D84" s="30">
        <v>0.6</v>
      </c>
      <c r="E84" s="30">
        <v>0.6</v>
      </c>
      <c r="F84" s="30">
        <v>0.6</v>
      </c>
      <c r="G84" s="96"/>
    </row>
    <row r="85" spans="1:7" ht="13.5" thickBot="1">
      <c r="A85" s="81" t="s">
        <v>334</v>
      </c>
      <c r="B85" s="88">
        <v>470</v>
      </c>
      <c r="C85" s="79" t="str">
        <f t="shared" si="0"/>
        <v>470Wetland Restoration</v>
      </c>
      <c r="D85" s="30">
        <v>0.6</v>
      </c>
      <c r="E85" s="30">
        <v>0.6</v>
      </c>
      <c r="F85" s="30">
        <v>0.6</v>
      </c>
      <c r="G85" s="96"/>
    </row>
    <row r="86" spans="1:7" ht="13.5" thickBot="1">
      <c r="A86" s="81" t="s">
        <v>334</v>
      </c>
      <c r="B86" s="88">
        <v>700</v>
      </c>
      <c r="C86" s="79" t="str">
        <f t="shared" si="0"/>
        <v>700Wetland Restoration</v>
      </c>
      <c r="D86" s="30">
        <v>0.6</v>
      </c>
      <c r="E86" s="30">
        <v>0.6</v>
      </c>
      <c r="F86" s="30">
        <v>0.6</v>
      </c>
      <c r="G86" s="96"/>
    </row>
    <row r="87" spans="1:7" ht="13.5" thickBot="1">
      <c r="A87" s="81" t="s">
        <v>334</v>
      </c>
      <c r="B87" s="88">
        <v>710</v>
      </c>
      <c r="C87" s="79" t="str">
        <f t="shared" si="0"/>
        <v>710Wetland Restoration</v>
      </c>
      <c r="D87" s="30">
        <v>0.6</v>
      </c>
      <c r="E87" s="30">
        <v>0.6</v>
      </c>
      <c r="F87" s="30">
        <v>0.6</v>
      </c>
      <c r="G87" s="96"/>
    </row>
    <row r="88" spans="1:7" ht="13.5" thickBot="1">
      <c r="A88" s="81" t="s">
        <v>334</v>
      </c>
      <c r="B88" s="88">
        <v>720</v>
      </c>
      <c r="C88" s="79" t="str">
        <f t="shared" si="0"/>
        <v>720Wetland Restoration</v>
      </c>
      <c r="D88" s="30">
        <v>0.45</v>
      </c>
      <c r="E88" s="30">
        <v>0.5</v>
      </c>
      <c r="F88" s="30">
        <v>0.5</v>
      </c>
      <c r="G88" s="96"/>
    </row>
    <row r="89" spans="1:7" ht="13.5" thickBot="1">
      <c r="A89" s="81" t="s">
        <v>334</v>
      </c>
      <c r="B89" s="88">
        <v>730</v>
      </c>
      <c r="C89" s="79" t="str">
        <f t="shared" si="0"/>
        <v>730Wetland Restoration</v>
      </c>
      <c r="D89" s="30">
        <v>0.55</v>
      </c>
      <c r="E89" s="30">
        <v>0.65</v>
      </c>
      <c r="F89" s="30">
        <v>0.65</v>
      </c>
      <c r="G89" s="96"/>
    </row>
    <row r="90" spans="1:7" ht="13.5" thickBot="1">
      <c r="A90" s="81" t="s">
        <v>334</v>
      </c>
      <c r="B90" s="88">
        <v>740</v>
      </c>
      <c r="C90" s="79" t="str">
        <f t="shared" si="0"/>
        <v>740Wetland Restoration</v>
      </c>
      <c r="D90" s="30">
        <v>0.55</v>
      </c>
      <c r="E90" s="30">
        <v>0.65</v>
      </c>
      <c r="F90" s="30">
        <v>0.65</v>
      </c>
      <c r="G90" s="96"/>
    </row>
    <row r="91" spans="1:7" ht="13.5" thickBot="1">
      <c r="A91" s="81" t="s">
        <v>334</v>
      </c>
      <c r="B91" s="88">
        <v>750</v>
      </c>
      <c r="C91" s="79" t="str">
        <f t="shared" si="0"/>
        <v>750Wetland Restoration</v>
      </c>
      <c r="D91" s="30">
        <v>0.7</v>
      </c>
      <c r="E91" s="30">
        <v>0.7</v>
      </c>
      <c r="F91" s="30">
        <v>0.7</v>
      </c>
      <c r="G91" s="96"/>
    </row>
    <row r="92" spans="1:7" ht="13.5" thickBot="1">
      <c r="A92" s="82" t="s">
        <v>334</v>
      </c>
      <c r="B92" s="89">
        <v>800</v>
      </c>
      <c r="C92" s="79" t="str">
        <f t="shared" si="0"/>
        <v>800Wetland Restoration</v>
      </c>
      <c r="D92" s="37">
        <v>0.6</v>
      </c>
      <c r="E92" s="37">
        <v>0.6</v>
      </c>
      <c r="F92" s="37">
        <v>0.6</v>
      </c>
      <c r="G92" s="96"/>
    </row>
    <row r="93" spans="1:7" ht="13.5" thickBot="1">
      <c r="A93" s="84" t="s">
        <v>370</v>
      </c>
      <c r="B93" s="85">
        <v>10</v>
      </c>
      <c r="C93" s="79" t="str">
        <f t="shared" si="0"/>
        <v>10Riparian Forest Buffer</v>
      </c>
      <c r="D93" s="80">
        <v>0.6</v>
      </c>
      <c r="E93" s="80">
        <v>0.6</v>
      </c>
      <c r="F93" s="80">
        <v>0.6</v>
      </c>
      <c r="G93" s="96"/>
    </row>
    <row r="94" spans="1:7" ht="13.5" thickBot="1">
      <c r="A94" s="81" t="s">
        <v>370</v>
      </c>
      <c r="B94" s="86">
        <v>20</v>
      </c>
      <c r="C94" s="79" t="str">
        <f t="shared" si="0"/>
        <v>20Riparian Forest Buffer</v>
      </c>
      <c r="D94" s="30">
        <v>0.6</v>
      </c>
      <c r="E94" s="30">
        <v>0.6</v>
      </c>
      <c r="F94" s="30">
        <v>0.6</v>
      </c>
      <c r="G94" s="96"/>
    </row>
    <row r="95" spans="1:7" ht="13.5" thickBot="1">
      <c r="A95" s="81" t="s">
        <v>370</v>
      </c>
      <c r="B95" s="86">
        <v>30</v>
      </c>
      <c r="C95" s="79" t="str">
        <f t="shared" si="0"/>
        <v>30Riparian Forest Buffer</v>
      </c>
      <c r="D95" s="30">
        <v>0.6</v>
      </c>
      <c r="E95" s="30">
        <v>0.6</v>
      </c>
      <c r="F95" s="30">
        <v>0.6</v>
      </c>
      <c r="G95" s="96"/>
    </row>
    <row r="96" spans="1:7" ht="13.5" thickBot="1">
      <c r="A96" s="81" t="s">
        <v>370</v>
      </c>
      <c r="B96" s="87">
        <v>40</v>
      </c>
      <c r="C96" s="79" t="str">
        <f t="shared" si="0"/>
        <v>40Riparian Forest Buffer</v>
      </c>
      <c r="D96" s="30">
        <v>0.55</v>
      </c>
      <c r="E96" s="30">
        <v>0.65</v>
      </c>
      <c r="F96" s="30">
        <v>0.65</v>
      </c>
      <c r="G96" s="96"/>
    </row>
    <row r="97" spans="1:7" ht="13.5" thickBot="1">
      <c r="A97" s="81" t="s">
        <v>370</v>
      </c>
      <c r="B97" s="87">
        <v>50</v>
      </c>
      <c r="C97" s="79" t="str">
        <f t="shared" si="0"/>
        <v>50Riparian Forest Buffer</v>
      </c>
      <c r="D97" s="30">
        <v>0.6</v>
      </c>
      <c r="E97" s="30">
        <v>0.6</v>
      </c>
      <c r="F97" s="30">
        <v>0.6</v>
      </c>
      <c r="G97" s="96"/>
    </row>
    <row r="98" spans="1:7" ht="13.5" thickBot="1">
      <c r="A98" s="81" t="s">
        <v>370</v>
      </c>
      <c r="B98" s="87">
        <v>60</v>
      </c>
      <c r="C98" s="79" t="str">
        <f t="shared" si="0"/>
        <v>60Riparian Forest Buffer</v>
      </c>
      <c r="D98" s="30">
        <v>0.6</v>
      </c>
      <c r="E98" s="30">
        <v>0.6</v>
      </c>
      <c r="F98" s="30">
        <v>0.6</v>
      </c>
      <c r="G98" s="96"/>
    </row>
    <row r="99" spans="1:7" ht="13.5" thickBot="1">
      <c r="A99" s="81" t="s">
        <v>370</v>
      </c>
      <c r="B99" s="87">
        <v>70</v>
      </c>
      <c r="C99" s="79" t="str">
        <f t="shared" si="0"/>
        <v>70Riparian Forest Buffer</v>
      </c>
      <c r="D99" s="30">
        <v>0.55</v>
      </c>
      <c r="E99" s="30">
        <v>0.65</v>
      </c>
      <c r="F99" s="30">
        <v>0.65</v>
      </c>
      <c r="G99" s="96"/>
    </row>
    <row r="100" spans="1:7" ht="13.5" thickBot="1">
      <c r="A100" s="81" t="s">
        <v>370</v>
      </c>
      <c r="B100" s="87">
        <v>80</v>
      </c>
      <c r="C100" s="79" t="str">
        <f t="shared" si="0"/>
        <v>80Riparian Forest Buffer</v>
      </c>
      <c r="D100" s="30">
        <v>0.55</v>
      </c>
      <c r="E100" s="30">
        <v>0.65</v>
      </c>
      <c r="F100" s="30">
        <v>0.65</v>
      </c>
      <c r="G100" s="96"/>
    </row>
    <row r="101" spans="1:7" ht="13.5" thickBot="1">
      <c r="A101" s="81" t="s">
        <v>370</v>
      </c>
      <c r="B101" s="87">
        <v>90</v>
      </c>
      <c r="C101" s="79" t="str">
        <f t="shared" si="0"/>
        <v>90Riparian Forest Buffer</v>
      </c>
      <c r="D101" s="30">
        <v>0.55</v>
      </c>
      <c r="E101" s="30">
        <v>0.65</v>
      </c>
      <c r="F101" s="30">
        <v>0.65</v>
      </c>
      <c r="G101" s="96"/>
    </row>
    <row r="102" spans="1:7" ht="13.5" thickBot="1">
      <c r="A102" s="81" t="s">
        <v>370</v>
      </c>
      <c r="B102" s="87">
        <v>100</v>
      </c>
      <c r="C102" s="79" t="str">
        <f t="shared" si="0"/>
        <v>100Riparian Forest Buffer</v>
      </c>
      <c r="D102" s="30">
        <v>0.55</v>
      </c>
      <c r="E102" s="30">
        <v>0.65</v>
      </c>
      <c r="F102" s="30">
        <v>0.65</v>
      </c>
      <c r="G102" s="96"/>
    </row>
    <row r="103" spans="1:7" ht="13.5" thickBot="1">
      <c r="A103" s="81" t="s">
        <v>370</v>
      </c>
      <c r="B103" s="87">
        <v>110</v>
      </c>
      <c r="C103" s="79" t="str">
        <f t="shared" si="0"/>
        <v>110Riparian Forest Buffer</v>
      </c>
      <c r="D103" s="30">
        <v>0.7</v>
      </c>
      <c r="E103" s="30">
        <v>0.7</v>
      </c>
      <c r="F103" s="30">
        <v>0.7</v>
      </c>
      <c r="G103" s="96"/>
    </row>
    <row r="104" spans="1:7" ht="13.5" thickBot="1">
      <c r="A104" s="81" t="s">
        <v>370</v>
      </c>
      <c r="B104" s="87">
        <v>120</v>
      </c>
      <c r="C104" s="79" t="str">
        <f t="shared" si="0"/>
        <v>120Riparian Forest Buffer</v>
      </c>
      <c r="D104" s="30">
        <v>0.6</v>
      </c>
      <c r="E104" s="30">
        <v>0.6</v>
      </c>
      <c r="F104" s="30">
        <v>0.6</v>
      </c>
      <c r="G104" s="96"/>
    </row>
    <row r="105" spans="1:7" ht="13.5" thickBot="1">
      <c r="A105" s="81" t="s">
        <v>370</v>
      </c>
      <c r="B105" s="87">
        <v>140</v>
      </c>
      <c r="C105" s="79" t="str">
        <f t="shared" si="0"/>
        <v>140Riparian Forest Buffer</v>
      </c>
      <c r="D105" s="30">
        <v>0.6</v>
      </c>
      <c r="E105" s="30">
        <v>0.6</v>
      </c>
      <c r="F105" s="30">
        <v>0.6</v>
      </c>
      <c r="G105" s="96"/>
    </row>
    <row r="106" spans="1:7" ht="13.5" thickBot="1">
      <c r="A106" s="81" t="s">
        <v>370</v>
      </c>
      <c r="B106" s="88">
        <v>160</v>
      </c>
      <c r="C106" s="79" t="str">
        <f t="shared" si="0"/>
        <v>160Riparian Forest Buffer</v>
      </c>
      <c r="D106" s="30">
        <v>0.6</v>
      </c>
      <c r="E106" s="30">
        <v>0.6</v>
      </c>
      <c r="F106" s="30">
        <v>0.6</v>
      </c>
      <c r="G106" s="96"/>
    </row>
    <row r="107" spans="1:7" ht="13.5" thickBot="1">
      <c r="A107" s="81" t="s">
        <v>370</v>
      </c>
      <c r="B107" s="88">
        <v>175</v>
      </c>
      <c r="C107" s="79" t="str">
        <f t="shared" si="0"/>
        <v>175Riparian Forest Buffer</v>
      </c>
      <c r="D107" s="30">
        <v>0.55</v>
      </c>
      <c r="E107" s="30">
        <v>0.65</v>
      </c>
      <c r="F107" s="30">
        <v>0.65</v>
      </c>
      <c r="G107" s="96"/>
    </row>
    <row r="108" spans="1:7" ht="13.5" thickBot="1">
      <c r="A108" s="81" t="s">
        <v>370</v>
      </c>
      <c r="B108" s="88">
        <v>180</v>
      </c>
      <c r="C108" s="79" t="str">
        <f t="shared" si="0"/>
        <v>180Riparian Forest Buffer</v>
      </c>
      <c r="D108" s="30">
        <v>0.45</v>
      </c>
      <c r="E108" s="30">
        <v>0.5</v>
      </c>
      <c r="F108" s="30">
        <v>0.5</v>
      </c>
      <c r="G108" s="96"/>
    </row>
    <row r="109" spans="1:7" ht="13.5" thickBot="1">
      <c r="A109" s="81" t="s">
        <v>370</v>
      </c>
      <c r="B109" s="88">
        <v>210</v>
      </c>
      <c r="C109" s="79" t="str">
        <f t="shared" si="0"/>
        <v>210Riparian Forest Buffer</v>
      </c>
      <c r="D109" s="30">
        <v>0.45</v>
      </c>
      <c r="E109" s="30">
        <v>0.5</v>
      </c>
      <c r="F109" s="30">
        <v>0.5</v>
      </c>
      <c r="G109" s="96"/>
    </row>
    <row r="110" spans="1:7" ht="13.5" thickBot="1">
      <c r="A110" s="81" t="s">
        <v>370</v>
      </c>
      <c r="B110" s="88">
        <v>450</v>
      </c>
      <c r="C110" s="79" t="str">
        <f t="shared" si="0"/>
        <v>450Riparian Forest Buffer</v>
      </c>
      <c r="D110" s="30">
        <v>0.6</v>
      </c>
      <c r="E110" s="30">
        <v>0.6</v>
      </c>
      <c r="F110" s="30">
        <v>0.6</v>
      </c>
      <c r="G110" s="96"/>
    </row>
    <row r="111" spans="1:7" ht="13.5" thickBot="1">
      <c r="A111" s="81" t="s">
        <v>370</v>
      </c>
      <c r="B111" s="88">
        <v>470</v>
      </c>
      <c r="C111" s="79" t="str">
        <f t="shared" si="0"/>
        <v>470Riparian Forest Buffer</v>
      </c>
      <c r="D111" s="30">
        <v>0.6</v>
      </c>
      <c r="E111" s="30">
        <v>0.6</v>
      </c>
      <c r="F111" s="30">
        <v>0.6</v>
      </c>
      <c r="G111" s="96"/>
    </row>
    <row r="112" spans="1:7" ht="13.5" thickBot="1">
      <c r="A112" s="81" t="s">
        <v>370</v>
      </c>
      <c r="B112" s="88">
        <v>700</v>
      </c>
      <c r="C112" s="79" t="str">
        <f t="shared" si="0"/>
        <v>700Riparian Forest Buffer</v>
      </c>
      <c r="D112" s="30">
        <v>0.6</v>
      </c>
      <c r="E112" s="30">
        <v>0.6</v>
      </c>
      <c r="F112" s="30">
        <v>0.6</v>
      </c>
      <c r="G112" s="96"/>
    </row>
    <row r="113" spans="1:7" ht="13.5" thickBot="1">
      <c r="A113" s="81" t="s">
        <v>370</v>
      </c>
      <c r="B113" s="88">
        <v>710</v>
      </c>
      <c r="C113" s="79" t="str">
        <f t="shared" si="0"/>
        <v>710Riparian Forest Buffer</v>
      </c>
      <c r="D113" s="30">
        <v>0.6</v>
      </c>
      <c r="E113" s="30">
        <v>0.6</v>
      </c>
      <c r="F113" s="30">
        <v>0.6</v>
      </c>
      <c r="G113" s="96"/>
    </row>
    <row r="114" spans="1:7" ht="13.5" thickBot="1">
      <c r="A114" s="81" t="s">
        <v>370</v>
      </c>
      <c r="B114" s="88">
        <v>720</v>
      </c>
      <c r="C114" s="79" t="str">
        <f t="shared" si="0"/>
        <v>720Riparian Forest Buffer</v>
      </c>
      <c r="D114" s="30">
        <v>0.45</v>
      </c>
      <c r="E114" s="30">
        <v>0.5</v>
      </c>
      <c r="F114" s="30">
        <v>0.5</v>
      </c>
      <c r="G114" s="96"/>
    </row>
    <row r="115" spans="1:7" ht="13.5" thickBot="1">
      <c r="A115" s="81" t="s">
        <v>370</v>
      </c>
      <c r="B115" s="88">
        <v>730</v>
      </c>
      <c r="C115" s="79" t="str">
        <f t="shared" si="0"/>
        <v>730Riparian Forest Buffer</v>
      </c>
      <c r="D115" s="30">
        <v>0.55</v>
      </c>
      <c r="E115" s="30">
        <v>0.65</v>
      </c>
      <c r="F115" s="30">
        <v>0.65</v>
      </c>
      <c r="G115" s="96"/>
    </row>
    <row r="116" spans="1:7" ht="13.5" thickBot="1">
      <c r="A116" s="81" t="s">
        <v>370</v>
      </c>
      <c r="B116" s="88">
        <v>740</v>
      </c>
      <c r="C116" s="79" t="str">
        <f t="shared" si="0"/>
        <v>740Riparian Forest Buffer</v>
      </c>
      <c r="D116" s="30">
        <v>0.55</v>
      </c>
      <c r="E116" s="30">
        <v>0.65</v>
      </c>
      <c r="F116" s="30">
        <v>0.65</v>
      </c>
      <c r="G116" s="96"/>
    </row>
    <row r="117" spans="1:7" ht="13.5" thickBot="1">
      <c r="A117" s="81" t="s">
        <v>370</v>
      </c>
      <c r="B117" s="88">
        <v>750</v>
      </c>
      <c r="C117" s="79" t="str">
        <f t="shared" si="0"/>
        <v>750Riparian Forest Buffer</v>
      </c>
      <c r="D117" s="30">
        <v>0.7</v>
      </c>
      <c r="E117" s="30">
        <v>0.7</v>
      </c>
      <c r="F117" s="30">
        <v>0.7</v>
      </c>
      <c r="G117" s="96"/>
    </row>
    <row r="118" spans="1:7" ht="13.5" thickBot="1">
      <c r="A118" s="81" t="s">
        <v>370</v>
      </c>
      <c r="B118" s="90">
        <v>800</v>
      </c>
      <c r="C118" s="79" t="str">
        <f t="shared" si="0"/>
        <v>800Riparian Forest Buffer</v>
      </c>
      <c r="D118" s="37">
        <v>0.6</v>
      </c>
      <c r="E118" s="37">
        <v>0.6</v>
      </c>
      <c r="F118" s="37">
        <v>0.6</v>
      </c>
      <c r="G118" s="96"/>
    </row>
    <row r="119" spans="1:7" ht="13.5" thickBot="1">
      <c r="A119" s="78" t="s">
        <v>373</v>
      </c>
      <c r="B119" s="85">
        <v>10</v>
      </c>
      <c r="C119" s="79" t="str">
        <f t="shared" si="0"/>
        <v>10Riparian Grass Buffer</v>
      </c>
      <c r="D119" s="80">
        <v>0.41</v>
      </c>
      <c r="E119" s="80">
        <v>0.6</v>
      </c>
      <c r="F119" s="80">
        <v>0.6</v>
      </c>
      <c r="G119" s="144"/>
    </row>
    <row r="120" spans="1:7" ht="13.5" thickBot="1">
      <c r="A120" s="81" t="s">
        <v>373</v>
      </c>
      <c r="B120" s="86">
        <v>20</v>
      </c>
      <c r="C120" s="79" t="str">
        <f t="shared" si="0"/>
        <v>20Riparian Grass Buffer</v>
      </c>
      <c r="D120" s="30">
        <v>0.41</v>
      </c>
      <c r="E120" s="30">
        <v>0.6</v>
      </c>
      <c r="F120" s="30">
        <v>0.6</v>
      </c>
      <c r="G120" s="144"/>
    </row>
    <row r="121" spans="1:7" ht="13.5" thickBot="1">
      <c r="A121" s="81" t="s">
        <v>373</v>
      </c>
      <c r="B121" s="86">
        <v>30</v>
      </c>
      <c r="C121" s="79" t="str">
        <f t="shared" si="0"/>
        <v>30Riparian Grass Buffer</v>
      </c>
      <c r="D121" s="30">
        <v>0.41</v>
      </c>
      <c r="E121" s="30">
        <v>0.6</v>
      </c>
      <c r="F121" s="30">
        <v>0.6</v>
      </c>
      <c r="G121" s="144"/>
    </row>
    <row r="122" spans="1:7" ht="13.5" thickBot="1">
      <c r="A122" s="81" t="s">
        <v>373</v>
      </c>
      <c r="B122" s="87">
        <v>40</v>
      </c>
      <c r="C122" s="79" t="str">
        <f t="shared" si="0"/>
        <v>40Riparian Grass Buffer</v>
      </c>
      <c r="D122" s="30">
        <v>0.37</v>
      </c>
      <c r="E122" s="30">
        <v>0.65</v>
      </c>
      <c r="F122" s="30">
        <v>0.65</v>
      </c>
      <c r="G122" s="144"/>
    </row>
    <row r="123" spans="1:7" ht="13.5" thickBot="1">
      <c r="A123" s="81" t="s">
        <v>373</v>
      </c>
      <c r="B123" s="87">
        <v>50</v>
      </c>
      <c r="C123" s="79" t="str">
        <f t="shared" si="0"/>
        <v>50Riparian Grass Buffer</v>
      </c>
      <c r="D123" s="30">
        <v>0.41</v>
      </c>
      <c r="E123" s="30">
        <v>0.6</v>
      </c>
      <c r="F123" s="30">
        <v>0.6</v>
      </c>
      <c r="G123" s="144"/>
    </row>
    <row r="124" spans="1:7" ht="13.5" thickBot="1">
      <c r="A124" s="81" t="s">
        <v>373</v>
      </c>
      <c r="B124" s="87">
        <v>60</v>
      </c>
      <c r="C124" s="79" t="str">
        <f t="shared" si="0"/>
        <v>60Riparian Grass Buffer</v>
      </c>
      <c r="D124" s="30">
        <v>0.41</v>
      </c>
      <c r="E124" s="30">
        <v>0.6</v>
      </c>
      <c r="F124" s="30">
        <v>0.6</v>
      </c>
      <c r="G124" s="144"/>
    </row>
    <row r="125" spans="1:7" ht="13.5" thickBot="1">
      <c r="A125" s="81" t="s">
        <v>373</v>
      </c>
      <c r="B125" s="87">
        <v>70</v>
      </c>
      <c r="C125" s="79" t="str">
        <f t="shared" si="0"/>
        <v>70Riparian Grass Buffer</v>
      </c>
      <c r="D125" s="30">
        <v>0.37</v>
      </c>
      <c r="E125" s="30">
        <v>0.65</v>
      </c>
      <c r="F125" s="30">
        <v>0.65</v>
      </c>
      <c r="G125" s="144"/>
    </row>
    <row r="126" spans="1:7" ht="13.5" thickBot="1">
      <c r="A126" s="81" t="s">
        <v>373</v>
      </c>
      <c r="B126" s="87">
        <v>80</v>
      </c>
      <c r="C126" s="79" t="str">
        <f t="shared" si="0"/>
        <v>80Riparian Grass Buffer</v>
      </c>
      <c r="D126" s="30">
        <v>0.37</v>
      </c>
      <c r="E126" s="30">
        <v>0.65</v>
      </c>
      <c r="F126" s="30">
        <v>0.65</v>
      </c>
      <c r="G126" s="144"/>
    </row>
    <row r="127" spans="1:7" ht="13.5" thickBot="1">
      <c r="A127" s="81" t="s">
        <v>373</v>
      </c>
      <c r="B127" s="87">
        <v>90</v>
      </c>
      <c r="C127" s="79" t="str">
        <f t="shared" si="0"/>
        <v>90Riparian Grass Buffer</v>
      </c>
      <c r="D127" s="30">
        <v>0.37</v>
      </c>
      <c r="E127" s="30">
        <v>0.65</v>
      </c>
      <c r="F127" s="30">
        <v>0.65</v>
      </c>
      <c r="G127" s="144"/>
    </row>
    <row r="128" spans="1:7" ht="13.5" thickBot="1">
      <c r="A128" s="81" t="s">
        <v>373</v>
      </c>
      <c r="B128" s="87">
        <v>100</v>
      </c>
      <c r="C128" s="79" t="str">
        <f t="shared" si="0"/>
        <v>100Riparian Grass Buffer</v>
      </c>
      <c r="D128" s="30">
        <v>0.37</v>
      </c>
      <c r="E128" s="30">
        <v>0.65</v>
      </c>
      <c r="F128" s="30">
        <v>0.65</v>
      </c>
      <c r="G128" s="144"/>
    </row>
    <row r="129" spans="1:7" ht="13.5" thickBot="1">
      <c r="A129" s="81" t="s">
        <v>373</v>
      </c>
      <c r="B129" s="87">
        <v>110</v>
      </c>
      <c r="C129" s="79" t="str">
        <f t="shared" si="0"/>
        <v>110Riparian Grass Buffer</v>
      </c>
      <c r="D129" s="30">
        <v>0.48</v>
      </c>
      <c r="E129" s="30">
        <v>0.7</v>
      </c>
      <c r="F129" s="30">
        <v>0.7</v>
      </c>
      <c r="G129" s="144"/>
    </row>
    <row r="130" spans="1:7" ht="13.5" thickBot="1">
      <c r="A130" s="81" t="s">
        <v>373</v>
      </c>
      <c r="B130" s="87">
        <v>120</v>
      </c>
      <c r="C130" s="79" t="str">
        <f t="shared" si="0"/>
        <v>120Riparian Grass Buffer</v>
      </c>
      <c r="D130" s="30">
        <v>0.41</v>
      </c>
      <c r="E130" s="30">
        <v>0.6</v>
      </c>
      <c r="F130" s="30">
        <v>0.6</v>
      </c>
      <c r="G130" s="144"/>
    </row>
    <row r="131" spans="1:7" ht="13.5" thickBot="1">
      <c r="A131" s="81" t="s">
        <v>373</v>
      </c>
      <c r="B131" s="87">
        <v>140</v>
      </c>
      <c r="C131" s="79" t="str">
        <f t="shared" si="0"/>
        <v>140Riparian Grass Buffer</v>
      </c>
      <c r="D131" s="30">
        <v>0.41</v>
      </c>
      <c r="E131" s="30">
        <v>0.6</v>
      </c>
      <c r="F131" s="30">
        <v>0.6</v>
      </c>
      <c r="G131" s="144"/>
    </row>
    <row r="132" spans="1:7" ht="13.5" thickBot="1">
      <c r="A132" s="81" t="s">
        <v>373</v>
      </c>
      <c r="B132" s="88">
        <v>160</v>
      </c>
      <c r="C132" s="79" t="str">
        <f aca="true" t="shared" si="1" ref="C132:C144">CONCATENATE(B132,A132)</f>
        <v>160Riparian Grass Buffer</v>
      </c>
      <c r="D132" s="30">
        <v>0.41</v>
      </c>
      <c r="E132" s="30">
        <v>0.6</v>
      </c>
      <c r="F132" s="30">
        <v>0.6</v>
      </c>
      <c r="G132" s="144"/>
    </row>
    <row r="133" spans="1:7" ht="13.5" thickBot="1">
      <c r="A133" s="81" t="s">
        <v>373</v>
      </c>
      <c r="B133" s="88">
        <v>175</v>
      </c>
      <c r="C133" s="79" t="str">
        <f t="shared" si="1"/>
        <v>175Riparian Grass Buffer</v>
      </c>
      <c r="D133" s="30">
        <v>0.37</v>
      </c>
      <c r="E133" s="30">
        <v>0.65</v>
      </c>
      <c r="F133" s="30">
        <v>0.65</v>
      </c>
      <c r="G133" s="144"/>
    </row>
    <row r="134" spans="1:7" ht="13.5" thickBot="1">
      <c r="A134" s="81" t="s">
        <v>373</v>
      </c>
      <c r="B134" s="88">
        <v>180</v>
      </c>
      <c r="C134" s="79" t="str">
        <f t="shared" si="1"/>
        <v>180Riparian Grass Buffer</v>
      </c>
      <c r="D134" s="30">
        <v>0.31</v>
      </c>
      <c r="E134" s="30">
        <v>0.5</v>
      </c>
      <c r="F134" s="30">
        <v>0.5</v>
      </c>
      <c r="G134" s="144"/>
    </row>
    <row r="135" spans="1:7" ht="13.5" thickBot="1">
      <c r="A135" s="81" t="s">
        <v>373</v>
      </c>
      <c r="B135" s="88">
        <v>210</v>
      </c>
      <c r="C135" s="79" t="str">
        <f t="shared" si="1"/>
        <v>210Riparian Grass Buffer</v>
      </c>
      <c r="D135" s="30">
        <v>0.31</v>
      </c>
      <c r="E135" s="30">
        <v>0.5</v>
      </c>
      <c r="F135" s="30">
        <v>0.5</v>
      </c>
      <c r="G135" s="144"/>
    </row>
    <row r="136" spans="1:7" ht="13.5" thickBot="1">
      <c r="A136" s="81" t="s">
        <v>373</v>
      </c>
      <c r="B136" s="88">
        <v>450</v>
      </c>
      <c r="C136" s="79" t="str">
        <f t="shared" si="1"/>
        <v>450Riparian Grass Buffer</v>
      </c>
      <c r="D136" s="30">
        <v>0.41</v>
      </c>
      <c r="E136" s="30">
        <v>0.6</v>
      </c>
      <c r="F136" s="30">
        <v>0.6</v>
      </c>
      <c r="G136" s="144"/>
    </row>
    <row r="137" spans="1:7" ht="13.5" thickBot="1">
      <c r="A137" s="81" t="s">
        <v>373</v>
      </c>
      <c r="B137" s="88">
        <v>470</v>
      </c>
      <c r="C137" s="79" t="str">
        <f t="shared" si="1"/>
        <v>470Riparian Grass Buffer</v>
      </c>
      <c r="D137" s="30">
        <v>0.41</v>
      </c>
      <c r="E137" s="30">
        <v>0.6</v>
      </c>
      <c r="F137" s="30">
        <v>0.6</v>
      </c>
      <c r="G137" s="144"/>
    </row>
    <row r="138" spans="1:7" ht="13.5" thickBot="1">
      <c r="A138" s="81" t="s">
        <v>373</v>
      </c>
      <c r="B138" s="88">
        <v>700</v>
      </c>
      <c r="C138" s="79" t="str">
        <f t="shared" si="1"/>
        <v>700Riparian Grass Buffer</v>
      </c>
      <c r="D138" s="30">
        <v>0.41</v>
      </c>
      <c r="E138" s="30">
        <v>0.6</v>
      </c>
      <c r="F138" s="30">
        <v>0.6</v>
      </c>
      <c r="G138" s="144"/>
    </row>
    <row r="139" spans="1:7" ht="13.5" thickBot="1">
      <c r="A139" s="81" t="s">
        <v>373</v>
      </c>
      <c r="B139" s="88">
        <v>710</v>
      </c>
      <c r="C139" s="79" t="str">
        <f t="shared" si="1"/>
        <v>710Riparian Grass Buffer</v>
      </c>
      <c r="D139" s="30">
        <v>0.41</v>
      </c>
      <c r="E139" s="30">
        <v>0.6</v>
      </c>
      <c r="F139" s="30">
        <v>0.6</v>
      </c>
      <c r="G139" s="144"/>
    </row>
    <row r="140" spans="1:7" ht="13.5" thickBot="1">
      <c r="A140" s="81" t="s">
        <v>373</v>
      </c>
      <c r="B140" s="88">
        <v>720</v>
      </c>
      <c r="C140" s="79" t="str">
        <f t="shared" si="1"/>
        <v>720Riparian Grass Buffer</v>
      </c>
      <c r="D140" s="30">
        <v>0.31</v>
      </c>
      <c r="E140" s="30">
        <v>0.5</v>
      </c>
      <c r="F140" s="30">
        <v>0.5</v>
      </c>
      <c r="G140" s="144"/>
    </row>
    <row r="141" spans="1:7" ht="13.5" thickBot="1">
      <c r="A141" s="81" t="s">
        <v>373</v>
      </c>
      <c r="B141" s="88">
        <v>730</v>
      </c>
      <c r="C141" s="79" t="str">
        <f t="shared" si="1"/>
        <v>730Riparian Grass Buffer</v>
      </c>
      <c r="D141" s="30">
        <v>0.37</v>
      </c>
      <c r="E141" s="30">
        <v>0.65</v>
      </c>
      <c r="F141" s="30">
        <v>0.65</v>
      </c>
      <c r="G141" s="144"/>
    </row>
    <row r="142" spans="1:7" ht="13.5" thickBot="1">
      <c r="A142" s="81" t="s">
        <v>373</v>
      </c>
      <c r="B142" s="88">
        <v>740</v>
      </c>
      <c r="C142" s="79" t="str">
        <f t="shared" si="1"/>
        <v>740Riparian Grass Buffer</v>
      </c>
      <c r="D142" s="30">
        <v>0.37</v>
      </c>
      <c r="E142" s="30">
        <v>0.65</v>
      </c>
      <c r="F142" s="30">
        <v>0.65</v>
      </c>
      <c r="G142" s="144"/>
    </row>
    <row r="143" spans="1:7" ht="13.5" thickBot="1">
      <c r="A143" s="81" t="s">
        <v>373</v>
      </c>
      <c r="B143" s="88">
        <v>750</v>
      </c>
      <c r="C143" s="79" t="str">
        <f t="shared" si="1"/>
        <v>750Riparian Grass Buffer</v>
      </c>
      <c r="D143" s="30">
        <v>0.48</v>
      </c>
      <c r="E143" s="30">
        <v>0.7</v>
      </c>
      <c r="F143" s="30">
        <v>0.7</v>
      </c>
      <c r="G143" s="144"/>
    </row>
    <row r="144" spans="1:7" ht="13.5" thickBot="1">
      <c r="A144" s="82" t="s">
        <v>373</v>
      </c>
      <c r="B144" s="90">
        <v>800</v>
      </c>
      <c r="C144" s="79" t="str">
        <f t="shared" si="1"/>
        <v>800Riparian Grass Buffer</v>
      </c>
      <c r="D144" s="83">
        <v>0.41</v>
      </c>
      <c r="E144" s="83">
        <v>0.6</v>
      </c>
      <c r="F144" s="83">
        <v>0.6</v>
      </c>
      <c r="G144" s="144"/>
    </row>
    <row r="145" ht="12.75">
      <c r="B145" s="128"/>
    </row>
    <row r="146" ht="12.75">
      <c r="B146" s="128"/>
    </row>
    <row r="147" spans="1:4" ht="15">
      <c r="A147" s="669" t="s">
        <v>505</v>
      </c>
      <c r="B147" s="670"/>
      <c r="C147" s="670"/>
      <c r="D147" s="670"/>
    </row>
    <row r="148" ht="12.75"/>
    <row r="149" spans="2:5" ht="12.75">
      <c r="B149" s="18" t="s">
        <v>500</v>
      </c>
      <c r="C149" s="156" t="s">
        <v>501</v>
      </c>
      <c r="D149" s="155" t="s">
        <v>371</v>
      </c>
      <c r="E149" s="150" t="s">
        <v>498</v>
      </c>
    </row>
    <row r="150" spans="2:5" ht="12.75">
      <c r="B150" s="6" t="s">
        <v>503</v>
      </c>
      <c r="C150" s="160" t="s">
        <v>490</v>
      </c>
      <c r="D150" s="161" t="str">
        <f>CONCATENATE(B150,C150)</f>
        <v>Retirement of Highly Erodible LandConventional till</v>
      </c>
      <c r="E150" s="7" t="s">
        <v>492</v>
      </c>
    </row>
    <row r="151" spans="2:5" ht="12.75">
      <c r="B151" s="19" t="s">
        <v>503</v>
      </c>
      <c r="C151" s="22" t="s">
        <v>491</v>
      </c>
      <c r="D151" s="157" t="str">
        <f>CONCATENATE(B151,C151)</f>
        <v>Retirement of Highly Erodible LandConservation till</v>
      </c>
      <c r="E151" s="7" t="s">
        <v>492</v>
      </c>
    </row>
    <row r="152" spans="2:5" ht="12.75">
      <c r="B152" s="19" t="s">
        <v>503</v>
      </c>
      <c r="C152" s="22" t="s">
        <v>502</v>
      </c>
      <c r="D152" s="157" t="str">
        <f>CONCATENATE(B152,C152)</f>
        <v>Retirement of Highly Erodible LandContinuous no-till</v>
      </c>
      <c r="E152" s="7" t="s">
        <v>492</v>
      </c>
    </row>
    <row r="153" spans="2:5" ht="12.75">
      <c r="B153" s="19" t="s">
        <v>373</v>
      </c>
      <c r="C153" s="7" t="s">
        <v>490</v>
      </c>
      <c r="D153" s="157" t="str">
        <f aca="true" t="shared" si="2" ref="D153:D167">CONCATENATE(B153,C153)</f>
        <v>Riparian Grass BufferConventional till</v>
      </c>
      <c r="E153" s="7" t="s">
        <v>492</v>
      </c>
    </row>
    <row r="154" spans="2:5" ht="12.75">
      <c r="B154" s="19" t="s">
        <v>334</v>
      </c>
      <c r="C154" s="7" t="s">
        <v>490</v>
      </c>
      <c r="D154" s="157" t="str">
        <f t="shared" si="2"/>
        <v>Wetland RestorationConventional till</v>
      </c>
      <c r="E154" s="7" t="s">
        <v>492</v>
      </c>
    </row>
    <row r="155" spans="2:5" ht="12.75">
      <c r="B155" s="19" t="s">
        <v>373</v>
      </c>
      <c r="C155" s="7" t="s">
        <v>491</v>
      </c>
      <c r="D155" s="157" t="str">
        <f t="shared" si="2"/>
        <v>Riparian Grass BufferConservation till</v>
      </c>
      <c r="E155" s="151" t="s">
        <v>493</v>
      </c>
    </row>
    <row r="156" spans="2:5" ht="12.75">
      <c r="B156" s="19" t="s">
        <v>334</v>
      </c>
      <c r="C156" s="7" t="s">
        <v>491</v>
      </c>
      <c r="D156" s="157" t="str">
        <f>CONCATENATE(B156,C156)</f>
        <v>Wetland RestorationConservation till</v>
      </c>
      <c r="E156" s="151" t="s">
        <v>493</v>
      </c>
    </row>
    <row r="157" spans="2:5" ht="12.75">
      <c r="B157" s="19" t="s">
        <v>373</v>
      </c>
      <c r="C157" s="7" t="s">
        <v>502</v>
      </c>
      <c r="D157" s="157" t="str">
        <f t="shared" si="2"/>
        <v>Riparian Grass BufferContinuous no-till</v>
      </c>
      <c r="E157" s="151" t="s">
        <v>493</v>
      </c>
    </row>
    <row r="158" spans="2:5" ht="12.75">
      <c r="B158" s="19" t="s">
        <v>334</v>
      </c>
      <c r="C158" s="7" t="s">
        <v>502</v>
      </c>
      <c r="D158" s="157" t="str">
        <f t="shared" si="2"/>
        <v>Wetland RestorationContinuous no-till</v>
      </c>
      <c r="E158" s="151" t="s">
        <v>493</v>
      </c>
    </row>
    <row r="159" spans="2:5" ht="12.75">
      <c r="B159" s="19" t="s">
        <v>504</v>
      </c>
      <c r="C159" s="7" t="s">
        <v>490</v>
      </c>
      <c r="D159" s="157" t="str">
        <f t="shared" si="2"/>
        <v>Tree Planting (non-buffer)Conventional till</v>
      </c>
      <c r="E159" s="151" t="s">
        <v>494</v>
      </c>
    </row>
    <row r="160" spans="2:5" ht="12.75">
      <c r="B160" s="19" t="s">
        <v>370</v>
      </c>
      <c r="C160" s="7" t="s">
        <v>490</v>
      </c>
      <c r="D160" s="157" t="str">
        <f t="shared" si="2"/>
        <v>Riparian Forest BufferConventional till</v>
      </c>
      <c r="E160" s="151" t="s">
        <v>494</v>
      </c>
    </row>
    <row r="161" spans="2:5" ht="12.75">
      <c r="B161" s="19" t="s">
        <v>504</v>
      </c>
      <c r="C161" s="7" t="s">
        <v>491</v>
      </c>
      <c r="D161" s="157" t="str">
        <f t="shared" si="2"/>
        <v>Tree Planting (non-buffer)Conservation till</v>
      </c>
      <c r="E161" s="151" t="s">
        <v>495</v>
      </c>
    </row>
    <row r="162" spans="2:5" ht="12.75">
      <c r="B162" s="19" t="s">
        <v>370</v>
      </c>
      <c r="C162" s="7" t="s">
        <v>491</v>
      </c>
      <c r="D162" s="157" t="str">
        <f t="shared" si="2"/>
        <v>Riparian Forest BufferConservation till</v>
      </c>
      <c r="E162" s="151" t="s">
        <v>495</v>
      </c>
    </row>
    <row r="163" spans="2:5" ht="12.75">
      <c r="B163" s="19" t="s">
        <v>504</v>
      </c>
      <c r="C163" s="7" t="s">
        <v>502</v>
      </c>
      <c r="D163" s="157" t="str">
        <f t="shared" si="2"/>
        <v>Tree Planting (non-buffer)Continuous no-till</v>
      </c>
      <c r="E163" s="151" t="s">
        <v>495</v>
      </c>
    </row>
    <row r="164" spans="2:5" ht="12.75">
      <c r="B164" s="19" t="s">
        <v>370</v>
      </c>
      <c r="C164" s="7" t="s">
        <v>502</v>
      </c>
      <c r="D164" s="157" t="str">
        <f t="shared" si="2"/>
        <v>Riparian Forest BufferContinuous no-till</v>
      </c>
      <c r="E164" s="151" t="s">
        <v>495</v>
      </c>
    </row>
    <row r="165" spans="2:5" ht="12.75">
      <c r="B165" s="19" t="s">
        <v>465</v>
      </c>
      <c r="C165" s="7" t="s">
        <v>490</v>
      </c>
      <c r="D165" s="157" t="str">
        <f t="shared" si="2"/>
        <v>Carbon SequestrationConventional till</v>
      </c>
      <c r="E165" s="151" t="s">
        <v>496</v>
      </c>
    </row>
    <row r="166" spans="2:5" ht="12.75">
      <c r="B166" s="19" t="s">
        <v>465</v>
      </c>
      <c r="C166" s="7" t="s">
        <v>491</v>
      </c>
      <c r="D166" s="157" t="str">
        <f t="shared" si="2"/>
        <v>Carbon SequestrationConservation till</v>
      </c>
      <c r="E166" s="151" t="s">
        <v>497</v>
      </c>
    </row>
    <row r="167" spans="2:5" ht="12.75">
      <c r="B167" s="19" t="s">
        <v>465</v>
      </c>
      <c r="C167" s="7" t="s">
        <v>502</v>
      </c>
      <c r="D167" s="157" t="str">
        <f t="shared" si="2"/>
        <v>Carbon SequestrationContinuous no-till</v>
      </c>
      <c r="E167" s="151" t="s">
        <v>497</v>
      </c>
    </row>
    <row r="168" spans="2:5" ht="12.75">
      <c r="B168" s="21" t="s">
        <v>354</v>
      </c>
      <c r="C168" s="166" t="s">
        <v>490</v>
      </c>
      <c r="D168" s="158" t="str">
        <f>CONCATENATE(B168,C168)</f>
        <v>Conservation TillConventional till</v>
      </c>
      <c r="E168" s="152" t="s">
        <v>499</v>
      </c>
    </row>
    <row r="170" spans="1:34" ht="15">
      <c r="A170" s="38"/>
      <c r="D170" s="5"/>
      <c r="E170" s="5"/>
      <c r="F170" s="5"/>
      <c r="G170" s="5"/>
      <c r="H170" s="5"/>
      <c r="I170" s="5"/>
      <c r="J170" s="5"/>
      <c r="R170" s="174"/>
      <c r="S170" s="20"/>
      <c r="T170" s="5"/>
      <c r="U170" s="5"/>
      <c r="V170" s="5"/>
      <c r="W170" s="5"/>
      <c r="X170" s="5"/>
      <c r="Y170" s="5"/>
      <c r="Z170" s="5"/>
      <c r="AA170" s="174"/>
      <c r="AB170" s="20"/>
      <c r="AC170" s="5"/>
      <c r="AD170" s="5"/>
      <c r="AE170" s="5"/>
      <c r="AF170" s="5"/>
      <c r="AG170" s="5"/>
      <c r="AH170" s="5"/>
    </row>
    <row r="171" spans="1:34" s="147" customFormat="1" ht="26.25" customHeight="1">
      <c r="A171" s="149" t="s">
        <v>506</v>
      </c>
      <c r="B171" s="149" t="s">
        <v>63</v>
      </c>
      <c r="C171" s="149" t="s">
        <v>607</v>
      </c>
      <c r="D171" s="149" t="s">
        <v>606</v>
      </c>
      <c r="E171" s="162"/>
      <c r="F171" s="162"/>
      <c r="G171" s="162"/>
      <c r="H171" s="162"/>
      <c r="I171" s="162"/>
      <c r="J171" s="162"/>
      <c r="R171" s="162"/>
      <c r="S171" s="162"/>
      <c r="T171" s="162"/>
      <c r="U171" s="162"/>
      <c r="V171" s="162"/>
      <c r="W171" s="162"/>
      <c r="X171" s="162"/>
      <c r="Y171" s="162"/>
      <c r="Z171" s="162"/>
      <c r="AA171" s="162"/>
      <c r="AB171" s="162"/>
      <c r="AC171" s="162"/>
      <c r="AD171" s="162"/>
      <c r="AE171" s="162"/>
      <c r="AF171" s="162"/>
      <c r="AG171" s="162"/>
      <c r="AH171" s="162"/>
    </row>
    <row r="172" spans="1:34" ht="12.75">
      <c r="A172" s="148" t="s">
        <v>507</v>
      </c>
      <c r="B172" s="163">
        <v>0.8466427468323842</v>
      </c>
      <c r="C172" s="170">
        <v>0.7903106937713982</v>
      </c>
      <c r="D172" s="170">
        <v>0.8621574188685581</v>
      </c>
      <c r="F172" s="5"/>
      <c r="G172" s="5"/>
      <c r="H172" s="5"/>
      <c r="I172" s="5"/>
      <c r="J172" s="5"/>
      <c r="R172" s="5"/>
      <c r="S172" s="20"/>
      <c r="T172" s="5"/>
      <c r="U172" s="5"/>
      <c r="V172" s="5"/>
      <c r="W172" s="5"/>
      <c r="X172" s="5"/>
      <c r="Y172" s="5"/>
      <c r="Z172" s="5"/>
      <c r="AA172" s="5"/>
      <c r="AB172" s="5"/>
      <c r="AC172" s="5"/>
      <c r="AD172" s="5"/>
      <c r="AE172" s="5"/>
      <c r="AF172" s="5"/>
      <c r="AG172" s="5"/>
      <c r="AH172" s="5"/>
    </row>
    <row r="173" spans="1:34" ht="12.75">
      <c r="A173" s="14" t="s">
        <v>508</v>
      </c>
      <c r="B173" s="164">
        <v>0.8097067803678943</v>
      </c>
      <c r="C173" s="170">
        <v>0.7949940288958719</v>
      </c>
      <c r="D173" s="170">
        <v>0.8295005521352203</v>
      </c>
      <c r="R173" s="5"/>
      <c r="S173" s="20"/>
      <c r="T173" s="5"/>
      <c r="U173" s="5"/>
      <c r="V173" s="5"/>
      <c r="W173" s="5"/>
      <c r="X173" s="5"/>
      <c r="Y173" s="5"/>
      <c r="Z173" s="5"/>
      <c r="AA173" s="5"/>
      <c r="AB173" s="5"/>
      <c r="AC173" s="5"/>
      <c r="AD173" s="5"/>
      <c r="AE173" s="5"/>
      <c r="AF173" s="5"/>
      <c r="AG173" s="5"/>
      <c r="AH173" s="5"/>
    </row>
    <row r="174" spans="1:34" ht="12.75">
      <c r="A174" s="14" t="s">
        <v>509</v>
      </c>
      <c r="B174" s="164">
        <v>0.8283522255184048</v>
      </c>
      <c r="C174" s="170">
        <v>0.8016966665639951</v>
      </c>
      <c r="D174" s="170">
        <v>0.8543422773842377</v>
      </c>
      <c r="R174" s="5"/>
      <c r="S174" s="20"/>
      <c r="T174" s="5"/>
      <c r="U174" s="5"/>
      <c r="V174" s="5"/>
      <c r="W174" s="5"/>
      <c r="X174" s="5"/>
      <c r="Y174" s="5"/>
      <c r="Z174" s="5"/>
      <c r="AA174" s="5"/>
      <c r="AB174" s="5"/>
      <c r="AC174" s="5"/>
      <c r="AD174" s="5"/>
      <c r="AE174" s="5"/>
      <c r="AF174" s="5"/>
      <c r="AG174" s="5"/>
      <c r="AH174" s="5"/>
    </row>
    <row r="175" spans="1:34" ht="12.75">
      <c r="A175" s="14" t="s">
        <v>510</v>
      </c>
      <c r="B175" s="164">
        <v>0.7376883537582198</v>
      </c>
      <c r="C175" s="170">
        <v>0.6962319380553565</v>
      </c>
      <c r="D175" s="170">
        <v>0.9072420730090958</v>
      </c>
      <c r="R175" s="5"/>
      <c r="S175" s="20"/>
      <c r="T175" s="5"/>
      <c r="U175" s="5"/>
      <c r="V175" s="5"/>
      <c r="W175" s="5"/>
      <c r="X175" s="5"/>
      <c r="Y175" s="5"/>
      <c r="Z175" s="5"/>
      <c r="AA175" s="5"/>
      <c r="AB175" s="5"/>
      <c r="AC175" s="5"/>
      <c r="AD175" s="5"/>
      <c r="AE175" s="5"/>
      <c r="AF175" s="5"/>
      <c r="AG175" s="5"/>
      <c r="AH175" s="5"/>
    </row>
    <row r="176" spans="1:34" ht="12.75">
      <c r="A176" s="14" t="s">
        <v>511</v>
      </c>
      <c r="B176" s="164">
        <v>0.7798310738966759</v>
      </c>
      <c r="C176" s="170">
        <v>0.7372370486905115</v>
      </c>
      <c r="D176" s="170">
        <v>0.8722215699143405</v>
      </c>
      <c r="R176" s="5"/>
      <c r="S176" s="20"/>
      <c r="T176" s="5"/>
      <c r="U176" s="5"/>
      <c r="V176" s="5"/>
      <c r="W176" s="5"/>
      <c r="X176" s="5"/>
      <c r="Y176" s="5"/>
      <c r="Z176" s="5"/>
      <c r="AA176" s="5"/>
      <c r="AB176" s="5"/>
      <c r="AC176" s="5"/>
      <c r="AD176" s="5"/>
      <c r="AE176" s="5"/>
      <c r="AF176" s="5"/>
      <c r="AG176" s="5"/>
      <c r="AH176" s="5"/>
    </row>
    <row r="177" spans="1:34" ht="12.75">
      <c r="A177" s="14" t="s">
        <v>512</v>
      </c>
      <c r="B177" s="164">
        <v>0.7977506009315091</v>
      </c>
      <c r="C177" s="170">
        <v>0.7190474404980123</v>
      </c>
      <c r="D177" s="170">
        <v>0.8547566770051632</v>
      </c>
      <c r="R177" s="5"/>
      <c r="S177" s="20"/>
      <c r="T177" s="5"/>
      <c r="U177" s="5"/>
      <c r="V177" s="5"/>
      <c r="W177" s="5"/>
      <c r="X177" s="5"/>
      <c r="Y177" s="5"/>
      <c r="Z177" s="5"/>
      <c r="AA177" s="5"/>
      <c r="AB177" s="5"/>
      <c r="AC177" s="5"/>
      <c r="AD177" s="5"/>
      <c r="AE177" s="5"/>
      <c r="AF177" s="5"/>
      <c r="AG177" s="5"/>
      <c r="AH177" s="5"/>
    </row>
    <row r="178" spans="1:34" ht="12.75">
      <c r="A178" s="14" t="s">
        <v>513</v>
      </c>
      <c r="B178" s="164">
        <v>0.7915011180370837</v>
      </c>
      <c r="C178" s="170">
        <v>0.7081785738063586</v>
      </c>
      <c r="D178" s="170">
        <v>0.8453870917083282</v>
      </c>
      <c r="R178" s="5"/>
      <c r="S178" s="20"/>
      <c r="T178" s="5"/>
      <c r="U178" s="5"/>
      <c r="V178" s="5"/>
      <c r="W178" s="5"/>
      <c r="X178" s="5"/>
      <c r="Y178" s="5"/>
      <c r="Z178" s="5"/>
      <c r="AA178" s="5"/>
      <c r="AB178" s="5"/>
      <c r="AC178" s="5"/>
      <c r="AD178" s="5"/>
      <c r="AE178" s="5"/>
      <c r="AF178" s="5"/>
      <c r="AG178" s="5"/>
      <c r="AH178" s="5"/>
    </row>
    <row r="179" spans="1:34" ht="12.75">
      <c r="A179" s="14" t="s">
        <v>514</v>
      </c>
      <c r="B179" s="164">
        <v>0.7287222790628582</v>
      </c>
      <c r="C179" s="170">
        <v>0.6780894406134635</v>
      </c>
      <c r="D179" s="170">
        <v>0.869106636201247</v>
      </c>
      <c r="R179" s="5"/>
      <c r="S179" s="20"/>
      <c r="T179" s="5"/>
      <c r="U179" s="5"/>
      <c r="V179" s="5"/>
      <c r="W179" s="5"/>
      <c r="X179" s="5"/>
      <c r="Y179" s="5"/>
      <c r="Z179" s="5"/>
      <c r="AA179" s="5"/>
      <c r="AB179" s="5"/>
      <c r="AC179" s="5"/>
      <c r="AD179" s="5"/>
      <c r="AE179" s="5"/>
      <c r="AF179" s="5"/>
      <c r="AG179" s="5"/>
      <c r="AH179" s="5"/>
    </row>
    <row r="180" spans="1:34" ht="12.75">
      <c r="A180" s="14" t="s">
        <v>515</v>
      </c>
      <c r="B180" s="164">
        <v>0.7890465095442537</v>
      </c>
      <c r="C180" s="170">
        <v>0.7818683683117637</v>
      </c>
      <c r="D180" s="170">
        <v>0.87007599113078</v>
      </c>
      <c r="R180" s="5"/>
      <c r="S180" s="20"/>
      <c r="T180" s="5"/>
      <c r="U180" s="5"/>
      <c r="V180" s="5"/>
      <c r="W180" s="5"/>
      <c r="X180" s="5"/>
      <c r="Y180" s="5"/>
      <c r="Z180" s="5"/>
      <c r="AA180" s="5"/>
      <c r="AB180" s="5"/>
      <c r="AC180" s="5"/>
      <c r="AD180" s="5"/>
      <c r="AE180" s="5"/>
      <c r="AF180" s="5"/>
      <c r="AG180" s="5"/>
      <c r="AH180" s="5"/>
    </row>
    <row r="181" spans="1:34" ht="12.75">
      <c r="A181" s="14" t="s">
        <v>516</v>
      </c>
      <c r="B181" s="164">
        <v>0.789858987906215</v>
      </c>
      <c r="C181" s="170">
        <v>0.7783191450269322</v>
      </c>
      <c r="D181" s="170">
        <v>0.8872614219084767</v>
      </c>
      <c r="R181" s="5"/>
      <c r="S181" s="20"/>
      <c r="T181" s="5"/>
      <c r="U181" s="5"/>
      <c r="V181" s="5"/>
      <c r="W181" s="5"/>
      <c r="X181" s="5"/>
      <c r="Y181" s="5"/>
      <c r="Z181" s="5"/>
      <c r="AA181" s="5"/>
      <c r="AB181" s="5"/>
      <c r="AC181" s="5"/>
      <c r="AD181" s="5"/>
      <c r="AE181" s="5"/>
      <c r="AF181" s="5"/>
      <c r="AG181" s="5"/>
      <c r="AH181" s="5"/>
    </row>
    <row r="182" spans="1:34" ht="12.75">
      <c r="A182" s="14" t="s">
        <v>517</v>
      </c>
      <c r="B182" s="164">
        <v>0.705488869904211</v>
      </c>
      <c r="C182" s="170">
        <v>0.6573210631432318</v>
      </c>
      <c r="D182" s="170">
        <v>0.9152113391463901</v>
      </c>
      <c r="R182" s="5"/>
      <c r="S182" s="20"/>
      <c r="T182" s="5"/>
      <c r="U182" s="5"/>
      <c r="V182" s="5"/>
      <c r="W182" s="5"/>
      <c r="X182" s="5"/>
      <c r="Y182" s="5"/>
      <c r="Z182" s="5"/>
      <c r="AA182" s="5"/>
      <c r="AB182" s="5"/>
      <c r="AC182" s="5"/>
      <c r="AD182" s="5"/>
      <c r="AE182" s="5"/>
      <c r="AF182" s="5"/>
      <c r="AG182" s="5"/>
      <c r="AH182" s="5"/>
    </row>
    <row r="183" spans="1:34" ht="12.75">
      <c r="A183" s="14" t="s">
        <v>518</v>
      </c>
      <c r="B183" s="164">
        <v>0.7681689144077195</v>
      </c>
      <c r="C183" s="170">
        <v>0.7661845495766662</v>
      </c>
      <c r="D183" s="170">
        <v>0.9412945890053689</v>
      </c>
      <c r="R183" s="5"/>
      <c r="S183" s="20"/>
      <c r="T183" s="5"/>
      <c r="U183" s="5"/>
      <c r="V183" s="5"/>
      <c r="W183" s="5"/>
      <c r="X183" s="5"/>
      <c r="Y183" s="5"/>
      <c r="Z183" s="5"/>
      <c r="AA183" s="5"/>
      <c r="AB183" s="5"/>
      <c r="AC183" s="5"/>
      <c r="AD183" s="5"/>
      <c r="AE183" s="5"/>
      <c r="AF183" s="5"/>
      <c r="AG183" s="5"/>
      <c r="AH183" s="5"/>
    </row>
    <row r="184" spans="1:34" ht="12.75">
      <c r="A184" s="14" t="s">
        <v>519</v>
      </c>
      <c r="B184" s="164">
        <v>0.7693469574361562</v>
      </c>
      <c r="C184" s="170">
        <v>0.7194843616943476</v>
      </c>
      <c r="D184" s="170">
        <v>0.8693961212505341</v>
      </c>
      <c r="R184" s="5"/>
      <c r="S184" s="20"/>
      <c r="T184" s="5"/>
      <c r="U184" s="5"/>
      <c r="V184" s="5"/>
      <c r="W184" s="5"/>
      <c r="X184" s="5"/>
      <c r="Y184" s="5"/>
      <c r="Z184" s="5"/>
      <c r="AA184" s="5"/>
      <c r="AB184" s="5"/>
      <c r="AC184" s="5"/>
      <c r="AD184" s="5"/>
      <c r="AE184" s="5"/>
      <c r="AF184" s="5"/>
      <c r="AG184" s="5"/>
      <c r="AH184" s="5"/>
    </row>
    <row r="185" spans="1:34" ht="12.75">
      <c r="A185" s="14" t="s">
        <v>520</v>
      </c>
      <c r="B185" s="164">
        <v>0.7996852735729452</v>
      </c>
      <c r="C185" s="170">
        <v>0.6715210655219425</v>
      </c>
      <c r="D185" s="170">
        <v>0.8802315957675381</v>
      </c>
      <c r="R185" s="5"/>
      <c r="S185" s="20"/>
      <c r="T185" s="5"/>
      <c r="U185" s="5"/>
      <c r="V185" s="5"/>
      <c r="W185" s="5"/>
      <c r="X185" s="5"/>
      <c r="Y185" s="5"/>
      <c r="Z185" s="5"/>
      <c r="AA185" s="5"/>
      <c r="AB185" s="5"/>
      <c r="AC185" s="5"/>
      <c r="AD185" s="5"/>
      <c r="AE185" s="5"/>
      <c r="AF185" s="5"/>
      <c r="AG185" s="5"/>
      <c r="AH185" s="5"/>
    </row>
    <row r="186" spans="1:34" ht="12.75">
      <c r="A186" s="14" t="s">
        <v>521</v>
      </c>
      <c r="B186" s="164">
        <v>0.7754225353469356</v>
      </c>
      <c r="C186" s="170">
        <v>0.7432501628645429</v>
      </c>
      <c r="D186" s="170">
        <v>0.843710498370635</v>
      </c>
      <c r="R186" s="5"/>
      <c r="S186" s="20"/>
      <c r="T186" s="5"/>
      <c r="U186" s="5"/>
      <c r="V186" s="5"/>
      <c r="W186" s="5"/>
      <c r="X186" s="5"/>
      <c r="Y186" s="5"/>
      <c r="Z186" s="5"/>
      <c r="AA186" s="5"/>
      <c r="AB186" s="5"/>
      <c r="AC186" s="5"/>
      <c r="AD186" s="5"/>
      <c r="AE186" s="5"/>
      <c r="AF186" s="5"/>
      <c r="AG186" s="5"/>
      <c r="AH186" s="5"/>
    </row>
    <row r="187" spans="1:34" ht="12.75">
      <c r="A187" s="14" t="s">
        <v>522</v>
      </c>
      <c r="B187" s="164">
        <v>0.7802161812865992</v>
      </c>
      <c r="C187" s="170">
        <v>0.638883724601911</v>
      </c>
      <c r="D187" s="170">
        <v>0.9082209209283189</v>
      </c>
      <c r="R187" s="5"/>
      <c r="S187" s="20"/>
      <c r="T187" s="5"/>
      <c r="U187" s="5"/>
      <c r="V187" s="5"/>
      <c r="W187" s="5"/>
      <c r="X187" s="5"/>
      <c r="Y187" s="5"/>
      <c r="Z187" s="5"/>
      <c r="AA187" s="5"/>
      <c r="AB187" s="5"/>
      <c r="AC187" s="5"/>
      <c r="AD187" s="5"/>
      <c r="AE187" s="5"/>
      <c r="AF187" s="5"/>
      <c r="AG187" s="5"/>
      <c r="AH187" s="5"/>
    </row>
    <row r="188" spans="1:34" ht="12.75">
      <c r="A188" s="14" t="s">
        <v>523</v>
      </c>
      <c r="B188" s="164">
        <v>0.7613887608883181</v>
      </c>
      <c r="C188" s="170">
        <v>0.7535219276007381</v>
      </c>
      <c r="D188" s="170">
        <v>0.9047202926801805</v>
      </c>
      <c r="R188" s="5"/>
      <c r="S188" s="20"/>
      <c r="T188" s="5"/>
      <c r="U188" s="5"/>
      <c r="V188" s="5"/>
      <c r="W188" s="5"/>
      <c r="X188" s="5"/>
      <c r="Y188" s="5"/>
      <c r="Z188" s="5"/>
      <c r="AA188" s="5"/>
      <c r="AB188" s="5"/>
      <c r="AC188" s="5"/>
      <c r="AD188" s="5"/>
      <c r="AE188" s="5"/>
      <c r="AF188" s="5"/>
      <c r="AG188" s="5"/>
      <c r="AH188" s="5"/>
    </row>
    <row r="189" spans="1:34" ht="12.75">
      <c r="A189" s="14" t="s">
        <v>524</v>
      </c>
      <c r="B189" s="164">
        <v>0.7945850391383484</v>
      </c>
      <c r="C189" s="170">
        <v>0.7860506377062753</v>
      </c>
      <c r="D189" s="170">
        <v>0.9575871133484681</v>
      </c>
      <c r="R189" s="5"/>
      <c r="S189" s="20"/>
      <c r="T189" s="5"/>
      <c r="U189" s="5"/>
      <c r="V189" s="5"/>
      <c r="W189" s="5"/>
      <c r="X189" s="5"/>
      <c r="Y189" s="5"/>
      <c r="Z189" s="5"/>
      <c r="AA189" s="5"/>
      <c r="AB189" s="5"/>
      <c r="AC189" s="5"/>
      <c r="AD189" s="5"/>
      <c r="AE189" s="5"/>
      <c r="AF189" s="5"/>
      <c r="AG189" s="5"/>
      <c r="AH189" s="5"/>
    </row>
    <row r="190" spans="1:34" ht="12.75">
      <c r="A190" s="14" t="s">
        <v>525</v>
      </c>
      <c r="B190" s="164">
        <v>0.755525070864982</v>
      </c>
      <c r="C190" s="170">
        <v>0.3411011997880201</v>
      </c>
      <c r="D190" s="170">
        <v>0.9116521716834496</v>
      </c>
      <c r="R190" s="5"/>
      <c r="S190" s="20"/>
      <c r="T190" s="5"/>
      <c r="U190" s="5"/>
      <c r="V190" s="5"/>
      <c r="W190" s="5"/>
      <c r="X190" s="5"/>
      <c r="Y190" s="5"/>
      <c r="Z190" s="5"/>
      <c r="AA190" s="5"/>
      <c r="AB190" s="5"/>
      <c r="AC190" s="5"/>
      <c r="AD190" s="5"/>
      <c r="AE190" s="5"/>
      <c r="AF190" s="5"/>
      <c r="AG190" s="5"/>
      <c r="AH190" s="5"/>
    </row>
    <row r="191" spans="1:34" ht="12.75">
      <c r="A191" s="14" t="s">
        <v>526</v>
      </c>
      <c r="B191" s="164">
        <v>0.785602547950458</v>
      </c>
      <c r="C191" s="170">
        <v>0.791224209146997</v>
      </c>
      <c r="D191" s="170">
        <v>0.8045119884477617</v>
      </c>
      <c r="R191" s="5"/>
      <c r="S191" s="20"/>
      <c r="T191" s="5"/>
      <c r="U191" s="5"/>
      <c r="V191" s="5"/>
      <c r="W191" s="5"/>
      <c r="X191" s="5"/>
      <c r="Y191" s="5"/>
      <c r="Z191" s="5"/>
      <c r="AA191" s="5"/>
      <c r="AB191" s="5"/>
      <c r="AC191" s="5"/>
      <c r="AD191" s="5"/>
      <c r="AE191" s="5"/>
      <c r="AF191" s="5"/>
      <c r="AG191" s="5"/>
      <c r="AH191" s="5"/>
    </row>
    <row r="192" spans="1:34" ht="12.75">
      <c r="A192" s="14" t="s">
        <v>527</v>
      </c>
      <c r="B192" s="164">
        <v>0.754010463953027</v>
      </c>
      <c r="C192" s="170">
        <v>0.7593050142917075</v>
      </c>
      <c r="D192" s="170">
        <v>0.9448537121546318</v>
      </c>
      <c r="R192" s="5"/>
      <c r="S192" s="20"/>
      <c r="T192" s="5"/>
      <c r="U192" s="5"/>
      <c r="V192" s="5"/>
      <c r="W192" s="5"/>
      <c r="X192" s="5"/>
      <c r="Y192" s="5"/>
      <c r="Z192" s="5"/>
      <c r="AA192" s="5"/>
      <c r="AB192" s="5"/>
      <c r="AC192" s="5"/>
      <c r="AD192" s="5"/>
      <c r="AE192" s="5"/>
      <c r="AF192" s="5"/>
      <c r="AG192" s="5"/>
      <c r="AH192" s="5"/>
    </row>
    <row r="193" spans="1:34" ht="12.75">
      <c r="A193" s="14" t="s">
        <v>528</v>
      </c>
      <c r="B193" s="164">
        <v>0.7446027945307548</v>
      </c>
      <c r="C193" s="170">
        <v>0.7843496378037405</v>
      </c>
      <c r="D193" s="170">
        <v>0.9481599972477219</v>
      </c>
      <c r="R193" s="5"/>
      <c r="S193" s="20"/>
      <c r="T193" s="5"/>
      <c r="U193" s="5"/>
      <c r="V193" s="5"/>
      <c r="W193" s="5"/>
      <c r="X193" s="5"/>
      <c r="Y193" s="5"/>
      <c r="Z193" s="5"/>
      <c r="AA193" s="5"/>
      <c r="AB193" s="5"/>
      <c r="AC193" s="5"/>
      <c r="AD193" s="5"/>
      <c r="AE193" s="5"/>
      <c r="AF193" s="5"/>
      <c r="AG193" s="5"/>
      <c r="AH193" s="5"/>
    </row>
    <row r="194" spans="1:34" ht="12.75">
      <c r="A194" s="14" t="s">
        <v>529</v>
      </c>
      <c r="B194" s="164">
        <v>0.7746483576535063</v>
      </c>
      <c r="C194" s="170">
        <v>0.7098307257006722</v>
      </c>
      <c r="D194" s="170">
        <v>0.8844022449285455</v>
      </c>
      <c r="R194" s="5"/>
      <c r="S194" s="20"/>
      <c r="T194" s="5"/>
      <c r="U194" s="5"/>
      <c r="V194" s="5"/>
      <c r="W194" s="5"/>
      <c r="X194" s="5"/>
      <c r="Y194" s="5"/>
      <c r="Z194" s="5"/>
      <c r="AA194" s="5"/>
      <c r="AB194" s="5"/>
      <c r="AC194" s="5"/>
      <c r="AD194" s="5"/>
      <c r="AE194" s="5"/>
      <c r="AF194" s="5"/>
      <c r="AG194" s="5"/>
      <c r="AH194" s="5"/>
    </row>
    <row r="195" spans="1:34" ht="12.75">
      <c r="A195" s="14" t="s">
        <v>530</v>
      </c>
      <c r="B195" s="164">
        <v>0.755249775101944</v>
      </c>
      <c r="C195" s="170">
        <v>0.6718382309903291</v>
      </c>
      <c r="D195" s="170">
        <v>0.8914856903053333</v>
      </c>
      <c r="R195" s="5"/>
      <c r="S195" s="20"/>
      <c r="T195" s="5"/>
      <c r="U195" s="5"/>
      <c r="V195" s="5"/>
      <c r="W195" s="5"/>
      <c r="X195" s="5"/>
      <c r="Y195" s="5"/>
      <c r="Z195" s="5"/>
      <c r="AA195" s="5"/>
      <c r="AB195" s="5"/>
      <c r="AC195" s="5"/>
      <c r="AD195" s="5"/>
      <c r="AE195" s="5"/>
      <c r="AF195" s="5"/>
      <c r="AG195" s="5"/>
      <c r="AH195" s="5"/>
    </row>
    <row r="196" spans="1:34" ht="12.75">
      <c r="A196" s="14" t="s">
        <v>531</v>
      </c>
      <c r="B196" s="164">
        <v>0.7543128624787351</v>
      </c>
      <c r="C196" s="170">
        <v>0.6989999077850606</v>
      </c>
      <c r="D196" s="170">
        <v>0.8806421426443488</v>
      </c>
      <c r="R196" s="5"/>
      <c r="S196" s="20"/>
      <c r="T196" s="5"/>
      <c r="U196" s="5"/>
      <c r="V196" s="5"/>
      <c r="W196" s="5"/>
      <c r="X196" s="5"/>
      <c r="Y196" s="5"/>
      <c r="Z196" s="5"/>
      <c r="AA196" s="5"/>
      <c r="AB196" s="5"/>
      <c r="AC196" s="5"/>
      <c r="AD196" s="5"/>
      <c r="AE196" s="5"/>
      <c r="AF196" s="5"/>
      <c r="AG196" s="5"/>
      <c r="AH196" s="5"/>
    </row>
    <row r="197" spans="1:34" ht="12.75">
      <c r="A197" s="70" t="s">
        <v>532</v>
      </c>
      <c r="B197" s="165">
        <v>0.7887304770929552</v>
      </c>
      <c r="C197" s="171">
        <v>0.5757660516026328</v>
      </c>
      <c r="D197" s="171">
        <v>0.9345568581119132</v>
      </c>
      <c r="R197" s="5"/>
      <c r="S197" s="20"/>
      <c r="T197" s="5"/>
      <c r="U197" s="5"/>
      <c r="V197" s="5"/>
      <c r="W197" s="5"/>
      <c r="X197" s="5"/>
      <c r="Y197" s="5"/>
      <c r="Z197" s="5"/>
      <c r="AA197" s="5"/>
      <c r="AB197" s="5"/>
      <c r="AC197" s="5"/>
      <c r="AD197" s="5"/>
      <c r="AE197" s="5"/>
      <c r="AF197" s="5"/>
      <c r="AG197" s="5"/>
      <c r="AH197" s="5"/>
    </row>
    <row r="198" spans="1:4" ht="12.75">
      <c r="A198" s="148" t="s">
        <v>533</v>
      </c>
      <c r="B198" s="164">
        <v>0.8116650629858535</v>
      </c>
      <c r="C198" s="170">
        <v>0.5735222535028808</v>
      </c>
      <c r="D198" s="170">
        <v>0.4511045510582693</v>
      </c>
    </row>
    <row r="199" spans="1:4" ht="12.75">
      <c r="A199" s="14" t="s">
        <v>534</v>
      </c>
      <c r="B199" s="164">
        <v>0.7747329435904122</v>
      </c>
      <c r="C199" s="170">
        <v>0.6042567649949577</v>
      </c>
      <c r="D199" s="170">
        <v>0.3125671879627513</v>
      </c>
    </row>
    <row r="200" spans="1:4" ht="12.75">
      <c r="A200" s="14" t="s">
        <v>538</v>
      </c>
      <c r="B200" s="164">
        <v>0.8134704180228668</v>
      </c>
      <c r="C200" s="170">
        <v>0.6193715459815828</v>
      </c>
      <c r="D200" s="170">
        <v>0.4221161174990733</v>
      </c>
    </row>
    <row r="201" spans="1:4" ht="12.75">
      <c r="A201" s="14" t="s">
        <v>539</v>
      </c>
      <c r="B201" s="164">
        <v>0.7043854863981656</v>
      </c>
      <c r="C201" s="170">
        <v>0.3772051880911208</v>
      </c>
      <c r="D201" s="170">
        <v>0.6319893067270027</v>
      </c>
    </row>
    <row r="202" spans="1:4" ht="12.75">
      <c r="A202" s="14" t="s">
        <v>540</v>
      </c>
      <c r="B202" s="164">
        <v>0.739223436160003</v>
      </c>
      <c r="C202" s="170">
        <v>0.4997885797474053</v>
      </c>
      <c r="D202" s="170">
        <v>0.4926782153767154</v>
      </c>
    </row>
    <row r="203" spans="1:4" ht="12.75">
      <c r="A203" s="14" t="s">
        <v>541</v>
      </c>
      <c r="B203" s="164">
        <v>0.7563222314281385</v>
      </c>
      <c r="C203" s="170">
        <v>0.4829075207533976</v>
      </c>
      <c r="D203" s="170">
        <v>0.42063397382366097</v>
      </c>
    </row>
    <row r="204" spans="1:4" ht="12.75">
      <c r="A204" s="14" t="s">
        <v>542</v>
      </c>
      <c r="B204" s="164">
        <v>0.7152687506304258</v>
      </c>
      <c r="C204" s="170">
        <v>0.3752363234846875</v>
      </c>
      <c r="D204" s="170">
        <v>0.37816161784521873</v>
      </c>
    </row>
    <row r="205" spans="1:4" ht="12.75">
      <c r="A205" s="14" t="s">
        <v>543</v>
      </c>
      <c r="B205" s="164">
        <v>0.6755831779367418</v>
      </c>
      <c r="C205" s="170">
        <v>0.3597104541851275</v>
      </c>
      <c r="D205" s="170">
        <v>0.4706475804469398</v>
      </c>
    </row>
    <row r="206" spans="1:4" ht="12.75">
      <c r="A206" s="14" t="s">
        <v>544</v>
      </c>
      <c r="B206" s="164">
        <v>0.7582795125761232</v>
      </c>
      <c r="C206" s="170">
        <v>0.6126786990430437</v>
      </c>
      <c r="D206" s="170">
        <v>0.4921925822578198</v>
      </c>
    </row>
    <row r="207" spans="1:4" ht="12.75">
      <c r="A207" s="14" t="s">
        <v>545</v>
      </c>
      <c r="B207" s="164">
        <v>0.7477031290702938</v>
      </c>
      <c r="C207" s="170">
        <v>0.6055033070805393</v>
      </c>
      <c r="D207" s="170">
        <v>0.5526559716873218</v>
      </c>
    </row>
    <row r="208" spans="1:4" ht="12.75">
      <c r="A208" s="14" t="s">
        <v>546</v>
      </c>
      <c r="B208" s="164">
        <v>0.6422012348875368</v>
      </c>
      <c r="C208" s="170">
        <v>0.29121780837797184</v>
      </c>
      <c r="D208" s="170">
        <v>0.6608568049509081</v>
      </c>
    </row>
    <row r="209" spans="1:4" ht="12.75">
      <c r="A209" s="14" t="s">
        <v>547</v>
      </c>
      <c r="B209" s="164">
        <v>0.710898484495534</v>
      </c>
      <c r="C209" s="170">
        <v>0.40318729256383135</v>
      </c>
      <c r="D209" s="170">
        <v>0.7538310181375898</v>
      </c>
    </row>
    <row r="210" spans="1:4" ht="12.75">
      <c r="A210" s="14" t="s">
        <v>548</v>
      </c>
      <c r="B210" s="164">
        <v>0.7374908722654643</v>
      </c>
      <c r="C210" s="170">
        <v>0.44067209271174845</v>
      </c>
      <c r="D210" s="170">
        <v>0.500488063296397</v>
      </c>
    </row>
    <row r="211" spans="1:4" ht="12.75">
      <c r="A211" s="14" t="s">
        <v>549</v>
      </c>
      <c r="B211" s="164">
        <v>0.753058245245113</v>
      </c>
      <c r="C211" s="170">
        <v>0.3793928664993199</v>
      </c>
      <c r="D211" s="170">
        <v>0.5201762358836524</v>
      </c>
    </row>
    <row r="212" spans="1:4" ht="12.75">
      <c r="A212" s="14" t="s">
        <v>550</v>
      </c>
      <c r="B212" s="164">
        <v>0.7424158254962019</v>
      </c>
      <c r="C212" s="170">
        <v>0.480730814643332</v>
      </c>
      <c r="D212" s="170">
        <v>0.3759508533278718</v>
      </c>
    </row>
    <row r="213" spans="1:4" ht="12.75">
      <c r="A213" s="14" t="s">
        <v>551</v>
      </c>
      <c r="B213" s="164">
        <v>0.715871440866046</v>
      </c>
      <c r="C213" s="170">
        <v>0.33589325922064295</v>
      </c>
      <c r="D213" s="170">
        <v>0.5787620171845363</v>
      </c>
    </row>
    <row r="214" spans="1:4" ht="12.75">
      <c r="A214" s="14" t="s">
        <v>552</v>
      </c>
      <c r="B214" s="164">
        <v>0.7002117906700116</v>
      </c>
      <c r="C214" s="170">
        <v>0.4632136709541348</v>
      </c>
      <c r="D214" s="170">
        <v>0.4772940469228445</v>
      </c>
    </row>
    <row r="215" spans="1:4" ht="12.75">
      <c r="A215" s="14" t="s">
        <v>553</v>
      </c>
      <c r="B215" s="164">
        <v>0.7620030936696385</v>
      </c>
      <c r="C215" s="170">
        <v>0.517942639501847</v>
      </c>
      <c r="D215" s="170">
        <v>0.8327312987714688</v>
      </c>
    </row>
    <row r="216" spans="1:4" ht="12.75">
      <c r="A216" s="14" t="s">
        <v>554</v>
      </c>
      <c r="B216" s="164">
        <v>0.716673263489837</v>
      </c>
      <c r="C216" s="170">
        <v>0.14788578237043581</v>
      </c>
      <c r="D216" s="170">
        <v>0.6593311411910725</v>
      </c>
    </row>
    <row r="217" spans="1:4" ht="12.75">
      <c r="A217" s="14" t="s">
        <v>555</v>
      </c>
      <c r="B217" s="164">
        <v>0.7762922404158199</v>
      </c>
      <c r="C217" s="170">
        <v>0.479106758710272</v>
      </c>
      <c r="D217" s="170">
        <v>0.22010900350556684</v>
      </c>
    </row>
    <row r="218" spans="1:4" ht="12.75">
      <c r="A218" s="14" t="s">
        <v>556</v>
      </c>
      <c r="B218" s="164">
        <v>0.7068953618269093</v>
      </c>
      <c r="C218" s="170">
        <v>0.4988578525870768</v>
      </c>
      <c r="D218" s="170">
        <v>0.7635646820454172</v>
      </c>
    </row>
    <row r="219" spans="1:4" ht="12.75">
      <c r="A219" s="14" t="s">
        <v>557</v>
      </c>
      <c r="B219" s="164">
        <v>0.7049974512228341</v>
      </c>
      <c r="C219" s="170">
        <v>0.45829831889333117</v>
      </c>
      <c r="D219" s="170">
        <v>0.808696342240416</v>
      </c>
    </row>
    <row r="220" spans="1:4" ht="12.75">
      <c r="A220" s="14" t="s">
        <v>558</v>
      </c>
      <c r="B220" s="164">
        <v>0.7314619409793857</v>
      </c>
      <c r="C220" s="170">
        <v>0.5346211803479743</v>
      </c>
      <c r="D220" s="170">
        <v>0.5252502700806042</v>
      </c>
    </row>
    <row r="221" spans="1:4" ht="12.75">
      <c r="A221" s="14" t="s">
        <v>559</v>
      </c>
      <c r="B221" s="164">
        <v>0.7043697651452423</v>
      </c>
      <c r="C221" s="170">
        <v>0.4687728155891977</v>
      </c>
      <c r="D221" s="170">
        <v>0.5566839298143462</v>
      </c>
    </row>
    <row r="222" spans="1:4" ht="12.75">
      <c r="A222" s="14" t="s">
        <v>560</v>
      </c>
      <c r="B222" s="164">
        <v>0.7012310168243466</v>
      </c>
      <c r="C222" s="170">
        <v>0.34507271778949145</v>
      </c>
      <c r="D222" s="170">
        <v>0.4106082499247651</v>
      </c>
    </row>
    <row r="223" spans="1:4" ht="12.75">
      <c r="A223" s="70" t="s">
        <v>561</v>
      </c>
      <c r="B223" s="165">
        <v>0.7324047064769821</v>
      </c>
      <c r="C223" s="171">
        <v>0.3039136011792827</v>
      </c>
      <c r="D223" s="171">
        <v>0.7244104143863204</v>
      </c>
    </row>
    <row r="224" spans="1:4" ht="12.75">
      <c r="A224" s="148" t="s">
        <v>562</v>
      </c>
      <c r="B224" s="164">
        <v>0.9140742616992675</v>
      </c>
      <c r="C224" s="170">
        <v>0.9875529500435793</v>
      </c>
      <c r="D224" s="170">
        <v>0.90434763688066</v>
      </c>
    </row>
    <row r="225" spans="1:4" ht="12.75">
      <c r="A225" s="14" t="s">
        <v>563</v>
      </c>
      <c r="B225" s="164">
        <v>0.8735167851336527</v>
      </c>
      <c r="C225" s="170">
        <v>0.9863931721840569</v>
      </c>
      <c r="D225" s="170">
        <v>0.9197598640792091</v>
      </c>
    </row>
    <row r="226" spans="1:4" ht="12.75">
      <c r="A226" s="14" t="s">
        <v>564</v>
      </c>
      <c r="B226" s="164">
        <v>0.9117229111408091</v>
      </c>
      <c r="C226" s="170">
        <v>0.9871315498508281</v>
      </c>
      <c r="D226" s="170">
        <v>0.9008537100528636</v>
      </c>
    </row>
    <row r="227" spans="1:4" ht="12.75">
      <c r="A227" s="14" t="s">
        <v>565</v>
      </c>
      <c r="B227" s="164">
        <v>0.8971692660884569</v>
      </c>
      <c r="C227" s="170">
        <v>0.9845079143567463</v>
      </c>
      <c r="D227" s="170">
        <v>0.9444979939305352</v>
      </c>
    </row>
    <row r="228" spans="1:4" ht="12.75">
      <c r="A228" s="14" t="s">
        <v>566</v>
      </c>
      <c r="B228" s="164">
        <v>0.9002533470118069</v>
      </c>
      <c r="C228" s="170">
        <v>0.983266473331009</v>
      </c>
      <c r="D228" s="170">
        <v>0.8962914604463059</v>
      </c>
    </row>
    <row r="229" spans="1:4" ht="12.75">
      <c r="A229" s="14" t="s">
        <v>567</v>
      </c>
      <c r="B229" s="164">
        <v>0.897752301061298</v>
      </c>
      <c r="C229" s="170">
        <v>0.982422977760705</v>
      </c>
      <c r="D229" s="170">
        <v>0.9343027284635782</v>
      </c>
    </row>
    <row r="230" spans="1:4" ht="12.75">
      <c r="A230" s="14" t="s">
        <v>568</v>
      </c>
      <c r="B230" s="164">
        <v>0.9052750706283734</v>
      </c>
      <c r="C230" s="170">
        <v>0.9821758886257299</v>
      </c>
      <c r="D230" s="170">
        <v>0.9638342475807806</v>
      </c>
    </row>
    <row r="231" spans="1:4" ht="12.75">
      <c r="A231" s="14" t="s">
        <v>569</v>
      </c>
      <c r="B231" s="164">
        <v>0.8963149008743336</v>
      </c>
      <c r="C231" s="170">
        <v>0.9852396229716817</v>
      </c>
      <c r="D231" s="170">
        <v>0.9615418378244169</v>
      </c>
    </row>
    <row r="232" spans="1:4" ht="12.75">
      <c r="A232" s="14" t="s">
        <v>570</v>
      </c>
      <c r="B232" s="164">
        <v>0.9132733000049217</v>
      </c>
      <c r="C232" s="170">
        <v>0.9843260586269325</v>
      </c>
      <c r="D232" s="170">
        <v>0.9676574442981043</v>
      </c>
    </row>
    <row r="233" spans="1:4" ht="12.75">
      <c r="A233" s="14" t="s">
        <v>571</v>
      </c>
      <c r="B233" s="164">
        <v>0.9025619982231196</v>
      </c>
      <c r="C233" s="170">
        <v>0.9858674337279554</v>
      </c>
      <c r="D233" s="170">
        <v>0.9431478109536808</v>
      </c>
    </row>
    <row r="234" spans="1:4" ht="12.75">
      <c r="A234" s="14" t="s">
        <v>572</v>
      </c>
      <c r="B234" s="164">
        <v>0.9019280224016402</v>
      </c>
      <c r="C234" s="170">
        <v>0.9851802469237168</v>
      </c>
      <c r="D234" s="170">
        <v>0.9693617994400374</v>
      </c>
    </row>
    <row r="235" spans="1:4" ht="12.75">
      <c r="A235" s="14" t="s">
        <v>573</v>
      </c>
      <c r="B235" s="164">
        <v>0.9319108903018236</v>
      </c>
      <c r="C235" s="170">
        <v>0.9893626043076302</v>
      </c>
      <c r="D235" s="170">
        <v>0.9710549677588332</v>
      </c>
    </row>
    <row r="236" spans="1:4" ht="12.75">
      <c r="A236" s="14" t="s">
        <v>574</v>
      </c>
      <c r="B236" s="164">
        <v>0.9166961390067555</v>
      </c>
      <c r="C236" s="170">
        <v>0.9849776293336894</v>
      </c>
      <c r="D236" s="170">
        <v>0.9904921906630942</v>
      </c>
    </row>
    <row r="237" spans="1:4" ht="12.75">
      <c r="A237" s="14" t="s">
        <v>575</v>
      </c>
      <c r="B237" s="164">
        <v>0.9226675858477448</v>
      </c>
      <c r="C237" s="170">
        <v>0.9805928817402298</v>
      </c>
      <c r="D237" s="170">
        <v>0.9703455290076822</v>
      </c>
    </row>
    <row r="238" spans="1:4" ht="12.75">
      <c r="A238" s="14" t="s">
        <v>576</v>
      </c>
      <c r="B238" s="164">
        <v>0.9332224308202476</v>
      </c>
      <c r="C238" s="170">
        <v>0.9858191307614728</v>
      </c>
      <c r="D238" s="170">
        <v>0.9857699905611671</v>
      </c>
    </row>
    <row r="239" spans="1:4" ht="12.75">
      <c r="A239" s="14" t="s">
        <v>577</v>
      </c>
      <c r="B239" s="164">
        <v>0.9440606994617804</v>
      </c>
      <c r="C239" s="170">
        <v>0.9940555671461458</v>
      </c>
      <c r="D239" s="170">
        <v>0.9779618995168011</v>
      </c>
    </row>
    <row r="240" spans="1:4" ht="12.75">
      <c r="A240" s="14" t="s">
        <v>578</v>
      </c>
      <c r="B240" s="164">
        <v>0.927907761844769</v>
      </c>
      <c r="C240" s="170">
        <v>0.9935290390514543</v>
      </c>
      <c r="D240" s="170">
        <v>0.9814873254034584</v>
      </c>
    </row>
    <row r="241" spans="1:4" ht="12.75">
      <c r="A241" s="14" t="s">
        <v>579</v>
      </c>
      <c r="B241" s="164">
        <v>0.9398014276186737</v>
      </c>
      <c r="C241" s="170">
        <v>0.9927487965421945</v>
      </c>
      <c r="D241" s="170">
        <v>0.9829129445708364</v>
      </c>
    </row>
    <row r="242" spans="1:4" ht="12.75">
      <c r="A242" s="14" t="s">
        <v>580</v>
      </c>
      <c r="B242" s="164">
        <v>0.9386004433408609</v>
      </c>
      <c r="C242" s="170">
        <v>0.9852639752582466</v>
      </c>
      <c r="D242" s="170">
        <v>0.9685499362897496</v>
      </c>
    </row>
    <row r="243" spans="1:4" ht="12.75">
      <c r="A243" s="14" t="s">
        <v>581</v>
      </c>
      <c r="B243" s="164">
        <v>0.9245433344817547</v>
      </c>
      <c r="C243" s="170">
        <v>0.9884768217699093</v>
      </c>
      <c r="D243" s="170">
        <v>0.8814933437439775</v>
      </c>
    </row>
    <row r="244" spans="1:4" ht="12.75">
      <c r="A244" s="14" t="s">
        <v>582</v>
      </c>
      <c r="B244" s="164">
        <v>0.9248383516603748</v>
      </c>
      <c r="C244" s="170">
        <v>0.9897032563189551</v>
      </c>
      <c r="D244" s="170">
        <v>0.9721362991042238</v>
      </c>
    </row>
    <row r="245" spans="1:4" ht="12.75">
      <c r="A245" s="14" t="s">
        <v>583</v>
      </c>
      <c r="B245" s="164">
        <v>0.9233812966515221</v>
      </c>
      <c r="C245" s="170">
        <v>0.9906358122653569</v>
      </c>
      <c r="D245" s="170">
        <v>0.9652453088520057</v>
      </c>
    </row>
    <row r="246" spans="1:4" ht="12.75">
      <c r="A246" s="14" t="s">
        <v>584</v>
      </c>
      <c r="B246" s="164">
        <v>0.9269953493560749</v>
      </c>
      <c r="C246" s="170">
        <v>0.985419319172113</v>
      </c>
      <c r="D246" s="170">
        <v>0.9617566443563877</v>
      </c>
    </row>
    <row r="247" spans="1:4" ht="12.75">
      <c r="A247" s="14" t="s">
        <v>585</v>
      </c>
      <c r="B247" s="164">
        <v>0.9325512186279094</v>
      </c>
      <c r="C247" s="170">
        <v>0.9851585658090599</v>
      </c>
      <c r="D247" s="170">
        <v>0.9685729416132963</v>
      </c>
    </row>
    <row r="248" spans="1:4" ht="12.75">
      <c r="A248" s="14" t="s">
        <v>586</v>
      </c>
      <c r="B248" s="164">
        <v>0.9348978558197191</v>
      </c>
      <c r="C248" s="170">
        <v>0.992232367694256</v>
      </c>
      <c r="D248" s="170">
        <v>0.9752924342770879</v>
      </c>
    </row>
    <row r="249" spans="1:4" ht="12.75">
      <c r="A249" s="70" t="s">
        <v>587</v>
      </c>
      <c r="B249" s="165">
        <v>0.9447038653702016</v>
      </c>
      <c r="C249" s="171">
        <v>0.9908322639563291</v>
      </c>
      <c r="D249" s="171">
        <v>0.9749960458543425</v>
      </c>
    </row>
    <row r="250" spans="1:4" ht="12.75">
      <c r="A250" s="148" t="s">
        <v>588</v>
      </c>
      <c r="B250" s="164">
        <v>0.8944763408544163</v>
      </c>
      <c r="C250" s="170">
        <v>0.9746844991219334</v>
      </c>
      <c r="D250" s="170">
        <v>0.619107924664713</v>
      </c>
    </row>
    <row r="251" spans="1:4" ht="12.75">
      <c r="A251" s="14" t="s">
        <v>589</v>
      </c>
      <c r="B251" s="164">
        <v>0.8502705374723908</v>
      </c>
      <c r="C251" s="170">
        <v>0.9737333989393762</v>
      </c>
      <c r="D251" s="170">
        <v>0.6764816369491902</v>
      </c>
    </row>
    <row r="252" spans="1:4" ht="12.75">
      <c r="A252" s="14" t="s">
        <v>590</v>
      </c>
      <c r="B252" s="164">
        <v>0.9040693155923865</v>
      </c>
      <c r="C252" s="170">
        <v>0.9752999699953452</v>
      </c>
      <c r="D252" s="170">
        <v>0.6066460333081332</v>
      </c>
    </row>
    <row r="253" spans="1:4" ht="12.75">
      <c r="A253" s="14" t="s">
        <v>591</v>
      </c>
      <c r="B253" s="164">
        <v>0.8841139620596123</v>
      </c>
      <c r="C253" s="170">
        <v>0.9682376399200759</v>
      </c>
      <c r="D253" s="170">
        <v>0.7797996096477154</v>
      </c>
    </row>
    <row r="254" spans="1:4" ht="12.75">
      <c r="A254" s="14" t="s">
        <v>592</v>
      </c>
      <c r="B254" s="164">
        <v>0.881856218853543</v>
      </c>
      <c r="C254" s="170">
        <v>0.9681450482299085</v>
      </c>
      <c r="D254" s="170">
        <v>0.588243482630177</v>
      </c>
    </row>
    <row r="255" spans="1:4" ht="12.75">
      <c r="A255" s="14" t="s">
        <v>593</v>
      </c>
      <c r="B255" s="164">
        <v>0.8768080833181963</v>
      </c>
      <c r="C255" s="170">
        <v>0.9676495347698536</v>
      </c>
      <c r="D255" s="170">
        <v>0.7379379213043917</v>
      </c>
    </row>
    <row r="256" spans="1:4" ht="12.75">
      <c r="A256" s="14" t="s">
        <v>594</v>
      </c>
      <c r="B256" s="164">
        <v>0.8706412848236519</v>
      </c>
      <c r="C256" s="170">
        <v>0.9618401654119186</v>
      </c>
      <c r="D256" s="170">
        <v>0.8545447904559655</v>
      </c>
    </row>
    <row r="257" spans="1:4" ht="12.75">
      <c r="A257" s="14" t="s">
        <v>595</v>
      </c>
      <c r="B257" s="164">
        <v>0.8760045969220719</v>
      </c>
      <c r="C257" s="170">
        <v>0.9706411770973628</v>
      </c>
      <c r="D257" s="170">
        <v>0.8444694168719744</v>
      </c>
    </row>
    <row r="258" spans="1:4" ht="12.75">
      <c r="A258" s="14" t="s">
        <v>596</v>
      </c>
      <c r="B258" s="164">
        <v>0.9006244449893452</v>
      </c>
      <c r="C258" s="170">
        <v>0.9721688628249188</v>
      </c>
      <c r="D258" s="170">
        <v>0.8735892631615585</v>
      </c>
    </row>
    <row r="259" spans="1:4" ht="12.75">
      <c r="A259" s="14" t="s">
        <v>597</v>
      </c>
      <c r="B259" s="164">
        <v>0.8830152062512259</v>
      </c>
      <c r="C259" s="170">
        <v>0.9748501030570996</v>
      </c>
      <c r="D259" s="170">
        <v>0.7744118499904462</v>
      </c>
    </row>
    <row r="260" spans="1:4" ht="12.75">
      <c r="A260" s="14" t="s">
        <v>598</v>
      </c>
      <c r="B260" s="164">
        <v>0.8808532890915961</v>
      </c>
      <c r="C260" s="170">
        <v>0.9693474680380026</v>
      </c>
      <c r="D260" s="170">
        <v>0.8774513346023887</v>
      </c>
    </row>
    <row r="261" spans="1:4" ht="12.75">
      <c r="A261" s="14" t="s">
        <v>599</v>
      </c>
      <c r="B261" s="164">
        <v>0.915090486020016</v>
      </c>
      <c r="C261" s="170">
        <v>0.9728481034433836</v>
      </c>
      <c r="D261" s="170">
        <v>0.8786250024306221</v>
      </c>
    </row>
    <row r="262" spans="1:4" ht="12.75">
      <c r="A262" s="14" t="s">
        <v>600</v>
      </c>
      <c r="B262" s="164">
        <v>0.9051908284270621</v>
      </c>
      <c r="C262" s="170">
        <v>0.9700464786988433</v>
      </c>
      <c r="D262" s="170">
        <v>0.9636361163147628</v>
      </c>
    </row>
    <row r="263" spans="1:4" ht="12.75">
      <c r="A263" s="14" t="s">
        <v>601</v>
      </c>
      <c r="B263" s="164">
        <v>0.9046670088075445</v>
      </c>
      <c r="C263" s="170">
        <v>0.9633334294272402</v>
      </c>
      <c r="D263" s="170">
        <v>0.8811963807516746</v>
      </c>
    </row>
    <row r="264" spans="1:4" ht="12.75">
      <c r="A264" s="14" t="s">
        <v>602</v>
      </c>
      <c r="B264" s="164">
        <v>0.9234079650017009</v>
      </c>
      <c r="C264" s="170">
        <v>0.9713195984881793</v>
      </c>
      <c r="D264" s="170">
        <v>0.9431809228715875</v>
      </c>
    </row>
    <row r="265" spans="1:4" ht="12.75">
      <c r="A265" s="14" t="s">
        <v>603</v>
      </c>
      <c r="B265" s="164">
        <v>0.9276836986729613</v>
      </c>
      <c r="C265" s="170">
        <v>0.9890679590001782</v>
      </c>
      <c r="D265" s="170">
        <v>0.8988518398035268</v>
      </c>
    </row>
    <row r="266" spans="1:4" ht="12.75">
      <c r="A266" s="14" t="s">
        <v>604</v>
      </c>
      <c r="B266" s="164">
        <v>0.9094242037231444</v>
      </c>
      <c r="C266" s="170">
        <v>0.9859073736695637</v>
      </c>
      <c r="D266" s="170">
        <v>0.8984391798506326</v>
      </c>
    </row>
    <row r="267" spans="1:4" ht="12.75">
      <c r="A267" s="14" t="s">
        <v>605</v>
      </c>
      <c r="B267" s="164">
        <v>0.9302530159820764</v>
      </c>
      <c r="C267" s="170">
        <v>0.983662040578995</v>
      </c>
      <c r="D267" s="170">
        <v>0.9326117650765257</v>
      </c>
    </row>
    <row r="268" spans="1:4" ht="12.75">
      <c r="A268" s="14" t="s">
        <v>614</v>
      </c>
      <c r="B268" s="164">
        <v>0.9288428630577606</v>
      </c>
      <c r="C268" s="170">
        <v>0.9809427848559606</v>
      </c>
      <c r="D268" s="170">
        <v>0.8787286850419167</v>
      </c>
    </row>
    <row r="269" spans="1:4" ht="12.75">
      <c r="A269" s="14" t="s">
        <v>615</v>
      </c>
      <c r="B269" s="164">
        <v>0.9212665942276268</v>
      </c>
      <c r="C269" s="170">
        <v>0.97124980040211</v>
      </c>
      <c r="D269" s="170">
        <v>0.5272228025398091</v>
      </c>
    </row>
    <row r="270" spans="1:4" ht="12.75">
      <c r="A270" s="14" t="s">
        <v>616</v>
      </c>
      <c r="B270" s="164">
        <v>0.9104424192382226</v>
      </c>
      <c r="C270" s="170">
        <v>0.9785615299608564</v>
      </c>
      <c r="D270" s="170">
        <v>0.8805366011370144</v>
      </c>
    </row>
    <row r="271" spans="1:4" ht="12.75">
      <c r="A271" s="14" t="s">
        <v>617</v>
      </c>
      <c r="B271" s="164">
        <v>0.9114997647281448</v>
      </c>
      <c r="C271" s="170">
        <v>0.9764776827342487</v>
      </c>
      <c r="D271" s="170">
        <v>0.871745771837873</v>
      </c>
    </row>
    <row r="272" spans="1:4" ht="12.75">
      <c r="A272" s="14" t="s">
        <v>618</v>
      </c>
      <c r="B272" s="164">
        <v>0.9130047290569359</v>
      </c>
      <c r="C272" s="170">
        <v>0.9766152358832959</v>
      </c>
      <c r="D272" s="170">
        <v>0.8429379294451392</v>
      </c>
    </row>
    <row r="273" spans="1:4" ht="12.75">
      <c r="A273" s="14" t="s">
        <v>619</v>
      </c>
      <c r="B273" s="164">
        <v>0.9185295985488725</v>
      </c>
      <c r="C273" s="170">
        <v>0.9759747355041868</v>
      </c>
      <c r="D273" s="170">
        <v>0.8716102967369905</v>
      </c>
    </row>
    <row r="274" spans="1:4" ht="12.75">
      <c r="A274" s="14" t="s">
        <v>620</v>
      </c>
      <c r="B274" s="164">
        <v>0.9208322356003932</v>
      </c>
      <c r="C274" s="170">
        <v>0.9830988944960897</v>
      </c>
      <c r="D274" s="170">
        <v>0.8779934918056189</v>
      </c>
    </row>
    <row r="275" spans="1:4" ht="12.75">
      <c r="A275" s="70" t="s">
        <v>621</v>
      </c>
      <c r="B275" s="165">
        <v>0.9299615714877169</v>
      </c>
      <c r="C275" s="171">
        <v>0.9849575066019932</v>
      </c>
      <c r="D275" s="171">
        <v>0.8947050957075213</v>
      </c>
    </row>
    <row r="276" spans="1:4" ht="12.75">
      <c r="A276" s="148" t="s">
        <v>622</v>
      </c>
      <c r="B276" s="164">
        <v>0.7138545434609127</v>
      </c>
      <c r="C276" s="170">
        <v>0.7001808896531241</v>
      </c>
      <c r="D276" s="170">
        <v>0.6531857340001446</v>
      </c>
    </row>
    <row r="277" spans="1:4" ht="12.75">
      <c r="A277" s="14" t="s">
        <v>623</v>
      </c>
      <c r="B277" s="164">
        <v>0.6341352874030824</v>
      </c>
      <c r="C277" s="170">
        <v>0.6822456244394943</v>
      </c>
      <c r="D277" s="170">
        <v>0.6603033831140154</v>
      </c>
    </row>
    <row r="278" spans="1:4" ht="12.75">
      <c r="A278" s="14" t="s">
        <v>624</v>
      </c>
      <c r="B278" s="164">
        <v>0.7092056149161503</v>
      </c>
      <c r="C278" s="170">
        <v>0.7359226433512224</v>
      </c>
      <c r="D278" s="170">
        <v>0.6843372677277959</v>
      </c>
    </row>
    <row r="279" spans="1:4" ht="12.75">
      <c r="A279" s="14" t="s">
        <v>625</v>
      </c>
      <c r="B279" s="164">
        <v>0.6540000376862236</v>
      </c>
      <c r="C279" s="170">
        <v>0.6764180082216421</v>
      </c>
      <c r="D279" s="170">
        <v>0.7567208880237489</v>
      </c>
    </row>
    <row r="280" spans="1:4" ht="12.75">
      <c r="A280" s="14" t="s">
        <v>626</v>
      </c>
      <c r="B280" s="164">
        <v>0.6726546263602801</v>
      </c>
      <c r="C280" s="170">
        <v>0.7137197402643917</v>
      </c>
      <c r="D280" s="170">
        <v>0.6718702250305006</v>
      </c>
    </row>
    <row r="281" spans="1:4" ht="12.75">
      <c r="A281" s="14" t="s">
        <v>627</v>
      </c>
      <c r="B281" s="164">
        <v>0.6856026249913321</v>
      </c>
      <c r="C281" s="170">
        <v>0.6660881097658119</v>
      </c>
      <c r="D281" s="170">
        <v>0.7594680693427709</v>
      </c>
    </row>
    <row r="282" spans="1:4" ht="12.75">
      <c r="A282" s="14" t="s">
        <v>628</v>
      </c>
      <c r="B282" s="164">
        <v>0.6343042833220531</v>
      </c>
      <c r="C282" s="170">
        <v>0.6250257402124242</v>
      </c>
      <c r="D282" s="170">
        <v>0.7560119853347692</v>
      </c>
    </row>
    <row r="283" spans="1:4" ht="12.75">
      <c r="A283" s="14" t="s">
        <v>629</v>
      </c>
      <c r="B283" s="164">
        <v>0.6979473707712209</v>
      </c>
      <c r="C283" s="170">
        <v>0.6713137767781565</v>
      </c>
      <c r="D283" s="170">
        <v>0.7701817611837053</v>
      </c>
    </row>
    <row r="284" spans="1:4" ht="12.75">
      <c r="A284" s="14" t="s">
        <v>630</v>
      </c>
      <c r="B284" s="164">
        <v>0.658488549867211</v>
      </c>
      <c r="C284" s="170">
        <v>0.6848320925635216</v>
      </c>
      <c r="D284" s="170">
        <v>0.7820238999589485</v>
      </c>
    </row>
    <row r="285" spans="1:4" ht="12.75">
      <c r="A285" s="14" t="s">
        <v>631</v>
      </c>
      <c r="B285" s="164">
        <v>0.6583625422627372</v>
      </c>
      <c r="C285" s="170">
        <v>0.6835747947323098</v>
      </c>
      <c r="D285" s="170">
        <v>0.7653714070094602</v>
      </c>
    </row>
    <row r="286" spans="1:4" ht="12.75">
      <c r="A286" s="14" t="s">
        <v>632</v>
      </c>
      <c r="B286" s="164">
        <v>0.6439155830172825</v>
      </c>
      <c r="C286" s="170">
        <v>0.6496971748930708</v>
      </c>
      <c r="D286" s="170">
        <v>0.8001287413824183</v>
      </c>
    </row>
    <row r="287" spans="1:4" ht="12.75">
      <c r="A287" s="14" t="s">
        <v>633</v>
      </c>
      <c r="B287" s="164">
        <v>0.702898958746822</v>
      </c>
      <c r="C287" s="170">
        <v>0.7219511705694592</v>
      </c>
      <c r="D287" s="170">
        <v>0.8315570985588048</v>
      </c>
    </row>
    <row r="288" spans="1:4" ht="12.75">
      <c r="A288" s="14" t="s">
        <v>634</v>
      </c>
      <c r="B288" s="164">
        <v>0.6556193864215982</v>
      </c>
      <c r="C288" s="170">
        <v>0.6700030293563382</v>
      </c>
      <c r="D288" s="170">
        <v>0.7909639528204209</v>
      </c>
    </row>
    <row r="289" spans="1:4" ht="12.75">
      <c r="A289" s="14" t="s">
        <v>635</v>
      </c>
      <c r="B289" s="164">
        <v>0.735296773494698</v>
      </c>
      <c r="C289" s="170">
        <v>0.5782847946819123</v>
      </c>
      <c r="D289" s="170">
        <v>0.7562977944634395</v>
      </c>
    </row>
    <row r="290" spans="1:4" ht="12.75">
      <c r="A290" s="14" t="s">
        <v>636</v>
      </c>
      <c r="B290" s="164">
        <v>0.669258782921137</v>
      </c>
      <c r="C290" s="170">
        <v>0.6315938606874343</v>
      </c>
      <c r="D290" s="170">
        <v>0.7523085323376796</v>
      </c>
    </row>
    <row r="291" spans="1:4" ht="12.75">
      <c r="A291" s="14" t="s">
        <v>637</v>
      </c>
      <c r="B291" s="164">
        <v>0.7107382194816925</v>
      </c>
      <c r="C291" s="170">
        <v>0.5943459220707303</v>
      </c>
      <c r="D291" s="170">
        <v>0.8515729786268629</v>
      </c>
    </row>
    <row r="292" spans="1:4" ht="12.75">
      <c r="A292" s="14" t="s">
        <v>638</v>
      </c>
      <c r="B292" s="164">
        <v>0.7181617679095336</v>
      </c>
      <c r="C292" s="170">
        <v>0.672348401703356</v>
      </c>
      <c r="D292" s="170">
        <v>0.8376588509008046</v>
      </c>
    </row>
    <row r="293" spans="1:4" ht="12.75">
      <c r="A293" s="14" t="s">
        <v>639</v>
      </c>
      <c r="B293" s="164">
        <v>0.6552008131677045</v>
      </c>
      <c r="C293" s="170">
        <v>0.6907297890621642</v>
      </c>
      <c r="D293" s="170">
        <v>0.8652220293018483</v>
      </c>
    </row>
    <row r="294" spans="1:4" ht="12.75">
      <c r="A294" s="14" t="s">
        <v>645</v>
      </c>
      <c r="B294" s="164">
        <v>0.6768266036733723</v>
      </c>
      <c r="C294" s="170">
        <v>0.27080622095838214</v>
      </c>
      <c r="D294" s="170">
        <v>0.8282962461084922</v>
      </c>
    </row>
    <row r="295" spans="1:4" ht="12.75">
      <c r="A295" s="14" t="s">
        <v>646</v>
      </c>
      <c r="B295" s="164">
        <v>0.6474630678047186</v>
      </c>
      <c r="C295" s="170">
        <v>0.719613447875471</v>
      </c>
      <c r="D295" s="170">
        <v>0.6455651888373124</v>
      </c>
    </row>
    <row r="296" spans="1:4" ht="12.75">
      <c r="A296" s="14" t="s">
        <v>647</v>
      </c>
      <c r="B296" s="164">
        <v>0.6669771123846182</v>
      </c>
      <c r="C296" s="170">
        <v>0.7246949478892072</v>
      </c>
      <c r="D296" s="170">
        <v>0.8346214837457425</v>
      </c>
    </row>
    <row r="297" spans="1:4" ht="12.75">
      <c r="A297" s="14" t="s">
        <v>648</v>
      </c>
      <c r="B297" s="164">
        <v>0.6411257483576013</v>
      </c>
      <c r="C297" s="170">
        <v>0.7336928036277578</v>
      </c>
      <c r="D297" s="170">
        <v>0.7946852985008459</v>
      </c>
    </row>
    <row r="298" spans="1:4" ht="12.75">
      <c r="A298" s="14" t="s">
        <v>649</v>
      </c>
      <c r="B298" s="164">
        <v>0.7717563489646166</v>
      </c>
      <c r="C298" s="170">
        <v>0.6735758679537751</v>
      </c>
      <c r="D298" s="170">
        <v>0.7946733215575232</v>
      </c>
    </row>
    <row r="299" spans="1:4" ht="12.75">
      <c r="A299" s="14" t="s">
        <v>650</v>
      </c>
      <c r="B299" s="164">
        <v>0.7108893819713782</v>
      </c>
      <c r="C299" s="170">
        <v>0.6548091334148867</v>
      </c>
      <c r="D299" s="170">
        <v>0.825308046179176</v>
      </c>
    </row>
    <row r="300" spans="1:4" ht="12.75">
      <c r="A300" s="14" t="s">
        <v>651</v>
      </c>
      <c r="B300" s="164">
        <v>0.7291578010556157</v>
      </c>
      <c r="C300" s="170">
        <v>0.6708967689919748</v>
      </c>
      <c r="D300" s="170">
        <v>0.7735351921488344</v>
      </c>
    </row>
    <row r="301" spans="1:4" ht="12.75">
      <c r="A301" s="70" t="s">
        <v>652</v>
      </c>
      <c r="B301" s="165">
        <v>0.7059932898132133</v>
      </c>
      <c r="C301" s="171">
        <v>0.6020725679319454</v>
      </c>
      <c r="D301" s="171">
        <v>0.8502117995750831</v>
      </c>
    </row>
    <row r="302" spans="1:4" ht="12.75">
      <c r="A302" s="148" t="s">
        <v>653</v>
      </c>
      <c r="B302" s="164">
        <v>0.6485905594874511</v>
      </c>
      <c r="C302" s="170">
        <v>0.3902112566574668</v>
      </c>
      <c r="D302" s="170">
        <v>-0.38103023516268975</v>
      </c>
    </row>
    <row r="303" spans="1:4" ht="12.75">
      <c r="A303" s="14" t="s">
        <v>654</v>
      </c>
      <c r="B303" s="164">
        <v>0.5668933080737981</v>
      </c>
      <c r="C303" s="170">
        <v>0.3866074054133266</v>
      </c>
      <c r="D303" s="170">
        <v>-0.36961499588357727</v>
      </c>
    </row>
    <row r="304" spans="1:4" ht="12.75">
      <c r="A304" s="14" t="s">
        <v>655</v>
      </c>
      <c r="B304" s="164">
        <v>0.6839938341478233</v>
      </c>
      <c r="C304" s="170">
        <v>0.49312321552611715</v>
      </c>
      <c r="D304" s="170">
        <v>-0.25236343127179794</v>
      </c>
    </row>
    <row r="305" spans="1:4" ht="12.75">
      <c r="A305" s="14" t="s">
        <v>656</v>
      </c>
      <c r="B305" s="164">
        <v>0.6100721716665098</v>
      </c>
      <c r="C305" s="170">
        <v>0.33658204744570086</v>
      </c>
      <c r="D305" s="170">
        <v>0.034806861671256906</v>
      </c>
    </row>
    <row r="306" spans="1:4" ht="12.75">
      <c r="A306" s="14" t="s">
        <v>657</v>
      </c>
      <c r="B306" s="164">
        <v>0.6122795199236004</v>
      </c>
      <c r="C306" s="170">
        <v>0.4550196114064605</v>
      </c>
      <c r="D306" s="170">
        <v>-0.3027815642590659</v>
      </c>
    </row>
    <row r="307" spans="1:4" ht="12.75">
      <c r="A307" s="14" t="s">
        <v>658</v>
      </c>
      <c r="B307" s="164">
        <v>0.6212020844570286</v>
      </c>
      <c r="C307" s="170">
        <v>0.3854360057186308</v>
      </c>
      <c r="D307" s="170">
        <v>0.04053400899981141</v>
      </c>
    </row>
    <row r="308" spans="1:4" ht="12.75">
      <c r="A308" s="14" t="s">
        <v>659</v>
      </c>
      <c r="B308" s="164">
        <v>0.5005968505992597</v>
      </c>
      <c r="C308" s="170">
        <v>0.1972135144455054</v>
      </c>
      <c r="D308" s="170">
        <v>0.018703457680470326</v>
      </c>
    </row>
    <row r="309" spans="1:4" ht="12.75">
      <c r="A309" s="14" t="s">
        <v>660</v>
      </c>
      <c r="B309" s="164">
        <v>0.6387799420765636</v>
      </c>
      <c r="C309" s="170">
        <v>0.34623346005368105</v>
      </c>
      <c r="D309" s="170">
        <v>0.07058053025612976</v>
      </c>
    </row>
    <row r="310" spans="1:4" ht="12.75">
      <c r="A310" s="14" t="s">
        <v>661</v>
      </c>
      <c r="B310" s="164">
        <v>0.6086800270116881</v>
      </c>
      <c r="C310" s="170">
        <v>0.4403780736273587</v>
      </c>
      <c r="D310" s="170">
        <v>0.14804137083872848</v>
      </c>
    </row>
    <row r="311" spans="1:4" ht="12.75">
      <c r="A311" s="14" t="s">
        <v>662</v>
      </c>
      <c r="B311" s="164">
        <v>0.5898275128653937</v>
      </c>
      <c r="C311" s="170">
        <v>0.43689906352250896</v>
      </c>
      <c r="D311" s="170">
        <v>0.06899925719733946</v>
      </c>
    </row>
    <row r="312" spans="1:4" ht="12.75">
      <c r="A312" s="14" t="s">
        <v>663</v>
      </c>
      <c r="B312" s="164">
        <v>0.5673964354733585</v>
      </c>
      <c r="C312" s="170">
        <v>0.2754488898906088</v>
      </c>
      <c r="D312" s="170">
        <v>0.20054195261931707</v>
      </c>
    </row>
    <row r="313" spans="1:4" ht="12.75">
      <c r="A313" s="14" t="s">
        <v>665</v>
      </c>
      <c r="B313" s="164">
        <v>0.6295045547286662</v>
      </c>
      <c r="C313" s="170">
        <v>0.29028182529661406</v>
      </c>
      <c r="D313" s="170">
        <v>0.2936695809263383</v>
      </c>
    </row>
    <row r="314" spans="1:4" ht="12.75">
      <c r="A314" s="14" t="s">
        <v>666</v>
      </c>
      <c r="B314" s="164">
        <v>0.6080560938010291</v>
      </c>
      <c r="C314" s="170">
        <v>0.34200989250921676</v>
      </c>
      <c r="D314" s="170">
        <v>0.20051378437361866</v>
      </c>
    </row>
    <row r="315" spans="1:4" ht="12.75">
      <c r="A315" s="14" t="s">
        <v>22</v>
      </c>
      <c r="B315" s="164">
        <v>0.6736821081084976</v>
      </c>
      <c r="C315" s="170">
        <v>0.20323820721723607</v>
      </c>
      <c r="D315" s="170">
        <v>0.02366479428875512</v>
      </c>
    </row>
    <row r="316" spans="1:4" ht="12.75">
      <c r="A316" s="14" t="s">
        <v>25</v>
      </c>
      <c r="B316" s="164">
        <v>0.6206489217105963</v>
      </c>
      <c r="C316" s="170">
        <v>0.2549091443423066</v>
      </c>
      <c r="D316" s="170">
        <v>0.010991477858830812</v>
      </c>
    </row>
    <row r="317" spans="1:4" ht="12.75">
      <c r="A317" s="14" t="s">
        <v>26</v>
      </c>
      <c r="B317" s="164">
        <v>0.6260528486932803</v>
      </c>
      <c r="C317" s="170">
        <v>0.2539865247544357</v>
      </c>
      <c r="D317" s="170">
        <v>0.3187652381029419</v>
      </c>
    </row>
    <row r="318" spans="1:4" ht="12.75">
      <c r="A318" s="14" t="s">
        <v>27</v>
      </c>
      <c r="B318" s="164">
        <v>0.64590193138562</v>
      </c>
      <c r="C318" s="170">
        <v>0.2864318641263739</v>
      </c>
      <c r="D318" s="170">
        <v>0.10939393654199225</v>
      </c>
    </row>
    <row r="319" spans="1:4" ht="12.75">
      <c r="A319" s="14" t="s">
        <v>28</v>
      </c>
      <c r="B319" s="164">
        <v>0.6005104037841751</v>
      </c>
      <c r="C319" s="170">
        <v>0.3031716478746761</v>
      </c>
      <c r="D319" s="170">
        <v>0.46846022771047047</v>
      </c>
    </row>
    <row r="320" spans="1:4" ht="12.75">
      <c r="A320" s="14" t="s">
        <v>29</v>
      </c>
      <c r="B320" s="164">
        <v>0.62546808365139</v>
      </c>
      <c r="C320" s="170">
        <v>0.05697751107075666</v>
      </c>
      <c r="D320" s="170">
        <v>0.337911038607035</v>
      </c>
    </row>
    <row r="321" spans="1:4" ht="12.75">
      <c r="A321" s="14" t="s">
        <v>30</v>
      </c>
      <c r="B321" s="164">
        <v>0.6321539900863065</v>
      </c>
      <c r="C321" s="170">
        <v>0.3004387177580823</v>
      </c>
      <c r="D321" s="170">
        <v>-0.4140024028845346</v>
      </c>
    </row>
    <row r="322" spans="1:4" ht="12.75">
      <c r="A322" s="14" t="s">
        <v>31</v>
      </c>
      <c r="B322" s="164">
        <v>0.6031922554655939</v>
      </c>
      <c r="C322" s="170">
        <v>0.4267975105404279</v>
      </c>
      <c r="D322" s="170">
        <v>0.29095278030184424</v>
      </c>
    </row>
    <row r="323" spans="1:4" ht="12.75">
      <c r="A323" s="14" t="s">
        <v>32</v>
      </c>
      <c r="B323" s="164">
        <v>0.5854738553991172</v>
      </c>
      <c r="C323" s="170">
        <v>0.3310511770234831</v>
      </c>
      <c r="D323" s="170">
        <v>0.24233311529136925</v>
      </c>
    </row>
    <row r="324" spans="1:4" ht="12.75">
      <c r="A324" s="14" t="s">
        <v>33</v>
      </c>
      <c r="B324" s="164">
        <v>0.7280157073868607</v>
      </c>
      <c r="C324" s="170">
        <v>0.47647497260201455</v>
      </c>
      <c r="D324" s="170">
        <v>0.156741538141828</v>
      </c>
    </row>
    <row r="325" spans="1:4" ht="12.75">
      <c r="A325" s="14" t="s">
        <v>34</v>
      </c>
      <c r="B325" s="164">
        <v>0.6507874918504948</v>
      </c>
      <c r="C325" s="170">
        <v>0.441206168854695</v>
      </c>
      <c r="D325" s="170">
        <v>0.28632683856341545</v>
      </c>
    </row>
    <row r="326" spans="1:4" ht="12.75">
      <c r="A326" s="14" t="s">
        <v>35</v>
      </c>
      <c r="B326" s="164">
        <v>0.6706410877017609</v>
      </c>
      <c r="C326" s="170">
        <v>0.28392485508984366</v>
      </c>
      <c r="D326" s="170">
        <v>-0.11828825003225152</v>
      </c>
    </row>
    <row r="327" spans="1:4" ht="12.75">
      <c r="A327" s="70" t="s">
        <v>36</v>
      </c>
      <c r="B327" s="165">
        <v>0.6276092697724995</v>
      </c>
      <c r="C327" s="171">
        <v>0.3470775400539662</v>
      </c>
      <c r="D327" s="171">
        <v>0.36922239834520765</v>
      </c>
    </row>
    <row r="328" spans="1:4" ht="12.75">
      <c r="A328" s="148" t="s">
        <v>37</v>
      </c>
      <c r="B328" s="164">
        <v>0.18572063368095804</v>
      </c>
      <c r="C328" s="172">
        <v>0.5083229829671352</v>
      </c>
      <c r="D328" s="172">
        <v>0.7488727928110861</v>
      </c>
    </row>
    <row r="329" spans="1:4" ht="12.75">
      <c r="A329" s="14" t="s">
        <v>38</v>
      </c>
      <c r="B329" s="164">
        <v>0.15525499970972945</v>
      </c>
      <c r="C329" s="172">
        <v>0.4819722664330168</v>
      </c>
      <c r="D329" s="172">
        <v>0.7519765642848875</v>
      </c>
    </row>
    <row r="330" spans="1:4" ht="12.75">
      <c r="A330" s="14" t="s">
        <v>39</v>
      </c>
      <c r="B330" s="164">
        <v>0.07978255962296854</v>
      </c>
      <c r="C330" s="172">
        <v>0.4790107482967898</v>
      </c>
      <c r="D330" s="172">
        <v>0.7479463833021356</v>
      </c>
    </row>
    <row r="331" spans="1:4" ht="12.75">
      <c r="A331" s="14" t="s">
        <v>40</v>
      </c>
      <c r="B331" s="164">
        <v>0.11265640158963963</v>
      </c>
      <c r="C331" s="172">
        <v>0.5122501727116383</v>
      </c>
      <c r="D331" s="172">
        <v>0.7479477398715295</v>
      </c>
    </row>
    <row r="332" spans="1:4" ht="12.75">
      <c r="A332" s="14" t="s">
        <v>41</v>
      </c>
      <c r="B332" s="164">
        <v>0.15571812565790388</v>
      </c>
      <c r="C332" s="172">
        <v>0.47469621709796317</v>
      </c>
      <c r="D332" s="172">
        <v>0.7481313951843359</v>
      </c>
    </row>
    <row r="333" spans="1:4" ht="12.75">
      <c r="A333" s="14" t="s">
        <v>42</v>
      </c>
      <c r="B333" s="164">
        <v>0.1700129221724762</v>
      </c>
      <c r="C333" s="172">
        <v>0.45666864095309934</v>
      </c>
      <c r="D333" s="172">
        <v>0.7493064549307389</v>
      </c>
    </row>
    <row r="334" spans="1:4" ht="12.75">
      <c r="A334" s="14" t="s">
        <v>43</v>
      </c>
      <c r="B334" s="164">
        <v>0.26773446039184157</v>
      </c>
      <c r="C334" s="172">
        <v>0.5329091028125911</v>
      </c>
      <c r="D334" s="172">
        <v>0.7513615873051925</v>
      </c>
    </row>
    <row r="335" spans="1:4" ht="12.75">
      <c r="A335" s="14" t="s">
        <v>44</v>
      </c>
      <c r="B335" s="164">
        <v>0.16379884615155638</v>
      </c>
      <c r="C335" s="172">
        <v>0.49724220629457105</v>
      </c>
      <c r="D335" s="172">
        <v>0.7527292613316697</v>
      </c>
    </row>
    <row r="336" spans="1:4" ht="12.75">
      <c r="A336" s="14" t="s">
        <v>45</v>
      </c>
      <c r="B336" s="164">
        <v>0.12728336474921131</v>
      </c>
      <c r="C336" s="172">
        <v>0.4368199447092176</v>
      </c>
      <c r="D336" s="172">
        <v>0.7441470834615026</v>
      </c>
    </row>
    <row r="337" spans="1:4" ht="12.75">
      <c r="A337" s="14" t="s">
        <v>46</v>
      </c>
      <c r="B337" s="164">
        <v>0.16708831417757264</v>
      </c>
      <c r="C337" s="172">
        <v>0.4380666328720646</v>
      </c>
      <c r="D337" s="172">
        <v>0.7479823783123738</v>
      </c>
    </row>
    <row r="338" spans="1:4" ht="12.75">
      <c r="A338" s="14" t="s">
        <v>47</v>
      </c>
      <c r="B338" s="164">
        <v>0.1768805294696355</v>
      </c>
      <c r="C338" s="172">
        <v>0.5165243414587534</v>
      </c>
      <c r="D338" s="172">
        <v>0.7499915608174399</v>
      </c>
    </row>
    <row r="339" spans="1:4" ht="12.75">
      <c r="A339" s="14" t="s">
        <v>48</v>
      </c>
      <c r="B339" s="164">
        <v>0.19809799271460693</v>
      </c>
      <c r="C339" s="172">
        <v>0.6082264209356814</v>
      </c>
      <c r="D339" s="172">
        <v>0.7615239314454207</v>
      </c>
    </row>
    <row r="340" spans="1:4" ht="12.75">
      <c r="A340" s="14" t="s">
        <v>49</v>
      </c>
      <c r="B340" s="164">
        <v>0.121352295234879</v>
      </c>
      <c r="C340" s="172">
        <v>0.49847730704935533</v>
      </c>
      <c r="D340" s="172">
        <v>0.7385370215347571</v>
      </c>
    </row>
    <row r="341" spans="1:4" ht="12.75">
      <c r="A341" s="14" t="s">
        <v>50</v>
      </c>
      <c r="B341" s="164">
        <v>0.18881791932722714</v>
      </c>
      <c r="C341" s="172">
        <v>0.4707135694280613</v>
      </c>
      <c r="D341" s="172">
        <v>0.7503908451615986</v>
      </c>
    </row>
    <row r="342" spans="1:4" ht="12.75">
      <c r="A342" s="14" t="s">
        <v>51</v>
      </c>
      <c r="B342" s="164">
        <v>0.12813950979060273</v>
      </c>
      <c r="C342" s="172">
        <v>0.505555414463686</v>
      </c>
      <c r="D342" s="172">
        <v>0.74955578024133</v>
      </c>
    </row>
    <row r="343" spans="1:4" ht="12.75">
      <c r="A343" s="14" t="s">
        <v>52</v>
      </c>
      <c r="B343" s="164">
        <v>0.22646347349481877</v>
      </c>
      <c r="C343" s="172">
        <v>0.456237599735392</v>
      </c>
      <c r="D343" s="172">
        <v>0.7821205997183597</v>
      </c>
    </row>
    <row r="344" spans="1:4" ht="12.75">
      <c r="A344" s="14" t="s">
        <v>53</v>
      </c>
      <c r="B344" s="164">
        <v>0.2040672992277911</v>
      </c>
      <c r="C344" s="172">
        <v>0.5408264721693352</v>
      </c>
      <c r="D344" s="172">
        <v>0.8177183428677051</v>
      </c>
    </row>
    <row r="345" spans="1:4" ht="12.75">
      <c r="A345" s="14" t="s">
        <v>54</v>
      </c>
      <c r="B345" s="164">
        <v>0.13690071006000104</v>
      </c>
      <c r="C345" s="172">
        <v>0.5561744725303401</v>
      </c>
      <c r="D345" s="172">
        <v>0.7464385964617184</v>
      </c>
    </row>
    <row r="346" spans="1:4" ht="12.75">
      <c r="A346" s="14" t="s">
        <v>55</v>
      </c>
      <c r="B346" s="164">
        <v>0.1371272187499728</v>
      </c>
      <c r="C346" s="172">
        <v>0.22674826146555382</v>
      </c>
      <c r="D346" s="172">
        <v>0.7406636208973167</v>
      </c>
    </row>
    <row r="347" spans="1:4" ht="12.75">
      <c r="A347" s="14" t="s">
        <v>56</v>
      </c>
      <c r="B347" s="164">
        <v>0.04161816984776878</v>
      </c>
      <c r="C347" s="172">
        <v>0.5991965832843682</v>
      </c>
      <c r="D347" s="172">
        <v>0.749339314813293</v>
      </c>
    </row>
    <row r="348" spans="1:4" ht="12.75">
      <c r="A348" s="14" t="s">
        <v>57</v>
      </c>
      <c r="B348" s="164">
        <v>0.16074498997963416</v>
      </c>
      <c r="C348" s="172">
        <v>0.5197071590349225</v>
      </c>
      <c r="D348" s="172">
        <v>0.766759516630416</v>
      </c>
    </row>
    <row r="349" spans="1:4" ht="12.75">
      <c r="A349" s="14" t="s">
        <v>58</v>
      </c>
      <c r="B349" s="164">
        <v>0.13425424109754802</v>
      </c>
      <c r="C349" s="172">
        <v>0.6019019882757297</v>
      </c>
      <c r="D349" s="172">
        <v>0.7290171899513462</v>
      </c>
    </row>
    <row r="350" spans="1:4" ht="12.75">
      <c r="A350" s="14" t="s">
        <v>59</v>
      </c>
      <c r="B350" s="164">
        <v>0.16082046929074367</v>
      </c>
      <c r="C350" s="172">
        <v>0.3764880092388092</v>
      </c>
      <c r="D350" s="172">
        <v>0.756508012988062</v>
      </c>
    </row>
    <row r="351" spans="1:4" ht="12.75">
      <c r="A351" s="14" t="s">
        <v>60</v>
      </c>
      <c r="B351" s="164">
        <v>0.17210692262819072</v>
      </c>
      <c r="C351" s="172">
        <v>0.38225719872817976</v>
      </c>
      <c r="D351" s="172">
        <v>0.7552213488466082</v>
      </c>
    </row>
    <row r="352" spans="1:4" ht="12.75">
      <c r="A352" s="14" t="s">
        <v>61</v>
      </c>
      <c r="B352" s="164">
        <v>0.1776685286744788</v>
      </c>
      <c r="C352" s="172">
        <v>0.540406850667444</v>
      </c>
      <c r="D352" s="172">
        <v>0.7974897725656741</v>
      </c>
    </row>
    <row r="353" spans="1:4" ht="12.75">
      <c r="A353" s="70" t="s">
        <v>62</v>
      </c>
      <c r="B353" s="165">
        <v>0.2104886445288997</v>
      </c>
      <c r="C353" s="173">
        <v>0.39054412050560394</v>
      </c>
      <c r="D353" s="173">
        <v>0.7625340531560408</v>
      </c>
    </row>
  </sheetData>
  <sheetProtection sheet="1"/>
  <mergeCells count="12">
    <mergeCell ref="A33:F33"/>
    <mergeCell ref="A62:F62"/>
    <mergeCell ref="B34:B35"/>
    <mergeCell ref="D34:D35"/>
    <mergeCell ref="E34:E35"/>
    <mergeCell ref="F34:F35"/>
    <mergeCell ref="A34:A35"/>
    <mergeCell ref="A147:D147"/>
    <mergeCell ref="C63:C66"/>
    <mergeCell ref="C34:C35"/>
    <mergeCell ref="A63:A66"/>
    <mergeCell ref="B63:B66"/>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annsmith</cp:lastModifiedBy>
  <cp:lastPrinted>2008-01-09T19:01:04Z</cp:lastPrinted>
  <dcterms:created xsi:type="dcterms:W3CDTF">2006-09-26T17:51:36Z</dcterms:created>
  <dcterms:modified xsi:type="dcterms:W3CDTF">2008-02-29T18:50:03Z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-643490789</vt:i4>
  </property>
  <property fmtid="{D5CDD505-2E9C-101B-9397-08002B2CF9AE}" pid="3" name="_EmailSubject">
    <vt:lpwstr>P calculation spreadsheet</vt:lpwstr>
  </property>
  <property fmtid="{D5CDD505-2E9C-101B-9397-08002B2CF9AE}" pid="4" name="_AuthorEmail">
    <vt:lpwstr>JGuiling@wri.org</vt:lpwstr>
  </property>
  <property fmtid="{D5CDD505-2E9C-101B-9397-08002B2CF9AE}" pid="5" name="_AuthorEmailDisplayName">
    <vt:lpwstr>Jenny Guiling</vt:lpwstr>
  </property>
  <property fmtid="{D5CDD505-2E9C-101B-9397-08002B2CF9AE}" pid="6" name="_ReviewingToolsShownOnce">
    <vt:lpwstr/>
  </property>
</Properties>
</file>