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0" windowWidth="12120" windowHeight="907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<sst xmlns="http://schemas.openxmlformats.org/spreadsheetml/2006/main" count="1896" uniqueCount="880">
  <si>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</si>
  <si>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</si>
  <si>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</si>
  <si>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</si>
  <si>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</si>
  <si>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</si>
  <si>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</si>
  <si>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</si>
  <si>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</si>
  <si>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</si>
  <si>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</si>
  <si>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</si>
  <si>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</si>
  <si>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</si>
  <si>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</si>
  <si>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</si>
  <si>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</si>
  <si>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</si>
  <si>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</si>
  <si>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</si>
  <si>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</si>
  <si>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</si>
  <si>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</si>
  <si>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</si>
  <si>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</si>
  <si>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</si>
  <si>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</si>
  <si>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</si>
  <si>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</si>
  <si>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</si>
  <si>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</si>
  <si>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</si>
  <si>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</si>
  <si>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</si>
  <si>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</si>
  <si>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</si>
  <si>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</si>
  <si>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</si>
  <si>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</si>
  <si>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</si>
  <si>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</si>
  <si>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</si>
  <si>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</si>
  <si>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</si>
  <si>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</si>
  <si>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</si>
  <si>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</si>
  <si>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</si>
  <si>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</si>
  <si>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</si>
  <si>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</si>
  <si>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</si>
  <si>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</si>
  <si>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</si>
  <si>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</si>
  <si>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</si>
  <si>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</si>
  <si>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</si>
  <si>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</si>
  <si>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</si>
  <si>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</si>
  <si>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</si>
  <si>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</si>
  <si>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</si>
  <si>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</si>
  <si>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</si>
  <si>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</si>
  <si>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</si>
  <si>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</si>
  <si>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</si>
  <si>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</si>
  <si>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</si>
  <si>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</si>
  <si>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</si>
  <si>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</si>
  <si>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</si>
  <si>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</si>
  <si>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</si>
  <si>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</si>
  <si>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</si>
  <si>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</si>
  <si>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</si>
  <si>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</si>
  <si>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</si>
  <si>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</si>
  <si>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</si>
  <si>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</si>
  <si>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</si>
  <si>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</si>
  <si>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</si>
  <si>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</si>
  <si>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</si>
  <si>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</si>
  <si>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</si>
  <si>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</si>
  <si>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</si>
  <si>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</si>
  <si>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</si>
  <si>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</si>
  <si>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</si>
  <si>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</si>
  <si>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</si>
  <si>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</si>
  <si>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</si>
  <si>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</si>
  <si>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</si>
  <si>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</si>
  <si>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</si>
  <si>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</si>
  <si>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</si>
  <si>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</si>
  <si>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</si>
  <si>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</si>
  <si>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</si>
  <si>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</si>
  <si>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</si>
  <si>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</si>
  <si>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</si>
  <si>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</si>
  <si>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</si>
  <si>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</si>
  <si>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</si>
  <si>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</si>
  <si>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</si>
  <si>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</si>
  <si>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</si>
  <si>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</si>
  <si>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</si>
  <si>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</si>
  <si>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</si>
  <si>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</si>
  <si>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</si>
  <si>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</si>
  <si>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</si>
  <si>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</si>
  <si>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</si>
  <si>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</si>
  <si>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</si>
  <si>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</si>
  <si>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</si>
  <si>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</si>
  <si>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</si>
  <si>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</si>
  <si>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</si>
  <si>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</si>
  <si>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</si>
  <si>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</si>
  <si>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</si>
  <si>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</si>
  <si>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</si>
  <si>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</si>
  <si>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</si>
  <si>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</si>
  <si>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</si>
  <si>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</si>
  <si>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</si>
  <si>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</si>
  <si>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</si>
  <si>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</si>
  <si>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</si>
  <si>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</si>
  <si>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</si>
  <si>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</si>
  <si>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</si>
  <si>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</si>
  <si>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</si>
  <si>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</si>
  <si>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</si>
  <si>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</si>
  <si>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</si>
  <si>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</si>
  <si>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</si>
  <si>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</si>
  <si>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</si>
  <si>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</si>
  <si>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</si>
  <si>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</si>
  <si>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</si>
  <si>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</si>
  <si>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</si>
  <si>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</si>
  <si>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</si>
  <si>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</si>
  <si>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</si>
  <si>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</si>
  <si>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</si>
  <si>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</si>
  <si>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</si>
  <si>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</si>
  <si>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</si>
  <si>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</si>
  <si>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</si>
  <si>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</si>
  <si>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</si>
  <si>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</si>
  <si>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</si>
  <si>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</si>
  <si>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</si>
  <si>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</si>
  <si>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</si>
  <si>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</si>
  <si>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</si>
  <si>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</si>
  <si>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</si>
  <si>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</si>
  <si>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</si>
  <si>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</si>
  <si>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</si>
  <si>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</si>
  <si>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</si>
  <si>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</si>
  <si>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</si>
  <si>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</si>
  <si>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</si>
  <si>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</si>
  <si>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</si>
  <si>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</si>
  <si>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</si>
  <si>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</si>
  <si>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</si>
  <si>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</si>
  <si>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</si>
  <si>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</si>
  <si>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</si>
  <si>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</si>
  <si>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</si>
  <si>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</si>
  <si>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</si>
  <si>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</si>
  <si>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</si>
  <si>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</si>
  <si>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</si>
  <si>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</si>
  <si>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</si>
  <si>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</si>
  <si>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</si>
  <si>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</si>
  <si>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</si>
  <si>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</si>
  <si>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</si>
  <si>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</si>
  <si>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</si>
  <si>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</si>
  <si>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</si>
  <si>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</si>
  <si>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</si>
  <si>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</si>
  <si>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</si>
  <si>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</si>
  <si>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</si>
  <si>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</si>
  <si>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</si>
  <si>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</si>
  <si>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</si>
  <si>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</si>
  <si>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</si>
  <si>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</si>
  <si>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</si>
  <si>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</si>
  <si>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</si>
  <si>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</si>
  <si>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</si>
  <si>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</si>
  <si>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</si>
  <si>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</si>
  <si>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</si>
  <si>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</si>
  <si>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</si>
  <si>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</si>
  <si>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</si>
  <si>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</si>
  <si>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</si>
  <si>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</si>
  <si>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</si>
  <si>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</si>
  <si>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</si>
  <si>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</si>
  <si>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</si>
  <si>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</si>
  <si>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</si>
  <si>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</si>
  <si>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</si>
  <si>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</si>
  <si>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</si>
  <si>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</si>
  <si>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</si>
  <si>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</si>
  <si>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</si>
  <si>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</si>
  <si>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</si>
  <si>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</si>
  <si>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</si>
  <si>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</si>
  <si>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</si>
  <si>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</si>
  <si>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</si>
  <si>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</si>
  <si>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</si>
  <si>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</si>
  <si>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</si>
  <si>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</si>
  <si>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</si>
  <si>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</si>
  <si>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</si>
  <si>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</si>
  <si>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</si>
  <si>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</si>
  <si>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</si>
  <si>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</si>
  <si>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</si>
  <si>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</si>
  <si>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</si>
  <si>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</si>
  <si>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</si>
  <si>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</si>
  <si>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</si>
  <si>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</si>
  <si>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</si>
  <si>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</si>
  <si>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</si>
  <si>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</si>
  <si>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</si>
  <si>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</si>
  <si>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</si>
  <si>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</si>
  <si>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</si>
  <si>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</si>
  <si>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</si>
  <si>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</si>
  <si>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</si>
  <si>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</si>
  <si>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</si>
  <si>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</si>
  <si>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</si>
  <si>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</si>
  <si>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</si>
  <si>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</si>
  <si>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</si>
  <si>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</si>
  <si>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</si>
  <si>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</si>
  <si>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</si>
  <si>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</si>
  <si>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</si>
  <si>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</si>
  <si>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</si>
  <si>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</si>
  <si>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</si>
  <si>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</si>
  <si>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</si>
  <si>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</si>
  <si>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</si>
  <si>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</si>
  <si>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</si>
  <si>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</si>
  <si>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</si>
  <si>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</si>
  <si>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</si>
  <si>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</si>
  <si>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</si>
  <si>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</si>
  <si>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</si>
  <si>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</si>
  <si>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</si>
  <si>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</si>
  <si>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</si>
  <si>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</si>
  <si>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</si>
  <si>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</si>
  <si>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</si>
  <si>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</si>
  <si>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</si>
  <si>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</si>
  <si>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</si>
  <si>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</si>
  <si>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</si>
  <si>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</si>
  <si>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</si>
  <si>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</si>
  <si>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</si>
  <si>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</si>
  <si>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</si>
  <si>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</si>
  <si>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</si>
  <si>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</si>
  <si>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</si>
  <si>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</si>
  <si>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</si>
  <si>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</si>
  <si>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</si>
  <si>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</si>
  <si>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</si>
  <si>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</si>
  <si>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</si>
  <si>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</si>
  <si>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</si>
  <si>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</si>
  <si>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</si>
  <si>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</si>
  <si>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</si>
  <si>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</si>
  <si>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</si>
  <si>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</si>
  <si>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</si>
  <si>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</si>
  <si>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</si>
  <si>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</si>
  <si>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</si>
  <si>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</si>
  <si>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</si>
  <si>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</si>
  <si>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</si>
  <si>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</si>
  <si>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</si>
  <si>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</si>
  <si>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</si>
  <si>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</si>
  <si>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</si>
  <si>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</si>
  <si>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</si>
  <si>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</si>
  <si>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</si>
  <si>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</si>
  <si>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</si>
  <si>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</si>
  <si>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</si>
  <si>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</si>
  <si>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</si>
  <si>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</si>
  <si>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</si>
  <si>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</si>
  <si>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</si>
  <si>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</si>
  <si>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</si>
  <si>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</si>
  <si>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</si>
  <si>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</si>
  <si>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</si>
  <si>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</si>
  <si>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</si>
  <si>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</si>
  <si>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</si>
  <si>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</si>
  <si>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</si>
  <si>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</si>
  <si>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</si>
  <si>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</si>
  <si>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</si>
  <si>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</si>
  <si>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</si>
  <si>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</si>
  <si>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</si>
  <si>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</si>
  <si>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</si>
  <si>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</si>
  <si>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</si>
  <si>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</si>
  <si>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</si>
  <si>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</si>
  <si>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</si>
  <si>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</si>
  <si>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</si>
  <si>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</si>
  <si>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</si>
  <si>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</si>
  <si>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</si>
  <si>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</si>
  <si>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</si>
  <si>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</si>
  <si>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</si>
  <si>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</si>
  <si>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</si>
  <si>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</si>
  <si>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</si>
  <si>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</si>
  <si>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</si>
  <si>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</si>
  <si>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</si>
  <si>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</si>
  <si>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</si>
  <si>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</si>
  <si>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</si>
  <si>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</si>
  <si>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</si>
  <si>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</si>
  <si>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</si>
  <si>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</si>
  <si>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</si>
  <si>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</si>
  <si>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</si>
  <si>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</si>
  <si>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</si>
  <si>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</si>
  <si>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</si>
  <si>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</si>
  <si>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</si>
  <si>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</si>
  <si>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</si>
  <si>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</si>
  <si>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</si>
  <si>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</si>
  <si>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</si>
  <si>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</si>
  <si>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</si>
  <si>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</si>
  <si>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</si>
  <si>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</si>
  <si>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</si>
  <si>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</si>
  <si>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</si>
  <si>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</si>
  <si>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</si>
  <si>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</si>
  <si>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</si>
  <si>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</si>
  <si>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</si>
  <si>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</si>
  <si>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</si>
  <si>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</si>
  <si>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</si>
  <si>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</si>
  <si>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</si>
  <si>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</si>
  <si>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</si>
  <si>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</si>
  <si>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</si>
  <si>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</si>
  <si>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</si>
  <si>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</si>
  <si>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</si>
  <si>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</si>
  <si>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</si>
  <si>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</si>
  <si>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</si>
  <si>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</si>
  <si>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</si>
  <si>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</si>
  <si>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</si>
  <si>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</si>
  <si>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</si>
  <si>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</si>
  <si>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</si>
  <si>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</si>
  <si>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</si>
  <si>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</si>
  <si>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</si>
  <si>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</si>
  <si>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</si>
  <si>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</si>
  <si>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</si>
  <si>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</si>
  <si>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</si>
  <si>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</si>
  <si>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</si>
  <si>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</si>
  <si>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</si>
  <si>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</si>
  <si>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</si>
  <si>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</si>
  <si>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</si>
  <si>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</si>
  <si>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</si>
  <si>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</si>
  <si>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</si>
  <si>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</si>
  <si>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</si>
  <si>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</si>
  <si>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</si>
  <si>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</si>
  <si>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</si>
  <si>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</si>
  <si>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</si>
  <si>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</si>
  <si>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</si>
  <si>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</si>
  <si>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</si>
  <si>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</si>
  <si>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</si>
  <si>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</si>
  <si>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</si>
  <si>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</si>
  <si>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</si>
  <si>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</si>
  <si>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</si>
  <si>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</si>
  <si>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</si>
  <si>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</si>
  <si>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</si>
  <si>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</si>
  <si>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</si>
  <si>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</si>
  <si>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</si>
  <si>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</si>
  <si>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</si>
  <si>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</si>
  <si>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</si>
  <si>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</si>
  <si>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</si>
  <si>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</si>
  <si>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</si>
  <si>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</si>
  <si>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</si>
  <si>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</si>
  <si>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</si>
  <si>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</si>
  <si>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</si>
  <si>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</si>
  <si>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</si>
  <si>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</si>
  <si>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</si>
  <si>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</si>
  <si>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</si>
  <si>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</si>
  <si>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</si>
  <si>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</si>
  <si>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</si>
  <si>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</si>
  <si>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</si>
  <si>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</si>
  <si>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</si>
  <si>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</si>
  <si>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</si>
  <si>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</si>
  <si>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</si>
  <si>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</si>
  <si>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</si>
  <si>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</si>
  <si>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</si>
  <si>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</si>
  <si>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</si>
  <si>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</si>
  <si>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</si>
  <si>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</si>
  <si>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</si>
  <si>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</si>
  <si>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</si>
  <si>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</si>
  <si>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</si>
  <si>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</si>
  <si>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</si>
  <si>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</si>
  <si>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</si>
  <si>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</si>
  <si>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</si>
  <si>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</si>
  <si>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</si>
  <si>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</si>
  <si>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</si>
  <si>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</si>
  <si>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</si>
  <si>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</si>
  <si>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</si>
  <si>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</si>
  <si>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</si>
  <si>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</si>
  <si>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</si>
  <si>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</si>
  <si>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</si>
  <si>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</si>
  <si>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</si>
  <si>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</si>
  <si>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</si>
  <si>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</si>
  <si>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</si>
  <si>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</si>
  <si>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</si>
  <si>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</si>
  <si>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</si>
  <si>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</si>
  <si>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</si>
  <si>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</si>
  <si>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</si>
  <si>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</si>
  <si>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</si>
  <si>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</si>
  <si>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</si>
  <si>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</si>
  <si>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</si>
  <si>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</si>
  <si>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</si>
  <si>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</si>
  <si>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</si>
  <si>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</si>
  <si>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</si>
  <si>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</si>
  <si>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</si>
  <si>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</si>
  <si>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</si>
  <si>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</si>
  <si>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</si>
  <si>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</si>
  <si>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</si>
  <si>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</si>
  <si>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</si>
  <si>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</si>
  <si>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</si>
  <si>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</si>
  <si>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</si>
  <si>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</si>
  <si>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</si>
  <si>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</si>
  <si>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</si>
  <si>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</si>
  <si>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</si>
  <si>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</si>
  <si>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</si>
  <si>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</si>
  <si>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</si>
  <si>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</si>
  <si>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</si>
  <si>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</si>
  <si>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</si>
  <si>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</si>
  <si>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</si>
  <si>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</si>
  <si>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</si>
  <si>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</si>
  <si>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</si>
  <si>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</si>
  <si>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</si>
  <si>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</si>
  <si>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</si>
  <si>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</si>
  <si>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</si>
  <si>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</si>
  <si>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</si>
  <si>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</si>
  <si>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</si>
  <si>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</si>
  <si>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</si>
  <si>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</si>
  <si>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</si>
  <si>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</si>
  <si>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</si>
  <si>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</si>
  <si>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</si>
  <si>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</si>
  <si>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</si>
  <si>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</si>
  <si>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</si>
  <si>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</si>
  <si>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</si>
  <si>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</si>
  <si>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</si>
  <si>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</si>
  <si>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</si>
  <si>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</si>
  <si>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</si>
  <si>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</si>
  <si>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</si>
  <si>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</si>
  <si>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</si>
  <si>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</si>
  <si>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</si>
  <si>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</si>
  <si>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</si>
  <si>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</si>
  <si>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</si>
  <si>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</si>
  <si>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</si>
  <si>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</si>
  <si>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</si>
  <si>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</si>
  <si>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</si>
  <si>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</si>
  <si>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</si>
  <si>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</si>
  <si>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</si>
  <si>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</si>
  <si>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</si>
  <si>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</si>
  <si>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</si>
  <si>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</si>
  <si>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</si>
  <si>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</si>
  <si>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</si>
  <si>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</si>
  <si>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</si>
  <si>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</si>
  <si>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</si>
  <si>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</si>
  <si>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</si>
  <si>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</si>
  <si>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</si>
  <si>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</si>
  <si>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</si>
  <si>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</si>
  <si>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</si>
  <si>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</si>
  <si>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</si>
  <si>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</si>
  <si>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</si>
  <si>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</si>
  <si>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</si>
  <si>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</si>
  <si>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</si>
  <si>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</si>
  <si>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</si>
  <si>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</si>
  <si>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</si>
  <si>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</si>
  <si>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</si>
  <si>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</si>
  <si>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</si>
  <si>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</si>
  <si>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</si>
  <si>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</si>
  <si>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</si>
  <si>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</si>
  <si>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</si>
  <si>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</si>
  <si>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</si>
  <si>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</si>
  <si>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</si>
  <si>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</si>
  <si>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</si>
  <si>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</si>
  <si>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</si>
  <si>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</si>
  <si>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</si>
  <si>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</si>
  <si>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</si>
  <si>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</si>
  <si>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</si>
  <si>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</si>
  <si>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</si>
  <si>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</si>
  <si>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</si>
  <si>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</si>
  <si>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</si>
  <si>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</si>
  <si>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</si>
  <si>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</si>
  <si>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</si>
  <si>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</si>
  <si>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</si>
  <si>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</si>
  <si>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</si>
  <si>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</si>
  <si>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</si>
  <si>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</si>
  <si>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</si>
  <si>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</si>
  <si>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</si>
  <si>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</si>
  <si>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</si>
  <si>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</si>
  <si>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</si>
  <si>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</si>
  <si>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</si>
  <si>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</si>
  <si>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</si>
  <si>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</si>
  <si>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</si>
  <si>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</si>
  <si>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</si>
  <si>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</si>
  <si>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</si>
  <si>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</si>
  <si>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</si>
  <si>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</si>
  <si>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</si>
  <si>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</si>
  <si>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</si>
  <si>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</si>
  <si>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</si>
  <si>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</si>
  <si>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</si>
  <si>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</si>
  <si>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</si>
  <si>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</si>
  <si>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</si>
  <si>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</si>
  <si>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</si>
  <si>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</si>
  <si>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</si>
  <si>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</si>
  <si>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</si>
  <si>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</si>
  <si>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1771 F 2, 4, &amp;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</si>
</sst>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44398</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59</v>
      </c>
      <c r="H38" s="443"/>
      <c r="I38" s="443"/>
      <c r="J38" s="443"/>
      <c r="K38" s="443"/>
      <c r="L38" s="472"/>
      <c r="M38" s="26"/>
    </row>
    <row r="39" spans="1:13" ht="12.75">
      <c r="A39" s="136" t="s">
        <v>380</v>
      </c>
      <c r="B39" s="473" t="s">
        <v>408</v>
      </c>
      <c r="C39" s="473"/>
      <c r="D39" s="473"/>
      <c r="E39" s="473"/>
      <c r="F39" s="26"/>
      <c r="G39" s="154">
        <v>16.5</v>
      </c>
      <c r="H39" s="42"/>
      <c r="I39" s="42"/>
      <c r="J39" s="42"/>
      <c r="K39" s="46"/>
      <c r="L39" s="46"/>
      <c r="M39" s="26"/>
    </row>
    <row r="40" spans="1:13" ht="12.75">
      <c r="A40" s="136" t="s">
        <v>381</v>
      </c>
      <c r="B40" s="473" t="s">
        <v>375</v>
      </c>
      <c r="C40" s="473"/>
      <c r="D40" s="473"/>
      <c r="E40" s="473"/>
      <c r="F40" s="26"/>
      <c r="G40" s="329">
        <v>40</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2</v>
      </c>
      <c r="G58" s="41" t="str">
        <f>VLOOKUP(F55,'Data Tables'!$A$249:$E$270,5,FALSE)</f>
        <v>tons/ac</v>
      </c>
      <c r="H58" s="40"/>
      <c r="I58" s="40"/>
      <c r="J58" s="154">
        <v>2</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99.6</v>
      </c>
      <c r="G60" s="42" t="s">
        <v>273</v>
      </c>
      <c r="H60" s="42"/>
      <c r="I60" s="156"/>
      <c r="J60" s="398">
        <f>'Calculations- All Data'!J69</f>
        <v>99.6</v>
      </c>
      <c r="K60" s="42" t="s">
        <v>273</v>
      </c>
      <c r="L60" s="42"/>
      <c r="M60" s="26"/>
    </row>
    <row r="61" spans="1:13" ht="12.75">
      <c r="A61" s="136" t="s">
        <v>529</v>
      </c>
      <c r="B61" s="27" t="s">
        <v>506</v>
      </c>
      <c r="C61" s="41"/>
      <c r="D61" s="39"/>
      <c r="E61" s="26"/>
      <c r="F61" s="396">
        <f>'Calculations- All Data'!F70</f>
        <v>14.939999999999998</v>
      </c>
      <c r="G61" s="42" t="s">
        <v>273</v>
      </c>
      <c r="H61" s="42"/>
      <c r="I61" s="42"/>
      <c r="J61" s="397">
        <f>'Calculations- All Data'!J70</f>
        <v>14.939999999999998</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99.6</v>
      </c>
      <c r="G85" s="27" t="s">
        <v>273</v>
      </c>
      <c r="H85" s="39"/>
      <c r="I85" s="385" t="s">
        <v>19</v>
      </c>
      <c r="J85" s="395">
        <f>'Calculations- All Data'!J98</f>
        <v>99.6</v>
      </c>
      <c r="K85" s="26" t="s">
        <v>273</v>
      </c>
      <c r="L85" s="26"/>
      <c r="M85" s="26"/>
    </row>
    <row r="86" spans="1:13" ht="13.5" thickBot="1">
      <c r="A86" s="253" t="s">
        <v>606</v>
      </c>
      <c r="B86" s="26"/>
      <c r="C86" s="26"/>
      <c r="D86" s="26"/>
      <c r="E86" s="252"/>
      <c r="F86" s="399">
        <f>'Calculations- All Data'!F99</f>
        <v>14.939999999999998</v>
      </c>
      <c r="G86" s="27" t="s">
        <v>273</v>
      </c>
      <c r="H86" s="39"/>
      <c r="I86" s="385" t="s">
        <v>19</v>
      </c>
      <c r="J86" s="395">
        <f>'Calculations- All Data'!J99</f>
        <v>14.939999999999998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301</v>
      </c>
      <c r="G101" s="475"/>
      <c r="H101" s="475"/>
      <c r="I101" s="476"/>
      <c r="J101" s="26"/>
      <c r="K101" s="26"/>
      <c r="L101" s="26"/>
      <c r="M101" s="26"/>
    </row>
    <row r="102" spans="1:13" ht="12.75">
      <c r="A102" s="136"/>
      <c r="B102" s="40"/>
      <c r="C102" s="26" t="s">
        <v>594</v>
      </c>
      <c r="D102" s="26"/>
      <c r="E102" s="26"/>
      <c r="F102" s="474" t="s">
        <v>165</v>
      </c>
      <c r="G102" s="438"/>
      <c r="H102" s="438"/>
      <c r="I102" s="439"/>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20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40</v>
      </c>
      <c r="H112" s="43" t="s">
        <v>597</v>
      </c>
      <c r="I112" s="42"/>
      <c r="J112" s="46"/>
      <c r="K112" s="46"/>
      <c r="L112" s="26"/>
      <c r="M112" s="26"/>
    </row>
    <row r="113" spans="1:13" ht="12.75">
      <c r="A113" s="26"/>
      <c r="B113" s="26"/>
      <c r="C113" s="27" t="s">
        <v>513</v>
      </c>
      <c r="D113" s="26"/>
      <c r="E113" s="26"/>
      <c r="F113" s="26"/>
      <c r="G113" s="318">
        <f>'Calculations- All Data'!F117</f>
        <v>34.94</v>
      </c>
      <c r="H113" s="26" t="s">
        <v>552</v>
      </c>
      <c r="I113" s="26"/>
      <c r="J113" s="26"/>
      <c r="K113" s="26"/>
      <c r="L113" s="26"/>
      <c r="M113" s="26"/>
    </row>
    <row r="114" spans="1:13" ht="13.5" thickBot="1">
      <c r="A114" s="26"/>
      <c r="B114" s="26"/>
      <c r="C114" s="27" t="s">
        <v>514</v>
      </c>
      <c r="D114" s="26"/>
      <c r="E114" s="26"/>
      <c r="F114" s="324"/>
      <c r="G114" s="318">
        <f>'Calculations- All Data'!F118</f>
        <v>34.94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119.6</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30.583999999999996</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89.01599999999999</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40.057199999999995</v>
      </c>
      <c r="H130" s="26" t="s">
        <v>552</v>
      </c>
      <c r="I130" s="193"/>
      <c r="J130" s="193"/>
      <c r="K130" s="193"/>
      <c r="L130" s="26"/>
      <c r="M130" s="26"/>
    </row>
    <row r="131" spans="1:13" ht="12.75" customHeight="1">
      <c r="A131" s="109"/>
      <c r="B131" s="26"/>
      <c r="C131" s="320" t="s">
        <v>6</v>
      </c>
      <c r="D131" s="40"/>
      <c r="E131" s="40"/>
      <c r="F131" s="324" t="s">
        <v>600</v>
      </c>
      <c r="G131" s="248">
        <f>'Calculations- All Data'!F134</f>
        <v>15.124568902786862</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24.932631097213132</v>
      </c>
      <c r="H133" s="26" t="s">
        <v>552</v>
      </c>
      <c r="I133" s="26"/>
      <c r="J133" s="372"/>
      <c r="K133" s="26"/>
      <c r="L133" s="26"/>
      <c r="M133" s="26"/>
    </row>
    <row r="134" spans="1:13" ht="13.5" thickBot="1">
      <c r="A134" s="109"/>
      <c r="B134" s="26"/>
      <c r="C134" s="267" t="s">
        <v>615</v>
      </c>
      <c r="D134" s="267"/>
      <c r="E134" s="267"/>
      <c r="F134" s="324" t="s">
        <v>599</v>
      </c>
      <c r="G134" s="395">
        <f>'Calculations- All Data'!F136</f>
        <v>411.3884131040167</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524</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16.5</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69.93603022768286</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69.93603022768286</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65.80980444424956</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66</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59</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44398</v>
      </c>
      <c r="G4" s="520"/>
      <c r="H4" s="520"/>
      <c r="I4" s="521"/>
      <c r="J4" s="317"/>
      <c r="K4" s="317"/>
      <c r="L4" s="317"/>
      <c r="M4" s="317"/>
    </row>
    <row r="5" spans="1:13" ht="12.75">
      <c r="A5" s="317"/>
      <c r="B5" s="317"/>
      <c r="C5" s="317"/>
      <c r="D5" s="317" t="s">
        <v>583</v>
      </c>
      <c r="E5" s="317"/>
      <c r="F5" s="522" t="str">
        <f>'CREDIT CALCULATION FORM'!F7:K7</f>
        <v>Harvey T 1771 F 2, 4, &amp; 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Wheat-Spelt, for grain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16.5</v>
      </c>
      <c r="G43" s="122"/>
      <c r="H43" s="122"/>
      <c r="I43" s="122"/>
      <c r="J43" s="120"/>
      <c r="K43" s="120"/>
      <c r="L43" s="110"/>
      <c r="M43" s="110"/>
    </row>
    <row r="44" spans="1:13" ht="12.75">
      <c r="A44" s="110"/>
      <c r="B44" s="499" t="s">
        <v>37</v>
      </c>
      <c r="C44" s="499"/>
      <c r="D44" s="499"/>
      <c r="E44" s="499"/>
      <c r="F44" s="215">
        <f>'CREDIT CALCULATION FORM'!G40</f>
        <v>40</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2</v>
      </c>
      <c r="G65" s="117" t="str">
        <f>'CREDIT CALCULATION FORM'!G58</f>
        <v>tons/ac</v>
      </c>
      <c r="H65" s="117"/>
      <c r="I65" s="117"/>
      <c r="J65" s="101">
        <f>'CREDIT CALCULATION FORM'!J58</f>
        <v>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99.6</v>
      </c>
      <c r="G69" s="117" t="s">
        <v>273</v>
      </c>
      <c r="H69" s="117"/>
      <c r="I69" s="117"/>
      <c r="J69" s="247">
        <f>IF(J62="Yes",J65*J63,J65*J64)</f>
        <v>99.6</v>
      </c>
      <c r="K69" s="117" t="s">
        <v>273</v>
      </c>
      <c r="L69" s="117"/>
      <c r="M69" s="110"/>
    </row>
    <row r="70" spans="1:13" ht="12.75">
      <c r="A70" s="110"/>
      <c r="B70" s="131" t="s">
        <v>506</v>
      </c>
      <c r="C70" s="119"/>
      <c r="D70" s="116"/>
      <c r="E70" s="110"/>
      <c r="F70" s="247">
        <f>F68*F69</f>
        <v>14.939999999999998</v>
      </c>
      <c r="G70" s="119" t="s">
        <v>273</v>
      </c>
      <c r="H70" s="117"/>
      <c r="I70" s="117"/>
      <c r="J70" s="247">
        <f>J68*J69</f>
        <v>14.939999999999998</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99.6</v>
      </c>
      <c r="G98" s="119" t="s">
        <v>273</v>
      </c>
      <c r="H98" s="191" t="s">
        <v>19</v>
      </c>
      <c r="I98" s="117"/>
      <c r="J98" s="402">
        <f>IF(SUM(J57,J69,J82,J95)=0,F98,SUM(J57,J82,J69,J95))</f>
        <v>99.6</v>
      </c>
      <c r="K98" s="110" t="s">
        <v>273</v>
      </c>
      <c r="L98" s="110"/>
      <c r="M98" s="110"/>
    </row>
    <row r="99" spans="1:13" ht="13.5" thickBot="1">
      <c r="A99" s="110"/>
      <c r="B99" s="116" t="s">
        <v>516</v>
      </c>
      <c r="C99" s="119"/>
      <c r="D99" s="110"/>
      <c r="E99" s="110"/>
      <c r="F99" s="402">
        <f>SUM(F96,F83,F70,F57)</f>
        <v>14.939999999999998</v>
      </c>
      <c r="G99" s="119" t="s">
        <v>273</v>
      </c>
      <c r="H99" s="191" t="s">
        <v>19</v>
      </c>
      <c r="I99" s="191"/>
      <c r="J99" s="402">
        <f>IF(SUM(J96,J83,J70,J57)=0,F99,SUM(J96,J83,J70,J57))</f>
        <v>14.939999999999998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NONE</v>
      </c>
      <c r="G105" s="552"/>
      <c r="H105" s="552"/>
      <c r="I105" s="553"/>
      <c r="J105" s="110"/>
      <c r="K105" s="110"/>
      <c r="L105" s="110"/>
      <c r="M105" s="110"/>
    </row>
    <row r="106" spans="1:13" ht="12.75">
      <c r="A106" s="110"/>
      <c r="B106" s="117"/>
      <c r="C106" s="110" t="s">
        <v>452</v>
      </c>
      <c r="D106" s="110"/>
      <c r="E106" s="110"/>
      <c r="F106" s="474" t="str">
        <f>'CREDIT CALCULATION FORM'!F102</f>
        <v>Leck Kill </v>
      </c>
      <c r="G106" s="497"/>
      <c r="H106" s="497"/>
      <c r="I106" s="498"/>
      <c r="J106" s="110"/>
      <c r="K106" s="110"/>
      <c r="L106" s="110"/>
      <c r="M106" s="110"/>
    </row>
    <row r="107" spans="1:13" ht="12.75">
      <c r="A107" s="110"/>
      <c r="B107" s="117"/>
      <c r="C107" s="110" t="s">
        <v>453</v>
      </c>
      <c r="D107" s="110"/>
      <c r="E107" s="110"/>
      <c r="F107" s="218">
        <f>VLOOKUP(F106,'Data Tables'!A133:B245,2,FALSE)</f>
        <v>2</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511"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20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40</v>
      </c>
      <c r="G116" s="124" t="s">
        <v>370</v>
      </c>
      <c r="H116" s="122"/>
      <c r="I116" s="122"/>
      <c r="J116" s="120"/>
      <c r="K116" s="120"/>
      <c r="L116" s="110"/>
      <c r="M116" s="110"/>
    </row>
    <row r="117" spans="1:13" ht="12.75">
      <c r="A117" s="110"/>
      <c r="B117" s="110"/>
      <c r="C117" s="278" t="s">
        <v>513</v>
      </c>
      <c r="D117" s="278"/>
      <c r="E117" s="278"/>
      <c r="F117" s="424">
        <f>F99+F111</f>
        <v>34.94</v>
      </c>
      <c r="G117" s="117" t="s">
        <v>273</v>
      </c>
      <c r="H117" s="117"/>
      <c r="I117" s="117"/>
      <c r="J117" s="110"/>
      <c r="K117" s="110"/>
      <c r="L117" s="110"/>
      <c r="M117" s="110"/>
    </row>
    <row r="118" spans="1:15" ht="12.75" customHeight="1" thickBot="1">
      <c r="A118" s="110"/>
      <c r="B118" s="110"/>
      <c r="C118" s="278" t="s">
        <v>514</v>
      </c>
      <c r="D118" s="278"/>
      <c r="E118" s="278"/>
      <c r="F118" s="389">
        <f>F111+J99</f>
        <v>34.94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119.6</v>
      </c>
      <c r="G129" s="124" t="s">
        <v>273</v>
      </c>
      <c r="H129" s="122"/>
      <c r="I129" s="122"/>
      <c r="J129" s="120"/>
      <c r="K129" s="120"/>
      <c r="L129" s="110"/>
      <c r="M129" s="110"/>
    </row>
    <row r="130" spans="1:13" ht="12.75">
      <c r="A130" s="110"/>
      <c r="B130" s="124" t="s">
        <v>568</v>
      </c>
      <c r="C130" s="110"/>
      <c r="D130" s="124"/>
      <c r="E130" s="124"/>
      <c r="F130" s="424">
        <f>VLOOKUP(F40,'Data Tables'!A4:D78,4,FALSE)*F44</f>
        <v>30.583999999999996</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89.01599999999999</v>
      </c>
      <c r="G132" s="119" t="s">
        <v>273</v>
      </c>
      <c r="H132" s="129"/>
      <c r="I132" s="110"/>
      <c r="J132" s="110"/>
      <c r="K132" s="110"/>
      <c r="L132" s="110"/>
      <c r="M132" s="110"/>
    </row>
    <row r="133" spans="1:13" ht="12.75" customHeight="1">
      <c r="A133" s="110"/>
      <c r="B133" s="278" t="s">
        <v>876</v>
      </c>
      <c r="C133" s="117"/>
      <c r="D133" s="117"/>
      <c r="E133" s="110"/>
      <c r="F133" s="248">
        <f>F132*F48</f>
        <v>40.057199999999995</v>
      </c>
      <c r="G133" s="119" t="s">
        <v>273</v>
      </c>
      <c r="H133" s="129"/>
      <c r="I133" s="110"/>
      <c r="J133" s="110"/>
      <c r="K133" s="110"/>
      <c r="L133" s="110"/>
      <c r="M133" s="110"/>
    </row>
    <row r="134" spans="1:13" ht="12.75" customHeight="1">
      <c r="A134" s="110"/>
      <c r="B134" s="117" t="s">
        <v>629</v>
      </c>
      <c r="C134" s="117"/>
      <c r="D134" s="117"/>
      <c r="E134" s="110"/>
      <c r="F134" s="248">
        <f>F133-(F133*(1-K45)*(1-L45))</f>
        <v>15.124568902786862</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411.3884131040167</v>
      </c>
      <c r="G136" s="119" t="s">
        <v>303</v>
      </c>
      <c r="H136" s="129"/>
      <c r="I136" s="110"/>
      <c r="J136" s="110"/>
      <c r="K136" s="110"/>
      <c r="L136" s="110"/>
      <c r="M136" s="110"/>
    </row>
    <row r="137" spans="1:13" ht="12.75" customHeight="1">
      <c r="A137" s="110"/>
      <c r="B137" s="131" t="s">
        <v>574</v>
      </c>
      <c r="C137" s="119"/>
      <c r="D137" s="110"/>
      <c r="E137" s="110"/>
      <c r="F137" s="403">
        <f>IF(F43=0,"0",F136/F43)</f>
        <v>24.932631097213132</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Commodity Cereal Cover Crop</v>
      </c>
      <c r="F144" s="550"/>
      <c r="G144" s="511" t="str">
        <f>IF(OR(E144=$E$245,E144=$E$246),CONCATENATE(E144,$F$151),IF(E144="Continuous No-Till*",CONCATENATE(E144,$F$49),IF(OR(E144=$E$249,E144=$E$250,E144=$E$251,E144=$E$252),CONCATENATE(E144,$F$45),E144)))</f>
        <v>Commodity Cereal Cover CropLate-Planting - Up to 7 days after published first frost date</v>
      </c>
      <c r="H144" s="497"/>
      <c r="I144" s="497"/>
      <c r="J144" s="498"/>
      <c r="K144" s="103" t="str">
        <f>IF(OR(E144=$E$249,E144=$E$250,E144=$E$251,E144=$E$252),CONCATENATE($F$46,VLOOKUP(G144,'BMPs and Bay Model Data'!$D$148:$E$166,2,FALSE)),'Calculations- All Data'!G144)</f>
        <v>Commodity Cereal Cover CropLate-Planting - Up to 7 days after published first frost date</v>
      </c>
      <c r="L144" s="272">
        <f>IF(OR(E144=$E$249,E144=$E$250,E144=$E$251,E144=$E$252),VLOOKUP(K144,'BMPs and Bay Model Data'!$A$170:$B$351,2,FALSE),VLOOKUP(K144,'BMPs and Bay Model Data'!$C$36:$D$57,2,FALSE))</f>
        <v>0.17</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16.5</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69.93603022768286</v>
      </c>
      <c r="G153" s="120" t="s">
        <v>303</v>
      </c>
      <c r="H153" s="122"/>
      <c r="I153" s="211"/>
      <c r="J153" s="254"/>
      <c r="K153" s="254"/>
      <c r="L153" s="120"/>
      <c r="M153" s="120"/>
    </row>
    <row r="154" spans="1:13" ht="12.75">
      <c r="A154" s="110"/>
      <c r="B154" s="110"/>
      <c r="C154" s="110"/>
      <c r="D154" s="141" t="s">
        <v>553</v>
      </c>
      <c r="E154" s="212"/>
      <c r="F154" s="281">
        <f>IF(F43=0,"0",(F136-F153)/F43)</f>
        <v>20.694083810686898</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69.93603022768286</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69.93603022768286</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65.80980444424956</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65.80980444424956</v>
      </c>
      <c r="G180" s="110" t="s">
        <v>590</v>
      </c>
      <c r="H180" s="110"/>
      <c r="I180" s="110"/>
      <c r="J180" s="110"/>
      <c r="K180" s="110"/>
      <c r="L180" s="110"/>
      <c r="M180" s="110"/>
    </row>
    <row r="181" spans="1:13" ht="13.5" thickBot="1">
      <c r="A181" s="110"/>
      <c r="B181" s="116" t="s">
        <v>566</v>
      </c>
      <c r="C181" s="415"/>
      <c r="D181" s="415"/>
      <c r="E181" s="415"/>
      <c r="F181" s="416">
        <f>ROUND(F180,0)</f>
        <v>66</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59.4</v>
      </c>
      <c r="G184" s="420" t="s">
        <v>590</v>
      </c>
      <c r="H184" s="110"/>
      <c r="I184" s="110"/>
      <c r="J184" s="110"/>
      <c r="K184" s="110"/>
      <c r="L184" s="110"/>
      <c r="M184" s="110"/>
    </row>
    <row r="185" spans="1:13" ht="15.75" thickBot="1">
      <c r="A185" s="110"/>
      <c r="B185" s="112" t="s">
        <v>564</v>
      </c>
      <c r="C185" s="421"/>
      <c r="D185" s="421"/>
      <c r="E185" s="421"/>
      <c r="F185" s="414">
        <f>ROUND(F184,0)</f>
        <v>59</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91" t="s">
        <v>304</v>
      </c>
      <c r="B34" s="587" t="s">
        <v>582</v>
      </c>
      <c r="C34" s="591" t="s">
        <v>391</v>
      </c>
      <c r="D34" s="589" t="s">
        <v>578</v>
      </c>
      <c r="E34" s="589" t="s">
        <v>579</v>
      </c>
      <c r="F34" s="589" t="s">
        <v>580</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7" t="s">
        <v>304</v>
      </c>
      <c r="B61" s="600" t="s">
        <v>407</v>
      </c>
      <c r="C61" s="595" t="s">
        <v>392</v>
      </c>
      <c r="D61" s="62" t="s">
        <v>578</v>
      </c>
      <c r="E61" s="62" t="s">
        <v>579</v>
      </c>
      <c r="F61" s="62" t="s">
        <v>580</v>
      </c>
      <c r="G61" s="199"/>
    </row>
    <row r="62" spans="1:7" ht="12.75">
      <c r="A62" s="598"/>
      <c r="B62" s="598"/>
      <c r="C62" s="595"/>
      <c r="D62" s="63" t="s">
        <v>325</v>
      </c>
      <c r="E62" s="63" t="s">
        <v>325</v>
      </c>
      <c r="F62" s="63" t="s">
        <v>325</v>
      </c>
      <c r="G62" s="200"/>
    </row>
    <row r="63" spans="1:7" ht="12.75">
      <c r="A63" s="598"/>
      <c r="B63" s="598"/>
      <c r="C63" s="595"/>
      <c r="D63" s="64" t="s">
        <v>305</v>
      </c>
      <c r="E63" s="64" t="s">
        <v>305</v>
      </c>
      <c r="F63" s="64" t="s">
        <v>305</v>
      </c>
      <c r="G63" s="200"/>
    </row>
    <row r="64" spans="1:7" ht="13.5" thickBot="1">
      <c r="A64" s="599"/>
      <c r="B64" s="599"/>
      <c r="C64" s="596"/>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3" t="s">
        <v>644</v>
      </c>
      <c r="B145" s="594"/>
      <c r="C145" s="594"/>
      <c r="D145" s="594"/>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2021-07-21T13:30:31Z</dcterms:modified>
  <cp:category/>
  <cp:version/>
  <cp:contentType/>
  <cp:contentStatus/>
</cp:coreProperties>
</file>