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5090" windowHeight="1260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<sst xmlns="http://schemas.openxmlformats.org/spreadsheetml/2006/main" count="1899" uniqueCount="882">
  <si>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</si>
  <si>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</si>
  <si>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</si>
  <si>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</si>
  <si>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</si>
  <si>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</si>
  <si>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</si>
  <si>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</si>
  <si>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</si>
  <si>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</si>
  <si>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</si>
  <si>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</si>
  <si>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</si>
  <si>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</si>
  <si>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</si>
  <si>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</si>
  <si>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</si>
  <si>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</si>
  <si>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</si>
  <si>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</si>
  <si>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</si>
  <si>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</si>
  <si>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</si>
  <si>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</si>
  <si>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</si>
  <si>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</si>
  <si>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</si>
  <si>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</si>
  <si>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</si>
  <si>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</si>
  <si>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</si>
  <si>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</si>
  <si>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</si>
  <si>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</si>
  <si>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</si>
  <si>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</si>
  <si>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</si>
  <si>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</si>
  <si>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</si>
  <si>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</si>
  <si>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</si>
  <si>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</si>
  <si>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</si>
  <si>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</si>
  <si>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</si>
  <si>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</si>
  <si>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</si>
  <si>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</si>
  <si>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</si>
  <si>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</si>
  <si>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</si>
  <si>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</si>
  <si>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</si>
  <si>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</si>
  <si>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</si>
  <si>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</si>
  <si>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</si>
  <si>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</si>
  <si>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</si>
  <si>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</si>
  <si>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</si>
  <si>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</si>
  <si>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</si>
  <si>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</si>
  <si>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</si>
  <si>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</si>
  <si>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</si>
  <si>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</si>
  <si>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</si>
  <si>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</si>
  <si>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</si>
  <si>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</si>
  <si>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</si>
  <si>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</si>
  <si>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</si>
  <si>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</si>
  <si>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</si>
  <si>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</si>
  <si>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</si>
  <si>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</si>
  <si>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</si>
  <si>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</si>
  <si>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</si>
  <si>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</si>
  <si>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</si>
  <si>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</si>
  <si>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</si>
  <si>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</si>
  <si>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</si>
  <si>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</si>
  <si>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</si>
  <si>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</si>
  <si>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</si>
  <si>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</si>
  <si>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</si>
  <si>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</si>
  <si>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</si>
  <si>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</si>
  <si>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</si>
  <si>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</si>
  <si>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</si>
  <si>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</si>
  <si>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</si>
  <si>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</si>
  <si>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</si>
  <si>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</si>
  <si>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</si>
  <si>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</si>
  <si>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</si>
  <si>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</si>
  <si>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</si>
  <si>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</si>
  <si>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</si>
  <si>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</si>
  <si>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</si>
  <si>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</si>
  <si>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</si>
  <si>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</si>
  <si>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</si>
  <si>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</si>
  <si>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</si>
  <si>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</si>
  <si>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</si>
  <si>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</si>
  <si>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</si>
  <si>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</si>
  <si>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</si>
  <si>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</si>
  <si>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</si>
  <si>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</si>
  <si>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</si>
  <si>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</si>
  <si>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</si>
  <si>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</si>
  <si>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</si>
  <si>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</si>
  <si>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</si>
  <si>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</si>
  <si>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</si>
  <si>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</si>
  <si>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</si>
  <si>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</si>
  <si>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</si>
  <si>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</si>
  <si>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</si>
  <si>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</si>
  <si>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</si>
  <si>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</si>
  <si>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</si>
  <si>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</si>
  <si>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</si>
  <si>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</si>
  <si>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</si>
  <si>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</si>
  <si>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</si>
  <si>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</si>
  <si>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</si>
  <si>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</si>
  <si>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</si>
  <si>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</si>
  <si>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</si>
  <si>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</si>
  <si>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</si>
  <si>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</si>
  <si>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</si>
  <si>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</si>
  <si>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</si>
  <si>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</si>
  <si>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</si>
  <si>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</si>
  <si>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</si>
  <si>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</si>
  <si>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</si>
  <si>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</si>
  <si>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</si>
  <si>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</si>
  <si>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</si>
  <si>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</si>
  <si>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</si>
  <si>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</si>
  <si>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</si>
  <si>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</si>
  <si>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</si>
  <si>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</si>
  <si>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</si>
  <si>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</si>
  <si>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</si>
  <si>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</si>
  <si>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</si>
  <si>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</si>
  <si>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</si>
  <si>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</si>
  <si>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</si>
  <si>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</si>
  <si>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</si>
  <si>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</si>
  <si>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</si>
  <si>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</si>
  <si>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</si>
  <si>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</si>
  <si>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</si>
  <si>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</si>
  <si>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</si>
  <si>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</si>
  <si>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</si>
  <si>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</si>
  <si>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</si>
  <si>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</si>
  <si>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</si>
  <si>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</si>
  <si>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</si>
  <si>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</si>
  <si>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</si>
  <si>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</si>
  <si>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</si>
  <si>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</si>
  <si>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</si>
  <si>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</si>
  <si>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</si>
  <si>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</si>
  <si>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</si>
  <si>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</si>
  <si>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</si>
  <si>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</si>
  <si>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</si>
  <si>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</si>
  <si>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</si>
  <si>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</si>
  <si>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</si>
  <si>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</si>
  <si>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</si>
  <si>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</si>
  <si>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</si>
  <si>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</si>
  <si>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</si>
  <si>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</si>
  <si>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</si>
  <si>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</si>
  <si>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</si>
  <si>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</si>
  <si>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</si>
  <si>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</si>
  <si>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</si>
  <si>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</si>
  <si>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</si>
  <si>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</si>
  <si>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</si>
  <si>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</si>
  <si>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</si>
  <si>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</si>
  <si>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</si>
  <si>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</si>
  <si>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</si>
  <si>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</si>
  <si>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</si>
  <si>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</si>
  <si>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</si>
  <si>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</si>
  <si>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</si>
  <si>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</si>
  <si>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</si>
  <si>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</si>
  <si>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</si>
  <si>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</si>
  <si>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</si>
  <si>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</si>
  <si>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</si>
  <si>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</si>
  <si>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</si>
  <si>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</si>
  <si>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</si>
  <si>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</si>
  <si>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</si>
  <si>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</si>
  <si>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</si>
  <si>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</si>
  <si>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</si>
  <si>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</si>
  <si>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</si>
  <si>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</si>
  <si>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</si>
  <si>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</si>
  <si>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</si>
  <si>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</si>
  <si>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</si>
  <si>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</si>
  <si>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</si>
  <si>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</si>
  <si>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</si>
  <si>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</si>
  <si>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</si>
  <si>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</si>
  <si>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</si>
  <si>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</si>
  <si>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</si>
  <si>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</si>
  <si>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</si>
  <si>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</si>
  <si>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</si>
  <si>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</si>
  <si>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</si>
  <si>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</si>
  <si>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</si>
  <si>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</si>
  <si>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</si>
  <si>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</si>
  <si>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</si>
  <si>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</si>
  <si>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</si>
  <si>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</si>
  <si>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</si>
  <si>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</si>
  <si>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</si>
  <si>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</si>
  <si>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</si>
  <si>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</si>
  <si>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</si>
  <si>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</si>
  <si>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</si>
  <si>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</si>
  <si>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</si>
  <si>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</si>
  <si>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</si>
  <si>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</si>
  <si>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</si>
  <si>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</si>
  <si>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</si>
  <si>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</si>
  <si>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</si>
  <si>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</si>
  <si>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</si>
  <si>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</si>
  <si>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</si>
  <si>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</si>
  <si>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</si>
  <si>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</si>
  <si>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</si>
  <si>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</si>
  <si>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</si>
  <si>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</si>
  <si>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</si>
  <si>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</si>
  <si>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</si>
  <si>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</si>
  <si>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</si>
  <si>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</si>
  <si>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</si>
  <si>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</si>
  <si>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</si>
  <si>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</si>
  <si>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</si>
  <si>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</si>
  <si>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</si>
  <si>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</si>
  <si>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</si>
  <si>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</si>
  <si>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</si>
  <si>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</si>
  <si>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</si>
  <si>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</si>
  <si>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</si>
  <si>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</si>
  <si>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</si>
  <si>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</si>
  <si>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</si>
  <si>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</si>
  <si>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</si>
  <si>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</si>
  <si>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</si>
  <si>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</si>
  <si>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</si>
  <si>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</si>
  <si>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</si>
  <si>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</si>
  <si>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</si>
  <si>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</si>
  <si>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</si>
  <si>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</si>
  <si>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</si>
  <si>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</si>
  <si>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</si>
  <si>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</si>
  <si>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</si>
  <si>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</si>
  <si>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</si>
  <si>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</si>
  <si>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</si>
  <si>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</si>
  <si>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</si>
  <si>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</si>
  <si>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</si>
  <si>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</si>
  <si>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</si>
  <si>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</si>
  <si>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</si>
  <si>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</si>
  <si>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</si>
  <si>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</si>
  <si>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</si>
  <si>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</si>
  <si>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</si>
  <si>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</si>
  <si>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</si>
  <si>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</si>
  <si>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</si>
  <si>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</si>
  <si>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</si>
  <si>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</si>
  <si>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</si>
  <si>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</si>
  <si>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</si>
  <si>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</si>
  <si>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</si>
  <si>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</si>
  <si>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</si>
  <si>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</si>
  <si>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</si>
  <si>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</si>
  <si>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</si>
  <si>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</si>
  <si>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</si>
  <si>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</si>
  <si>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</si>
  <si>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</si>
  <si>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</si>
  <si>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</si>
  <si>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</si>
  <si>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</si>
  <si>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</si>
  <si>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</si>
  <si>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</si>
  <si>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</si>
  <si>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</si>
  <si>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</si>
  <si>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</si>
  <si>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</si>
  <si>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</si>
  <si>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</si>
  <si>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</si>
  <si>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</si>
  <si>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</si>
  <si>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</si>
  <si>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</si>
  <si>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</si>
  <si>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</si>
  <si>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</si>
  <si>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</si>
  <si>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</si>
  <si>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</si>
  <si>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</si>
  <si>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</si>
  <si>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</si>
  <si>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</si>
  <si>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</si>
  <si>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</si>
  <si>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</si>
  <si>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</si>
  <si>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</si>
  <si>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</si>
  <si>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</si>
  <si>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</si>
  <si>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</si>
  <si>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</si>
  <si>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</si>
  <si>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</si>
  <si>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</si>
  <si>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</si>
  <si>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</si>
  <si>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</si>
  <si>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</si>
  <si>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</si>
  <si>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</si>
  <si>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</si>
  <si>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</si>
  <si>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</si>
  <si>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</si>
  <si>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</si>
  <si>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</si>
  <si>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</si>
  <si>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</si>
  <si>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</si>
  <si>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</si>
  <si>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</si>
  <si>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</si>
  <si>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</si>
  <si>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</si>
  <si>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</si>
  <si>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</si>
  <si>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</si>
  <si>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</si>
  <si>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</si>
  <si>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</si>
  <si>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</si>
  <si>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</si>
  <si>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</si>
  <si>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</si>
  <si>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</si>
  <si>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</si>
  <si>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</si>
  <si>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</si>
  <si>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</si>
  <si>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</si>
  <si>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</si>
  <si>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</si>
  <si>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</si>
  <si>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</si>
  <si>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</si>
  <si>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</si>
  <si>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</si>
  <si>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</si>
  <si>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</si>
  <si>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</si>
  <si>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</si>
  <si>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</si>
  <si>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</si>
  <si>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</si>
  <si>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</si>
  <si>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</si>
  <si>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</si>
  <si>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</si>
  <si>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</si>
  <si>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</si>
  <si>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</si>
  <si>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</si>
  <si>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</si>
  <si>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</si>
  <si>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</si>
  <si>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</si>
  <si>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</si>
  <si>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</si>
  <si>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</si>
  <si>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</si>
  <si>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</si>
  <si>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</si>
  <si>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</si>
  <si>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</si>
  <si>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</si>
  <si>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</si>
  <si>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</si>
  <si>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</si>
  <si>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</si>
  <si>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</si>
  <si>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</si>
  <si>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</si>
  <si>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</si>
  <si>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</si>
  <si>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</si>
  <si>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</si>
  <si>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</si>
  <si>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</si>
  <si>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</si>
  <si>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</si>
  <si>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</si>
  <si>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</si>
  <si>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</si>
  <si>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</si>
  <si>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</si>
  <si>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</si>
  <si>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</si>
  <si>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</si>
  <si>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</si>
  <si>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</si>
  <si>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</si>
  <si>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</si>
  <si>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</si>
  <si>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</si>
  <si>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</si>
  <si>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</si>
  <si>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</si>
  <si>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</si>
  <si>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</si>
  <si>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</si>
  <si>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</si>
  <si>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</si>
  <si>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</si>
  <si>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</si>
  <si>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</si>
  <si>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</si>
  <si>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</si>
  <si>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</si>
  <si>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</si>
  <si>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</si>
  <si>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</si>
  <si>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</si>
  <si>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</si>
  <si>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</si>
  <si>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</si>
  <si>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</si>
  <si>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</si>
  <si>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</si>
  <si>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</si>
  <si>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</si>
  <si>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</si>
  <si>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</si>
  <si>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</si>
  <si>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</si>
  <si>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</si>
  <si>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</si>
  <si>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</si>
  <si>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</si>
  <si>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</si>
  <si>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</si>
  <si>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</si>
  <si>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</si>
  <si>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</si>
  <si>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</si>
  <si>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</si>
  <si>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</si>
  <si>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</si>
  <si>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</si>
  <si>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</si>
  <si>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</si>
  <si>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</si>
  <si>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</si>
  <si>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</si>
  <si>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</si>
  <si>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</si>
  <si>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</si>
  <si>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</si>
  <si>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</si>
  <si>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</si>
  <si>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</si>
  <si>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</si>
  <si>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</si>
  <si>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</si>
  <si>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</si>
  <si>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</si>
  <si>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</si>
  <si>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</si>
  <si>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</si>
  <si>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</si>
  <si>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</si>
  <si>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</si>
  <si>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</si>
  <si>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</si>
  <si>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</si>
  <si>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</si>
  <si>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</si>
  <si>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</si>
  <si>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</si>
  <si>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</si>
  <si>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</si>
  <si>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</si>
  <si>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</si>
  <si>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</si>
  <si>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</si>
  <si>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</si>
  <si>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</si>
  <si>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</si>
  <si>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</si>
  <si>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</si>
  <si>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</si>
  <si>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</si>
  <si>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</si>
  <si>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</si>
  <si>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</si>
  <si>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</si>
  <si>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</si>
  <si>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</si>
  <si>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</si>
  <si>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</si>
  <si>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</si>
  <si>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</si>
  <si>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</si>
  <si>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</si>
  <si>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</si>
  <si>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</si>
  <si>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</si>
  <si>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</si>
  <si>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</si>
  <si>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</si>
  <si>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</si>
  <si>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</si>
  <si>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</si>
  <si>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</si>
  <si>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</si>
  <si>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</si>
  <si>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</si>
  <si>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</si>
  <si>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</si>
  <si>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</si>
  <si>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</si>
  <si>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</si>
  <si>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</si>
  <si>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</si>
  <si>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</si>
  <si>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</si>
  <si>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</si>
  <si>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</si>
  <si>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</si>
  <si>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</si>
  <si>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</si>
  <si>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</si>
  <si>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</si>
  <si>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</si>
  <si>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</si>
  <si>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</si>
  <si>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</si>
  <si>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</si>
  <si>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</si>
  <si>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</si>
  <si>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</si>
  <si>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</si>
  <si>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</si>
  <si>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</si>
  <si>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</si>
  <si>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</si>
  <si>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</si>
  <si>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</si>
  <si>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</si>
  <si>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</si>
  <si>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</si>
  <si>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</si>
  <si>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</si>
  <si>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</si>
  <si>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</si>
  <si>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</si>
  <si>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</si>
  <si>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</si>
  <si>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</si>
  <si>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</si>
  <si>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</si>
  <si>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</si>
  <si>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</si>
  <si>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</si>
  <si>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</si>
  <si>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</si>
  <si>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</si>
  <si>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</si>
  <si>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</si>
  <si>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</si>
  <si>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</si>
  <si>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</si>
  <si>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</si>
  <si>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</si>
  <si>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</si>
  <si>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</si>
  <si>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</si>
  <si>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</si>
  <si>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</si>
  <si>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</si>
  <si>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</si>
  <si>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</si>
  <si>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</si>
  <si>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</si>
  <si>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</si>
  <si>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</si>
  <si>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</si>
  <si>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</si>
  <si>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</si>
  <si>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</si>
  <si>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</si>
  <si>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</si>
  <si>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</si>
  <si>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</si>
  <si>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</si>
  <si>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</si>
  <si>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</si>
  <si>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</si>
  <si>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</si>
  <si>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</si>
  <si>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</si>
  <si>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</si>
  <si>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</si>
  <si>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</si>
  <si>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</si>
  <si>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</si>
  <si>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</si>
  <si>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</si>
  <si>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</si>
  <si>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</si>
  <si>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</si>
  <si>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</si>
  <si>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</si>
  <si>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</si>
  <si>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</si>
  <si>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</si>
  <si>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</si>
  <si>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</si>
  <si>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</si>
  <si>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</si>
  <si>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</si>
  <si>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</si>
  <si>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</si>
  <si>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</si>
  <si>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</si>
  <si>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</si>
  <si>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</si>
  <si>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</si>
  <si>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</si>
  <si>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</si>
  <si>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</si>
  <si>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</si>
  <si>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</si>
  <si>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</si>
  <si>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</si>
  <si>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</si>
  <si>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</si>
  <si>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</si>
  <si>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</si>
  <si>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</si>
  <si>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</si>
  <si>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</si>
  <si>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</si>
  <si>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</si>
  <si>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</si>
  <si>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</si>
  <si>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</si>
  <si>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</si>
  <si>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</si>
  <si>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</si>
  <si>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</si>
  <si>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</si>
  <si>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</si>
  <si>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</si>
  <si>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</si>
  <si>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</si>
  <si>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</si>
  <si>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</si>
  <si>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</si>
  <si>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</si>
  <si>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</si>
  <si>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</si>
  <si>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</si>
  <si>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</si>
  <si>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</si>
  <si>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</si>
  <si>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</si>
  <si>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</si>
  <si>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</si>
  <si>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</si>
  <si>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</si>
  <si>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</si>
  <si>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</si>
  <si>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</si>
  <si>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</si>
  <si>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</si>
  <si>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</si>
  <si>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</si>
  <si>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</si>
  <si>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</si>
  <si>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</si>
  <si>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</si>
  <si>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</si>
  <si>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</si>
  <si>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</si>
  <si>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</si>
  <si>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</si>
  <si>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</si>
  <si>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</si>
  <si>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</si>
  <si>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</si>
  <si>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</si>
  <si>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</si>
  <si>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</si>
  <si>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</si>
  <si>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</si>
  <si>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</si>
  <si>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</si>
  <si>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</si>
  <si>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</si>
  <si>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</si>
  <si>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</si>
  <si>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</si>
  <si>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</si>
  <si>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</si>
  <si>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</si>
  <si>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</si>
  <si>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</si>
  <si>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</si>
  <si>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</si>
  <si>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</si>
  <si>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</si>
  <si>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</si>
  <si>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</si>
  <si>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</si>
  <si>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</si>
  <si>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</si>
  <si>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</si>
  <si>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No</t>
  </si>
  <si>
    <t>Conventional Till</t>
  </si>
  <si>
    <t>McCoy T 1625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</si>
</sst>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42818</v>
      </c>
      <c r="G6" s="457"/>
      <c r="H6" s="457"/>
      <c r="I6" s="458"/>
      <c r="J6" s="316"/>
      <c r="K6" s="316"/>
      <c r="L6" s="316"/>
      <c r="M6" s="316"/>
    </row>
    <row r="7" spans="1:13" ht="12.75" customHeight="1">
      <c r="A7" s="316"/>
      <c r="B7" s="316"/>
      <c r="C7" s="316"/>
      <c r="D7" s="316" t="s">
        <v>578</v>
      </c>
      <c r="E7" s="316"/>
      <c r="F7" s="467" t="s">
        <v>881</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26</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35</v>
      </c>
      <c r="H38" s="441"/>
      <c r="I38" s="441"/>
      <c r="J38" s="441"/>
      <c r="K38" s="441"/>
      <c r="L38" s="442"/>
      <c r="M38" s="26"/>
    </row>
    <row r="39" spans="1:13" ht="12.75">
      <c r="A39" s="136" t="s">
        <v>375</v>
      </c>
      <c r="B39" s="453" t="s">
        <v>403</v>
      </c>
      <c r="C39" s="453"/>
      <c r="D39" s="453"/>
      <c r="E39" s="453"/>
      <c r="F39" s="26"/>
      <c r="G39" s="154">
        <v>8.1</v>
      </c>
      <c r="H39" s="42"/>
      <c r="I39" s="42"/>
      <c r="J39" s="42"/>
      <c r="K39" s="46"/>
      <c r="L39" s="46"/>
      <c r="M39" s="26"/>
    </row>
    <row r="40" spans="1:13" ht="12.75">
      <c r="A40" s="136" t="s">
        <v>376</v>
      </c>
      <c r="B40" s="453" t="s">
        <v>370</v>
      </c>
      <c r="C40" s="453"/>
      <c r="D40" s="453"/>
      <c r="E40" s="453"/>
      <c r="F40" s="26"/>
      <c r="G40" s="329">
        <v>21</v>
      </c>
      <c r="H40" s="48" t="str">
        <f>CONCATENATE(VLOOKUP(G38,'Data Tables'!A4:C78,3,FALSE),B257)</f>
        <v>ton per acre</v>
      </c>
      <c r="I40" s="26"/>
      <c r="J40" s="42"/>
      <c r="K40" s="46"/>
      <c r="L40" s="46"/>
      <c r="M40" s="26"/>
    </row>
    <row r="41" spans="1:13" ht="12.75">
      <c r="A41" s="136" t="s">
        <v>377</v>
      </c>
      <c r="B41" s="42" t="s">
        <v>622</v>
      </c>
      <c r="C41" s="42"/>
      <c r="D41" s="42"/>
      <c r="E41" s="42"/>
      <c r="F41" s="26"/>
      <c r="G41" s="437" t="s">
        <v>880</v>
      </c>
      <c r="H41" s="438"/>
      <c r="I41" s="438"/>
      <c r="J41" s="438"/>
      <c r="K41" s="438"/>
      <c r="L41" s="439"/>
      <c r="M41" s="26"/>
    </row>
    <row r="42" spans="1:13" ht="12.75">
      <c r="A42" s="137" t="s">
        <v>523</v>
      </c>
      <c r="B42" s="454" t="s">
        <v>438</v>
      </c>
      <c r="C42" s="455"/>
      <c r="D42" s="455"/>
      <c r="E42" s="45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c r="G50" s="40" t="s">
        <v>268</v>
      </c>
      <c r="H50" s="40"/>
      <c r="I50" s="40"/>
      <c r="J50" s="154"/>
      <c r="K50" s="26"/>
      <c r="L50" s="26"/>
      <c r="M50" s="26"/>
    </row>
    <row r="51" spans="1:13" ht="12.75">
      <c r="A51" s="136" t="s">
        <v>375</v>
      </c>
      <c r="B51" s="27" t="s">
        <v>502</v>
      </c>
      <c r="C51" s="41"/>
      <c r="D51" s="39"/>
      <c r="E51" s="26"/>
      <c r="F51" s="396">
        <f>'Calculations- All Data'!F57</f>
        <v>0</v>
      </c>
      <c r="G51" s="42" t="s">
        <v>268</v>
      </c>
      <c r="H51" s="42"/>
      <c r="I51" s="42"/>
      <c r="J51" s="397">
        <f>'Calculations- All Data'!J57</f>
        <v>0</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414</v>
      </c>
      <c r="G54" s="438"/>
      <c r="H54" s="438"/>
      <c r="I54" s="188"/>
      <c r="J54" s="437" t="s">
        <v>414</v>
      </c>
      <c r="K54" s="443"/>
      <c r="L54" s="444"/>
      <c r="M54" s="26"/>
    </row>
    <row r="55" spans="1:13" ht="12.75">
      <c r="A55" s="136" t="s">
        <v>375</v>
      </c>
      <c r="B55" s="41" t="s">
        <v>369</v>
      </c>
      <c r="C55" s="26"/>
      <c r="D55" s="26"/>
      <c r="E55" s="26"/>
      <c r="F55" s="440" t="s">
        <v>451</v>
      </c>
      <c r="G55" s="441"/>
      <c r="H55" s="441"/>
      <c r="I55" s="187"/>
      <c r="J55" s="440" t="s">
        <v>451</v>
      </c>
      <c r="K55" s="441"/>
      <c r="L55" s="442"/>
      <c r="M55" s="26"/>
    </row>
    <row r="56" spans="1:13" ht="14.25">
      <c r="A56" s="136" t="s">
        <v>376</v>
      </c>
      <c r="B56" s="267" t="s">
        <v>870</v>
      </c>
      <c r="C56" s="26"/>
      <c r="D56" s="26"/>
      <c r="E56" s="26"/>
      <c r="F56" s="154" t="s">
        <v>879</v>
      </c>
      <c r="G56" s="41"/>
      <c r="H56" s="40"/>
      <c r="I56" s="40"/>
      <c r="J56" s="154" t="s">
        <v>879</v>
      </c>
      <c r="K56" s="26"/>
      <c r="L56" s="26"/>
      <c r="M56" s="26"/>
    </row>
    <row r="57" spans="1:13" ht="12.75">
      <c r="A57" s="136"/>
      <c r="B57" s="40"/>
      <c r="C57" s="41" t="s">
        <v>371</v>
      </c>
      <c r="D57" s="26"/>
      <c r="E57" s="26"/>
      <c r="F57" s="154"/>
      <c r="G57" s="41" t="str">
        <f>VLOOKUP(F55,'Data Tables'!$A$249:$D$270,3,FALSE)</f>
        <v>lbs/ton</v>
      </c>
      <c r="H57" s="26"/>
      <c r="I57" s="40"/>
      <c r="J57" s="154"/>
      <c r="K57" s="41" t="str">
        <f>VLOOKUP(J55,'Data Tables'!$A$249:$D$270,3,FALSE)</f>
        <v>lbs/ton</v>
      </c>
      <c r="L57" s="26"/>
      <c r="M57" s="26"/>
    </row>
    <row r="58" spans="1:13" ht="12.75">
      <c r="A58" s="136" t="s">
        <v>377</v>
      </c>
      <c r="B58" s="41" t="s">
        <v>15</v>
      </c>
      <c r="C58" s="26"/>
      <c r="D58" s="26"/>
      <c r="E58" s="26"/>
      <c r="F58" s="154">
        <v>20</v>
      </c>
      <c r="G58" s="41" t="str">
        <f>VLOOKUP(F55,'Data Tables'!$A$249:$E$270,5,FALSE)</f>
        <v>tons/ac</v>
      </c>
      <c r="H58" s="40"/>
      <c r="I58" s="40"/>
      <c r="J58" s="154">
        <v>20</v>
      </c>
      <c r="K58" s="41" t="str">
        <f>VLOOKUP(J55,'Data Tables'!$A$249:$E$270,5,FALSE)</f>
        <v>tons/ac</v>
      </c>
      <c r="L58" s="26"/>
      <c r="M58" s="26"/>
    </row>
    <row r="59" spans="1:13" ht="12.75">
      <c r="A59" s="136" t="s">
        <v>523</v>
      </c>
      <c r="B59" s="26" t="str">
        <f>IF(F54=$D$271,"Time when manure will be utilized:","Days until incorporation:")</f>
        <v>Days until incorporation:</v>
      </c>
      <c r="C59" s="41"/>
      <c r="D59" s="26"/>
      <c r="E59" s="26"/>
      <c r="F59" s="437" t="s">
        <v>488</v>
      </c>
      <c r="G59" s="438"/>
      <c r="H59" s="438"/>
      <c r="I59" s="187"/>
      <c r="J59" s="437" t="s">
        <v>488</v>
      </c>
      <c r="K59" s="438"/>
      <c r="L59" s="439"/>
      <c r="M59" s="26"/>
    </row>
    <row r="60" spans="1:13" ht="12.75">
      <c r="A60" s="136" t="s">
        <v>525</v>
      </c>
      <c r="B60" s="27" t="s">
        <v>420</v>
      </c>
      <c r="C60" s="41"/>
      <c r="D60" s="26"/>
      <c r="E60" s="26"/>
      <c r="F60" s="398">
        <f>'Calculations- All Data'!F69</f>
        <v>220</v>
      </c>
      <c r="G60" s="42" t="s">
        <v>268</v>
      </c>
      <c r="H60" s="42"/>
      <c r="I60" s="156"/>
      <c r="J60" s="398">
        <f>'Calculations- All Data'!J69</f>
        <v>220</v>
      </c>
      <c r="K60" s="42" t="s">
        <v>268</v>
      </c>
      <c r="L60" s="42"/>
      <c r="M60" s="26"/>
    </row>
    <row r="61" spans="1:13" ht="12.75">
      <c r="A61" s="136" t="s">
        <v>524</v>
      </c>
      <c r="B61" s="27" t="s">
        <v>501</v>
      </c>
      <c r="C61" s="41"/>
      <c r="D61" s="39"/>
      <c r="E61" s="26"/>
      <c r="F61" s="396">
        <f>'Calculations- All Data'!F70</f>
        <v>66</v>
      </c>
      <c r="G61" s="42" t="s">
        <v>268</v>
      </c>
      <c r="H61" s="42"/>
      <c r="I61" s="42"/>
      <c r="J61" s="397">
        <f>'Calculations- All Data'!J70</f>
        <v>66</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220</v>
      </c>
      <c r="G85" s="27" t="s">
        <v>268</v>
      </c>
      <c r="H85" s="39"/>
      <c r="I85" s="385" t="s">
        <v>14</v>
      </c>
      <c r="J85" s="395">
        <f>'Calculations- All Data'!J98</f>
        <v>220</v>
      </c>
      <c r="K85" s="26" t="s">
        <v>268</v>
      </c>
      <c r="L85" s="26"/>
      <c r="M85" s="26"/>
    </row>
    <row r="86" spans="1:13" ht="13.5" thickBot="1">
      <c r="A86" s="253" t="s">
        <v>601</v>
      </c>
      <c r="B86" s="26"/>
      <c r="C86" s="26"/>
      <c r="D86" s="26"/>
      <c r="E86" s="252"/>
      <c r="F86" s="399">
        <f>'Calculations- All Data'!F99</f>
        <v>66</v>
      </c>
      <c r="G86" s="27" t="s">
        <v>268</v>
      </c>
      <c r="H86" s="39"/>
      <c r="I86" s="385" t="s">
        <v>14</v>
      </c>
      <c r="J86" s="395">
        <f>'Calculations- All Data'!J99</f>
        <v>66</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160</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147</v>
      </c>
      <c r="H112" s="43" t="s">
        <v>592</v>
      </c>
      <c r="I112" s="42"/>
      <c r="J112" s="46"/>
      <c r="K112" s="46"/>
      <c r="L112" s="26"/>
      <c r="M112" s="26"/>
    </row>
    <row r="113" spans="1:13" ht="12.75">
      <c r="A113" s="26"/>
      <c r="B113" s="26"/>
      <c r="C113" s="27" t="s">
        <v>508</v>
      </c>
      <c r="D113" s="26"/>
      <c r="E113" s="26"/>
      <c r="F113" s="26"/>
      <c r="G113" s="318">
        <f>'Calculations- All Data'!F117</f>
        <v>86</v>
      </c>
      <c r="H113" s="26" t="s">
        <v>547</v>
      </c>
      <c r="I113" s="26"/>
      <c r="J113" s="26"/>
      <c r="K113" s="26"/>
      <c r="L113" s="26"/>
      <c r="M113" s="26"/>
    </row>
    <row r="114" spans="1:13" ht="13.5" thickBot="1">
      <c r="A114" s="26"/>
      <c r="B114" s="26"/>
      <c r="C114" s="27" t="s">
        <v>509</v>
      </c>
      <c r="D114" s="26"/>
      <c r="E114" s="26"/>
      <c r="F114" s="324"/>
      <c r="G114" s="318">
        <f>'Calculations- All Data'!F118</f>
        <v>86</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240</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135.9897</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104.0103</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46.804635000000005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46.804635000000005</v>
      </c>
      <c r="H133" s="26" t="s">
        <v>547</v>
      </c>
      <c r="I133" s="26"/>
      <c r="J133" s="372"/>
      <c r="K133" s="26"/>
      <c r="L133" s="26"/>
      <c r="M133" s="26"/>
    </row>
    <row r="134" spans="1:13" ht="13.5" thickBot="1">
      <c r="A134" s="109"/>
      <c r="B134" s="26"/>
      <c r="C134" s="267" t="s">
        <v>610</v>
      </c>
      <c r="D134" s="267"/>
      <c r="E134" s="267"/>
      <c r="F134" s="324" t="s">
        <v>594</v>
      </c>
      <c r="G134" s="395">
        <f>'Calculations- All Data'!F136</f>
        <v>379.1175435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518</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7.8</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t="s">
        <v>385</v>
      </c>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v>0.3</v>
      </c>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282.51762489951335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282.51762489951335</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265.84908503044204</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266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239</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42818</v>
      </c>
      <c r="G4" s="525"/>
      <c r="H4" s="525"/>
      <c r="I4" s="526"/>
      <c r="J4" s="317"/>
      <c r="K4" s="317"/>
      <c r="L4" s="317"/>
      <c r="M4" s="317"/>
    </row>
    <row r="5" spans="1:13" ht="12.75">
      <c r="A5" s="317"/>
      <c r="B5" s="317"/>
      <c r="C5" s="317"/>
      <c r="D5" s="317" t="s">
        <v>578</v>
      </c>
      <c r="E5" s="317"/>
      <c r="F5" s="527" t="str">
        <f>'CREDIT CALCULATION FORM'!F7:K7</f>
        <v>McCoy T 1625 F 3</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Farm uses no manure application and applies commercial fertilizer at or below the Penn State recommended agronomic rates</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700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silage (mature)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8.1</v>
      </c>
      <c r="G43" s="122"/>
      <c r="H43" s="122"/>
      <c r="I43" s="122"/>
      <c r="J43" s="120"/>
      <c r="K43" s="120"/>
      <c r="L43" s="110"/>
      <c r="M43" s="110"/>
    </row>
    <row r="44" spans="1:13" ht="12.75">
      <c r="A44" s="110"/>
      <c r="B44" s="496" t="s">
        <v>32</v>
      </c>
      <c r="C44" s="496"/>
      <c r="D44" s="496"/>
      <c r="E44" s="496"/>
      <c r="F44" s="215">
        <f>'CREDIT CALCULATION FORM'!G40</f>
        <v>21</v>
      </c>
      <c r="G44" s="126" t="str">
        <f>CONCATENATE(VLOOKUP(F40,'Data Tables'!A4:C78,3,FALSE),B220)</f>
        <v>ton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70</v>
      </c>
      <c r="G46" s="127"/>
      <c r="H46" s="120"/>
      <c r="I46" s="120"/>
      <c r="J46" s="120"/>
      <c r="K46" s="120"/>
      <c r="L46" s="110"/>
      <c r="M46" s="110"/>
    </row>
    <row r="47" spans="1:13" ht="12.75">
      <c r="A47" s="123"/>
      <c r="B47" s="125"/>
      <c r="C47" s="496" t="s">
        <v>606</v>
      </c>
      <c r="D47" s="496"/>
      <c r="E47" s="496"/>
      <c r="F47" s="103">
        <f>VLOOKUP(F46,'BMPs and Bay Model Data'!A4:D30,4,FALSE)</f>
        <v>0.941</v>
      </c>
      <c r="G47" s="120"/>
      <c r="H47" s="120"/>
      <c r="I47" s="120"/>
      <c r="J47" s="120"/>
      <c r="K47" s="120"/>
      <c r="L47" s="110"/>
      <c r="M47" s="110"/>
    </row>
    <row r="48" spans="1:13" ht="12.75">
      <c r="A48" s="123"/>
      <c r="B48" s="125"/>
      <c r="C48" s="496" t="s">
        <v>607</v>
      </c>
      <c r="D48" s="496"/>
      <c r="E48" s="496"/>
      <c r="F48" s="103">
        <f>VLOOKUP(F46,'BMPs and Bay Model Data'!A4:E30,5,FALSE)</f>
        <v>0.45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0</v>
      </c>
      <c r="G56" s="117" t="s">
        <v>268</v>
      </c>
      <c r="H56" s="117"/>
      <c r="I56" s="117"/>
      <c r="J56" s="101">
        <f>'CREDIT CALCULATION FORM'!J50</f>
        <v>0</v>
      </c>
      <c r="K56" s="117" t="s">
        <v>268</v>
      </c>
      <c r="L56" s="117"/>
      <c r="M56" s="110"/>
    </row>
    <row r="57" spans="1:13" ht="12.75">
      <c r="A57" s="110"/>
      <c r="B57" s="131" t="s">
        <v>502</v>
      </c>
      <c r="C57" s="119"/>
      <c r="D57" s="116"/>
      <c r="E57" s="110"/>
      <c r="F57" s="247">
        <f>F56</f>
        <v>0</v>
      </c>
      <c r="G57" s="119" t="s">
        <v>268</v>
      </c>
      <c r="H57" s="117"/>
      <c r="I57" s="117"/>
      <c r="J57" s="247">
        <f>J56</f>
        <v>0</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Spring or summer</v>
      </c>
      <c r="G60" s="505"/>
      <c r="H60" s="505"/>
      <c r="I60" s="189"/>
      <c r="J60" s="507" t="str">
        <f>'CREDIT CALCULATION FORM'!J54:M54</f>
        <v>Spring or summer</v>
      </c>
      <c r="K60" s="508"/>
      <c r="L60" s="509"/>
      <c r="M60" s="110"/>
    </row>
    <row r="61" spans="1:13" ht="12.75">
      <c r="A61" s="110"/>
      <c r="B61" s="117"/>
      <c r="C61" s="119" t="s">
        <v>115</v>
      </c>
      <c r="D61" s="110"/>
      <c r="E61" s="110"/>
      <c r="F61" s="521" t="str">
        <f>'CREDIT CALCULATION FORM'!F55:I55</f>
        <v>Beef- Cow and Calf</v>
      </c>
      <c r="G61" s="522"/>
      <c r="H61" s="522"/>
      <c r="I61" s="189"/>
      <c r="J61" s="521" t="str">
        <f>'CREDIT CALCULATION FORM'!J55:M55</f>
        <v>Beef- Cow and Calf</v>
      </c>
      <c r="K61" s="522"/>
      <c r="L61" s="523"/>
      <c r="M61" s="110"/>
    </row>
    <row r="62" spans="1:13" ht="12.75">
      <c r="A62" s="110"/>
      <c r="B62" s="117"/>
      <c r="C62" s="119" t="s">
        <v>275</v>
      </c>
      <c r="D62" s="110"/>
      <c r="E62" s="110"/>
      <c r="F62" s="101" t="str">
        <f>'CREDIT CALCULATION FORM'!F56</f>
        <v>No</v>
      </c>
      <c r="G62" s="119"/>
      <c r="H62" s="117"/>
      <c r="I62" s="117"/>
      <c r="J62" s="101" t="str">
        <f>'CREDIT CALCULATION FORM'!J56</f>
        <v>No</v>
      </c>
      <c r="K62" s="119"/>
      <c r="L62" s="117"/>
      <c r="M62" s="110"/>
    </row>
    <row r="63" spans="1:13" ht="12.75">
      <c r="A63" s="110"/>
      <c r="B63" s="117"/>
      <c r="C63" s="119" t="s">
        <v>273</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276</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16</v>
      </c>
      <c r="D65" s="110"/>
      <c r="E65" s="110"/>
      <c r="F65" s="101">
        <f>'CREDIT CALCULATION FORM'!F58</f>
        <v>20</v>
      </c>
      <c r="G65" s="117" t="str">
        <f>'CREDIT CALCULATION FORM'!G58</f>
        <v>tons/ac</v>
      </c>
      <c r="H65" s="117"/>
      <c r="I65" s="117"/>
      <c r="J65" s="101">
        <f>'CREDIT CALCULATION FORM'!J58</f>
        <v>20</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Incorporation within 5-7 days</v>
      </c>
      <c r="G66" s="505"/>
      <c r="H66" s="505"/>
      <c r="I66" s="189"/>
      <c r="J66" s="507" t="str">
        <f>'CREDIT CALCULATION FORM'!J59:M59</f>
        <v>Incorporation within 5-7 days</v>
      </c>
      <c r="K66" s="505"/>
      <c r="L66" s="506"/>
      <c r="M66" s="110"/>
    </row>
    <row r="67" spans="1:13" ht="12.75">
      <c r="A67" s="110"/>
      <c r="B67" s="117"/>
      <c r="C67" s="119"/>
      <c r="D67" s="110" t="s">
        <v>291</v>
      </c>
      <c r="E67" s="110"/>
      <c r="F67" s="504" t="str">
        <f>CONCATENATE(F60,F66)</f>
        <v>Spring or summerIncorporation within 5-7 days</v>
      </c>
      <c r="G67" s="505"/>
      <c r="H67" s="505"/>
      <c r="I67" s="189"/>
      <c r="J67" s="504" t="str">
        <f>CONCATENATE(J60,J66)</f>
        <v>Spring or summerIncorporation within 5-7 days</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0.3</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0.3</v>
      </c>
      <c r="K68" s="117"/>
      <c r="L68" s="117"/>
      <c r="M68" s="110"/>
    </row>
    <row r="69" spans="1:13" ht="12.75">
      <c r="A69" s="110"/>
      <c r="B69" s="110" t="s">
        <v>503</v>
      </c>
      <c r="C69" s="119"/>
      <c r="D69" s="110"/>
      <c r="E69" s="110"/>
      <c r="F69" s="247">
        <f>IF(F62="Yes",F65*F63,F65*F64)</f>
        <v>220</v>
      </c>
      <c r="G69" s="117" t="s">
        <v>268</v>
      </c>
      <c r="H69" s="117"/>
      <c r="I69" s="117"/>
      <c r="J69" s="247">
        <f>IF(J62="Yes",J65*J63,J65*J64)</f>
        <v>220</v>
      </c>
      <c r="K69" s="117" t="s">
        <v>268</v>
      </c>
      <c r="L69" s="117"/>
      <c r="M69" s="110"/>
    </row>
    <row r="70" spans="1:13" ht="12.75">
      <c r="A70" s="110"/>
      <c r="B70" s="131" t="s">
        <v>501</v>
      </c>
      <c r="C70" s="119"/>
      <c r="D70" s="116"/>
      <c r="E70" s="110"/>
      <c r="F70" s="247">
        <f>F68*F69</f>
        <v>66</v>
      </c>
      <c r="G70" s="119" t="s">
        <v>268</v>
      </c>
      <c r="H70" s="117"/>
      <c r="I70" s="117"/>
      <c r="J70" s="247">
        <f>J68*J69</f>
        <v>66</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220</v>
      </c>
      <c r="G98" s="119" t="s">
        <v>268</v>
      </c>
      <c r="H98" s="191" t="s">
        <v>14</v>
      </c>
      <c r="I98" s="117"/>
      <c r="J98" s="402">
        <f>IF(SUM(J57,J69,J82,J95)=0,F98,SUM(J57,J82,J69,J95))</f>
        <v>220</v>
      </c>
      <c r="K98" s="110" t="s">
        <v>268</v>
      </c>
      <c r="L98" s="110"/>
      <c r="M98" s="110"/>
    </row>
    <row r="99" spans="1:13" ht="13.5" thickBot="1">
      <c r="A99" s="110"/>
      <c r="B99" s="116" t="s">
        <v>511</v>
      </c>
      <c r="C99" s="119"/>
      <c r="D99" s="110"/>
      <c r="E99" s="110"/>
      <c r="F99" s="402">
        <f>SUM(F96,F83,F70,F57)</f>
        <v>66</v>
      </c>
      <c r="G99" s="119" t="s">
        <v>268</v>
      </c>
      <c r="H99" s="191" t="s">
        <v>14</v>
      </c>
      <c r="I99" s="191"/>
      <c r="J99" s="402">
        <f>IF(SUM(J96,J83,J70,J57)=0,F99,SUM(J96,J83,J70,J57))</f>
        <v>66</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Leck Kill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147</v>
      </c>
      <c r="G116" s="124" t="s">
        <v>365</v>
      </c>
      <c r="H116" s="122"/>
      <c r="I116" s="122"/>
      <c r="J116" s="120"/>
      <c r="K116" s="120"/>
      <c r="L116" s="110"/>
      <c r="M116" s="110"/>
    </row>
    <row r="117" spans="1:13" ht="12.75">
      <c r="A117" s="110"/>
      <c r="B117" s="110"/>
      <c r="C117" s="278" t="s">
        <v>508</v>
      </c>
      <c r="D117" s="278"/>
      <c r="E117" s="278"/>
      <c r="F117" s="424">
        <f>F99+F111</f>
        <v>86</v>
      </c>
      <c r="G117" s="117" t="s">
        <v>268</v>
      </c>
      <c r="H117" s="117"/>
      <c r="I117" s="117"/>
      <c r="J117" s="110"/>
      <c r="K117" s="110"/>
      <c r="L117" s="110"/>
      <c r="M117" s="110"/>
    </row>
    <row r="118" spans="1:15" ht="12.75" customHeight="1" thickBot="1">
      <c r="A118" s="110"/>
      <c r="B118" s="110"/>
      <c r="C118" s="278" t="s">
        <v>509</v>
      </c>
      <c r="D118" s="278"/>
      <c r="E118" s="278"/>
      <c r="F118" s="389">
        <f>F111+J99</f>
        <v>86</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240</v>
      </c>
      <c r="G129" s="124" t="s">
        <v>268</v>
      </c>
      <c r="H129" s="122"/>
      <c r="I129" s="122"/>
      <c r="J129" s="120"/>
      <c r="K129" s="120"/>
      <c r="L129" s="110"/>
      <c r="M129" s="110"/>
    </row>
    <row r="130" spans="1:13" ht="12.75">
      <c r="A130" s="110"/>
      <c r="B130" s="124" t="s">
        <v>563</v>
      </c>
      <c r="C130" s="110"/>
      <c r="D130" s="124"/>
      <c r="E130" s="124"/>
      <c r="F130" s="424">
        <f>VLOOKUP(F40,'Data Tables'!A4:D78,4,FALSE)*F44</f>
        <v>135.9897</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104.0103</v>
      </c>
      <c r="G132" s="119" t="s">
        <v>268</v>
      </c>
      <c r="H132" s="129"/>
      <c r="I132" s="110"/>
      <c r="J132" s="110"/>
      <c r="K132" s="110"/>
      <c r="L132" s="110"/>
      <c r="M132" s="110"/>
    </row>
    <row r="133" spans="1:13" ht="12.75" customHeight="1">
      <c r="A133" s="110"/>
      <c r="B133" s="278" t="s">
        <v>865</v>
      </c>
      <c r="C133" s="117"/>
      <c r="D133" s="117"/>
      <c r="E133" s="110"/>
      <c r="F133" s="248">
        <f>F132*F48</f>
        <v>46.804635000000005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379.1175435</v>
      </c>
      <c r="G136" s="119" t="s">
        <v>298</v>
      </c>
      <c r="H136" s="129"/>
      <c r="I136" s="110"/>
      <c r="J136" s="110"/>
      <c r="K136" s="110"/>
      <c r="L136" s="110"/>
      <c r="M136" s="110"/>
    </row>
    <row r="137" spans="1:13" ht="12.75" customHeight="1">
      <c r="A137" s="110"/>
      <c r="B137" s="131" t="s">
        <v>569</v>
      </c>
      <c r="C137" s="119"/>
      <c r="D137" s="110"/>
      <c r="E137" s="110"/>
      <c r="F137" s="403">
        <f>IF(F43=0,"0",F136/F43)</f>
        <v>46.804635000000005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Cereal Cover Crop</v>
      </c>
      <c r="F146" s="519"/>
      <c r="G146" s="504" t="str">
        <f>IF(OR(E146=$E$245,E146=$E$246),CONCATENATE(E146,$F$151),IF(E146="Continuous No-Till*",CONCATENATE(E146,$F$49),IF(OR(E146=$E$249,E146=$E$250,E146=$E$251,E146=$E$252),CONCATENATE(E146,$F$45),E146)))</f>
        <v>Cereal Cover CropEarly-Planting - Up to 7 days prior to published first frost date</v>
      </c>
      <c r="H146" s="505"/>
      <c r="I146" s="505"/>
      <c r="J146" s="506"/>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7.8</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240.0981222133672</v>
      </c>
      <c r="G153" s="120" t="s">
        <v>298</v>
      </c>
      <c r="H153" s="122"/>
      <c r="I153" s="211"/>
      <c r="J153" s="254"/>
      <c r="K153" s="254"/>
      <c r="L153" s="120"/>
      <c r="M153" s="120"/>
    </row>
    <row r="154" spans="1:13" ht="12.75">
      <c r="A154" s="110"/>
      <c r="B154" s="110"/>
      <c r="C154" s="110"/>
      <c r="D154" s="141" t="s">
        <v>548</v>
      </c>
      <c r="E154" s="212"/>
      <c r="F154" s="281">
        <f>IF(F43=0,"0",(F136-F153)/F43)</f>
        <v>17.16289151686825</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t="str">
        <f>'CREDIT CALCULATION FORM'!F157</f>
        <v>Riparian Forest Buffer</v>
      </c>
      <c r="F157" s="504" t="str">
        <f>IF(OR(E157=$E$242,E157=$E$243,E157=$E$244),CONCATENATE($F$46,E157),E157)</f>
        <v>70Riparian Forest Buffer</v>
      </c>
      <c r="G157" s="506"/>
      <c r="H157" s="544" t="str">
        <f>IF(OR(E157=$E$242,E157=$E$243,E157=$E$244),CONCATENATE(E157,$F$45),E157)</f>
        <v>Riparian Forest BufferConventional Till</v>
      </c>
      <c r="I157" s="545"/>
      <c r="J157" s="361" t="str">
        <f>IF(OR(E157=$E$242,E157=$E$243,E157=$E$244),CONCATENATE($F$46,VLOOKUP(H157,'BMPs and Bay Model Data'!$D$148:$E$166,2,FALSE)),0)</f>
        <v>70high till to forest</v>
      </c>
      <c r="K157" s="146">
        <f>IF(OR(F157=$E$247,F157=$E$248,F157="NONE",F157=0),"0",VLOOKUP(F157,'BMPs and Bay Model Data'!$C$65:$D$142,2,FALSE))</f>
        <v>0.55</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0.3</v>
      </c>
      <c r="G161" s="268" t="s">
        <v>520</v>
      </c>
      <c r="H161" s="257"/>
      <c r="I161" s="115"/>
      <c r="J161" s="122"/>
      <c r="K161" s="211"/>
      <c r="L161" s="209"/>
      <c r="M161" s="209"/>
    </row>
    <row r="162" spans="1:13" ht="12.75">
      <c r="A162" s="110"/>
      <c r="B162" s="110"/>
      <c r="C162" s="110"/>
      <c r="D162" s="117" t="s">
        <v>850</v>
      </c>
      <c r="E162" s="114"/>
      <c r="F162" s="404">
        <f>IF(OR(E157=$E$242,E157=$E$243,E157=$E$244),VLOOKUP(J157,'BMPs and Bay Model Data'!A170:B351,2,FALSE),IF(OR(E158=$E$242,E158=$E$243,E158=$E$244),VLOOKUP(J158,'BMPs and Bay Model Data'!A170:B351,2,FALSE),"0"))</f>
        <v>0.9052750706283734</v>
      </c>
      <c r="G162" s="268"/>
      <c r="H162" s="257"/>
      <c r="I162" s="115"/>
      <c r="J162" s="122"/>
      <c r="K162" s="211"/>
      <c r="L162" s="209"/>
      <c r="M162" s="209"/>
    </row>
    <row r="163" spans="1:13" ht="12.75">
      <c r="A163" s="110"/>
      <c r="B163" s="110"/>
      <c r="C163" s="110"/>
      <c r="D163" s="117" t="s">
        <v>845</v>
      </c>
      <c r="E163" s="114"/>
      <c r="F163" s="364">
        <f>(F154*F161*F162)</f>
        <v>4.661141349036004</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42.41950268614616</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282.51762489951335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282.51762489951335</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265.84908503044204</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265.84908503044204</v>
      </c>
      <c r="G180" s="110" t="s">
        <v>585</v>
      </c>
      <c r="H180" s="110"/>
      <c r="I180" s="110"/>
      <c r="J180" s="110"/>
      <c r="K180" s="110"/>
      <c r="L180" s="110"/>
      <c r="M180" s="110"/>
    </row>
    <row r="181" spans="1:13" ht="13.5" thickBot="1">
      <c r="A181" s="110"/>
      <c r="B181" s="116" t="s">
        <v>561</v>
      </c>
      <c r="C181" s="415"/>
      <c r="D181" s="415"/>
      <c r="E181" s="415"/>
      <c r="F181" s="416">
        <f>ROUND(F180,0)</f>
        <v>266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239.4</v>
      </c>
      <c r="G184" s="420" t="s">
        <v>585</v>
      </c>
      <c r="H184" s="110"/>
      <c r="I184" s="110"/>
      <c r="J184" s="110"/>
      <c r="K184" s="110"/>
      <c r="L184" s="110"/>
      <c r="M184" s="110"/>
    </row>
    <row r="185" spans="1:13" ht="15.75" thickBot="1">
      <c r="A185" s="110"/>
      <c r="B185" s="112" t="s">
        <v>559</v>
      </c>
      <c r="C185" s="421"/>
      <c r="D185" s="421"/>
      <c r="E185" s="421"/>
      <c r="F185" s="414">
        <f>ROUND(F184,0)</f>
        <v>239</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2" t="s">
        <v>279</v>
      </c>
      <c r="D252" s="583"/>
      <c r="E252" s="8" t="s">
        <v>469</v>
      </c>
    </row>
    <row r="253" spans="1:5" ht="12.75">
      <c r="A253" s="58" t="s">
        <v>454</v>
      </c>
      <c r="B253" s="58">
        <v>36</v>
      </c>
      <c r="C253" s="571" t="s">
        <v>605</v>
      </c>
      <c r="D253" s="572"/>
      <c r="E253" s="405" t="s">
        <v>604</v>
      </c>
    </row>
    <row r="254" spans="1:5" ht="12.75">
      <c r="A254" s="104" t="s">
        <v>451</v>
      </c>
      <c r="B254" s="105">
        <v>11</v>
      </c>
      <c r="C254" s="586" t="s">
        <v>279</v>
      </c>
      <c r="D254" s="572"/>
      <c r="E254" s="7" t="s">
        <v>469</v>
      </c>
    </row>
    <row r="255" spans="1:5" ht="12.75">
      <c r="A255" s="33" t="s">
        <v>452</v>
      </c>
      <c r="B255" s="222">
        <v>14</v>
      </c>
      <c r="C255" s="582" t="s">
        <v>279</v>
      </c>
      <c r="D255" s="583"/>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0">
        <v>0</v>
      </c>
      <c r="D270" s="581"/>
      <c r="E270" s="145"/>
    </row>
    <row r="271" spans="1:4" ht="12.75">
      <c r="A271" s="58"/>
      <c r="B271" s="58"/>
      <c r="C271" s="58"/>
      <c r="D271" s="58"/>
    </row>
    <row r="272" spans="1:2" ht="12.75">
      <c r="A272" s="25"/>
      <c r="B272" s="24"/>
    </row>
    <row r="273" spans="1:5" ht="15">
      <c r="A273" s="584" t="s">
        <v>281</v>
      </c>
      <c r="B273" s="585"/>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A273:B273"/>
    <mergeCell ref="C262:D262"/>
    <mergeCell ref="C254:D254"/>
    <mergeCell ref="C263:D263"/>
    <mergeCell ref="C270:D270"/>
    <mergeCell ref="C265:D265"/>
    <mergeCell ref="C266:D266"/>
    <mergeCell ref="C255:D255"/>
    <mergeCell ref="C252:D252"/>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2017-03-24T18:54:34Z</dcterms:modified>
  <cp:category/>
  <cp:version/>
  <cp:contentType/>
  <cp:contentStatus/>
</cp:coreProperties>
</file>