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6455" windowHeight="100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<sst xmlns="http://schemas.openxmlformats.org/spreadsheetml/2006/main" count="1890" uniqueCount="881">
  <si>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</si>
  <si>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</si>
  <si>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</si>
  <si>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</si>
  <si>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</si>
  <si>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</si>
  <si>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</si>
  <si>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</si>
  <si>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</si>
  <si>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</si>
  <si>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</si>
  <si>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</si>
  <si>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</si>
  <si>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</si>
  <si>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</si>
  <si>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</si>
  <si>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</si>
  <si>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</si>
  <si>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</si>
  <si>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</si>
  <si>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</si>
  <si>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</si>
  <si>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</si>
  <si>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</si>
  <si>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</si>
  <si>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</si>
  <si>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</si>
  <si>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</si>
  <si>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</si>
  <si>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</si>
  <si>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</si>
  <si>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</si>
  <si>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</si>
  <si>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</si>
  <si>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</si>
  <si>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</si>
  <si>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</si>
  <si>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</si>
  <si>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</si>
  <si>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</si>
  <si>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</si>
  <si>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</si>
  <si>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</si>
  <si>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</si>
  <si>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</si>
  <si>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</si>
  <si>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</si>
  <si>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</si>
  <si>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</si>
  <si>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</si>
  <si>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</si>
  <si>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</si>
  <si>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</si>
  <si>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</si>
  <si>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</si>
  <si>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</si>
  <si>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</si>
  <si>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</si>
  <si>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</si>
  <si>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</si>
  <si>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</si>
  <si>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</si>
  <si>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</si>
  <si>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</si>
  <si>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</si>
  <si>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</si>
  <si>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</si>
  <si>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</si>
  <si>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</si>
  <si>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</si>
  <si>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</si>
  <si>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</si>
  <si>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</si>
  <si>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</si>
  <si>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</si>
  <si>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</si>
  <si>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</si>
  <si>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</si>
  <si>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</si>
  <si>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</si>
  <si>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</si>
  <si>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</si>
  <si>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</si>
  <si>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</si>
  <si>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</si>
  <si>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</si>
  <si>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</si>
  <si>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</si>
  <si>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</si>
  <si>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</si>
  <si>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</si>
  <si>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</si>
  <si>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</si>
  <si>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</si>
  <si>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</si>
  <si>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</si>
  <si>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</si>
  <si>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</si>
  <si>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</si>
  <si>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</si>
  <si>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</si>
  <si>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</si>
  <si>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</si>
  <si>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</si>
  <si>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</si>
  <si>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</si>
  <si>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</si>
  <si>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</si>
  <si>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</si>
  <si>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</si>
  <si>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</si>
  <si>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</si>
  <si>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</si>
  <si>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</si>
  <si>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</si>
  <si>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</si>
  <si>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</si>
  <si>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</si>
  <si>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</si>
  <si>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</si>
  <si>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</si>
  <si>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</si>
  <si>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</si>
  <si>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</si>
  <si>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</si>
  <si>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</si>
  <si>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</si>
  <si>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</si>
  <si>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</si>
  <si>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</si>
  <si>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</si>
  <si>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</si>
  <si>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</si>
  <si>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</si>
  <si>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</si>
  <si>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</si>
  <si>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</si>
  <si>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</si>
  <si>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</si>
  <si>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</si>
  <si>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</si>
  <si>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</si>
  <si>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</si>
  <si>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</si>
  <si>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</si>
  <si>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</si>
  <si>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</si>
  <si>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</si>
  <si>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</si>
  <si>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</si>
  <si>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</si>
  <si>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</si>
  <si>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</si>
  <si>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</si>
  <si>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</si>
  <si>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</si>
  <si>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</si>
  <si>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</si>
  <si>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</si>
  <si>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</si>
  <si>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</si>
  <si>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</si>
  <si>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</si>
  <si>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</si>
  <si>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</si>
  <si>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</si>
  <si>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</si>
  <si>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</si>
  <si>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</si>
  <si>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</si>
  <si>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</si>
  <si>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</si>
  <si>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</si>
  <si>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</si>
  <si>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</si>
  <si>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</si>
  <si>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</si>
  <si>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</si>
  <si>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</si>
  <si>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</si>
  <si>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</si>
  <si>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</si>
  <si>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</si>
  <si>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</si>
  <si>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</si>
  <si>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</si>
  <si>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</si>
  <si>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</si>
  <si>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</si>
  <si>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</si>
  <si>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</si>
  <si>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</si>
  <si>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</si>
  <si>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</si>
  <si>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</si>
  <si>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</si>
  <si>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</si>
  <si>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</si>
  <si>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</si>
  <si>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</si>
  <si>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</si>
  <si>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</si>
  <si>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</si>
  <si>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</si>
  <si>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</si>
  <si>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</si>
  <si>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</si>
  <si>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</si>
  <si>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</si>
  <si>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</si>
  <si>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</si>
  <si>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</si>
  <si>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</si>
  <si>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</si>
  <si>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</si>
  <si>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</si>
  <si>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</si>
  <si>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</si>
  <si>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</si>
  <si>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</si>
  <si>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</si>
  <si>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</si>
  <si>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</si>
  <si>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</si>
  <si>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</si>
  <si>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</si>
  <si>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</si>
  <si>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</si>
  <si>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</si>
  <si>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</si>
  <si>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</si>
  <si>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</si>
  <si>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</si>
  <si>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</si>
  <si>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</si>
  <si>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</si>
  <si>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</si>
  <si>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</si>
  <si>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</si>
  <si>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</si>
  <si>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</si>
  <si>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</si>
  <si>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</si>
  <si>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</si>
  <si>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</si>
  <si>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</si>
  <si>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</si>
  <si>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</si>
  <si>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</si>
  <si>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</si>
  <si>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</si>
  <si>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</si>
  <si>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</si>
  <si>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</si>
  <si>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</si>
  <si>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</si>
  <si>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</si>
  <si>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</si>
  <si>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</si>
  <si>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</si>
  <si>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</si>
  <si>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</si>
  <si>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</si>
  <si>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</si>
  <si>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</si>
  <si>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</si>
  <si>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</si>
  <si>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</si>
  <si>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</si>
  <si>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</si>
  <si>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</si>
  <si>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</si>
  <si>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</si>
  <si>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</si>
  <si>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</si>
  <si>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</si>
  <si>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</si>
  <si>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</si>
  <si>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</si>
  <si>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</si>
  <si>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</si>
  <si>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</si>
  <si>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</si>
  <si>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</si>
  <si>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</si>
  <si>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</si>
  <si>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</si>
  <si>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</si>
  <si>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</si>
  <si>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</si>
  <si>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</si>
  <si>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</si>
  <si>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</si>
  <si>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</si>
  <si>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</si>
  <si>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</si>
  <si>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</si>
  <si>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</si>
  <si>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</si>
  <si>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</si>
  <si>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</si>
  <si>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</si>
  <si>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</si>
  <si>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</si>
  <si>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</si>
  <si>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</si>
  <si>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</si>
  <si>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</si>
  <si>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</si>
  <si>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</si>
  <si>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</si>
  <si>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</si>
  <si>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</si>
  <si>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</si>
  <si>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</si>
  <si>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</si>
  <si>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</si>
  <si>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</si>
  <si>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</si>
  <si>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</si>
  <si>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</si>
  <si>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</si>
  <si>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</si>
  <si>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</si>
  <si>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</si>
  <si>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</si>
  <si>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</si>
  <si>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</si>
  <si>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</si>
  <si>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</si>
  <si>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</si>
  <si>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</si>
  <si>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</si>
  <si>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</si>
  <si>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</si>
  <si>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</si>
  <si>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</si>
  <si>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</si>
  <si>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</si>
  <si>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</si>
  <si>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</si>
  <si>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</si>
  <si>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</si>
  <si>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</si>
  <si>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</si>
  <si>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</si>
  <si>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</si>
  <si>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</si>
  <si>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</si>
  <si>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</si>
  <si>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</si>
  <si>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</si>
  <si>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</si>
  <si>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</si>
  <si>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</si>
  <si>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</si>
  <si>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</si>
  <si>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</si>
  <si>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</si>
  <si>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</si>
  <si>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</si>
  <si>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</si>
  <si>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</si>
  <si>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</si>
  <si>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</si>
  <si>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</si>
  <si>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</si>
  <si>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</si>
  <si>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</si>
  <si>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</si>
  <si>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</si>
  <si>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</si>
  <si>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</si>
  <si>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</si>
  <si>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</si>
  <si>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</si>
  <si>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</si>
  <si>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</si>
  <si>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</si>
  <si>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</si>
  <si>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</si>
  <si>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</si>
  <si>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</si>
  <si>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</si>
  <si>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</si>
  <si>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</si>
  <si>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</si>
  <si>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</si>
  <si>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</si>
  <si>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</si>
  <si>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</si>
  <si>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</si>
  <si>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</si>
  <si>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</si>
  <si>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</si>
  <si>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</si>
  <si>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</si>
  <si>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</si>
  <si>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</si>
  <si>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</si>
  <si>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</si>
  <si>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</si>
  <si>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</si>
  <si>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</si>
  <si>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</si>
  <si>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</si>
  <si>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</si>
  <si>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</si>
  <si>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</si>
  <si>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</si>
  <si>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</si>
  <si>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</si>
  <si>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</si>
  <si>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</si>
  <si>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</si>
  <si>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</si>
  <si>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</si>
  <si>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</si>
  <si>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</si>
  <si>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</si>
  <si>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</si>
  <si>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</si>
  <si>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</si>
  <si>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</si>
  <si>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</si>
  <si>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</si>
  <si>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</si>
  <si>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</si>
  <si>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</si>
  <si>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</si>
  <si>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</si>
  <si>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</si>
  <si>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</si>
  <si>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</si>
  <si>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</si>
  <si>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</si>
  <si>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</si>
  <si>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</si>
  <si>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</si>
  <si>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</si>
  <si>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</si>
  <si>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</si>
  <si>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</si>
  <si>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</si>
  <si>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</si>
  <si>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</si>
  <si>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</si>
  <si>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</si>
  <si>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</si>
  <si>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</si>
  <si>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</si>
  <si>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</si>
  <si>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</si>
  <si>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</si>
  <si>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</si>
  <si>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</si>
  <si>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</si>
  <si>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</si>
  <si>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</si>
  <si>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</si>
  <si>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</si>
  <si>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</si>
  <si>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</si>
  <si>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</si>
  <si>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</si>
  <si>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</si>
  <si>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</si>
  <si>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</si>
  <si>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</si>
  <si>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</si>
  <si>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</si>
  <si>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</si>
  <si>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</si>
  <si>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</si>
  <si>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</si>
  <si>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</si>
  <si>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</si>
  <si>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</si>
  <si>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</si>
  <si>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</si>
  <si>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</si>
  <si>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</si>
  <si>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</si>
  <si>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</si>
  <si>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</si>
  <si>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</si>
  <si>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</si>
  <si>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</si>
  <si>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</si>
  <si>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</si>
  <si>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</si>
  <si>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</si>
  <si>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</si>
  <si>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</si>
  <si>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</si>
  <si>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</si>
  <si>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</si>
  <si>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</si>
  <si>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</si>
  <si>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</si>
  <si>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</si>
  <si>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</si>
  <si>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</si>
  <si>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</si>
  <si>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</si>
  <si>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</si>
  <si>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</si>
  <si>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</si>
  <si>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</si>
  <si>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</si>
  <si>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</si>
  <si>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</si>
  <si>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</si>
  <si>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</si>
  <si>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</si>
  <si>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</si>
  <si>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</si>
  <si>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</si>
  <si>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</si>
  <si>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</si>
  <si>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</si>
  <si>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</si>
  <si>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</si>
  <si>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</si>
  <si>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</si>
  <si>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</si>
  <si>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</si>
  <si>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</si>
  <si>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</si>
  <si>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</si>
  <si>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</si>
  <si>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</si>
  <si>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</si>
  <si>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</si>
  <si>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</si>
  <si>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</si>
  <si>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</si>
  <si>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</si>
  <si>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</si>
  <si>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</si>
  <si>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</si>
  <si>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</si>
  <si>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</si>
  <si>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</si>
  <si>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</si>
  <si>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</si>
  <si>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</si>
  <si>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</si>
  <si>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</si>
  <si>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</si>
  <si>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</si>
  <si>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</si>
  <si>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</si>
  <si>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</si>
  <si>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</si>
  <si>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</si>
  <si>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</si>
  <si>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</si>
  <si>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</si>
  <si>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</si>
  <si>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</si>
  <si>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</si>
  <si>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</si>
  <si>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</si>
  <si>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</si>
  <si>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</si>
  <si>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</si>
  <si>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</si>
  <si>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</si>
  <si>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</si>
  <si>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</si>
  <si>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</si>
  <si>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</si>
  <si>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</si>
  <si>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</si>
  <si>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</si>
  <si>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</si>
  <si>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</si>
  <si>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</si>
  <si>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</si>
  <si>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</si>
  <si>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</si>
  <si>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</si>
  <si>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</si>
  <si>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</si>
  <si>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</si>
  <si>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</si>
  <si>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</si>
  <si>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</si>
  <si>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</si>
  <si>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</si>
  <si>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</si>
  <si>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</si>
  <si>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</si>
  <si>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</si>
  <si>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</si>
  <si>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</si>
  <si>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</si>
  <si>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</si>
  <si>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</si>
  <si>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</si>
  <si>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</si>
  <si>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</si>
  <si>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</si>
  <si>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</si>
  <si>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</si>
  <si>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</si>
  <si>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</si>
  <si>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</si>
  <si>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</si>
  <si>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</si>
  <si>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</si>
  <si>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</si>
  <si>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</si>
  <si>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</si>
  <si>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</si>
  <si>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</si>
  <si>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</si>
  <si>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</si>
  <si>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</si>
  <si>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</si>
  <si>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</si>
  <si>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</si>
  <si>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</si>
  <si>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</si>
  <si>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</si>
  <si>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</si>
  <si>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</si>
  <si>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</si>
  <si>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</si>
  <si>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</si>
  <si>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</si>
  <si>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</si>
  <si>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</si>
  <si>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</si>
  <si>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</si>
  <si>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</si>
  <si>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</si>
  <si>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</si>
  <si>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</si>
  <si>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</si>
  <si>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</si>
  <si>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</si>
  <si>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</si>
  <si>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</si>
  <si>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</si>
  <si>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</si>
  <si>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</si>
  <si>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</si>
  <si>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</si>
  <si>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</si>
  <si>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</si>
  <si>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</si>
  <si>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</si>
  <si>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</si>
  <si>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</si>
  <si>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</si>
  <si>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</si>
  <si>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</si>
  <si>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</si>
  <si>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</si>
  <si>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</si>
  <si>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</si>
  <si>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</si>
  <si>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</si>
  <si>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</si>
  <si>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</si>
  <si>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</si>
  <si>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</si>
  <si>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</si>
  <si>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</si>
  <si>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</si>
  <si>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</si>
  <si>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</si>
  <si>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</si>
  <si>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</si>
  <si>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</si>
  <si>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</si>
  <si>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</si>
  <si>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</si>
  <si>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</si>
  <si>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</si>
  <si>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</si>
  <si>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</si>
  <si>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</si>
  <si>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</si>
  <si>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</si>
  <si>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</si>
  <si>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</si>
  <si>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</si>
  <si>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</si>
  <si>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</si>
  <si>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</si>
  <si>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</si>
  <si>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</si>
  <si>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</si>
  <si>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</si>
  <si>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</si>
  <si>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</si>
  <si>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</si>
  <si>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</si>
  <si>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</si>
  <si>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</si>
  <si>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</si>
  <si>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</si>
  <si>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</si>
  <si>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</si>
  <si>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</si>
  <si>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</si>
  <si>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</si>
  <si>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</si>
  <si>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</si>
  <si>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</si>
  <si>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</si>
  <si>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</si>
  <si>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</si>
  <si>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</si>
  <si>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</si>
  <si>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</si>
  <si>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</si>
  <si>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</si>
  <si>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</si>
  <si>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</si>
  <si>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</si>
  <si>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</si>
  <si>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</si>
  <si>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</si>
  <si>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</si>
  <si>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</si>
  <si>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</si>
  <si>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</si>
  <si>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</si>
  <si>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</si>
  <si>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</si>
  <si>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</si>
  <si>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</si>
  <si>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</si>
  <si>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</si>
  <si>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</si>
  <si>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</si>
  <si>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</si>
  <si>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</si>
  <si>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</si>
  <si>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</si>
  <si>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</si>
  <si>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</si>
  <si>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</si>
  <si>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</si>
  <si>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</si>
  <si>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</si>
  <si>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</si>
  <si>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</si>
  <si>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</si>
  <si>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</si>
  <si>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</si>
  <si>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</si>
  <si>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</si>
  <si>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</si>
  <si>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</si>
  <si>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</si>
  <si>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</si>
  <si>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</si>
  <si>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</si>
  <si>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</si>
  <si>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</si>
  <si>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</si>
  <si>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</si>
  <si>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</si>
  <si>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</si>
  <si>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</si>
  <si>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</si>
  <si>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</si>
  <si>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</si>
  <si>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</si>
  <si>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</si>
  <si>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</si>
  <si>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</si>
  <si>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</si>
  <si>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</si>
  <si>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</si>
  <si>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</si>
  <si>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</si>
  <si>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</si>
  <si>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</si>
  <si>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</si>
  <si>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</si>
  <si>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</si>
  <si>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</si>
  <si>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</si>
  <si>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</si>
  <si>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</si>
  <si>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</si>
  <si>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</si>
  <si>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</si>
  <si>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</si>
  <si>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</si>
  <si>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</si>
  <si>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</si>
  <si>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</si>
  <si>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</si>
  <si>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</si>
  <si>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</si>
  <si>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</si>
  <si>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</si>
  <si>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</si>
  <si>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</si>
  <si>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</si>
  <si>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</si>
  <si>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</si>
  <si>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</si>
  <si>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</si>
  <si>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</si>
  <si>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</si>
  <si>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</si>
  <si>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</si>
  <si>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</si>
  <si>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</si>
  <si>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</si>
  <si>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</si>
  <si>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</si>
  <si>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</si>
  <si>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</si>
  <si>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</si>
  <si>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</si>
  <si>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</si>
  <si>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</si>
  <si>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</si>
  <si>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</si>
  <si>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</si>
  <si>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</si>
  <si>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</si>
  <si>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</si>
  <si>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</si>
  <si>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</si>
  <si>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</si>
  <si>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</si>
  <si>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</si>
  <si>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</si>
  <si>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</si>
  <si>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</si>
  <si>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</si>
  <si>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</si>
  <si>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</si>
  <si>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</si>
  <si>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</si>
  <si>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</si>
  <si>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</si>
  <si>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</si>
  <si>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</si>
  <si>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</si>
  <si>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</si>
  <si>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</si>
  <si>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</si>
  <si>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</si>
  <si>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</si>
  <si>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</si>
  <si>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</si>
  <si>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</si>
  <si>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</si>
  <si>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</si>
  <si>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</si>
  <si>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</si>
  <si>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</si>
  <si>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</si>
  <si>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</si>
  <si>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</si>
  <si>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</si>
  <si>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</si>
  <si>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</si>
  <si>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</si>
  <si>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</si>
  <si>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</si>
  <si>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</si>
  <si>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</si>
  <si>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</si>
  <si>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</si>
  <si>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</si>
  <si>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</si>
  <si>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</si>
  <si>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</si>
  <si>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Ulmer T 3123 F 6-8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</si>
</sst>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43497</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547</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12.6</v>
      </c>
      <c r="H39" s="42"/>
      <c r="I39" s="42"/>
      <c r="J39" s="42"/>
      <c r="K39" s="46"/>
      <c r="L39" s="46"/>
      <c r="M39" s="26"/>
    </row>
    <row r="40" spans="1:13" ht="12.75">
      <c r="A40" s="136" t="s">
        <v>17</v>
      </c>
      <c r="B40" s="473" t="s">
        <v>11</v>
      </c>
      <c r="C40" s="473"/>
      <c r="D40" s="473"/>
      <c r="E40" s="473"/>
      <c r="F40" s="26"/>
      <c r="G40" s="329">
        <v>150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110</v>
      </c>
      <c r="G50" s="40" t="s">
        <v>788</v>
      </c>
      <c r="H50" s="40"/>
      <c r="I50" s="40"/>
      <c r="J50" s="154">
        <v>110</v>
      </c>
      <c r="K50" s="26"/>
      <c r="L50" s="26"/>
      <c r="M50" s="26"/>
    </row>
    <row r="51" spans="1:13" ht="12.75">
      <c r="A51" s="136" t="s">
        <v>16</v>
      </c>
      <c r="B51" s="27" t="s">
        <v>143</v>
      </c>
      <c r="C51" s="41"/>
      <c r="D51" s="39"/>
      <c r="E51" s="26"/>
      <c r="F51" s="396">
        <f>'Calculations- All Data'!F57</f>
        <v>110</v>
      </c>
      <c r="G51" s="42" t="s">
        <v>788</v>
      </c>
      <c r="H51" s="42"/>
      <c r="I51" s="42"/>
      <c r="J51" s="397">
        <f>'Calculations- All Data'!J57</f>
        <v>110</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110</v>
      </c>
      <c r="G85" s="27" t="s">
        <v>788</v>
      </c>
      <c r="H85" s="39"/>
      <c r="I85" s="385" t="s">
        <v>534</v>
      </c>
      <c r="J85" s="395">
        <f>'Calculations- All Data'!J98</f>
        <v>110</v>
      </c>
      <c r="K85" s="26" t="s">
        <v>788</v>
      </c>
      <c r="L85" s="26"/>
      <c r="M85" s="26"/>
    </row>
    <row r="86" spans="1:13" ht="13.5" thickBot="1">
      <c r="A86" s="253" t="s">
        <v>242</v>
      </c>
      <c r="B86" s="26"/>
      <c r="C86" s="26"/>
      <c r="D86" s="26"/>
      <c r="E86" s="252"/>
      <c r="F86" s="399">
        <f>'Calculations- All Data'!F99</f>
        <v>110</v>
      </c>
      <c r="G86" s="27" t="s">
        <v>788</v>
      </c>
      <c r="H86" s="39"/>
      <c r="I86" s="385" t="s">
        <v>534</v>
      </c>
      <c r="J86" s="395">
        <f>'Calculations- All Data'!J99</f>
        <v>110</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723</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150</v>
      </c>
      <c r="H112" s="43" t="s">
        <v>233</v>
      </c>
      <c r="I112" s="42"/>
      <c r="J112" s="46"/>
      <c r="K112" s="46"/>
      <c r="L112" s="26"/>
      <c r="M112" s="26"/>
    </row>
    <row r="113" spans="1:13" ht="12.75">
      <c r="A113" s="26"/>
      <c r="B113" s="26"/>
      <c r="C113" s="27" t="s">
        <v>149</v>
      </c>
      <c r="D113" s="26"/>
      <c r="E113" s="26"/>
      <c r="F113" s="26"/>
      <c r="G113" s="318">
        <f>'Calculations- All Data'!F117</f>
        <v>150</v>
      </c>
      <c r="H113" s="26" t="s">
        <v>188</v>
      </c>
      <c r="I113" s="26"/>
      <c r="J113" s="26"/>
      <c r="K113" s="26"/>
      <c r="L113" s="26"/>
      <c r="M113" s="26"/>
    </row>
    <row r="114" spans="1:13" ht="13.5" thickBot="1">
      <c r="A114" s="26"/>
      <c r="B114" s="26"/>
      <c r="C114" s="27" t="s">
        <v>150</v>
      </c>
      <c r="D114" s="26"/>
      <c r="E114" s="26"/>
      <c r="F114" s="324"/>
      <c r="G114" s="318">
        <f>'Calculations- All Data'!F118</f>
        <v>150</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0.55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150</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118.935</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31.064999999999998</v>
      </c>
      <c r="H128" s="40" t="s">
        <v>188</v>
      </c>
      <c r="I128" s="193"/>
      <c r="J128" s="193"/>
      <c r="K128" s="193"/>
      <c r="L128" s="26"/>
      <c r="M128" s="26"/>
    </row>
    <row r="129" spans="1:13" ht="12.75">
      <c r="A129" s="26"/>
      <c r="B129" s="26"/>
      <c r="C129" s="320" t="s">
        <v>240</v>
      </c>
      <c r="D129" s="136"/>
      <c r="E129" s="324"/>
      <c r="F129" s="324" t="s">
        <v>234</v>
      </c>
      <c r="G129" s="318">
        <f>'Calculations- All Data'!F48</f>
        <v>0.55</v>
      </c>
      <c r="H129" s="26"/>
      <c r="I129" s="193"/>
      <c r="J129" s="193"/>
      <c r="K129" s="193"/>
      <c r="L129" s="26"/>
      <c r="M129" s="26"/>
    </row>
    <row r="130" spans="1:13" ht="12.75">
      <c r="A130" s="26"/>
      <c r="B130" s="26"/>
      <c r="C130" s="320" t="s">
        <v>391</v>
      </c>
      <c r="D130" s="136"/>
      <c r="E130" s="324"/>
      <c r="F130" s="324" t="s">
        <v>235</v>
      </c>
      <c r="G130" s="318">
        <f>'Calculations- All Data'!F133</f>
        <v>17.08575</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17.08575</v>
      </c>
      <c r="H133" s="26" t="s">
        <v>188</v>
      </c>
      <c r="I133" s="26"/>
      <c r="J133" s="372"/>
      <c r="K133" s="26"/>
      <c r="L133" s="26"/>
      <c r="M133" s="26"/>
    </row>
    <row r="134" spans="1:13" ht="13.5" thickBot="1">
      <c r="A134" s="109"/>
      <c r="B134" s="26"/>
      <c r="C134" s="267" t="s">
        <v>251</v>
      </c>
      <c r="D134" s="267"/>
      <c r="E134" s="267"/>
      <c r="F134" s="324" t="s">
        <v>235</v>
      </c>
      <c r="G134" s="395">
        <f>'Calculations- All Data'!F136</f>
        <v>215.28045</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t="s">
        <v>159</v>
      </c>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12.6</v>
      </c>
      <c r="G153" s="262" t="s">
        <v>161</v>
      </c>
      <c r="H153" s="262"/>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t="s">
        <v>832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v>0</v>
      </c>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131.7475539228419</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131.7475539228419</v>
      </c>
      <c r="H174" s="26" t="s">
        <v>818</v>
      </c>
      <c r="I174" s="26"/>
      <c r="J174" s="26"/>
      <c r="K174" s="26"/>
      <c r="L174" s="26"/>
      <c r="M174" s="26"/>
    </row>
    <row r="175" spans="1:13" ht="14.25" customHeight="1">
      <c r="A175" s="98"/>
      <c r="B175" s="27" t="s">
        <v>239</v>
      </c>
      <c r="C175" s="26"/>
      <c r="D175" s="26"/>
      <c r="E175" s="136"/>
      <c r="F175" s="136" t="s">
        <v>234</v>
      </c>
      <c r="G175" s="319">
        <f>'Calculations- All Data'!F47</f>
        <v>0.93</v>
      </c>
      <c r="H175" s="26"/>
      <c r="I175" s="26"/>
      <c r="J175" s="26"/>
      <c r="K175" s="26"/>
      <c r="L175" s="26"/>
      <c r="M175" s="26"/>
    </row>
    <row r="176" spans="1:13" ht="12.75">
      <c r="A176" s="26"/>
      <c r="B176" s="39" t="s">
        <v>256</v>
      </c>
      <c r="C176" s="26"/>
      <c r="D176" s="26"/>
      <c r="E176" s="26"/>
      <c r="F176" s="136" t="s">
        <v>235</v>
      </c>
      <c r="G176" s="319">
        <f>'Calculations- All Data'!F178</f>
        <v>122.52522514824297</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123</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111</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43497</v>
      </c>
      <c r="G4" s="520"/>
      <c r="H4" s="520"/>
      <c r="I4" s="521"/>
      <c r="J4" s="317"/>
      <c r="K4" s="317"/>
      <c r="L4" s="317"/>
      <c r="M4" s="317"/>
    </row>
    <row r="5" spans="1:13" ht="12.75">
      <c r="A5" s="317"/>
      <c r="B5" s="317"/>
      <c r="C5" s="317"/>
      <c r="D5" s="317" t="s">
        <v>219</v>
      </c>
      <c r="E5" s="317"/>
      <c r="F5" s="522" t="str">
        <f>'CREDIT CALCULATION FORM'!F7:K7</f>
        <v>Ulmer T 3123 F 6-8</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600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12.6</v>
      </c>
      <c r="G43" s="122"/>
      <c r="H43" s="122"/>
      <c r="I43" s="122"/>
      <c r="J43" s="120"/>
      <c r="K43" s="120"/>
      <c r="L43" s="110"/>
      <c r="M43" s="110"/>
    </row>
    <row r="44" spans="1:13" ht="12.75">
      <c r="A44" s="110"/>
      <c r="B44" s="499" t="s">
        <v>552</v>
      </c>
      <c r="C44" s="499"/>
      <c r="D44" s="499"/>
      <c r="E44" s="499"/>
      <c r="F44" s="215">
        <f>'CREDIT CALCULATION FORM'!G40</f>
        <v>150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60</v>
      </c>
      <c r="G46" s="127"/>
      <c r="H46" s="120"/>
      <c r="I46" s="120"/>
      <c r="J46" s="120"/>
      <c r="K46" s="120"/>
      <c r="L46" s="110"/>
      <c r="M46" s="110"/>
    </row>
    <row r="47" spans="1:13" ht="12.75">
      <c r="A47" s="123"/>
      <c r="B47" s="125"/>
      <c r="C47" s="499" t="s">
        <v>247</v>
      </c>
      <c r="D47" s="499"/>
      <c r="E47" s="499"/>
      <c r="F47" s="103">
        <f>VLOOKUP(F46,'BMPs and Bay Model Data'!A4:D30,4,FALSE)</f>
        <v>0.93</v>
      </c>
      <c r="G47" s="120"/>
      <c r="H47" s="120"/>
      <c r="I47" s="120"/>
      <c r="J47" s="120"/>
      <c r="K47" s="120"/>
      <c r="L47" s="110"/>
      <c r="M47" s="110"/>
    </row>
    <row r="48" spans="1:13" ht="12.75">
      <c r="A48" s="123"/>
      <c r="B48" s="125"/>
      <c r="C48" s="499" t="s">
        <v>248</v>
      </c>
      <c r="D48" s="499"/>
      <c r="E48" s="499"/>
      <c r="F48" s="103">
        <f>VLOOKUP(F46,'BMPs and Bay Model Data'!A4:E30,5,FALSE)</f>
        <v>0.55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110</v>
      </c>
      <c r="G56" s="117" t="s">
        <v>788</v>
      </c>
      <c r="H56" s="117"/>
      <c r="I56" s="117"/>
      <c r="J56" s="101">
        <f>'CREDIT CALCULATION FORM'!J50</f>
        <v>110</v>
      </c>
      <c r="K56" s="117" t="s">
        <v>788</v>
      </c>
      <c r="L56" s="117"/>
      <c r="M56" s="110"/>
    </row>
    <row r="57" spans="1:13" ht="12.75">
      <c r="A57" s="110"/>
      <c r="B57" s="131" t="s">
        <v>143</v>
      </c>
      <c r="C57" s="119"/>
      <c r="D57" s="116"/>
      <c r="E57" s="110"/>
      <c r="F57" s="247">
        <f>F56</f>
        <v>110</v>
      </c>
      <c r="G57" s="119" t="s">
        <v>788</v>
      </c>
      <c r="H57" s="117"/>
      <c r="I57" s="117"/>
      <c r="J57" s="247">
        <f>J56</f>
        <v>110</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110</v>
      </c>
      <c r="G98" s="119" t="s">
        <v>788</v>
      </c>
      <c r="H98" s="191" t="s">
        <v>534</v>
      </c>
      <c r="I98" s="117"/>
      <c r="J98" s="402">
        <f>IF(SUM(J57,J69,J82,J95)=0,F98,SUM(J57,J82,J69,J95))</f>
        <v>110</v>
      </c>
      <c r="K98" s="110" t="s">
        <v>788</v>
      </c>
      <c r="L98" s="110"/>
      <c r="M98" s="110"/>
    </row>
    <row r="99" spans="1:13" ht="13.5" thickBot="1">
      <c r="A99" s="110"/>
      <c r="B99" s="116" t="s">
        <v>152</v>
      </c>
      <c r="C99" s="119"/>
      <c r="D99" s="110"/>
      <c r="E99" s="110"/>
      <c r="F99" s="402">
        <f>SUM(F96,F83,F70,F57)</f>
        <v>110</v>
      </c>
      <c r="G99" s="119" t="s">
        <v>788</v>
      </c>
      <c r="H99" s="191" t="s">
        <v>534</v>
      </c>
      <c r="I99" s="191"/>
      <c r="J99" s="402">
        <f>IF(SUM(J96,J83,J70,J57)=0,F99,SUM(J96,J83,J70,J57))</f>
        <v>110</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Wyoming </v>
      </c>
      <c r="G106" s="497"/>
      <c r="H106" s="497"/>
      <c r="I106" s="498"/>
      <c r="J106" s="110"/>
      <c r="K106" s="110"/>
      <c r="L106" s="110"/>
      <c r="M106" s="110"/>
    </row>
    <row r="107" spans="1:13" ht="12.75">
      <c r="A107" s="110"/>
      <c r="B107" s="117"/>
      <c r="C107" s="110" t="s">
        <v>89</v>
      </c>
      <c r="D107" s="110"/>
      <c r="E107" s="110"/>
      <c r="F107" s="218">
        <f>VLOOKUP(F106,'Data Tables'!A133:B245,2,FALSE)</f>
        <v>3</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150</v>
      </c>
      <c r="G116" s="124" t="s">
        <v>6</v>
      </c>
      <c r="H116" s="122"/>
      <c r="I116" s="122"/>
      <c r="J116" s="120"/>
      <c r="K116" s="120"/>
      <c r="L116" s="110"/>
      <c r="M116" s="110"/>
    </row>
    <row r="117" spans="1:13" ht="12.75">
      <c r="A117" s="110"/>
      <c r="B117" s="110"/>
      <c r="C117" s="278" t="s">
        <v>149</v>
      </c>
      <c r="D117" s="278"/>
      <c r="E117" s="278"/>
      <c r="F117" s="424">
        <f>F99+F111</f>
        <v>150</v>
      </c>
      <c r="G117" s="117" t="s">
        <v>788</v>
      </c>
      <c r="H117" s="117"/>
      <c r="I117" s="117"/>
      <c r="J117" s="110"/>
      <c r="K117" s="110"/>
      <c r="L117" s="110"/>
      <c r="M117" s="110"/>
    </row>
    <row r="118" spans="1:15" ht="12.75" customHeight="1" thickBot="1">
      <c r="A118" s="110"/>
      <c r="B118" s="110"/>
      <c r="C118" s="278" t="s">
        <v>150</v>
      </c>
      <c r="D118" s="278"/>
      <c r="E118" s="278"/>
      <c r="F118" s="389">
        <f>F111+J99</f>
        <v>150</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150</v>
      </c>
      <c r="G129" s="124" t="s">
        <v>788</v>
      </c>
      <c r="H129" s="122"/>
      <c r="I129" s="122"/>
      <c r="J129" s="120"/>
      <c r="K129" s="120"/>
      <c r="L129" s="110"/>
      <c r="M129" s="110"/>
    </row>
    <row r="130" spans="1:13" ht="12.75">
      <c r="A130" s="110"/>
      <c r="B130" s="124" t="s">
        <v>204</v>
      </c>
      <c r="C130" s="110"/>
      <c r="D130" s="124"/>
      <c r="E130" s="124"/>
      <c r="F130" s="424">
        <f>VLOOKUP(F40,'Data Tables'!A4:D78,4,FALSE)*F44</f>
        <v>118.935</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31.064999999999998</v>
      </c>
      <c r="G132" s="119" t="s">
        <v>788</v>
      </c>
      <c r="H132" s="129"/>
      <c r="I132" s="110"/>
      <c r="J132" s="110"/>
      <c r="K132" s="110"/>
      <c r="L132" s="110"/>
      <c r="M132" s="110"/>
    </row>
    <row r="133" spans="1:13" ht="12.75" customHeight="1">
      <c r="A133" s="110"/>
      <c r="B133" s="278" t="s">
        <v>512</v>
      </c>
      <c r="C133" s="117"/>
      <c r="D133" s="117"/>
      <c r="E133" s="110"/>
      <c r="F133" s="248">
        <f>F132*F48</f>
        <v>17.08575</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215.28045</v>
      </c>
      <c r="G136" s="119" t="s">
        <v>818</v>
      </c>
      <c r="H136" s="129"/>
      <c r="I136" s="110"/>
      <c r="J136" s="110"/>
      <c r="K136" s="110"/>
      <c r="L136" s="110"/>
      <c r="M136" s="110"/>
    </row>
    <row r="137" spans="1:13" ht="12.75" customHeight="1">
      <c r="A137" s="110"/>
      <c r="B137" s="131" t="s">
        <v>210</v>
      </c>
      <c r="C137" s="119"/>
      <c r="D137" s="110"/>
      <c r="E137" s="110"/>
      <c r="F137" s="403">
        <f>IF(F43=0,"0",F136/F43)</f>
        <v>17.08575</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12.6</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131.7475539228419</v>
      </c>
      <c r="G153" s="120" t="s">
        <v>818</v>
      </c>
      <c r="H153" s="122"/>
      <c r="I153" s="211"/>
      <c r="J153" s="254"/>
      <c r="K153" s="254"/>
      <c r="L153" s="120"/>
      <c r="M153" s="120"/>
    </row>
    <row r="154" spans="1:13" ht="12.75">
      <c r="A154" s="110"/>
      <c r="B154" s="110"/>
      <c r="C154" s="110"/>
      <c r="D154" s="141" t="s">
        <v>189</v>
      </c>
      <c r="E154" s="212"/>
      <c r="F154" s="281">
        <f>IF(F43=0,"0",(F136-F153)/F43)</f>
        <v>6.629594926758581</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131.7475539228419</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131.7475539228419</v>
      </c>
      <c r="G176" s="110" t="s">
        <v>818</v>
      </c>
      <c r="H176" s="110"/>
      <c r="I176" s="110"/>
      <c r="J176" s="110"/>
      <c r="K176" s="110"/>
      <c r="L176" s="110"/>
      <c r="M176" s="110"/>
    </row>
    <row r="177" spans="1:13" ht="12.75">
      <c r="A177" s="116"/>
      <c r="B177" s="131" t="s">
        <v>250</v>
      </c>
      <c r="C177" s="110"/>
      <c r="D177" s="110"/>
      <c r="E177" s="110"/>
      <c r="F177" s="406">
        <f>F47</f>
        <v>0.93</v>
      </c>
      <c r="G177" s="110"/>
      <c r="H177" s="110"/>
      <c r="I177" s="110"/>
      <c r="J177" s="110"/>
      <c r="K177" s="110"/>
      <c r="L177" s="110"/>
      <c r="M177" s="110"/>
    </row>
    <row r="178" spans="1:13" ht="12.75">
      <c r="A178" s="110"/>
      <c r="B178" s="116" t="s">
        <v>147</v>
      </c>
      <c r="C178" s="110"/>
      <c r="D178" s="110"/>
      <c r="E178" s="110"/>
      <c r="F178" s="412">
        <f>F176*F47</f>
        <v>122.52522514824297</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122.52522514824297</v>
      </c>
      <c r="G180" s="110" t="s">
        <v>226</v>
      </c>
      <c r="H180" s="110"/>
      <c r="I180" s="110"/>
      <c r="J180" s="110"/>
      <c r="K180" s="110"/>
      <c r="L180" s="110"/>
      <c r="M180" s="110"/>
    </row>
    <row r="181" spans="1:13" ht="13.5" thickBot="1">
      <c r="A181" s="110"/>
      <c r="B181" s="116" t="s">
        <v>202</v>
      </c>
      <c r="C181" s="415"/>
      <c r="D181" s="415"/>
      <c r="E181" s="415"/>
      <c r="F181" s="416">
        <f>ROUND(F180,0)</f>
        <v>123</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110.7</v>
      </c>
      <c r="G184" s="420" t="s">
        <v>226</v>
      </c>
      <c r="H184" s="110"/>
      <c r="I184" s="110"/>
      <c r="J184" s="110"/>
      <c r="K184" s="110"/>
      <c r="L184" s="110"/>
      <c r="M184" s="110"/>
    </row>
    <row r="185" spans="1:13" ht="15.75" thickBot="1">
      <c r="A185" s="110"/>
      <c r="B185" s="112" t="s">
        <v>200</v>
      </c>
      <c r="C185" s="421"/>
      <c r="D185" s="421"/>
      <c r="E185" s="421"/>
      <c r="F185" s="414">
        <f>ROUND(F184,0)</f>
        <v>111</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89" t="s">
        <v>819</v>
      </c>
      <c r="B34" s="599" t="s">
        <v>218</v>
      </c>
      <c r="C34" s="589" t="s">
        <v>27</v>
      </c>
      <c r="D34" s="587" t="s">
        <v>214</v>
      </c>
      <c r="E34" s="587" t="s">
        <v>215</v>
      </c>
      <c r="F34" s="587" t="s">
        <v>216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5" t="s">
        <v>819</v>
      </c>
      <c r="B61" s="598" t="s">
        <v>43</v>
      </c>
      <c r="C61" s="593" t="s">
        <v>28</v>
      </c>
      <c r="D61" s="62" t="s">
        <v>214</v>
      </c>
      <c r="E61" s="62" t="s">
        <v>215</v>
      </c>
      <c r="F61" s="62" t="s">
        <v>216</v>
      </c>
      <c r="G61" s="199"/>
    </row>
    <row r="62" spans="1:7" ht="12.75">
      <c r="A62" s="596"/>
      <c r="B62" s="596"/>
      <c r="C62" s="593"/>
      <c r="D62" s="63" t="s">
        <v>840</v>
      </c>
      <c r="E62" s="63" t="s">
        <v>840</v>
      </c>
      <c r="F62" s="63" t="s">
        <v>840</v>
      </c>
      <c r="G62" s="200"/>
    </row>
    <row r="63" spans="1:7" ht="12.75">
      <c r="A63" s="596"/>
      <c r="B63" s="596"/>
      <c r="C63" s="593"/>
      <c r="D63" s="64" t="s">
        <v>820</v>
      </c>
      <c r="E63" s="64" t="s">
        <v>820</v>
      </c>
      <c r="F63" s="64" t="s">
        <v>820</v>
      </c>
      <c r="G63" s="200"/>
    </row>
    <row r="64" spans="1:7" ht="13.5" thickBot="1">
      <c r="A64" s="597"/>
      <c r="B64" s="597"/>
      <c r="C64" s="594"/>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280</v>
      </c>
      <c r="B145" s="592"/>
      <c r="C145" s="592"/>
      <c r="D145" s="592"/>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2019-02-01T16:17:41Z</dcterms:modified>
  <cp:category/>
  <cp:version/>
  <cp:contentType/>
  <cp:contentStatus/>
</cp:coreProperties>
</file>