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<sst xmlns="http://schemas.openxmlformats.org/spreadsheetml/2006/main" count="1896" uniqueCount="881">
  <si>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</si>
  <si>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</si>
  <si>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</si>
  <si>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</si>
  <si>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</si>
  <si>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</si>
  <si>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</si>
  <si>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</si>
  <si>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</si>
  <si>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</si>
  <si>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</si>
  <si>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</si>
  <si>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</si>
  <si>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</si>
  <si>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</si>
  <si>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</si>
  <si>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</si>
  <si>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</si>
  <si>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</si>
  <si>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</si>
  <si>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</si>
  <si>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</si>
  <si>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</si>
  <si>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</si>
  <si>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</si>
  <si>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</si>
  <si>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</si>
  <si>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</si>
  <si>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</si>
  <si>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</si>
  <si>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</si>
  <si>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</si>
  <si>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</si>
  <si>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</si>
  <si>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</si>
  <si>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</si>
  <si>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</si>
  <si>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</si>
  <si>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</si>
  <si>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</si>
  <si>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</si>
  <si>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</si>
  <si>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</si>
  <si>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</si>
  <si>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</si>
  <si>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</si>
  <si>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</si>
  <si>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</si>
  <si>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</si>
  <si>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</si>
  <si>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</si>
  <si>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</si>
  <si>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</si>
  <si>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</si>
  <si>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</si>
  <si>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</si>
  <si>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</si>
  <si>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</si>
  <si>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</si>
  <si>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</si>
  <si>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</si>
  <si>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</si>
  <si>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</si>
  <si>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</si>
  <si>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</si>
  <si>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</si>
  <si>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</si>
  <si>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</si>
  <si>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</si>
  <si>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</si>
  <si>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</si>
  <si>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</si>
  <si>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</si>
  <si>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</si>
  <si>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</si>
  <si>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</si>
  <si>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</si>
  <si>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</si>
  <si>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</si>
  <si>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</si>
  <si>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</si>
  <si>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</si>
  <si>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</si>
  <si>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</si>
  <si>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</si>
  <si>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</si>
  <si>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</si>
  <si>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</si>
  <si>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</si>
  <si>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</si>
  <si>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</si>
  <si>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</si>
  <si>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</si>
  <si>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</si>
  <si>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</si>
  <si>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</si>
  <si>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</si>
  <si>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</si>
  <si>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</si>
  <si>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</si>
  <si>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</si>
  <si>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</si>
  <si>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</si>
  <si>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</si>
  <si>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</si>
  <si>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</si>
  <si>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</si>
  <si>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</si>
  <si>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</si>
  <si>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</si>
  <si>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</si>
  <si>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</si>
  <si>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</si>
  <si>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</si>
  <si>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</si>
  <si>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</si>
  <si>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</si>
  <si>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</si>
  <si>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</si>
  <si>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</si>
  <si>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</si>
  <si>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</si>
  <si>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</si>
  <si>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</si>
  <si>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</si>
  <si>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</si>
  <si>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</si>
  <si>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</si>
  <si>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</si>
  <si>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</si>
  <si>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</si>
  <si>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</si>
  <si>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</si>
  <si>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</si>
  <si>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</si>
  <si>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</si>
  <si>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</si>
  <si>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</si>
  <si>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</si>
  <si>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</si>
  <si>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</si>
  <si>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</si>
  <si>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</si>
  <si>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</si>
  <si>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</si>
  <si>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</si>
  <si>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</si>
  <si>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</si>
  <si>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</si>
  <si>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</si>
  <si>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</si>
  <si>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</si>
  <si>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</si>
  <si>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</si>
  <si>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</si>
  <si>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</si>
  <si>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</si>
  <si>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</si>
  <si>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</si>
  <si>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</si>
  <si>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</si>
  <si>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</si>
  <si>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</si>
  <si>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</si>
  <si>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</si>
  <si>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</si>
  <si>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</si>
  <si>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</si>
  <si>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</si>
  <si>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</si>
  <si>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</si>
  <si>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</si>
  <si>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</si>
  <si>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</si>
  <si>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</si>
  <si>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</si>
  <si>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</si>
  <si>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</si>
  <si>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</si>
  <si>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</si>
  <si>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</si>
  <si>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</si>
  <si>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</si>
  <si>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</si>
  <si>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</si>
  <si>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</si>
  <si>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</si>
  <si>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</si>
  <si>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</si>
  <si>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</si>
  <si>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</si>
  <si>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</si>
  <si>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</si>
  <si>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</si>
  <si>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</si>
  <si>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</si>
  <si>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</si>
  <si>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</si>
  <si>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</si>
  <si>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</si>
  <si>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</si>
  <si>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</si>
  <si>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</si>
  <si>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</si>
  <si>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</si>
  <si>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</si>
  <si>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</si>
  <si>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</si>
  <si>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</si>
  <si>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</si>
  <si>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</si>
  <si>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</si>
  <si>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</si>
  <si>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</si>
  <si>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</si>
  <si>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</si>
  <si>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</si>
  <si>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</si>
  <si>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</si>
  <si>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</si>
  <si>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</si>
  <si>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</si>
  <si>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</si>
  <si>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</si>
  <si>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</si>
  <si>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</si>
  <si>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</si>
  <si>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</si>
  <si>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</si>
  <si>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</si>
  <si>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</si>
  <si>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</si>
  <si>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</si>
  <si>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</si>
  <si>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</si>
  <si>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</si>
  <si>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</si>
  <si>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</si>
  <si>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</si>
  <si>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</si>
  <si>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</si>
  <si>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</si>
  <si>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</si>
  <si>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</si>
  <si>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</si>
  <si>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</si>
  <si>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</si>
  <si>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</si>
  <si>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</si>
  <si>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</si>
  <si>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</si>
  <si>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</si>
  <si>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</si>
  <si>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</si>
  <si>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</si>
  <si>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</si>
  <si>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</si>
  <si>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</si>
  <si>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</si>
  <si>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</si>
  <si>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</si>
  <si>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</si>
  <si>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</si>
  <si>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</si>
  <si>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</si>
  <si>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</si>
  <si>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</si>
  <si>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</si>
  <si>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</si>
  <si>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</si>
  <si>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</si>
  <si>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</si>
  <si>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</si>
  <si>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</si>
  <si>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</si>
  <si>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</si>
  <si>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</si>
  <si>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</si>
  <si>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</si>
  <si>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</si>
  <si>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</si>
  <si>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</si>
  <si>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</si>
  <si>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</si>
  <si>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</si>
  <si>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</si>
  <si>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</si>
  <si>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</si>
  <si>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</si>
  <si>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</si>
  <si>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</si>
  <si>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</si>
  <si>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</si>
  <si>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</si>
  <si>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</si>
  <si>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</si>
  <si>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</si>
  <si>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</si>
  <si>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</si>
  <si>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</si>
  <si>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</si>
  <si>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</si>
  <si>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</si>
  <si>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</si>
  <si>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</si>
  <si>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</si>
  <si>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</si>
  <si>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</si>
  <si>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</si>
  <si>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</si>
  <si>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</si>
  <si>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</si>
  <si>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</si>
  <si>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</si>
  <si>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</si>
  <si>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</si>
  <si>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</si>
  <si>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</si>
  <si>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</si>
  <si>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</si>
  <si>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</si>
  <si>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</si>
  <si>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</si>
  <si>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</si>
  <si>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</si>
  <si>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</si>
  <si>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</si>
  <si>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</si>
  <si>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</si>
  <si>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</si>
  <si>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</si>
  <si>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</si>
  <si>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</si>
  <si>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</si>
  <si>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</si>
  <si>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</si>
  <si>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</si>
  <si>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</si>
  <si>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</si>
  <si>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</si>
  <si>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</si>
  <si>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</si>
  <si>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</si>
  <si>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</si>
  <si>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</si>
  <si>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</si>
  <si>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</si>
  <si>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</si>
  <si>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</si>
  <si>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</si>
  <si>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</si>
  <si>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</si>
  <si>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</si>
  <si>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</si>
  <si>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</si>
  <si>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</si>
  <si>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</si>
  <si>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</si>
  <si>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</si>
  <si>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</si>
  <si>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</si>
  <si>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</si>
  <si>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</si>
  <si>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</si>
  <si>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</si>
  <si>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</si>
  <si>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</si>
  <si>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</si>
  <si>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</si>
  <si>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</si>
  <si>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</si>
  <si>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</si>
  <si>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</si>
  <si>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</si>
  <si>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</si>
  <si>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</si>
  <si>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</si>
  <si>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</si>
  <si>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</si>
  <si>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</si>
  <si>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</si>
  <si>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</si>
  <si>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</si>
  <si>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</si>
  <si>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</si>
  <si>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</si>
  <si>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</si>
  <si>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</si>
  <si>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</si>
  <si>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</si>
  <si>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</si>
  <si>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</si>
  <si>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</si>
  <si>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</si>
  <si>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</si>
  <si>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</si>
  <si>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</si>
  <si>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</si>
  <si>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</si>
  <si>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</si>
  <si>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</si>
  <si>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</si>
  <si>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</si>
  <si>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</si>
  <si>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</si>
  <si>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</si>
  <si>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</si>
  <si>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</si>
  <si>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</si>
  <si>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</si>
  <si>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</si>
  <si>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</si>
  <si>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</si>
  <si>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</si>
  <si>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</si>
  <si>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</si>
  <si>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</si>
  <si>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</si>
  <si>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</si>
  <si>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</si>
  <si>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</si>
  <si>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</si>
  <si>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</si>
  <si>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</si>
  <si>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</si>
  <si>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</si>
  <si>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</si>
  <si>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</si>
  <si>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</si>
  <si>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</si>
  <si>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</si>
  <si>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</si>
  <si>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</si>
  <si>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</si>
  <si>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</si>
  <si>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</si>
  <si>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</si>
  <si>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</si>
  <si>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</si>
  <si>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</si>
  <si>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</si>
  <si>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</si>
  <si>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</si>
  <si>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</si>
  <si>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</si>
  <si>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</si>
  <si>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</si>
  <si>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</si>
  <si>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</si>
  <si>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</si>
  <si>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</si>
  <si>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</si>
  <si>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</si>
  <si>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</si>
  <si>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</si>
  <si>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</si>
  <si>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</si>
  <si>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</si>
  <si>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</si>
  <si>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</si>
  <si>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</si>
  <si>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</si>
  <si>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</si>
  <si>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</si>
  <si>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</si>
  <si>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</si>
  <si>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</si>
  <si>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</si>
  <si>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</si>
  <si>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</si>
  <si>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</si>
  <si>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</si>
  <si>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</si>
  <si>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</si>
  <si>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</si>
  <si>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</si>
  <si>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</si>
  <si>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</si>
  <si>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</si>
  <si>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</si>
  <si>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</si>
  <si>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</si>
  <si>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</si>
  <si>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</si>
  <si>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</si>
  <si>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</si>
  <si>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</si>
  <si>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</si>
  <si>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</si>
  <si>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</si>
  <si>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</si>
  <si>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</si>
  <si>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</si>
  <si>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</si>
  <si>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</si>
  <si>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</si>
  <si>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</si>
  <si>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</si>
  <si>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</si>
  <si>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</si>
  <si>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</si>
  <si>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</si>
  <si>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</si>
  <si>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</si>
  <si>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</si>
  <si>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</si>
  <si>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</si>
  <si>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</si>
  <si>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</si>
  <si>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</si>
  <si>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</si>
  <si>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</si>
  <si>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</si>
  <si>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</si>
  <si>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</si>
  <si>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</si>
  <si>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</si>
  <si>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</si>
  <si>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</si>
  <si>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</si>
  <si>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</si>
  <si>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</si>
  <si>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</si>
  <si>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</si>
  <si>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</si>
  <si>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</si>
  <si>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</si>
  <si>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</si>
  <si>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</si>
  <si>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</si>
  <si>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</si>
  <si>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</si>
  <si>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</si>
  <si>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</si>
  <si>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</si>
  <si>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</si>
  <si>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</si>
  <si>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</si>
  <si>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</si>
  <si>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</si>
  <si>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</si>
  <si>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</si>
  <si>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</si>
  <si>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</si>
  <si>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</si>
  <si>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</si>
  <si>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</si>
  <si>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</si>
  <si>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</si>
  <si>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</si>
  <si>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</si>
  <si>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</si>
  <si>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</si>
  <si>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</si>
  <si>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</si>
  <si>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</si>
  <si>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</si>
  <si>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</si>
  <si>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</si>
  <si>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</si>
  <si>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</si>
  <si>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</si>
  <si>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</si>
  <si>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</si>
  <si>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</si>
  <si>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</si>
  <si>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</si>
  <si>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</si>
  <si>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</si>
  <si>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</si>
  <si>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</si>
  <si>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</si>
  <si>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</si>
  <si>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</si>
  <si>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</si>
  <si>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</si>
  <si>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</si>
  <si>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</si>
  <si>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</si>
  <si>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</si>
  <si>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</si>
  <si>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</si>
  <si>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</si>
  <si>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</si>
  <si>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</si>
  <si>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</si>
  <si>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</si>
  <si>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</si>
  <si>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</si>
  <si>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</si>
  <si>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</si>
  <si>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</si>
  <si>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</si>
  <si>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</si>
  <si>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</si>
  <si>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</si>
  <si>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</si>
  <si>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</si>
  <si>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</si>
  <si>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</si>
  <si>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</si>
  <si>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</si>
  <si>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</si>
  <si>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</si>
  <si>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</si>
  <si>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</si>
  <si>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</si>
  <si>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</si>
  <si>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</si>
  <si>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</si>
  <si>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</si>
  <si>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</si>
  <si>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</si>
  <si>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</si>
  <si>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</si>
  <si>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</si>
  <si>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</si>
  <si>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</si>
  <si>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</si>
  <si>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</si>
  <si>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</si>
  <si>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</si>
  <si>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</si>
  <si>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</si>
  <si>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</si>
  <si>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</si>
  <si>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</si>
  <si>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</si>
  <si>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</si>
  <si>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</si>
  <si>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</si>
  <si>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</si>
  <si>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</si>
  <si>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</si>
  <si>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</si>
  <si>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</si>
  <si>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</si>
  <si>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</si>
  <si>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</si>
  <si>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</si>
  <si>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</si>
  <si>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</si>
  <si>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</si>
  <si>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</si>
  <si>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</si>
  <si>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</si>
  <si>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</si>
  <si>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</si>
  <si>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</si>
  <si>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</si>
  <si>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</si>
  <si>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</si>
  <si>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</si>
  <si>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</si>
  <si>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</si>
  <si>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</si>
  <si>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</si>
  <si>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</si>
  <si>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</si>
  <si>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</si>
  <si>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</si>
  <si>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</si>
  <si>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</si>
  <si>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</si>
  <si>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</si>
  <si>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</si>
  <si>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</si>
  <si>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</si>
  <si>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</si>
  <si>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</si>
  <si>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</si>
  <si>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</si>
  <si>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</si>
  <si>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</si>
  <si>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</si>
  <si>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</si>
  <si>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</si>
  <si>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</si>
  <si>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</si>
  <si>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</si>
  <si>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</si>
  <si>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</si>
  <si>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</si>
  <si>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</si>
  <si>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</si>
  <si>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</si>
  <si>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</si>
  <si>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</si>
  <si>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</si>
  <si>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</si>
  <si>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</si>
  <si>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</si>
  <si>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</si>
  <si>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</si>
  <si>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</si>
  <si>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</si>
  <si>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</si>
  <si>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</si>
  <si>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</si>
  <si>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</si>
  <si>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</si>
  <si>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</si>
  <si>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</si>
  <si>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</si>
  <si>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</si>
  <si>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</si>
  <si>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</si>
  <si>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</si>
  <si>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</si>
  <si>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</si>
  <si>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</si>
  <si>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</si>
  <si>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</si>
  <si>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</si>
  <si>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</si>
  <si>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</si>
  <si>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</si>
  <si>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</si>
  <si>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</si>
  <si>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</si>
  <si>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</si>
  <si>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</si>
  <si>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</si>
  <si>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</si>
  <si>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</si>
  <si>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</si>
  <si>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</si>
  <si>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</si>
  <si>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</si>
  <si>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</si>
  <si>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</si>
  <si>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</si>
  <si>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</si>
  <si>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</si>
  <si>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</si>
  <si>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</si>
  <si>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</si>
  <si>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</si>
  <si>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</si>
  <si>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</si>
  <si>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</si>
  <si>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</si>
  <si>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</si>
  <si>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</si>
  <si>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</si>
  <si>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</si>
  <si>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</si>
  <si>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</si>
  <si>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</si>
  <si>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</si>
  <si>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</si>
  <si>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</si>
  <si>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</si>
  <si>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</si>
  <si>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</si>
  <si>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</si>
  <si>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</si>
  <si>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</si>
  <si>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</si>
  <si>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</si>
  <si>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</si>
  <si>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</si>
  <si>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</si>
  <si>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</si>
  <si>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</si>
  <si>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</si>
  <si>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</si>
  <si>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</si>
  <si>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</si>
  <si>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</si>
  <si>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</si>
  <si>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</si>
  <si>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</si>
  <si>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</si>
  <si>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</si>
  <si>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</si>
  <si>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</si>
  <si>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</si>
  <si>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</si>
  <si>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</si>
  <si>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</si>
  <si>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</si>
  <si>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</si>
  <si>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</si>
  <si>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</si>
  <si>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</si>
  <si>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</si>
  <si>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</si>
  <si>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</si>
  <si>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</si>
  <si>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</si>
  <si>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</si>
  <si>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</si>
  <si>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</si>
  <si>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</si>
  <si>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</si>
  <si>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</si>
  <si>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</si>
  <si>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</si>
  <si>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</si>
  <si>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</si>
  <si>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</si>
  <si>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</si>
  <si>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</si>
  <si>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</si>
  <si>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</si>
  <si>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</si>
  <si>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</si>
  <si>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</si>
  <si>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</si>
  <si>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</si>
  <si>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</si>
  <si>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</si>
  <si>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</si>
  <si>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</si>
  <si>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</si>
  <si>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</si>
  <si>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</si>
  <si>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</si>
  <si>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</si>
  <si>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</si>
  <si>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</si>
  <si>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</si>
  <si>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</si>
  <si>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</si>
  <si>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</si>
  <si>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</si>
  <si>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</si>
  <si>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</si>
  <si>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</si>
  <si>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</si>
  <si>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</si>
  <si>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</si>
  <si>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</si>
  <si>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</si>
  <si>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</si>
  <si>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</si>
  <si>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</si>
  <si>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</si>
  <si>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</si>
  <si>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</si>
  <si>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</si>
  <si>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</si>
  <si>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</si>
  <si>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</si>
  <si>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</si>
  <si>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</si>
  <si>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</si>
  <si>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</si>
  <si>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</si>
  <si>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</si>
  <si>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</si>
  <si>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</si>
  <si>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</si>
  <si>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</si>
  <si>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</si>
  <si>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</si>
  <si>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</si>
  <si>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</si>
  <si>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</si>
  <si>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</si>
  <si>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</si>
  <si>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</si>
  <si>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</si>
  <si>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</si>
  <si>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</si>
  <si>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</si>
  <si>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</si>
  <si>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</si>
  <si>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</si>
  <si>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</si>
  <si>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</si>
  <si>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</si>
  <si>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</si>
  <si>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</si>
  <si>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</si>
  <si>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</si>
  <si>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</si>
  <si>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</si>
  <si>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</si>
  <si>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Ulmer T 3563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</si>
</sst>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1" fillId="0" borderId="29"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1" fillId="0" borderId="35" xfId="0" applyFont="1" applyBorder="1" applyAlignment="1">
      <alignment/>
    </xf>
    <xf numFmtId="0" fontId="1" fillId="0" borderId="46" xfId="0" applyFont="1" applyBorder="1" applyAlignment="1">
      <alignment/>
    </xf>
    <xf numFmtId="0" fontId="0" fillId="0" borderId="29"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2" fillId="0" borderId="13" xfId="0" applyFont="1" applyBorder="1" applyAlignment="1">
      <alignment/>
    </xf>
    <xf numFmtId="0" fontId="0" fillId="0" borderId="13"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G174" sqref="G174:G17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38" t="s">
        <v>877</v>
      </c>
      <c r="B3" s="438"/>
      <c r="C3" s="438"/>
      <c r="D3" s="438"/>
      <c r="E3" s="438"/>
      <c r="F3" s="438"/>
      <c r="G3" s="438"/>
      <c r="H3" s="438"/>
      <c r="I3" s="438"/>
      <c r="J3" s="438"/>
      <c r="K3" s="438"/>
      <c r="L3" s="438"/>
      <c r="M3" s="438"/>
    </row>
    <row r="4" spans="1:13" ht="35.25" customHeight="1">
      <c r="A4" s="448" t="s">
        <v>308</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74">
        <v>42408</v>
      </c>
      <c r="G6" s="475"/>
      <c r="H6" s="475"/>
      <c r="I6" s="476"/>
      <c r="J6" s="316"/>
      <c r="K6" s="316"/>
      <c r="L6" s="316"/>
      <c r="M6" s="316"/>
    </row>
    <row r="7" spans="1:13" ht="12.75" customHeight="1">
      <c r="A7" s="316"/>
      <c r="B7" s="316"/>
      <c r="C7" s="316"/>
      <c r="D7" s="316" t="s">
        <v>216</v>
      </c>
      <c r="E7" s="316"/>
      <c r="F7" s="485" t="s">
        <v>880</v>
      </c>
      <c r="G7" s="486"/>
      <c r="H7" s="486"/>
      <c r="I7" s="486"/>
      <c r="J7" s="457"/>
      <c r="K7" s="458"/>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77" t="s">
        <v>328</v>
      </c>
      <c r="G10" s="478"/>
      <c r="H10" s="478"/>
      <c r="I10" s="479"/>
      <c r="J10" s="26"/>
      <c r="K10" s="26"/>
      <c r="L10" s="26"/>
      <c r="M10" s="26"/>
    </row>
    <row r="11" spans="1:13" ht="12.75">
      <c r="A11" s="39"/>
      <c r="B11" s="26"/>
      <c r="C11" s="26"/>
      <c r="D11" s="26" t="s">
        <v>38</v>
      </c>
      <c r="E11" s="26"/>
      <c r="F11" s="480" t="s">
        <v>329</v>
      </c>
      <c r="G11" s="480"/>
      <c r="H11" s="480"/>
      <c r="I11" s="480"/>
      <c r="J11" s="481"/>
      <c r="K11" s="481"/>
      <c r="L11" s="26"/>
      <c r="M11" s="26"/>
    </row>
    <row r="12" spans="1:13" ht="12.75">
      <c r="A12" s="39"/>
      <c r="B12" s="26"/>
      <c r="C12" s="26"/>
      <c r="D12" s="26" t="s">
        <v>39</v>
      </c>
      <c r="E12" s="26"/>
      <c r="F12" s="482" t="s">
        <v>330</v>
      </c>
      <c r="G12" s="483"/>
      <c r="H12" s="483"/>
      <c r="I12" s="484"/>
      <c r="J12" s="156"/>
      <c r="K12" s="156"/>
      <c r="L12" s="26"/>
      <c r="M12" s="26"/>
    </row>
    <row r="13" spans="1:13" ht="12.75">
      <c r="A13" s="39"/>
      <c r="B13" s="26"/>
      <c r="C13" s="26"/>
      <c r="D13" s="26" t="s">
        <v>196</v>
      </c>
      <c r="E13" s="26"/>
      <c r="F13" s="489" t="s">
        <v>331</v>
      </c>
      <c r="G13" s="465"/>
      <c r="H13" s="465"/>
      <c r="I13" s="466"/>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59" t="s">
        <v>114</v>
      </c>
      <c r="C19" s="459"/>
      <c r="D19" s="459"/>
      <c r="E19" s="459"/>
      <c r="F19" s="459"/>
      <c r="G19" s="459"/>
      <c r="H19" s="459"/>
      <c r="I19" s="459"/>
      <c r="J19" s="459"/>
      <c r="K19" s="459"/>
      <c r="L19" s="490"/>
      <c r="M19" s="26"/>
    </row>
    <row r="20" spans="1:13" ht="12.75">
      <c r="A20" s="39"/>
      <c r="B20" s="459"/>
      <c r="C20" s="459"/>
      <c r="D20" s="459"/>
      <c r="E20" s="459"/>
      <c r="F20" s="459"/>
      <c r="G20" s="459"/>
      <c r="H20" s="459"/>
      <c r="I20" s="459"/>
      <c r="J20" s="459"/>
      <c r="K20" s="459"/>
      <c r="L20" s="490"/>
      <c r="M20" s="26"/>
    </row>
    <row r="21" spans="1:13" ht="12.75">
      <c r="A21" s="39"/>
      <c r="B21" s="454" t="s">
        <v>390</v>
      </c>
      <c r="C21" s="491"/>
      <c r="D21" s="492"/>
      <c r="E21" s="99"/>
      <c r="F21" s="99"/>
      <c r="G21" s="99"/>
      <c r="H21" s="99"/>
      <c r="I21" s="99"/>
      <c r="J21" s="99"/>
      <c r="K21" s="99"/>
      <c r="L21" s="100"/>
      <c r="M21" s="26"/>
    </row>
    <row r="22" spans="1:13" ht="12.75">
      <c r="A22" s="109" t="s">
        <v>13</v>
      </c>
      <c r="B22" s="40" t="s">
        <v>539</v>
      </c>
      <c r="C22" s="26"/>
      <c r="D22" s="99"/>
      <c r="E22" s="40"/>
      <c r="F22" s="493" t="s">
        <v>391</v>
      </c>
      <c r="G22" s="494"/>
      <c r="H22" s="494"/>
      <c r="I22" s="495"/>
      <c r="J22" s="100"/>
      <c r="K22" s="99"/>
      <c r="L22" s="26"/>
      <c r="M22" s="26"/>
    </row>
    <row r="23" spans="1:13" ht="12.75">
      <c r="A23" s="108"/>
      <c r="B23" s="41"/>
      <c r="C23" s="26" t="s">
        <v>203</v>
      </c>
      <c r="D23" s="26"/>
      <c r="E23" s="46"/>
      <c r="F23" s="454"/>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70" t="s">
        <v>545</v>
      </c>
      <c r="C26" s="471"/>
      <c r="D26" s="471"/>
      <c r="E26" s="471"/>
      <c r="F26" s="471"/>
      <c r="G26" s="471"/>
      <c r="H26" s="471"/>
      <c r="I26" s="471"/>
      <c r="J26" s="471"/>
      <c r="K26" s="457"/>
      <c r="L26" s="458"/>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56"/>
      <c r="G28" s="465"/>
      <c r="H28" s="465"/>
      <c r="I28" s="466"/>
      <c r="J28" s="42"/>
      <c r="K28" s="42"/>
      <c r="L28" s="42"/>
      <c r="M28" s="26"/>
    </row>
    <row r="29" spans="1:13" ht="12.75">
      <c r="A29" s="39"/>
      <c r="B29" s="42"/>
      <c r="C29" s="26"/>
      <c r="D29" s="42" t="s">
        <v>447</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862</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0</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6</v>
      </c>
      <c r="B37" s="98"/>
      <c r="C37" s="26"/>
      <c r="D37" s="26"/>
      <c r="E37" s="26"/>
      <c r="F37" s="26"/>
      <c r="G37" s="26"/>
      <c r="H37" s="26"/>
      <c r="I37" s="26"/>
      <c r="J37" s="26"/>
      <c r="K37" s="26"/>
      <c r="L37" s="26"/>
      <c r="M37" s="26"/>
    </row>
    <row r="38" spans="1:13" ht="14.25">
      <c r="A38" s="136" t="s">
        <v>12</v>
      </c>
      <c r="B38" s="472" t="s">
        <v>521</v>
      </c>
      <c r="C38" s="472"/>
      <c r="D38" s="472"/>
      <c r="E38" s="472"/>
      <c r="F38" s="26"/>
      <c r="G38" s="467" t="s">
        <v>623</v>
      </c>
      <c r="H38" s="468"/>
      <c r="I38" s="468"/>
      <c r="J38" s="468"/>
      <c r="K38" s="468"/>
      <c r="L38" s="469"/>
      <c r="M38" s="26"/>
    </row>
    <row r="39" spans="1:13" ht="12.75">
      <c r="A39" s="136" t="s">
        <v>13</v>
      </c>
      <c r="B39" s="472" t="s">
        <v>41</v>
      </c>
      <c r="C39" s="472"/>
      <c r="D39" s="472"/>
      <c r="E39" s="472"/>
      <c r="F39" s="26"/>
      <c r="G39" s="154">
        <v>4</v>
      </c>
      <c r="H39" s="42"/>
      <c r="I39" s="42"/>
      <c r="J39" s="42"/>
      <c r="K39" s="46"/>
      <c r="L39" s="46"/>
      <c r="M39" s="26"/>
    </row>
    <row r="40" spans="1:13" ht="12.75">
      <c r="A40" s="136" t="s">
        <v>14</v>
      </c>
      <c r="B40" s="472" t="s">
        <v>8</v>
      </c>
      <c r="C40" s="472"/>
      <c r="D40" s="472"/>
      <c r="E40" s="472"/>
      <c r="F40" s="26"/>
      <c r="G40" s="329">
        <v>150</v>
      </c>
      <c r="H40" s="48" t="str">
        <f>CONCATENATE(VLOOKUP(G38,'Data Tables'!A4:C78,3,FALSE),B257)</f>
        <v>bu per acre</v>
      </c>
      <c r="I40" s="26"/>
      <c r="J40" s="42"/>
      <c r="K40" s="46"/>
      <c r="L40" s="46"/>
      <c r="M40" s="26"/>
    </row>
    <row r="41" spans="1:13" ht="12.75">
      <c r="A41" s="136" t="s">
        <v>15</v>
      </c>
      <c r="B41" s="42" t="s">
        <v>261</v>
      </c>
      <c r="C41" s="42"/>
      <c r="D41" s="42"/>
      <c r="E41" s="42"/>
      <c r="F41" s="26"/>
      <c r="G41" s="456" t="s">
        <v>501</v>
      </c>
      <c r="H41" s="457"/>
      <c r="I41" s="457"/>
      <c r="J41" s="457"/>
      <c r="K41" s="457"/>
      <c r="L41" s="458"/>
      <c r="M41" s="26"/>
    </row>
    <row r="42" spans="1:13" ht="12.75">
      <c r="A42" s="137" t="s">
        <v>161</v>
      </c>
      <c r="B42" s="487" t="s">
        <v>76</v>
      </c>
      <c r="C42" s="488"/>
      <c r="D42" s="488"/>
      <c r="E42" s="488"/>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253</v>
      </c>
      <c r="B46" s="439"/>
      <c r="C46" s="439"/>
      <c r="D46" s="439"/>
      <c r="E46" s="439"/>
      <c r="F46" s="439"/>
      <c r="G46" s="439"/>
      <c r="H46" s="439"/>
      <c r="I46" s="439"/>
      <c r="J46" s="439"/>
      <c r="K46" s="439"/>
      <c r="L46" s="439"/>
      <c r="M46" s="439"/>
    </row>
    <row r="47" spans="1:13" ht="17.25">
      <c r="A47" s="98" t="s">
        <v>522</v>
      </c>
      <c r="B47" s="26"/>
      <c r="C47" s="26"/>
      <c r="D47" s="26"/>
      <c r="E47" s="26"/>
      <c r="F47" s="473"/>
      <c r="G47" s="473"/>
      <c r="H47" s="473"/>
      <c r="I47" s="40"/>
      <c r="J47" s="473"/>
      <c r="K47" s="473"/>
      <c r="L47" s="473"/>
      <c r="M47" s="26"/>
    </row>
    <row r="48" spans="1:13" ht="15">
      <c r="A48" s="26"/>
      <c r="B48" s="148"/>
      <c r="C48" s="26"/>
      <c r="D48" s="26"/>
      <c r="E48" s="26"/>
      <c r="F48" s="98" t="s">
        <v>531</v>
      </c>
      <c r="G48" s="98"/>
      <c r="H48" s="98"/>
      <c r="I48" s="186"/>
      <c r="J48" s="98" t="s">
        <v>532</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523</v>
      </c>
      <c r="C50" s="26"/>
      <c r="D50" s="26"/>
      <c r="E50" s="26"/>
      <c r="F50" s="154">
        <v>70</v>
      </c>
      <c r="G50" s="40" t="s">
        <v>786</v>
      </c>
      <c r="H50" s="40"/>
      <c r="I50" s="40"/>
      <c r="J50" s="154">
        <v>70</v>
      </c>
      <c r="K50" s="26"/>
      <c r="L50" s="26"/>
      <c r="M50" s="26"/>
    </row>
    <row r="51" spans="1:13" ht="12.75">
      <c r="A51" s="136" t="s">
        <v>13</v>
      </c>
      <c r="B51" s="27" t="s">
        <v>140</v>
      </c>
      <c r="C51" s="41"/>
      <c r="D51" s="39"/>
      <c r="E51" s="26"/>
      <c r="F51" s="396">
        <f>'Calculations- All Data'!F57</f>
        <v>70</v>
      </c>
      <c r="G51" s="42" t="s">
        <v>786</v>
      </c>
      <c r="H51" s="42"/>
      <c r="I51" s="42"/>
      <c r="J51" s="397">
        <f>'Calculations- All Data'!J57</f>
        <v>70</v>
      </c>
      <c r="K51" s="42" t="s">
        <v>786</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56" t="s">
        <v>52</v>
      </c>
      <c r="G54" s="457"/>
      <c r="H54" s="457"/>
      <c r="I54" s="188"/>
      <c r="J54" s="456" t="s">
        <v>52</v>
      </c>
      <c r="K54" s="465"/>
      <c r="L54" s="466"/>
      <c r="M54" s="26"/>
    </row>
    <row r="55" spans="1:13" ht="12.75">
      <c r="A55" s="136" t="s">
        <v>13</v>
      </c>
      <c r="B55" s="41" t="s">
        <v>7</v>
      </c>
      <c r="C55" s="26"/>
      <c r="D55" s="26"/>
      <c r="E55" s="26"/>
      <c r="F55" s="467" t="s">
        <v>91</v>
      </c>
      <c r="G55" s="468"/>
      <c r="H55" s="468"/>
      <c r="I55" s="187"/>
      <c r="J55" s="467" t="s">
        <v>91</v>
      </c>
      <c r="K55" s="468"/>
      <c r="L55" s="469"/>
      <c r="M55" s="26"/>
    </row>
    <row r="56" spans="1:13" ht="14.25">
      <c r="A56" s="136" t="s">
        <v>14</v>
      </c>
      <c r="B56" s="267" t="s">
        <v>515</v>
      </c>
      <c r="C56" s="26"/>
      <c r="D56" s="26"/>
      <c r="E56" s="26"/>
      <c r="F56" s="154" t="s">
        <v>243</v>
      </c>
      <c r="G56" s="41"/>
      <c r="H56" s="40"/>
      <c r="I56" s="40"/>
      <c r="J56" s="154" t="s">
        <v>243</v>
      </c>
      <c r="K56" s="26"/>
      <c r="L56" s="26"/>
      <c r="M56" s="26"/>
    </row>
    <row r="57" spans="1:13" ht="12.75">
      <c r="A57" s="136"/>
      <c r="B57" s="40"/>
      <c r="C57" s="41" t="s">
        <v>9</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15</v>
      </c>
      <c r="B58" s="41" t="s">
        <v>533</v>
      </c>
      <c r="C58" s="26"/>
      <c r="D58" s="26"/>
      <c r="E58" s="26"/>
      <c r="F58" s="154">
        <v>3.2</v>
      </c>
      <c r="G58" s="41" t="str">
        <f>VLOOKUP(F55,'Data Tables'!$A$249:$E$270,5,FALSE)</f>
        <v>1000 gallons/ac</v>
      </c>
      <c r="H58" s="40"/>
      <c r="I58" s="40"/>
      <c r="J58" s="154">
        <v>3.2</v>
      </c>
      <c r="K58" s="41" t="str">
        <f>VLOOKUP(J55,'Data Tables'!$A$249:$E$270,5,FALSE)</f>
        <v>1000 gallons/ac</v>
      </c>
      <c r="L58" s="26"/>
      <c r="M58" s="26"/>
    </row>
    <row r="59" spans="1:13" ht="12.75">
      <c r="A59" s="136" t="s">
        <v>161</v>
      </c>
      <c r="B59" s="26" t="str">
        <f>IF(F54=$D$271,"Time when manure will be utilized:","Days until incorporation:")</f>
        <v>Days until incorporation:</v>
      </c>
      <c r="C59" s="41"/>
      <c r="D59" s="26"/>
      <c r="E59" s="26"/>
      <c r="F59" s="456" t="s">
        <v>127</v>
      </c>
      <c r="G59" s="457"/>
      <c r="H59" s="457"/>
      <c r="I59" s="187"/>
      <c r="J59" s="456" t="s">
        <v>127</v>
      </c>
      <c r="K59" s="457"/>
      <c r="L59" s="458"/>
      <c r="M59" s="26"/>
    </row>
    <row r="60" spans="1:13" ht="12.75">
      <c r="A60" s="136" t="s">
        <v>163</v>
      </c>
      <c r="B60" s="27" t="s">
        <v>58</v>
      </c>
      <c r="C60" s="41"/>
      <c r="D60" s="26"/>
      <c r="E60" s="26"/>
      <c r="F60" s="398">
        <f>'Calculations- All Data'!F69</f>
        <v>89.60000000000001</v>
      </c>
      <c r="G60" s="42" t="s">
        <v>786</v>
      </c>
      <c r="H60" s="42"/>
      <c r="I60" s="156"/>
      <c r="J60" s="398">
        <f>'Calculations- All Data'!J69</f>
        <v>89.60000000000001</v>
      </c>
      <c r="K60" s="42" t="s">
        <v>786</v>
      </c>
      <c r="L60" s="42"/>
      <c r="M60" s="26"/>
    </row>
    <row r="61" spans="1:13" ht="12.75">
      <c r="A61" s="136" t="s">
        <v>162</v>
      </c>
      <c r="B61" s="27" t="s">
        <v>139</v>
      </c>
      <c r="C61" s="41"/>
      <c r="D61" s="39"/>
      <c r="E61" s="26"/>
      <c r="F61" s="396">
        <f>'Calculations- All Data'!F70</f>
        <v>17.92</v>
      </c>
      <c r="G61" s="42" t="s">
        <v>786</v>
      </c>
      <c r="H61" s="42"/>
      <c r="I61" s="42"/>
      <c r="J61" s="397">
        <f>'Calculations- All Data'!J70</f>
        <v>17.92</v>
      </c>
      <c r="K61" s="42" t="s">
        <v>786</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56"/>
      <c r="G64" s="457"/>
      <c r="H64" s="457"/>
      <c r="I64" s="188"/>
      <c r="J64" s="456"/>
      <c r="K64" s="465"/>
      <c r="L64" s="466"/>
      <c r="M64" s="26"/>
    </row>
    <row r="65" spans="1:13" ht="12.75">
      <c r="A65" s="26"/>
      <c r="B65" s="40"/>
      <c r="C65" s="41" t="s">
        <v>7</v>
      </c>
      <c r="D65" s="26"/>
      <c r="E65" s="26"/>
      <c r="F65" s="467"/>
      <c r="G65" s="468"/>
      <c r="H65" s="468"/>
      <c r="I65" s="187"/>
      <c r="J65" s="467"/>
      <c r="K65" s="468"/>
      <c r="L65" s="469"/>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56"/>
      <c r="G69" s="457"/>
      <c r="H69" s="457"/>
      <c r="I69" s="187"/>
      <c r="J69" s="456"/>
      <c r="K69" s="457"/>
      <c r="L69" s="458"/>
      <c r="M69" s="26"/>
    </row>
    <row r="70" spans="1:13" ht="12.75">
      <c r="A70" s="26"/>
      <c r="B70" s="27" t="s">
        <v>57</v>
      </c>
      <c r="C70" s="41"/>
      <c r="D70" s="26"/>
      <c r="E70" s="26"/>
      <c r="F70" s="398">
        <f>'Calculations- All Data'!F82</f>
        <v>0</v>
      </c>
      <c r="G70" s="42" t="s">
        <v>786</v>
      </c>
      <c r="H70" s="42"/>
      <c r="I70" s="156"/>
      <c r="J70" s="398">
        <f>'Calculations- All Data'!J82</f>
        <v>0</v>
      </c>
      <c r="K70" s="42" t="s">
        <v>786</v>
      </c>
      <c r="L70" s="42"/>
      <c r="M70" s="26"/>
    </row>
    <row r="71" spans="1:13" ht="12.75">
      <c r="A71" s="26"/>
      <c r="B71" s="27" t="s">
        <v>138</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56"/>
      <c r="G75" s="457"/>
      <c r="H75" s="457"/>
      <c r="I75" s="188"/>
      <c r="J75" s="456"/>
      <c r="K75" s="465"/>
      <c r="L75" s="466"/>
      <c r="M75" s="26"/>
    </row>
    <row r="76" spans="1:13" ht="12.75">
      <c r="A76" s="26"/>
      <c r="B76" s="40"/>
      <c r="C76" s="41" t="s">
        <v>7</v>
      </c>
      <c r="D76" s="26"/>
      <c r="E76" s="26"/>
      <c r="F76" s="467"/>
      <c r="G76" s="468"/>
      <c r="H76" s="468"/>
      <c r="I76" s="187"/>
      <c r="J76" s="467"/>
      <c r="K76" s="468"/>
      <c r="L76" s="469"/>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56"/>
      <c r="G80" s="457"/>
      <c r="H80" s="457"/>
      <c r="I80" s="187"/>
      <c r="J80" s="456"/>
      <c r="K80" s="457"/>
      <c r="L80" s="458"/>
      <c r="M80" s="26"/>
    </row>
    <row r="81" spans="1:13" ht="12.75">
      <c r="A81" s="26"/>
      <c r="B81" s="27" t="s">
        <v>56</v>
      </c>
      <c r="C81" s="41"/>
      <c r="D81" s="26"/>
      <c r="E81" s="26"/>
      <c r="F81" s="398">
        <f>'Calculations- All Data'!F95</f>
        <v>0</v>
      </c>
      <c r="G81" s="42" t="s">
        <v>786</v>
      </c>
      <c r="H81" s="42"/>
      <c r="I81" s="156"/>
      <c r="J81" s="398">
        <f>'Calculations- All Data'!J95</f>
        <v>0</v>
      </c>
      <c r="K81" s="42" t="s">
        <v>786</v>
      </c>
      <c r="L81" s="42"/>
      <c r="M81" s="26"/>
    </row>
    <row r="82" spans="1:13" ht="12.75">
      <c r="A82" s="26"/>
      <c r="B82" s="27" t="s">
        <v>137</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159.60000000000002</v>
      </c>
      <c r="G85" s="27" t="s">
        <v>786</v>
      </c>
      <c r="H85" s="39"/>
      <c r="I85" s="385" t="s">
        <v>532</v>
      </c>
      <c r="J85" s="395">
        <f>'Calculations- All Data'!J98</f>
        <v>159.60000000000002</v>
      </c>
      <c r="K85" s="26" t="s">
        <v>786</v>
      </c>
      <c r="L85" s="26"/>
      <c r="M85" s="26"/>
    </row>
    <row r="86" spans="1:13" ht="13.5" thickBot="1">
      <c r="A86" s="253" t="s">
        <v>239</v>
      </c>
      <c r="B86" s="26"/>
      <c r="C86" s="26"/>
      <c r="D86" s="26"/>
      <c r="E86" s="252"/>
      <c r="F86" s="399">
        <f>'Calculations- All Data'!F99</f>
        <v>87.92</v>
      </c>
      <c r="G86" s="27" t="s">
        <v>786</v>
      </c>
      <c r="H86" s="39"/>
      <c r="I86" s="385" t="s">
        <v>532</v>
      </c>
      <c r="J86" s="395">
        <f>'Calculations- All Data'!J99</f>
        <v>87.92</v>
      </c>
      <c r="K86" s="26" t="s">
        <v>786</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56" t="s">
        <v>393</v>
      </c>
      <c r="G100" s="465"/>
      <c r="H100" s="465"/>
      <c r="I100" s="465"/>
      <c r="J100" s="466"/>
      <c r="K100" s="213"/>
      <c r="L100" s="26"/>
      <c r="M100" s="26"/>
    </row>
    <row r="101" spans="1:13" ht="12.75">
      <c r="A101" s="136" t="s">
        <v>13</v>
      </c>
      <c r="B101" s="40" t="s">
        <v>10</v>
      </c>
      <c r="C101" s="26"/>
      <c r="D101" s="26"/>
      <c r="E101" s="26"/>
      <c r="F101" s="461" t="s">
        <v>627</v>
      </c>
      <c r="G101" s="463"/>
      <c r="H101" s="463"/>
      <c r="I101" s="464"/>
      <c r="J101" s="26"/>
      <c r="K101" s="26"/>
      <c r="L101" s="26"/>
      <c r="M101" s="26"/>
    </row>
    <row r="102" spans="1:13" ht="12.75">
      <c r="A102" s="136"/>
      <c r="B102" s="40"/>
      <c r="C102" s="26" t="s">
        <v>227</v>
      </c>
      <c r="D102" s="26"/>
      <c r="E102" s="26"/>
      <c r="F102" s="461" t="s">
        <v>678</v>
      </c>
      <c r="G102" s="457"/>
      <c r="H102" s="457"/>
      <c r="I102" s="458"/>
      <c r="J102" s="26"/>
      <c r="K102" s="26"/>
      <c r="L102" s="26"/>
      <c r="M102" s="26"/>
    </row>
    <row r="103" spans="1:13" ht="12.75">
      <c r="A103" s="26"/>
      <c r="B103" s="40"/>
      <c r="C103" s="41" t="s">
        <v>11</v>
      </c>
      <c r="D103" s="26"/>
      <c r="E103" s="26"/>
      <c r="F103" s="155">
        <v>40</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60</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875</v>
      </c>
      <c r="B109" s="462"/>
      <c r="C109" s="462"/>
      <c r="D109" s="462"/>
      <c r="E109" s="462"/>
      <c r="F109" s="462"/>
      <c r="G109" s="462"/>
      <c r="H109" s="462"/>
      <c r="I109" s="462"/>
      <c r="J109" s="462"/>
      <c r="K109" s="462"/>
      <c r="L109" s="462"/>
      <c r="M109" s="46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147.92000000000002</v>
      </c>
      <c r="H113" s="26" t="s">
        <v>185</v>
      </c>
      <c r="I113" s="26"/>
      <c r="J113" s="26"/>
      <c r="K113" s="26"/>
      <c r="L113" s="26"/>
      <c r="M113" s="26"/>
    </row>
    <row r="114" spans="1:13" ht="13.5" thickBot="1">
      <c r="A114" s="26"/>
      <c r="B114" s="26"/>
      <c r="C114" s="27" t="s">
        <v>147</v>
      </c>
      <c r="D114" s="26"/>
      <c r="E114" s="26"/>
      <c r="F114" s="324"/>
      <c r="G114" s="318">
        <f>'Calculations- All Data'!F118</f>
        <v>147.92000000000002</v>
      </c>
      <c r="H114" s="40" t="s">
        <v>185</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250</v>
      </c>
      <c r="I120" s="193"/>
      <c r="J120" s="193"/>
      <c r="K120" s="193"/>
      <c r="L120" s="26"/>
      <c r="M120" s="26"/>
    </row>
    <row r="121" spans="1:13" ht="13.5" thickBot="1">
      <c r="A121" s="26"/>
      <c r="B121" s="26"/>
      <c r="C121" s="27" t="s">
        <v>238</v>
      </c>
      <c r="D121" s="26"/>
      <c r="E121" s="136"/>
      <c r="F121" s="324" t="s">
        <v>231</v>
      </c>
      <c r="G121" s="318">
        <f>'Calculations- All Data'!F48</f>
        <v>0.55</v>
      </c>
      <c r="H121" s="26"/>
      <c r="I121" s="193"/>
      <c r="J121" s="193"/>
      <c r="K121" s="193"/>
      <c r="L121" s="26"/>
      <c r="M121" s="26"/>
    </row>
    <row r="122" spans="1:13" ht="14.25" customHeight="1" thickBot="1">
      <c r="A122" s="26"/>
      <c r="B122" s="26"/>
      <c r="C122" s="321" t="s">
        <v>868</v>
      </c>
      <c r="D122" s="322"/>
      <c r="E122" s="323"/>
      <c r="F122" s="324" t="s">
        <v>232</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219.60000000000002</v>
      </c>
      <c r="H125" s="40" t="s">
        <v>185</v>
      </c>
      <c r="I125" s="193"/>
      <c r="J125" s="193"/>
      <c r="K125" s="193"/>
      <c r="L125" s="26"/>
      <c r="M125" s="26"/>
    </row>
    <row r="126" spans="1:13" s="2" customFormat="1" ht="13.5" customHeight="1">
      <c r="A126" s="26"/>
      <c r="B126" s="26"/>
      <c r="C126" s="27" t="s">
        <v>871</v>
      </c>
      <c r="D126" s="26"/>
      <c r="E126" s="26"/>
      <c r="F126" s="324" t="s">
        <v>233</v>
      </c>
      <c r="G126" s="247">
        <f>'Calculations- All Data'!F130</f>
        <v>118.935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232</v>
      </c>
      <c r="G128" s="397">
        <f>'Calculations- All Data'!F132</f>
        <v>100.66500000000002</v>
      </c>
      <c r="H128" s="40" t="s">
        <v>185</v>
      </c>
      <c r="I128" s="193"/>
      <c r="J128" s="193"/>
      <c r="K128" s="193"/>
      <c r="L128" s="26"/>
      <c r="M128" s="26"/>
    </row>
    <row r="129" spans="1:13" ht="12.75">
      <c r="A129" s="26"/>
      <c r="B129" s="26"/>
      <c r="C129" s="320" t="s">
        <v>237</v>
      </c>
      <c r="D129" s="136"/>
      <c r="E129" s="324"/>
      <c r="F129" s="324" t="s">
        <v>231</v>
      </c>
      <c r="G129" s="318">
        <f>'Calculations- All Data'!F48</f>
        <v>0.55</v>
      </c>
      <c r="H129" s="26"/>
      <c r="I129" s="193"/>
      <c r="J129" s="193"/>
      <c r="K129" s="193"/>
      <c r="L129" s="26"/>
      <c r="M129" s="26"/>
    </row>
    <row r="130" spans="1:13" ht="12.75">
      <c r="A130" s="26"/>
      <c r="B130" s="26"/>
      <c r="C130" s="320" t="s">
        <v>389</v>
      </c>
      <c r="D130" s="136"/>
      <c r="E130" s="324"/>
      <c r="F130" s="324" t="s">
        <v>232</v>
      </c>
      <c r="G130" s="318">
        <f>'Calculations- All Data'!F133</f>
        <v>55.36575000000001</v>
      </c>
      <c r="H130" s="26" t="s">
        <v>185</v>
      </c>
      <c r="I130" s="193"/>
      <c r="J130" s="193"/>
      <c r="K130" s="193"/>
      <c r="L130" s="26"/>
      <c r="M130" s="26"/>
    </row>
    <row r="131" spans="1:13" ht="12.75" customHeight="1">
      <c r="A131" s="109"/>
      <c r="B131" s="26"/>
      <c r="C131" s="320" t="s">
        <v>519</v>
      </c>
      <c r="D131" s="40"/>
      <c r="E131" s="40"/>
      <c r="F131" s="324" t="s">
        <v>233</v>
      </c>
      <c r="G131" s="248">
        <f>'Calculations- All Data'!F134</f>
        <v>16.305821503905165</v>
      </c>
      <c r="H131" s="26" t="s">
        <v>520</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249</v>
      </c>
      <c r="D133" s="267"/>
      <c r="E133" s="267"/>
      <c r="F133" s="324" t="s">
        <v>232</v>
      </c>
      <c r="G133" s="395">
        <f>'Calculations- All Data'!F137</f>
        <v>39.05992849609485</v>
      </c>
      <c r="H133" s="26" t="s">
        <v>185</v>
      </c>
      <c r="I133" s="26"/>
      <c r="J133" s="372"/>
      <c r="K133" s="26"/>
      <c r="L133" s="26"/>
      <c r="M133" s="26"/>
    </row>
    <row r="134" spans="1:13" ht="13.5" thickBot="1">
      <c r="A134" s="109"/>
      <c r="B134" s="26"/>
      <c r="C134" s="267" t="s">
        <v>249</v>
      </c>
      <c r="D134" s="267"/>
      <c r="E134" s="267"/>
      <c r="F134" s="324" t="s">
        <v>232</v>
      </c>
      <c r="G134" s="395">
        <f>'Calculations- All Data'!F136</f>
        <v>156.2397139843794</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37" t="s">
        <v>876</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869</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874</v>
      </c>
      <c r="C141" s="455"/>
      <c r="D141" s="455"/>
      <c r="E141" s="455"/>
      <c r="F141" s="455"/>
      <c r="G141" s="455"/>
      <c r="H141" s="455"/>
      <c r="I141" s="455"/>
      <c r="J141" s="455"/>
      <c r="K141" s="455"/>
      <c r="L141" s="455"/>
      <c r="M141" s="455"/>
    </row>
    <row r="142" spans="1:13" ht="12.75">
      <c r="A142" s="26"/>
      <c r="B142" s="149" t="s">
        <v>870</v>
      </c>
      <c r="C142" s="26"/>
      <c r="D142" s="26"/>
      <c r="E142" s="26"/>
      <c r="F142" s="42"/>
      <c r="G142" s="40"/>
      <c r="H142" s="40"/>
      <c r="I142" s="40"/>
      <c r="J142" s="26"/>
      <c r="K142" s="26"/>
      <c r="L142" s="26"/>
      <c r="M142" s="26"/>
    </row>
    <row r="143" spans="1:13" ht="24" customHeight="1">
      <c r="A143" s="26"/>
      <c r="B143" s="453" t="s">
        <v>516</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311</v>
      </c>
      <c r="B145" s="439"/>
      <c r="C145" s="439"/>
      <c r="D145" s="439"/>
      <c r="E145" s="439"/>
      <c r="F145" s="439"/>
      <c r="G145" s="439"/>
      <c r="H145" s="439"/>
      <c r="I145" s="439"/>
      <c r="J145" s="439"/>
      <c r="K145" s="439"/>
      <c r="L145" s="439"/>
      <c r="M145" s="439"/>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40" t="s">
        <v>156</v>
      </c>
      <c r="G148" s="441"/>
      <c r="H148" s="441"/>
      <c r="I148" s="441"/>
      <c r="J148" s="441"/>
      <c r="K148" s="255"/>
      <c r="L148" s="99"/>
      <c r="M148" s="99"/>
    </row>
    <row r="149" spans="1:13" s="97" customFormat="1" ht="22.5" customHeight="1">
      <c r="A149" s="205"/>
      <c r="B149" s="99"/>
      <c r="C149" s="99"/>
      <c r="D149" s="99"/>
      <c r="E149" s="263" t="s">
        <v>63</v>
      </c>
      <c r="F149" s="440"/>
      <c r="G149" s="441"/>
      <c r="H149" s="441"/>
      <c r="I149" s="441"/>
      <c r="J149" s="441"/>
      <c r="K149" s="256"/>
      <c r="L149" s="99"/>
      <c r="M149" s="99"/>
    </row>
    <row r="150" spans="1:13" s="97" customFormat="1" ht="22.5" customHeight="1">
      <c r="A150" s="205"/>
      <c r="B150" s="99"/>
      <c r="C150" s="99"/>
      <c r="D150" s="99"/>
      <c r="E150" s="263" t="s">
        <v>63</v>
      </c>
      <c r="F150" s="440"/>
      <c r="G150" s="441"/>
      <c r="H150" s="441"/>
      <c r="I150" s="441"/>
      <c r="J150" s="441"/>
      <c r="K150" s="256"/>
      <c r="L150" s="99"/>
      <c r="M150" s="99"/>
    </row>
    <row r="151" spans="1:13" s="97" customFormat="1" ht="22.5" customHeight="1">
      <c r="A151" s="205"/>
      <c r="B151" s="99"/>
      <c r="C151" s="99"/>
      <c r="D151" s="99"/>
      <c r="E151" s="263" t="s">
        <v>63</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4</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40" t="s">
        <v>228</v>
      </c>
      <c r="G155" s="460"/>
      <c r="H155" s="460"/>
      <c r="I155" s="460"/>
      <c r="J155" s="46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40"/>
      <c r="G157" s="441"/>
      <c r="H157" s="441"/>
      <c r="I157" s="441"/>
      <c r="J157" s="442"/>
      <c r="K157" s="256"/>
      <c r="L157" s="99"/>
      <c r="M157" s="99"/>
    </row>
    <row r="158" spans="1:13" s="97" customFormat="1" ht="22.5" customHeight="1">
      <c r="A158" s="205"/>
      <c r="B158" s="443" t="s">
        <v>63</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v>0</v>
      </c>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46.87191419531382</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204</v>
      </c>
      <c r="C168" s="452"/>
      <c r="D168" s="452"/>
      <c r="E168" s="452"/>
      <c r="F168" s="452"/>
      <c r="G168" s="452"/>
      <c r="H168" s="452"/>
      <c r="I168" s="452"/>
      <c r="J168" s="452"/>
      <c r="K168" s="452"/>
      <c r="L168" s="452"/>
      <c r="M168" s="452"/>
    </row>
    <row r="169" spans="1:13" ht="24" customHeight="1">
      <c r="A169" s="26"/>
      <c r="B169" s="437" t="s">
        <v>392</v>
      </c>
      <c r="C169" s="439"/>
      <c r="D169" s="439"/>
      <c r="E169" s="439"/>
      <c r="F169" s="439"/>
      <c r="G169" s="439"/>
      <c r="H169" s="439"/>
      <c r="I169" s="439"/>
      <c r="J169" s="439"/>
      <c r="K169" s="439"/>
      <c r="L169" s="439"/>
      <c r="M169" s="439"/>
    </row>
    <row r="170" spans="1:13" ht="24" customHeight="1">
      <c r="A170" s="26"/>
      <c r="B170" s="437" t="s">
        <v>388</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312</v>
      </c>
      <c r="B172" s="447"/>
      <c r="C172" s="447"/>
      <c r="D172" s="447"/>
      <c r="E172" s="447"/>
      <c r="F172" s="447"/>
      <c r="G172" s="447"/>
      <c r="H172" s="447"/>
      <c r="I172" s="447"/>
      <c r="J172" s="447"/>
      <c r="K172" s="447"/>
      <c r="L172" s="447"/>
      <c r="M172" s="447"/>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46.87191419531382</v>
      </c>
      <c r="H174" s="26" t="s">
        <v>816</v>
      </c>
      <c r="I174" s="26"/>
      <c r="J174" s="26"/>
      <c r="K174" s="26"/>
      <c r="L174" s="26"/>
      <c r="M174" s="26"/>
    </row>
    <row r="175" spans="1:13" ht="14.25" customHeight="1">
      <c r="A175" s="98"/>
      <c r="B175" s="27" t="s">
        <v>236</v>
      </c>
      <c r="C175" s="26"/>
      <c r="D175" s="26"/>
      <c r="E175" s="136"/>
      <c r="F175" s="136" t="s">
        <v>231</v>
      </c>
      <c r="G175" s="319">
        <f>'Calculations- All Data'!F47</f>
        <v>0.93</v>
      </c>
      <c r="H175" s="26"/>
      <c r="I175" s="26"/>
      <c r="J175" s="26"/>
      <c r="K175" s="26"/>
      <c r="L175" s="26"/>
      <c r="M175" s="26"/>
    </row>
    <row r="176" spans="1:13" ht="12.75">
      <c r="A176" s="26"/>
      <c r="B176" s="39" t="s">
        <v>254</v>
      </c>
      <c r="C176" s="26"/>
      <c r="D176" s="26"/>
      <c r="E176" s="26"/>
      <c r="F176" s="136" t="s">
        <v>232</v>
      </c>
      <c r="G176" s="319">
        <f>'Calculations- All Data'!F178</f>
        <v>43.59088020164185</v>
      </c>
      <c r="H176" s="26" t="s">
        <v>816</v>
      </c>
      <c r="I176" s="26"/>
      <c r="J176" s="26"/>
      <c r="K176" s="26"/>
      <c r="L176" s="26"/>
      <c r="M176" s="26"/>
    </row>
    <row r="177" spans="1:13" ht="13.5" thickBot="1">
      <c r="A177" s="26"/>
      <c r="B177" s="26" t="s">
        <v>252</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44</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231</v>
      </c>
      <c r="G180" s="291">
        <f>'Calculations- All Data'!F183</f>
        <v>0.1</v>
      </c>
      <c r="H180" s="26"/>
      <c r="I180" s="26"/>
      <c r="J180" s="26"/>
      <c r="K180" s="26"/>
      <c r="L180" s="26"/>
      <c r="M180" s="26"/>
    </row>
    <row r="181" spans="1:13" ht="15.75" thickBot="1">
      <c r="A181" s="26"/>
      <c r="B181" s="98" t="s">
        <v>251</v>
      </c>
      <c r="C181" s="26"/>
      <c r="D181" s="26"/>
      <c r="E181" s="26"/>
      <c r="F181" s="136" t="s">
        <v>232</v>
      </c>
      <c r="G181" s="135">
        <f>'Calculations- All Data'!F185</f>
        <v>40</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235</v>
      </c>
      <c r="C183" s="438"/>
      <c r="D183" s="438"/>
      <c r="E183" s="438"/>
      <c r="F183" s="438"/>
      <c r="G183" s="438"/>
      <c r="H183" s="438"/>
      <c r="I183" s="438"/>
      <c r="J183" s="438"/>
      <c r="K183" s="438"/>
      <c r="L183" s="438"/>
      <c r="M183" s="438"/>
    </row>
    <row r="184" spans="1:13" ht="23.25" customHeight="1">
      <c r="A184" s="26"/>
      <c r="B184" s="437" t="s">
        <v>153</v>
      </c>
      <c r="C184" s="438"/>
      <c r="D184" s="438"/>
      <c r="E184" s="438"/>
      <c r="F184" s="438"/>
      <c r="G184" s="438"/>
      <c r="H184" s="438"/>
      <c r="I184" s="438"/>
      <c r="J184" s="438"/>
      <c r="K184" s="438"/>
      <c r="L184" s="438"/>
      <c r="M184" s="438"/>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91</v>
      </c>
      <c r="G260" s="5"/>
      <c r="H260" s="5"/>
      <c r="I260" s="5"/>
      <c r="J260" s="5"/>
    </row>
    <row r="261" spans="1:10" ht="12.75">
      <c r="A261" s="84">
        <v>110</v>
      </c>
      <c r="B261" s="7" t="s">
        <v>581</v>
      </c>
      <c r="C261" s="5"/>
      <c r="D261" s="5" t="s">
        <v>630</v>
      </c>
      <c r="E261" s="5" t="s">
        <v>723</v>
      </c>
      <c r="F261" s="160" t="s">
        <v>95</v>
      </c>
      <c r="G261" s="5"/>
      <c r="H261" s="5"/>
      <c r="I261" s="5"/>
      <c r="J261" s="5"/>
    </row>
    <row r="262" spans="1:10" ht="12.75">
      <c r="A262" s="84">
        <v>120</v>
      </c>
      <c r="B262" s="34" t="s">
        <v>424</v>
      </c>
      <c r="C262" s="5"/>
      <c r="D262" s="5" t="s">
        <v>749</v>
      </c>
      <c r="E262" s="5" t="s">
        <v>724</v>
      </c>
      <c r="F262" s="160" t="s">
        <v>93</v>
      </c>
      <c r="G262" s="5"/>
      <c r="H262" s="5"/>
      <c r="I262" s="5"/>
      <c r="J262" s="5"/>
    </row>
    <row r="263" spans="1:10" ht="12.75">
      <c r="A263" s="84">
        <v>140</v>
      </c>
      <c r="B263" s="7" t="s">
        <v>423</v>
      </c>
      <c r="C263" s="5"/>
      <c r="D263" s="5" t="s">
        <v>629</v>
      </c>
      <c r="E263" s="5" t="s">
        <v>725</v>
      </c>
      <c r="F263" s="160" t="s">
        <v>94</v>
      </c>
      <c r="G263" s="5"/>
      <c r="H263" s="5"/>
      <c r="I263" s="5"/>
      <c r="J263" s="5"/>
    </row>
    <row r="264" spans="1:10" ht="12.75">
      <c r="A264" s="4">
        <v>160</v>
      </c>
      <c r="B264" s="7" t="s">
        <v>582</v>
      </c>
      <c r="C264" s="5"/>
      <c r="D264" s="5" t="s">
        <v>631</v>
      </c>
      <c r="E264" s="5" t="s">
        <v>726</v>
      </c>
      <c r="F264" s="160" t="s">
        <v>92</v>
      </c>
      <c r="G264" s="5"/>
      <c r="H264" s="5"/>
      <c r="I264" s="5"/>
      <c r="J264" s="5"/>
    </row>
    <row r="265" spans="1:10" ht="12.75">
      <c r="A265" s="4">
        <v>175</v>
      </c>
      <c r="B265" s="7" t="s">
        <v>583</v>
      </c>
      <c r="C265" s="5"/>
      <c r="D265" s="5" t="s">
        <v>750</v>
      </c>
      <c r="E265" s="5" t="s">
        <v>727</v>
      </c>
      <c r="F265" s="227" t="s">
        <v>89</v>
      </c>
      <c r="G265" s="5"/>
      <c r="H265" s="5"/>
      <c r="I265" s="5"/>
      <c r="J265" s="5"/>
    </row>
    <row r="266" spans="1:10" ht="12.75">
      <c r="A266" s="4">
        <v>180</v>
      </c>
      <c r="B266" s="7" t="s">
        <v>584</v>
      </c>
      <c r="C266" s="5"/>
      <c r="D266" s="5" t="s">
        <v>627</v>
      </c>
      <c r="E266" s="5" t="s">
        <v>728</v>
      </c>
      <c r="F266" s="160" t="s">
        <v>90</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96</v>
      </c>
      <c r="G268" s="5"/>
      <c r="H268" s="5"/>
      <c r="I268" s="5"/>
      <c r="J268" s="5"/>
    </row>
    <row r="269" spans="1:10" ht="12.75">
      <c r="A269" s="4">
        <v>470</v>
      </c>
      <c r="B269" s="7" t="s">
        <v>587</v>
      </c>
      <c r="C269" s="5"/>
      <c r="D269" s="50" t="s">
        <v>52</v>
      </c>
      <c r="E269" s="5" t="s">
        <v>731</v>
      </c>
      <c r="F269" s="160" t="s">
        <v>97</v>
      </c>
      <c r="G269" s="5"/>
      <c r="H269" s="5"/>
      <c r="I269" s="5"/>
      <c r="J269" s="5"/>
    </row>
    <row r="270" spans="1:10" ht="12.75">
      <c r="A270" s="4">
        <v>700</v>
      </c>
      <c r="B270" s="7" t="s">
        <v>588</v>
      </c>
      <c r="C270" s="5"/>
      <c r="D270" s="50" t="s">
        <v>53</v>
      </c>
      <c r="E270" s="5" t="s">
        <v>732</v>
      </c>
      <c r="F270" s="160" t="s">
        <v>98</v>
      </c>
      <c r="G270" s="5"/>
      <c r="H270" s="5"/>
      <c r="I270" s="5"/>
      <c r="J270" s="5"/>
    </row>
    <row r="271" spans="1:10" ht="12.75">
      <c r="A271" s="4">
        <v>710</v>
      </c>
      <c r="B271" s="7" t="s">
        <v>589</v>
      </c>
      <c r="C271" s="5"/>
      <c r="D271" s="22" t="s">
        <v>54</v>
      </c>
      <c r="E271" s="5" t="s">
        <v>733</v>
      </c>
      <c r="F271" s="160" t="s">
        <v>99</v>
      </c>
      <c r="G271" s="5"/>
      <c r="H271" s="5"/>
      <c r="I271" s="5"/>
      <c r="J271" s="5"/>
    </row>
    <row r="272" spans="1:10" ht="12.75">
      <c r="A272" s="4">
        <v>720</v>
      </c>
      <c r="B272" s="7" t="s">
        <v>590</v>
      </c>
      <c r="C272" s="5"/>
      <c r="D272" s="5"/>
      <c r="E272" s="5" t="s">
        <v>734</v>
      </c>
      <c r="F272" s="227" t="s">
        <v>100</v>
      </c>
      <c r="G272" s="5"/>
      <c r="H272" s="5"/>
      <c r="I272" s="5"/>
      <c r="J272" s="5"/>
    </row>
    <row r="273" spans="1:10" ht="12.75">
      <c r="A273" s="4">
        <v>730</v>
      </c>
      <c r="B273" s="7" t="s">
        <v>591</v>
      </c>
      <c r="C273" s="5"/>
      <c r="D273" s="5"/>
      <c r="E273" s="5" t="s">
        <v>735</v>
      </c>
      <c r="F273" s="227" t="s">
        <v>101</v>
      </c>
      <c r="G273" s="5"/>
      <c r="H273" s="5"/>
      <c r="I273" s="5"/>
      <c r="J273" s="5"/>
    </row>
    <row r="274" spans="1:10" ht="12.75">
      <c r="A274" s="4">
        <v>740</v>
      </c>
      <c r="B274" s="7" t="s">
        <v>66</v>
      </c>
      <c r="C274" s="5"/>
      <c r="D274" s="5"/>
      <c r="E274" s="5" t="s">
        <v>736</v>
      </c>
      <c r="F274" s="227" t="s">
        <v>106</v>
      </c>
      <c r="G274" s="5"/>
      <c r="H274" s="5"/>
      <c r="I274" s="5"/>
      <c r="J274" s="5"/>
    </row>
    <row r="275" spans="1:10" ht="12.75">
      <c r="A275" s="4">
        <v>750</v>
      </c>
      <c r="B275" s="7" t="s">
        <v>67</v>
      </c>
      <c r="C275" s="5"/>
      <c r="D275" s="5"/>
      <c r="E275" s="5" t="s">
        <v>737</v>
      </c>
      <c r="F275" s="160" t="s">
        <v>102</v>
      </c>
      <c r="G275" s="5"/>
      <c r="H275" s="5"/>
      <c r="I275" s="5"/>
      <c r="J275" s="5"/>
    </row>
    <row r="276" spans="1:10" ht="12.75">
      <c r="A276" s="4">
        <v>800</v>
      </c>
      <c r="B276" s="7" t="s">
        <v>592</v>
      </c>
      <c r="C276" s="5"/>
      <c r="D276" s="5"/>
      <c r="E276" s="5" t="s">
        <v>738</v>
      </c>
      <c r="F276" s="160" t="s">
        <v>103</v>
      </c>
      <c r="G276" s="5"/>
      <c r="H276" s="5"/>
      <c r="I276" s="5"/>
      <c r="J276" s="5"/>
    </row>
    <row r="277" spans="1:10" ht="12.75">
      <c r="A277" s="5"/>
      <c r="B277" s="7" t="s">
        <v>593</v>
      </c>
      <c r="C277" s="5"/>
      <c r="D277" s="5"/>
      <c r="E277" s="5" t="s">
        <v>739</v>
      </c>
      <c r="F277" s="160" t="s">
        <v>104</v>
      </c>
      <c r="G277" s="5"/>
      <c r="H277" s="5"/>
      <c r="I277" s="5"/>
      <c r="J277" s="5"/>
    </row>
    <row r="278" spans="1:10" ht="12.75">
      <c r="A278" s="5"/>
      <c r="B278" s="7" t="s">
        <v>594</v>
      </c>
      <c r="C278" s="5"/>
      <c r="D278" s="5"/>
      <c r="E278" s="5" t="s">
        <v>740</v>
      </c>
      <c r="F278" s="160" t="s">
        <v>105</v>
      </c>
      <c r="G278" s="5"/>
      <c r="H278" s="5"/>
      <c r="I278" s="5"/>
      <c r="J278" s="5"/>
    </row>
    <row r="279" spans="1:10" ht="12.75">
      <c r="A279" s="5"/>
      <c r="B279" s="7" t="s">
        <v>595</v>
      </c>
      <c r="C279" s="5"/>
      <c r="D279" s="5"/>
      <c r="E279" s="5" t="s">
        <v>741</v>
      </c>
      <c r="F279" s="312" t="s">
        <v>513</v>
      </c>
      <c r="G279" s="5"/>
      <c r="H279" s="5"/>
      <c r="I279" s="5"/>
      <c r="J279" s="5"/>
    </row>
    <row r="280" spans="1:10" ht="12.75">
      <c r="A280" s="5"/>
      <c r="B280" s="7" t="s">
        <v>68</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69</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79</v>
      </c>
      <c r="C292" s="5"/>
      <c r="D292" s="5"/>
      <c r="E292" s="5" t="s">
        <v>642</v>
      </c>
      <c r="F292" s="5"/>
      <c r="G292" s="5"/>
      <c r="H292" s="5"/>
      <c r="I292" s="5"/>
      <c r="J292" s="5"/>
    </row>
    <row r="293" spans="1:10" ht="12.75">
      <c r="A293" s="5"/>
      <c r="B293" s="11" t="s">
        <v>70</v>
      </c>
      <c r="C293" s="5"/>
      <c r="D293" s="5"/>
      <c r="E293" s="5" t="s">
        <v>643</v>
      </c>
      <c r="F293" s="5"/>
      <c r="G293" s="5"/>
      <c r="H293" s="5"/>
      <c r="I293" s="5"/>
      <c r="J293" s="5"/>
    </row>
    <row r="294" spans="1:10" ht="12.75">
      <c r="A294" s="5"/>
      <c r="B294" s="11" t="s">
        <v>71</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72</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73</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74</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125</v>
      </c>
      <c r="C369" s="5"/>
      <c r="D369" s="5"/>
      <c r="E369" s="5" t="s">
        <v>719</v>
      </c>
      <c r="F369" s="5"/>
      <c r="G369" s="5"/>
      <c r="H369" s="5"/>
      <c r="I369" s="5"/>
      <c r="J369" s="5"/>
    </row>
    <row r="370" spans="1:10" ht="12.75">
      <c r="A370" s="5"/>
      <c r="B370" s="227" t="s">
        <v>126</v>
      </c>
      <c r="C370" s="5"/>
      <c r="D370" s="5"/>
      <c r="E370" s="5" t="s">
        <v>720</v>
      </c>
      <c r="F370" s="5"/>
      <c r="G370" s="5"/>
      <c r="H370" s="5"/>
      <c r="I370" s="5"/>
      <c r="J370" s="5"/>
    </row>
    <row r="371" spans="1:10" ht="12.75">
      <c r="A371" s="5"/>
      <c r="B371" s="160" t="s">
        <v>127</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39:E39"/>
    <mergeCell ref="B40:E40"/>
    <mergeCell ref="F59:H59"/>
    <mergeCell ref="B31:M32"/>
    <mergeCell ref="J54:L54"/>
    <mergeCell ref="A46:M46"/>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B38:E38"/>
    <mergeCell ref="G38:L38"/>
    <mergeCell ref="G41:L41"/>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878</v>
      </c>
      <c r="B1" s="496"/>
      <c r="C1" s="496"/>
      <c r="D1" s="496"/>
      <c r="E1" s="496"/>
      <c r="F1" s="496"/>
      <c r="G1" s="496"/>
      <c r="H1" s="496"/>
      <c r="I1" s="496"/>
      <c r="J1" s="496"/>
      <c r="K1" s="496"/>
      <c r="L1" s="496"/>
      <c r="M1" s="496"/>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36">
        <f>'CREDIT CALCULATION FORM'!F6:I6</f>
        <v>42408</v>
      </c>
      <c r="G4" s="537"/>
      <c r="H4" s="537"/>
      <c r="I4" s="538"/>
      <c r="J4" s="317"/>
      <c r="K4" s="317"/>
      <c r="L4" s="317"/>
      <c r="M4" s="317"/>
    </row>
    <row r="5" spans="1:13" ht="12.75">
      <c r="A5" s="317"/>
      <c r="B5" s="317"/>
      <c r="C5" s="317"/>
      <c r="D5" s="317" t="s">
        <v>216</v>
      </c>
      <c r="E5" s="317"/>
      <c r="F5" s="539" t="str">
        <f>'CREDIT CALCULATION FORM'!F7:K7</f>
        <v>Ulmer T 3563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43" t="str">
        <f>'CREDIT CALCULATION FORM'!F10:I10</f>
        <v>Rod Morehart</v>
      </c>
      <c r="G8" s="544"/>
      <c r="H8" s="544"/>
      <c r="I8" s="545"/>
      <c r="J8" s="110"/>
      <c r="K8" s="110"/>
      <c r="L8" s="110"/>
      <c r="M8" s="110"/>
    </row>
    <row r="9" spans="1:13" ht="12.75">
      <c r="A9" s="116"/>
      <c r="B9" s="110"/>
      <c r="C9" s="110"/>
      <c r="D9" s="110" t="s">
        <v>38</v>
      </c>
      <c r="E9" s="110"/>
      <c r="F9" s="546" t="str">
        <f>'CREDIT CALCULATION FORM'!F11:K11</f>
        <v>Lycoming County Conservation District</v>
      </c>
      <c r="G9" s="546"/>
      <c r="H9" s="546"/>
      <c r="I9" s="546"/>
      <c r="J9" s="547"/>
      <c r="K9" s="547"/>
      <c r="L9" s="110"/>
      <c r="M9" s="110"/>
    </row>
    <row r="10" spans="1:13" ht="12.75">
      <c r="A10" s="116"/>
      <c r="B10" s="110"/>
      <c r="C10" s="110"/>
      <c r="D10" s="110" t="s">
        <v>39</v>
      </c>
      <c r="E10" s="110"/>
      <c r="F10" s="546" t="str">
        <f>'CREDIT CALCULATION FORM'!F12:I12</f>
        <v>570-329-1619</v>
      </c>
      <c r="G10" s="546"/>
      <c r="H10" s="546"/>
      <c r="I10" s="546"/>
      <c r="J10" s="159"/>
      <c r="K10" s="159"/>
      <c r="L10" s="110"/>
      <c r="M10" s="110"/>
    </row>
    <row r="11" spans="1:13" ht="12.75">
      <c r="A11" s="116"/>
      <c r="B11" s="110"/>
      <c r="C11" s="110"/>
      <c r="D11" s="110" t="s">
        <v>196</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1" t="s">
        <v>129</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537</v>
      </c>
      <c r="B20" s="117" t="s">
        <v>539</v>
      </c>
      <c r="C20" s="110"/>
      <c r="D20" s="114"/>
      <c r="E20" s="117"/>
      <c r="F20" s="523" t="str">
        <f>'CREDIT CALCULATION FORM'!F22</f>
        <v>County Conservation District</v>
      </c>
      <c r="G20" s="524"/>
      <c r="H20" s="524"/>
      <c r="I20" s="525"/>
      <c r="J20" s="115"/>
      <c r="K20" s="114"/>
      <c r="L20" s="110"/>
      <c r="M20" s="110"/>
    </row>
    <row r="21" spans="1:13" ht="12.75">
      <c r="A21" s="118"/>
      <c r="B21" s="119"/>
      <c r="C21" s="110" t="s">
        <v>538</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0">
        <f>'CREDIT CALCULATION FORM'!F28</f>
        <v>0</v>
      </c>
      <c r="G27" s="507"/>
      <c r="H27" s="507"/>
      <c r="I27" s="508"/>
      <c r="J27" s="122"/>
      <c r="K27" s="122"/>
      <c r="L27" s="122"/>
      <c r="M27" s="110"/>
    </row>
    <row r="28" spans="1:13" ht="12.75">
      <c r="A28" s="116"/>
      <c r="B28" s="122"/>
      <c r="C28" s="122" t="s">
        <v>509</v>
      </c>
      <c r="D28" s="122"/>
      <c r="E28" s="122"/>
      <c r="F28" s="101">
        <f>'CREDIT CALCULATION FORM'!F29</f>
        <v>0</v>
      </c>
      <c r="G28" s="194" t="s">
        <v>158</v>
      </c>
      <c r="H28" s="194"/>
      <c r="I28" s="194"/>
      <c r="J28" s="122"/>
      <c r="K28" s="122"/>
      <c r="L28" s="122"/>
      <c r="M28" s="110"/>
    </row>
    <row r="29" spans="1:13" ht="12.75">
      <c r="A29" s="116"/>
      <c r="B29" s="122"/>
      <c r="C29" s="122" t="s">
        <v>505</v>
      </c>
      <c r="D29" s="122"/>
      <c r="E29" s="122"/>
      <c r="F29" s="512" t="str">
        <f>CONCATENATE(F46,F27)</f>
        <v>600</v>
      </c>
      <c r="G29" s="503"/>
      <c r="H29" s="503"/>
      <c r="I29" s="504"/>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145</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0</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506" t="s">
        <v>548</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549</v>
      </c>
      <c r="C43" s="506"/>
      <c r="D43" s="506"/>
      <c r="E43" s="506"/>
      <c r="F43" s="147">
        <f>'CREDIT CALCULATION FORM'!G39</f>
        <v>4</v>
      </c>
      <c r="G43" s="122"/>
      <c r="H43" s="122"/>
      <c r="I43" s="122"/>
      <c r="J43" s="120"/>
      <c r="K43" s="120"/>
      <c r="L43" s="110"/>
      <c r="M43" s="110"/>
    </row>
    <row r="44" spans="1:13" ht="12.75">
      <c r="A44" s="110"/>
      <c r="B44" s="506" t="s">
        <v>550</v>
      </c>
      <c r="C44" s="506"/>
      <c r="D44" s="506"/>
      <c r="E44" s="506"/>
      <c r="F44" s="215">
        <f>'CREDIT CALCULATION FORM'!G40</f>
        <v>150</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785</v>
      </c>
      <c r="C46" s="506"/>
      <c r="D46" s="506"/>
      <c r="E46" s="506"/>
      <c r="F46" s="331">
        <f>'CREDIT CALCULATION FORM'!G42</f>
        <v>60</v>
      </c>
      <c r="G46" s="127"/>
      <c r="H46" s="120"/>
      <c r="I46" s="120"/>
      <c r="J46" s="120"/>
      <c r="K46" s="120"/>
      <c r="L46" s="110"/>
      <c r="M46" s="110"/>
    </row>
    <row r="47" spans="1:13" ht="12.75">
      <c r="A47" s="123"/>
      <c r="B47" s="125"/>
      <c r="C47" s="506" t="s">
        <v>245</v>
      </c>
      <c r="D47" s="506"/>
      <c r="E47" s="506"/>
      <c r="F47" s="103">
        <f>VLOOKUP(F46,'BMPs and Bay Model Data'!A4:D30,4,FALSE)</f>
        <v>0.93</v>
      </c>
      <c r="G47" s="120"/>
      <c r="H47" s="120"/>
      <c r="I47" s="120"/>
      <c r="J47" s="120"/>
      <c r="K47" s="120"/>
      <c r="L47" s="110"/>
      <c r="M47" s="110"/>
    </row>
    <row r="48" spans="1:13" ht="12.75">
      <c r="A48" s="123"/>
      <c r="B48" s="125"/>
      <c r="C48" s="506" t="s">
        <v>246</v>
      </c>
      <c r="D48" s="506"/>
      <c r="E48" s="506"/>
      <c r="F48" s="103">
        <f>VLOOKUP(F46,'BMPs and Bay Model Data'!A4:E30,5,FALSE)</f>
        <v>0.55</v>
      </c>
      <c r="G48" s="127"/>
      <c r="H48" s="120"/>
      <c r="I48" s="120"/>
      <c r="J48" s="120"/>
      <c r="K48" s="120"/>
      <c r="L48" s="110"/>
      <c r="M48" s="110"/>
    </row>
    <row r="49" spans="1:13" ht="12.75">
      <c r="A49" s="110"/>
      <c r="B49" s="110"/>
      <c r="C49" s="110" t="s">
        <v>396</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70</v>
      </c>
      <c r="G56" s="117" t="s">
        <v>786</v>
      </c>
      <c r="H56" s="117"/>
      <c r="I56" s="117"/>
      <c r="J56" s="101">
        <f>'CREDIT CALCULATION FORM'!J50</f>
        <v>70</v>
      </c>
      <c r="K56" s="117" t="s">
        <v>786</v>
      </c>
      <c r="L56" s="117"/>
      <c r="M56" s="110"/>
    </row>
    <row r="57" spans="1:13" ht="12.75">
      <c r="A57" s="110"/>
      <c r="B57" s="131" t="s">
        <v>140</v>
      </c>
      <c r="C57" s="119"/>
      <c r="D57" s="116"/>
      <c r="E57" s="110"/>
      <c r="F57" s="247">
        <f>F56</f>
        <v>70</v>
      </c>
      <c r="G57" s="119" t="s">
        <v>786</v>
      </c>
      <c r="H57" s="117"/>
      <c r="I57" s="117"/>
      <c r="J57" s="247">
        <f>J56</f>
        <v>70</v>
      </c>
      <c r="K57" s="119" t="s">
        <v>786</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0" t="str">
        <f>'CREDIT CALCULATION FORM'!F54:I54</f>
        <v>Spring or summer</v>
      </c>
      <c r="G60" s="501"/>
      <c r="H60" s="501"/>
      <c r="I60" s="189"/>
      <c r="J60" s="500" t="str">
        <f>'CREDIT CALCULATION FORM'!J54:M54</f>
        <v>Spring or summer</v>
      </c>
      <c r="K60" s="507"/>
      <c r="L60" s="508"/>
      <c r="M60" s="110"/>
    </row>
    <row r="61" spans="1:13" ht="12.75">
      <c r="A61" s="110"/>
      <c r="B61" s="117"/>
      <c r="C61" s="119" t="s">
        <v>633</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793</v>
      </c>
      <c r="D62" s="110"/>
      <c r="E62" s="110"/>
      <c r="F62" s="101" t="str">
        <f>'CREDIT CALCULATION FORM'!F56</f>
        <v>No</v>
      </c>
      <c r="G62" s="119"/>
      <c r="H62" s="117"/>
      <c r="I62" s="117"/>
      <c r="J62" s="101" t="str">
        <f>'CREDIT CALCULATION FORM'!J56</f>
        <v>No</v>
      </c>
      <c r="K62" s="119"/>
      <c r="L62" s="117"/>
      <c r="M62" s="110"/>
    </row>
    <row r="63" spans="1:13" ht="12.75">
      <c r="A63" s="110"/>
      <c r="B63" s="117"/>
      <c r="C63" s="119" t="s">
        <v>791</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794</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534</v>
      </c>
      <c r="D65" s="110"/>
      <c r="E65" s="110"/>
      <c r="F65" s="101">
        <f>'CREDIT CALCULATION FORM'!F58</f>
        <v>3.2</v>
      </c>
      <c r="G65" s="117" t="str">
        <f>'CREDIT CALCULATION FORM'!G58</f>
        <v>1000 gallons/ac</v>
      </c>
      <c r="H65" s="117"/>
      <c r="I65" s="117"/>
      <c r="J65" s="101">
        <f>'CREDIT CALCULATION FORM'!J58</f>
        <v>3.2</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Incorporation within 7 days</v>
      </c>
      <c r="G66" s="501"/>
      <c r="H66" s="501"/>
      <c r="I66" s="189"/>
      <c r="J66" s="500" t="str">
        <f>'CREDIT CALCULATION FORM'!J59:M59</f>
        <v>Incorporation within 7 days</v>
      </c>
      <c r="K66" s="501"/>
      <c r="L66" s="513"/>
      <c r="M66" s="110"/>
    </row>
    <row r="67" spans="1:13" ht="12.75">
      <c r="A67" s="110"/>
      <c r="B67" s="117"/>
      <c r="C67" s="119"/>
      <c r="D67" s="110" t="s">
        <v>809</v>
      </c>
      <c r="E67" s="110"/>
      <c r="F67" s="512" t="str">
        <f>CONCATENATE(F60,F66)</f>
        <v>Spring or summerIncorporation within 7 days</v>
      </c>
      <c r="G67" s="501"/>
      <c r="H67" s="501"/>
      <c r="I67" s="189"/>
      <c r="J67" s="512" t="str">
        <f>CONCATENATE(J60,J66)</f>
        <v>Spring or summerIncorporation within 7 days</v>
      </c>
      <c r="K67" s="501"/>
      <c r="L67" s="513"/>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89.60000000000001</v>
      </c>
      <c r="G69" s="117" t="s">
        <v>786</v>
      </c>
      <c r="H69" s="117"/>
      <c r="I69" s="117"/>
      <c r="J69" s="247">
        <f>IF(J62="Yes",J65*J63,J65*J64)</f>
        <v>89.60000000000001</v>
      </c>
      <c r="K69" s="117" t="s">
        <v>786</v>
      </c>
      <c r="L69" s="117"/>
      <c r="M69" s="110"/>
    </row>
    <row r="70" spans="1:13" ht="12.75">
      <c r="A70" s="110"/>
      <c r="B70" s="131" t="s">
        <v>139</v>
      </c>
      <c r="C70" s="119"/>
      <c r="D70" s="116"/>
      <c r="E70" s="110"/>
      <c r="F70" s="247">
        <f>F68*F69</f>
        <v>17.92</v>
      </c>
      <c r="G70" s="119" t="s">
        <v>786</v>
      </c>
      <c r="H70" s="117"/>
      <c r="I70" s="117"/>
      <c r="J70" s="247">
        <f>J68*J69</f>
        <v>17.92</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633</v>
      </c>
      <c r="D74" s="110"/>
      <c r="E74" s="110"/>
      <c r="F74" s="509">
        <f>'CREDIT CALCULATION FORM'!F65</f>
        <v>0</v>
      </c>
      <c r="G74" s="510"/>
      <c r="H74" s="510"/>
      <c r="I74" s="189"/>
      <c r="J74" s="509">
        <f>'CREDIT CALCULATION FORM'!J65</f>
        <v>0</v>
      </c>
      <c r="K74" s="510"/>
      <c r="L74" s="511"/>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809</v>
      </c>
      <c r="E80" s="110"/>
      <c r="F80" s="512" t="str">
        <f>CONCATENATE(F73,F79)</f>
        <v>00</v>
      </c>
      <c r="G80" s="501"/>
      <c r="H80" s="501"/>
      <c r="I80" s="189"/>
      <c r="J80" s="512" t="str">
        <f>CONCATENATE(J73,J79)</f>
        <v>00</v>
      </c>
      <c r="K80" s="501"/>
      <c r="L80" s="513"/>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786</v>
      </c>
      <c r="H82" s="117"/>
      <c r="I82" s="117"/>
      <c r="J82" s="247">
        <f>IF(J75="Yes",J78*J76,J78*J77)</f>
        <v>0</v>
      </c>
      <c r="K82" s="117" t="s">
        <v>786</v>
      </c>
      <c r="L82" s="117"/>
      <c r="M82" s="110"/>
    </row>
    <row r="83" spans="1:13" ht="12.75">
      <c r="A83" s="110"/>
      <c r="B83" s="131" t="s">
        <v>138</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633</v>
      </c>
      <c r="D87" s="110"/>
      <c r="E87" s="110"/>
      <c r="F87" s="509">
        <f>'CREDIT CALCULATION FORM'!F76</f>
        <v>0</v>
      </c>
      <c r="G87" s="510"/>
      <c r="H87" s="510"/>
      <c r="I87" s="189"/>
      <c r="J87" s="509">
        <f>'CREDIT CALCULATION FORM'!J76</f>
        <v>0</v>
      </c>
      <c r="K87" s="510"/>
      <c r="L87" s="511"/>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809</v>
      </c>
      <c r="E93" s="110"/>
      <c r="F93" s="512" t="str">
        <f>CONCATENATE(F86,F92)</f>
        <v>00</v>
      </c>
      <c r="G93" s="501"/>
      <c r="H93" s="501"/>
      <c r="I93" s="189"/>
      <c r="J93" s="512" t="str">
        <f>CONCATENATE(J86,J92)</f>
        <v>00</v>
      </c>
      <c r="K93" s="501"/>
      <c r="L93" s="513"/>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786</v>
      </c>
      <c r="H95" s="117"/>
      <c r="I95" s="117"/>
      <c r="J95" s="247">
        <f>IF(J88="Yes",J91*J89,J91*J90)</f>
        <v>0</v>
      </c>
      <c r="K95" s="117" t="s">
        <v>786</v>
      </c>
      <c r="L95" s="117"/>
      <c r="M95" s="110"/>
    </row>
    <row r="96" spans="1:13" ht="12.75">
      <c r="A96" s="110"/>
      <c r="B96" s="131" t="s">
        <v>137</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159.60000000000002</v>
      </c>
      <c r="G98" s="119" t="s">
        <v>786</v>
      </c>
      <c r="H98" s="191" t="s">
        <v>532</v>
      </c>
      <c r="I98" s="117"/>
      <c r="J98" s="402">
        <f>IF(SUM(J57,J69,J82,J95)=0,F98,SUM(J57,J82,J69,J95))</f>
        <v>159.60000000000002</v>
      </c>
      <c r="K98" s="110" t="s">
        <v>786</v>
      </c>
      <c r="L98" s="110"/>
      <c r="M98" s="110"/>
    </row>
    <row r="99" spans="1:13" ht="13.5" thickBot="1">
      <c r="A99" s="110"/>
      <c r="B99" s="116" t="s">
        <v>149</v>
      </c>
      <c r="C99" s="119"/>
      <c r="D99" s="110"/>
      <c r="E99" s="110"/>
      <c r="F99" s="402">
        <f>SUM(F96,F83,F70,F57)</f>
        <v>87.92</v>
      </c>
      <c r="G99" s="119" t="s">
        <v>786</v>
      </c>
      <c r="H99" s="191" t="s">
        <v>532</v>
      </c>
      <c r="I99" s="191"/>
      <c r="J99" s="402">
        <f>IF(SUM(J96,J83,J70,J57)=0,F99,SUM(J96,J83,J70,J57))</f>
        <v>87.92</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19</v>
      </c>
      <c r="E104" s="110"/>
      <c r="F104" s="139">
        <f>VLOOKUP(F103,'Data Tables'!A126:B129,2,FALSE)</f>
        <v>20</v>
      </c>
      <c r="G104" s="119" t="s">
        <v>786</v>
      </c>
      <c r="H104" s="130"/>
      <c r="I104" s="117"/>
      <c r="J104" s="110"/>
      <c r="K104" s="110"/>
      <c r="L104" s="110"/>
      <c r="M104" s="110"/>
    </row>
    <row r="105" spans="1:13" ht="12.75">
      <c r="A105" s="110"/>
      <c r="B105" s="117" t="s">
        <v>815</v>
      </c>
      <c r="C105" s="110"/>
      <c r="D105" s="110"/>
      <c r="E105" s="110"/>
      <c r="F105" s="517" t="str">
        <f>'CREDIT CALCULATION FORM'!F101</f>
        <v>Soybeans </v>
      </c>
      <c r="G105" s="518"/>
      <c r="H105" s="518"/>
      <c r="I105" s="519"/>
      <c r="J105" s="110"/>
      <c r="K105" s="110"/>
      <c r="L105" s="110"/>
      <c r="M105" s="110"/>
    </row>
    <row r="106" spans="1:13" ht="12.75">
      <c r="A106" s="110"/>
      <c r="B106" s="117"/>
      <c r="C106" s="110" t="s">
        <v>85</v>
      </c>
      <c r="D106" s="110"/>
      <c r="E106" s="110"/>
      <c r="F106" s="461" t="str">
        <f>'CREDIT CALCULATION FORM'!F102</f>
        <v>Leck Kill </v>
      </c>
      <c r="G106" s="501"/>
      <c r="H106" s="501"/>
      <c r="I106" s="513"/>
      <c r="J106" s="110"/>
      <c r="K106" s="110"/>
      <c r="L106" s="110"/>
      <c r="M106" s="110"/>
    </row>
    <row r="107" spans="1:13" ht="12.75">
      <c r="A107" s="110"/>
      <c r="B107" s="117"/>
      <c r="C107" s="110" t="s">
        <v>86</v>
      </c>
      <c r="D107" s="110"/>
      <c r="E107" s="110"/>
      <c r="F107" s="218">
        <f>VLOOKUP(F106,'Data Tables'!A133:B245,2,FALSE)</f>
        <v>2</v>
      </c>
      <c r="G107" s="217"/>
      <c r="H107" s="217"/>
      <c r="I107" s="217"/>
      <c r="J107" s="110"/>
      <c r="K107" s="110"/>
      <c r="L107" s="110"/>
      <c r="M107" s="110"/>
    </row>
    <row r="108" spans="1:13" ht="12.75">
      <c r="A108" s="110"/>
      <c r="B108" s="117"/>
      <c r="C108" s="119" t="s">
        <v>11</v>
      </c>
      <c r="D108" s="110"/>
      <c r="E108" s="110"/>
      <c r="F108" s="215">
        <f>'CREDIT CALCULATION FORM'!F103</f>
        <v>40</v>
      </c>
      <c r="G108" s="119" t="s">
        <v>226</v>
      </c>
      <c r="H108" s="117"/>
      <c r="I108" s="117"/>
      <c r="J108" s="110"/>
      <c r="K108" s="110"/>
      <c r="L108" s="110"/>
      <c r="M108" s="110"/>
    </row>
    <row r="109" spans="1:13" ht="12.75">
      <c r="A109" s="110"/>
      <c r="B109" s="117"/>
      <c r="C109" s="119" t="s">
        <v>87</v>
      </c>
      <c r="D109" s="110"/>
      <c r="E109" s="110"/>
      <c r="F109" s="512" t="str">
        <f>CONCATENATE(F105,F107)</f>
        <v>Soybeans 2</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60</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147.92000000000002</v>
      </c>
      <c r="G117" s="117" t="s">
        <v>786</v>
      </c>
      <c r="H117" s="117"/>
      <c r="I117" s="117"/>
      <c r="J117" s="110"/>
      <c r="K117" s="110"/>
      <c r="L117" s="110"/>
      <c r="M117" s="110"/>
    </row>
    <row r="118" spans="1:15" ht="12.75" customHeight="1" thickBot="1">
      <c r="A118" s="110"/>
      <c r="B118" s="110"/>
      <c r="C118" s="278" t="s">
        <v>147</v>
      </c>
      <c r="D118" s="278"/>
      <c r="E118" s="278"/>
      <c r="F118" s="389">
        <f>F111+J99</f>
        <v>147.92000000000002</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786</v>
      </c>
      <c r="H123" s="122"/>
      <c r="I123" s="122"/>
      <c r="J123" s="110"/>
      <c r="K123" s="110"/>
      <c r="L123" s="110"/>
      <c r="M123" s="110"/>
    </row>
    <row r="124" spans="1:13" ht="12.75">
      <c r="A124" s="110"/>
      <c r="B124" s="110"/>
      <c r="C124" s="131" t="s">
        <v>152</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208</v>
      </c>
      <c r="D125" s="110"/>
      <c r="E125" s="110"/>
      <c r="F125" s="248">
        <f>F124*F43</f>
        <v>0</v>
      </c>
      <c r="G125" s="110" t="s">
        <v>816</v>
      </c>
      <c r="H125" s="110"/>
      <c r="I125" s="129"/>
      <c r="J125" s="110"/>
      <c r="K125" s="110"/>
      <c r="L125" s="110"/>
      <c r="M125" s="110"/>
    </row>
    <row r="126" spans="1:13" ht="13.5" thickBot="1">
      <c r="A126" s="110"/>
      <c r="B126" s="110"/>
      <c r="C126" s="116" t="s">
        <v>209</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219.60000000000002</v>
      </c>
      <c r="G129" s="124" t="s">
        <v>786</v>
      </c>
      <c r="H129" s="122"/>
      <c r="I129" s="122"/>
      <c r="J129" s="120"/>
      <c r="K129" s="120"/>
      <c r="L129" s="110"/>
      <c r="M129" s="110"/>
    </row>
    <row r="130" spans="1:13" ht="12.75">
      <c r="A130" s="110"/>
      <c r="B130" s="124" t="s">
        <v>201</v>
      </c>
      <c r="C130" s="110"/>
      <c r="D130" s="124"/>
      <c r="E130" s="124"/>
      <c r="F130" s="424">
        <f>VLOOKUP(F40,'Data Tables'!A4:D78,4,FALSE)*F44</f>
        <v>118.935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100.66500000000002</v>
      </c>
      <c r="G132" s="119" t="s">
        <v>786</v>
      </c>
      <c r="H132" s="129"/>
      <c r="I132" s="110"/>
      <c r="J132" s="110"/>
      <c r="K132" s="110"/>
      <c r="L132" s="110"/>
      <c r="M132" s="110"/>
    </row>
    <row r="133" spans="1:13" ht="12.75" customHeight="1">
      <c r="A133" s="110"/>
      <c r="B133" s="278" t="s">
        <v>510</v>
      </c>
      <c r="C133" s="117"/>
      <c r="D133" s="117"/>
      <c r="E133" s="110"/>
      <c r="F133" s="248">
        <f>F132*F48</f>
        <v>55.36575000000001</v>
      </c>
      <c r="G133" s="119" t="s">
        <v>786</v>
      </c>
      <c r="H133" s="129"/>
      <c r="I133" s="110"/>
      <c r="J133" s="110"/>
      <c r="K133" s="110"/>
      <c r="L133" s="110"/>
      <c r="M133" s="110"/>
    </row>
    <row r="134" spans="1:13" ht="12.75" customHeight="1">
      <c r="A134" s="110"/>
      <c r="B134" s="117" t="s">
        <v>263</v>
      </c>
      <c r="C134" s="117"/>
      <c r="D134" s="117"/>
      <c r="E134" s="110"/>
      <c r="F134" s="248">
        <f>F133-(F133*(1-K45)*(1-L45))</f>
        <v>16.305821503905165</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206</v>
      </c>
      <c r="C136" s="117"/>
      <c r="D136" s="117"/>
      <c r="E136" s="110"/>
      <c r="F136" s="371">
        <f>(F133-F134-F135)*F43</f>
        <v>156.2397139843794</v>
      </c>
      <c r="G136" s="119" t="s">
        <v>816</v>
      </c>
      <c r="H136" s="129"/>
      <c r="I136" s="110"/>
      <c r="J136" s="110"/>
      <c r="K136" s="110"/>
      <c r="L136" s="110"/>
      <c r="M136" s="110"/>
    </row>
    <row r="137" spans="1:13" ht="12.75" customHeight="1">
      <c r="A137" s="110"/>
      <c r="B137" s="131" t="s">
        <v>207</v>
      </c>
      <c r="C137" s="119"/>
      <c r="D137" s="110"/>
      <c r="E137" s="110"/>
      <c r="F137" s="403">
        <f>IF(F43=0,"0",F136/F43)</f>
        <v>39.05992849609485</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12</v>
      </c>
      <c r="C143" s="122" t="s">
        <v>174</v>
      </c>
      <c r="D143" s="110"/>
      <c r="E143" s="115"/>
      <c r="F143" s="110"/>
      <c r="G143" s="530" t="s">
        <v>500</v>
      </c>
      <c r="H143" s="499"/>
      <c r="I143" s="499"/>
      <c r="J143" s="499"/>
      <c r="K143" s="366" t="s">
        <v>499</v>
      </c>
      <c r="L143" s="110" t="s">
        <v>65</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CropLate-Planting - Up to 7 days after published first frost date</v>
      </c>
      <c r="H144" s="501"/>
      <c r="I144" s="501"/>
      <c r="J144" s="513"/>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4</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46.87191419531382</v>
      </c>
      <c r="G153" s="120" t="s">
        <v>816</v>
      </c>
      <c r="H153" s="122"/>
      <c r="I153" s="211"/>
      <c r="J153" s="254"/>
      <c r="K153" s="254"/>
      <c r="L153" s="120"/>
      <c r="M153" s="120"/>
    </row>
    <row r="154" spans="1:13" ht="12.75">
      <c r="A154" s="110"/>
      <c r="B154" s="110"/>
      <c r="C154" s="110"/>
      <c r="D154" s="141" t="s">
        <v>186</v>
      </c>
      <c r="E154" s="212"/>
      <c r="F154" s="281">
        <f>IF(F43=0,"0",(F136-F153)/F43)</f>
        <v>27.341949947266393</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181</v>
      </c>
      <c r="M155" s="120"/>
    </row>
    <row r="156" spans="1:13" ht="12.75">
      <c r="A156" s="110"/>
      <c r="B156" s="110" t="s">
        <v>13</v>
      </c>
      <c r="C156" s="110" t="s">
        <v>175</v>
      </c>
      <c r="D156" s="110"/>
      <c r="E156" s="210"/>
      <c r="F156" s="362" t="s">
        <v>494</v>
      </c>
      <c r="G156" s="358"/>
      <c r="H156" s="498" t="s">
        <v>493</v>
      </c>
      <c r="I156" s="499"/>
      <c r="J156" s="499"/>
      <c r="K156" s="355" t="s">
        <v>491</v>
      </c>
      <c r="L156" s="357" t="s">
        <v>64</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158</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46.87191419531382</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46.87191419531382</v>
      </c>
      <c r="G176" s="110" t="s">
        <v>816</v>
      </c>
      <c r="H176" s="110"/>
      <c r="I176" s="110"/>
      <c r="J176" s="110"/>
      <c r="K176" s="110"/>
      <c r="L176" s="110"/>
      <c r="M176" s="110"/>
    </row>
    <row r="177" spans="1:13" ht="12.75">
      <c r="A177" s="116"/>
      <c r="B177" s="131" t="s">
        <v>248</v>
      </c>
      <c r="C177" s="110"/>
      <c r="D177" s="110"/>
      <c r="E177" s="110"/>
      <c r="F177" s="406">
        <f>F47</f>
        <v>0.93</v>
      </c>
      <c r="G177" s="110"/>
      <c r="H177" s="110"/>
      <c r="I177" s="110"/>
      <c r="J177" s="110"/>
      <c r="K177" s="110"/>
      <c r="L177" s="110"/>
      <c r="M177" s="110"/>
    </row>
    <row r="178" spans="1:13" ht="12.75">
      <c r="A178" s="110"/>
      <c r="B178" s="116" t="s">
        <v>144</v>
      </c>
      <c r="C178" s="110"/>
      <c r="D178" s="110"/>
      <c r="E178" s="110"/>
      <c r="F178" s="412">
        <f>F176*F47</f>
        <v>43.59088020164185</v>
      </c>
      <c r="G178" s="110" t="s">
        <v>816</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43.59088020164185</v>
      </c>
      <c r="G180" s="110" t="s">
        <v>223</v>
      </c>
      <c r="H180" s="110"/>
      <c r="I180" s="110"/>
      <c r="J180" s="110"/>
      <c r="K180" s="110"/>
      <c r="L180" s="110"/>
      <c r="M180" s="110"/>
    </row>
    <row r="181" spans="1:13" ht="13.5" thickBot="1">
      <c r="A181" s="110"/>
      <c r="B181" s="116" t="s">
        <v>199</v>
      </c>
      <c r="C181" s="415"/>
      <c r="D181" s="415"/>
      <c r="E181" s="415"/>
      <c r="F181" s="416">
        <f>ROUND(F180,0)</f>
        <v>44</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39.6</v>
      </c>
      <c r="G184" s="420" t="s">
        <v>223</v>
      </c>
      <c r="H184" s="110"/>
      <c r="I184" s="110"/>
      <c r="J184" s="110"/>
      <c r="K184" s="110"/>
      <c r="L184" s="110"/>
      <c r="M184" s="110"/>
    </row>
    <row r="185" spans="1:13" ht="15.75" thickBot="1">
      <c r="A185" s="110"/>
      <c r="B185" s="112" t="s">
        <v>197</v>
      </c>
      <c r="C185" s="421"/>
      <c r="D185" s="421"/>
      <c r="E185" s="421"/>
      <c r="F185" s="414">
        <f>ROUND(F184,0)</f>
        <v>40</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91</v>
      </c>
      <c r="F220" s="5"/>
    </row>
    <row r="221" spans="2:6" ht="12.75">
      <c r="B221" s="233" t="s">
        <v>792</v>
      </c>
      <c r="C221" s="5"/>
      <c r="E221" s="12" t="s">
        <v>95</v>
      </c>
      <c r="F221" s="5"/>
    </row>
    <row r="222" spans="2:6" ht="12.75">
      <c r="B222" s="5"/>
      <c r="C222" s="5"/>
      <c r="E222" s="12" t="s">
        <v>93</v>
      </c>
      <c r="F222" s="5"/>
    </row>
    <row r="223" spans="2:6" ht="12.75">
      <c r="B223" s="32"/>
      <c r="C223" s="5" t="s">
        <v>722</v>
      </c>
      <c r="D223" s="5"/>
      <c r="E223" s="12" t="s">
        <v>94</v>
      </c>
      <c r="F223" s="5"/>
    </row>
    <row r="224" spans="2:6" ht="12.75">
      <c r="B224" s="32"/>
      <c r="C224" s="5" t="s">
        <v>723</v>
      </c>
      <c r="D224" s="5"/>
      <c r="E224" s="12" t="s">
        <v>92</v>
      </c>
      <c r="F224" s="5"/>
    </row>
    <row r="225" spans="2:6" ht="12.75">
      <c r="B225" s="32"/>
      <c r="C225" s="5" t="s">
        <v>724</v>
      </c>
      <c r="D225" s="5"/>
      <c r="E225" s="12" t="s">
        <v>89</v>
      </c>
      <c r="F225" s="5"/>
    </row>
    <row r="226" spans="2:6" ht="12.75">
      <c r="B226" s="32"/>
      <c r="C226" s="5" t="s">
        <v>725</v>
      </c>
      <c r="D226" s="5"/>
      <c r="E226" s="12" t="s">
        <v>90</v>
      </c>
      <c r="F226" s="5"/>
    </row>
    <row r="227" spans="2:6" ht="12.75">
      <c r="B227" s="32"/>
      <c r="C227" s="5" t="s">
        <v>726</v>
      </c>
      <c r="D227" s="5"/>
      <c r="E227" s="12" t="s">
        <v>49</v>
      </c>
      <c r="F227" s="5"/>
    </row>
    <row r="228" spans="2:6" ht="12.75">
      <c r="B228" s="32"/>
      <c r="C228" s="5" t="s">
        <v>727</v>
      </c>
      <c r="D228" s="5"/>
      <c r="E228" s="12" t="s">
        <v>96</v>
      </c>
      <c r="F228" s="5"/>
    </row>
    <row r="229" spans="2:6" ht="12.75">
      <c r="B229" s="32"/>
      <c r="C229" s="5" t="s">
        <v>728</v>
      </c>
      <c r="D229" s="5"/>
      <c r="E229" s="12" t="s">
        <v>97</v>
      </c>
      <c r="F229" s="5"/>
    </row>
    <row r="230" spans="2:6" ht="12.75">
      <c r="B230" s="32"/>
      <c r="C230" s="5" t="s">
        <v>729</v>
      </c>
      <c r="D230" s="5"/>
      <c r="E230" s="12" t="s">
        <v>98</v>
      </c>
      <c r="F230" s="5"/>
    </row>
    <row r="231" spans="2:6" ht="12.75">
      <c r="B231" s="32"/>
      <c r="C231" s="5" t="s">
        <v>730</v>
      </c>
      <c r="D231" s="5"/>
      <c r="E231" s="12" t="s">
        <v>99</v>
      </c>
      <c r="F231" s="5"/>
    </row>
    <row r="232" spans="2:6" ht="12.75">
      <c r="B232" s="32"/>
      <c r="C232" s="5" t="s">
        <v>731</v>
      </c>
      <c r="D232" s="5"/>
      <c r="E232" s="12" t="s">
        <v>100</v>
      </c>
      <c r="F232" s="5"/>
    </row>
    <row r="233" spans="2:6" ht="12.75">
      <c r="B233" s="32"/>
      <c r="C233" s="5" t="s">
        <v>732</v>
      </c>
      <c r="D233" s="5"/>
      <c r="E233" s="12" t="s">
        <v>101</v>
      </c>
      <c r="F233" s="5"/>
    </row>
    <row r="234" spans="2:6" ht="12.75">
      <c r="B234" s="32"/>
      <c r="C234" s="5" t="s">
        <v>733</v>
      </c>
      <c r="D234" s="5"/>
      <c r="E234" s="12" t="s">
        <v>106</v>
      </c>
      <c r="F234" s="5"/>
    </row>
    <row r="235" spans="2:6" ht="12.75">
      <c r="B235" s="32"/>
      <c r="C235" s="5" t="s">
        <v>734</v>
      </c>
      <c r="D235" s="5"/>
      <c r="E235" s="12" t="s">
        <v>102</v>
      </c>
      <c r="F235" s="5"/>
    </row>
    <row r="236" spans="2:6" ht="12.75">
      <c r="B236" s="32"/>
      <c r="C236" s="5" t="s">
        <v>735</v>
      </c>
      <c r="D236" s="5"/>
      <c r="E236" s="12" t="s">
        <v>103</v>
      </c>
      <c r="F236" s="5"/>
    </row>
    <row r="237" spans="2:6" ht="12.75">
      <c r="B237" s="32"/>
      <c r="C237" s="5" t="s">
        <v>736</v>
      </c>
      <c r="D237" s="5"/>
      <c r="E237" s="12" t="s">
        <v>104</v>
      </c>
      <c r="F237" s="5"/>
    </row>
    <row r="238" spans="2:6" ht="12.75">
      <c r="B238" s="32"/>
      <c r="C238" s="5" t="s">
        <v>737</v>
      </c>
      <c r="D238" s="5"/>
      <c r="E238" s="12" t="s">
        <v>105</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156</v>
      </c>
      <c r="F245" s="5"/>
    </row>
    <row r="246" spans="2:6" ht="12.75">
      <c r="B246" s="32"/>
      <c r="C246" s="5" t="s">
        <v>745</v>
      </c>
      <c r="D246" s="5"/>
      <c r="E246" s="232" t="s">
        <v>157</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214</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804</v>
      </c>
      <c r="C350" s="4">
        <v>175</v>
      </c>
    </row>
    <row r="351" spans="2:3" ht="12.75">
      <c r="B351" s="50" t="s">
        <v>806</v>
      </c>
      <c r="C351" s="4">
        <v>180</v>
      </c>
    </row>
    <row r="352" spans="2:3" ht="12.75">
      <c r="B352" s="50" t="s">
        <v>123</v>
      </c>
      <c r="C352" s="4">
        <v>210</v>
      </c>
    </row>
    <row r="353" spans="2:3" ht="12.75">
      <c r="B353" s="22" t="s">
        <v>124</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210</v>
      </c>
      <c r="B2" s="559"/>
      <c r="C2" s="559"/>
      <c r="D2" s="559"/>
      <c r="E2" s="501"/>
      <c r="F2" s="501"/>
      <c r="G2" s="501"/>
      <c r="H2" s="513"/>
    </row>
    <row r="3" spans="1:12" ht="38.25" customHeight="1">
      <c r="A3" s="9" t="s">
        <v>551</v>
      </c>
      <c r="B3" s="10" t="s">
        <v>80</v>
      </c>
      <c r="C3" s="9" t="s">
        <v>624</v>
      </c>
      <c r="D3" s="295" t="s">
        <v>255</v>
      </c>
      <c r="E3" s="295" t="s">
        <v>256</v>
      </c>
      <c r="F3" s="295" t="s">
        <v>625</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82</v>
      </c>
      <c r="C5" s="7" t="s">
        <v>618</v>
      </c>
      <c r="D5" s="7">
        <v>0.0044</v>
      </c>
      <c r="E5" s="7">
        <v>0.0006</v>
      </c>
      <c r="F5" s="7"/>
      <c r="G5" s="7"/>
      <c r="H5" s="19">
        <v>75</v>
      </c>
      <c r="I5" s="11"/>
      <c r="J5" s="12"/>
      <c r="K5" s="12"/>
      <c r="L5" s="12"/>
      <c r="M5" s="12" t="s">
        <v>552</v>
      </c>
      <c r="N5" s="4"/>
    </row>
    <row r="6" spans="1:14" ht="12.75">
      <c r="A6" s="7" t="s">
        <v>581</v>
      </c>
      <c r="B6" t="s">
        <v>82</v>
      </c>
      <c r="C6" s="7" t="s">
        <v>618</v>
      </c>
      <c r="D6" s="7">
        <v>0.003</v>
      </c>
      <c r="E6" s="7">
        <v>0.0005</v>
      </c>
      <c r="F6" s="7"/>
      <c r="G6" s="7"/>
      <c r="H6" s="19">
        <v>75</v>
      </c>
      <c r="I6" s="11"/>
      <c r="J6" s="12"/>
      <c r="K6" s="12"/>
      <c r="L6" s="12"/>
      <c r="M6" s="12" t="s">
        <v>552</v>
      </c>
      <c r="N6" s="4"/>
    </row>
    <row r="7" spans="1:14" s="2" customFormat="1" ht="12.75">
      <c r="A7" s="34" t="s">
        <v>424</v>
      </c>
      <c r="B7" s="2" t="s">
        <v>81</v>
      </c>
      <c r="C7" s="34" t="s">
        <v>577</v>
      </c>
      <c r="D7" s="34">
        <v>0.7087</v>
      </c>
      <c r="E7" s="34">
        <v>0.1777</v>
      </c>
      <c r="F7" s="34">
        <v>80</v>
      </c>
      <c r="G7" s="34">
        <v>0.8</v>
      </c>
      <c r="H7" s="214"/>
      <c r="I7" s="11"/>
      <c r="J7" s="12"/>
      <c r="K7" s="12"/>
      <c r="L7" s="12"/>
      <c r="M7" s="12"/>
      <c r="N7" s="4"/>
    </row>
    <row r="8" spans="1:14" ht="12.75">
      <c r="A8" s="7" t="s">
        <v>423</v>
      </c>
      <c r="B8" t="s">
        <v>81</v>
      </c>
      <c r="C8" s="7" t="s">
        <v>578</v>
      </c>
      <c r="D8" s="7">
        <v>0.4384</v>
      </c>
      <c r="E8" s="7">
        <v>0.0611</v>
      </c>
      <c r="F8" s="7">
        <v>80</v>
      </c>
      <c r="G8" s="34">
        <v>0.8</v>
      </c>
      <c r="H8" s="19"/>
      <c r="I8" s="11"/>
      <c r="J8" s="12"/>
      <c r="K8" s="12"/>
      <c r="L8" s="12"/>
      <c r="M8" s="12" t="s">
        <v>552</v>
      </c>
      <c r="N8" s="4"/>
    </row>
    <row r="9" spans="1:14" ht="12.75">
      <c r="A9" s="7" t="s">
        <v>582</v>
      </c>
      <c r="B9" t="s">
        <v>82</v>
      </c>
      <c r="C9" s="7" t="s">
        <v>576</v>
      </c>
      <c r="D9" s="7">
        <v>3.7425</v>
      </c>
      <c r="E9" s="7">
        <v>0.4784</v>
      </c>
      <c r="F9" s="7"/>
      <c r="G9" s="7"/>
      <c r="H9" s="19">
        <v>35</v>
      </c>
      <c r="I9" s="11"/>
      <c r="J9" s="12"/>
      <c r="K9" s="12"/>
      <c r="L9" s="12"/>
      <c r="M9" s="12"/>
      <c r="N9" s="4"/>
    </row>
    <row r="10" spans="1:14" ht="12.75">
      <c r="A10" s="7" t="s">
        <v>583</v>
      </c>
      <c r="B10" t="s">
        <v>82</v>
      </c>
      <c r="C10" s="7" t="s">
        <v>617</v>
      </c>
      <c r="D10" s="7">
        <v>0.009</v>
      </c>
      <c r="E10" s="7">
        <v>0.0001</v>
      </c>
      <c r="F10" s="7"/>
      <c r="G10" s="7"/>
      <c r="H10" s="19">
        <v>35</v>
      </c>
      <c r="I10" s="11"/>
      <c r="J10" s="12"/>
      <c r="K10" s="12"/>
      <c r="L10" s="12"/>
      <c r="M10" s="12"/>
      <c r="N10" s="4"/>
    </row>
    <row r="11" spans="1:14" ht="12.75">
      <c r="A11" s="7" t="s">
        <v>584</v>
      </c>
      <c r="B11" t="s">
        <v>82</v>
      </c>
      <c r="C11" s="7" t="s">
        <v>576</v>
      </c>
      <c r="D11" s="7">
        <v>3.5572</v>
      </c>
      <c r="E11" s="7">
        <v>0.3957</v>
      </c>
      <c r="F11" s="7"/>
      <c r="G11" s="7"/>
      <c r="H11" s="19">
        <v>35</v>
      </c>
      <c r="I11" s="11"/>
      <c r="J11" s="12"/>
      <c r="K11" s="12"/>
      <c r="L11" s="12"/>
      <c r="M11" s="12" t="s">
        <v>552</v>
      </c>
      <c r="N11" s="4"/>
    </row>
    <row r="12" spans="1:14" ht="12.75">
      <c r="A12" s="7" t="s">
        <v>585</v>
      </c>
      <c r="B12" t="s">
        <v>82</v>
      </c>
      <c r="C12" s="7" t="s">
        <v>579</v>
      </c>
      <c r="D12" s="7">
        <v>0.8498</v>
      </c>
      <c r="E12" s="7">
        <v>0.1013</v>
      </c>
      <c r="F12" s="7"/>
      <c r="G12" s="7"/>
      <c r="H12" s="19">
        <v>35</v>
      </c>
      <c r="I12" s="11"/>
      <c r="J12" s="12"/>
      <c r="K12" s="12"/>
      <c r="L12" s="12"/>
      <c r="M12" s="12" t="s">
        <v>552</v>
      </c>
      <c r="N12" s="4"/>
    </row>
    <row r="13" spans="1:14" ht="12.75">
      <c r="A13" s="7" t="s">
        <v>586</v>
      </c>
      <c r="B13" t="s">
        <v>82</v>
      </c>
      <c r="C13" s="7" t="s">
        <v>617</v>
      </c>
      <c r="D13" s="7">
        <v>0.0101</v>
      </c>
      <c r="E13" s="7">
        <v>0.0015</v>
      </c>
      <c r="F13" s="7"/>
      <c r="G13" s="7"/>
      <c r="H13" s="19">
        <v>35</v>
      </c>
      <c r="I13" s="11"/>
      <c r="J13" s="12"/>
      <c r="K13" s="12"/>
      <c r="L13" s="12"/>
      <c r="M13" s="12" t="s">
        <v>552</v>
      </c>
      <c r="N13" s="4"/>
    </row>
    <row r="14" spans="1:14" ht="12.75">
      <c r="A14" s="7" t="s">
        <v>587</v>
      </c>
      <c r="B14" t="s">
        <v>82</v>
      </c>
      <c r="C14" s="7" t="s">
        <v>576</v>
      </c>
      <c r="D14" s="7">
        <v>3.2358</v>
      </c>
      <c r="E14" s="7">
        <v>0.3673</v>
      </c>
      <c r="F14" s="7"/>
      <c r="G14" s="7"/>
      <c r="H14" s="19">
        <v>35</v>
      </c>
      <c r="I14" s="11"/>
      <c r="J14" s="12"/>
      <c r="K14" s="12"/>
      <c r="L14" s="12"/>
      <c r="M14" s="12" t="s">
        <v>552</v>
      </c>
      <c r="N14" s="4"/>
    </row>
    <row r="15" spans="1:14" ht="12.75">
      <c r="A15" s="7" t="s">
        <v>588</v>
      </c>
      <c r="B15" t="s">
        <v>82</v>
      </c>
      <c r="C15" s="7" t="s">
        <v>575</v>
      </c>
      <c r="D15" s="7">
        <v>21.3476</v>
      </c>
      <c r="E15" s="7">
        <v>2.546</v>
      </c>
      <c r="F15" s="7"/>
      <c r="G15" s="7"/>
      <c r="H15" s="19">
        <v>35</v>
      </c>
      <c r="I15" s="11"/>
      <c r="J15" s="12"/>
      <c r="K15" s="12"/>
      <c r="L15" s="12"/>
      <c r="M15" s="12" t="s">
        <v>552</v>
      </c>
      <c r="N15" s="4"/>
    </row>
    <row r="16" spans="1:14" ht="12.75">
      <c r="A16" s="7" t="s">
        <v>589</v>
      </c>
      <c r="B16" t="s">
        <v>82</v>
      </c>
      <c r="C16" s="7" t="s">
        <v>576</v>
      </c>
      <c r="D16" s="7">
        <v>3.6105</v>
      </c>
      <c r="E16" s="7">
        <v>0.5452</v>
      </c>
      <c r="F16" s="7"/>
      <c r="G16" s="7" t="s">
        <v>552</v>
      </c>
      <c r="H16" s="19">
        <v>35</v>
      </c>
      <c r="I16" s="11"/>
      <c r="J16" s="12"/>
      <c r="K16" s="12"/>
      <c r="L16" s="12"/>
      <c r="M16" s="12"/>
      <c r="N16" s="4"/>
    </row>
    <row r="17" spans="1:14" ht="12.75">
      <c r="A17" s="7" t="s">
        <v>590</v>
      </c>
      <c r="B17" t="s">
        <v>82</v>
      </c>
      <c r="C17" s="7" t="s">
        <v>579</v>
      </c>
      <c r="D17" s="7">
        <v>0.7825</v>
      </c>
      <c r="E17" s="7">
        <v>0.0984</v>
      </c>
      <c r="F17" s="7"/>
      <c r="G17" s="7" t="s">
        <v>552</v>
      </c>
      <c r="H17" s="19">
        <v>35</v>
      </c>
      <c r="I17" s="11"/>
      <c r="J17" s="12"/>
      <c r="K17" s="12"/>
      <c r="L17" s="12"/>
      <c r="M17" s="12" t="s">
        <v>552</v>
      </c>
      <c r="N17" s="4"/>
    </row>
    <row r="18" spans="1:11" ht="12.75">
      <c r="A18" s="7" t="s">
        <v>591</v>
      </c>
      <c r="B18" t="s">
        <v>82</v>
      </c>
      <c r="C18" s="7" t="s">
        <v>576</v>
      </c>
      <c r="D18" s="7">
        <v>3.6</v>
      </c>
      <c r="E18" s="7"/>
      <c r="F18" s="7"/>
      <c r="G18" s="7"/>
      <c r="H18" s="19">
        <v>35</v>
      </c>
      <c r="K18" t="s">
        <v>552</v>
      </c>
    </row>
    <row r="19" spans="1:8" ht="12.75">
      <c r="A19" s="7" t="s">
        <v>66</v>
      </c>
      <c r="B19" t="s">
        <v>82</v>
      </c>
      <c r="C19" s="7" t="s">
        <v>617</v>
      </c>
      <c r="D19" s="7">
        <v>0.0011</v>
      </c>
      <c r="E19" s="7">
        <v>0.0001</v>
      </c>
      <c r="F19" s="7"/>
      <c r="G19" s="7"/>
      <c r="H19" s="19">
        <v>35</v>
      </c>
    </row>
    <row r="20" spans="1:8" ht="12" customHeight="1">
      <c r="A20" s="7" t="s">
        <v>67</v>
      </c>
      <c r="B20" t="s">
        <v>82</v>
      </c>
      <c r="C20" s="7" t="s">
        <v>618</v>
      </c>
      <c r="D20" s="7">
        <v>0.0058</v>
      </c>
      <c r="E20" s="7">
        <v>0.0008</v>
      </c>
      <c r="F20" s="7"/>
      <c r="G20" s="7"/>
      <c r="H20" s="19">
        <v>100</v>
      </c>
    </row>
    <row r="21" spans="1:8" ht="12.75">
      <c r="A21" s="7" t="s">
        <v>592</v>
      </c>
      <c r="B21" t="s">
        <v>82</v>
      </c>
      <c r="C21" s="7" t="s">
        <v>617</v>
      </c>
      <c r="D21" s="7">
        <v>0.0067</v>
      </c>
      <c r="E21" s="7">
        <v>0.0007</v>
      </c>
      <c r="F21" s="7"/>
      <c r="G21" s="7"/>
      <c r="H21" s="19">
        <v>100</v>
      </c>
    </row>
    <row r="22" spans="1:8" ht="12.75">
      <c r="A22" s="7" t="s">
        <v>593</v>
      </c>
      <c r="B22" t="s">
        <v>82</v>
      </c>
      <c r="C22" s="7" t="s">
        <v>619</v>
      </c>
      <c r="D22" s="7">
        <v>0.0032</v>
      </c>
      <c r="E22" s="7">
        <v>0.0003</v>
      </c>
      <c r="F22" s="7"/>
      <c r="G22" s="7"/>
      <c r="H22" s="19">
        <v>100</v>
      </c>
    </row>
    <row r="23" spans="1:8" ht="12.75">
      <c r="A23" s="7" t="s">
        <v>594</v>
      </c>
      <c r="B23" t="s">
        <v>82</v>
      </c>
      <c r="C23" s="7" t="s">
        <v>619</v>
      </c>
      <c r="D23" s="7">
        <v>0.0025</v>
      </c>
      <c r="E23" s="7">
        <v>0.0003</v>
      </c>
      <c r="F23" s="7"/>
      <c r="G23" s="7" t="s">
        <v>552</v>
      </c>
      <c r="H23" s="19">
        <v>100</v>
      </c>
    </row>
    <row r="24" spans="1:8" ht="12.75">
      <c r="A24" s="7" t="s">
        <v>595</v>
      </c>
      <c r="B24" t="s">
        <v>82</v>
      </c>
      <c r="C24" s="7" t="s">
        <v>620</v>
      </c>
      <c r="D24" s="7">
        <v>0.0018</v>
      </c>
      <c r="E24" s="7">
        <v>0.0004</v>
      </c>
      <c r="F24" s="7"/>
      <c r="G24" s="7" t="s">
        <v>552</v>
      </c>
      <c r="H24" s="19">
        <v>75</v>
      </c>
    </row>
    <row r="25" spans="1:8" ht="12.75">
      <c r="A25" s="7" t="s">
        <v>68</v>
      </c>
      <c r="B25" t="s">
        <v>82</v>
      </c>
      <c r="C25" s="7" t="s">
        <v>617</v>
      </c>
      <c r="D25" s="7">
        <v>0.004</v>
      </c>
      <c r="E25" s="7">
        <v>0.0006</v>
      </c>
      <c r="F25" s="7"/>
      <c r="G25" s="7"/>
      <c r="H25" s="19">
        <v>100</v>
      </c>
    </row>
    <row r="26" spans="1:8" ht="12.75">
      <c r="A26" s="7" t="s">
        <v>596</v>
      </c>
      <c r="B26" t="s">
        <v>82</v>
      </c>
      <c r="C26" s="7" t="s">
        <v>618</v>
      </c>
      <c r="D26" s="7">
        <v>0.0013</v>
      </c>
      <c r="E26" s="7">
        <v>0.0004</v>
      </c>
      <c r="F26" s="7"/>
      <c r="G26" s="7" t="s">
        <v>552</v>
      </c>
      <c r="H26" s="19">
        <v>100</v>
      </c>
    </row>
    <row r="27" spans="1:8" ht="12.75">
      <c r="A27" s="7" t="s">
        <v>597</v>
      </c>
      <c r="B27" t="s">
        <v>82</v>
      </c>
      <c r="C27" s="7" t="s">
        <v>619</v>
      </c>
      <c r="D27" s="7">
        <v>0.0029</v>
      </c>
      <c r="E27" s="7">
        <v>0.0005</v>
      </c>
      <c r="F27" s="7"/>
      <c r="G27" s="7"/>
      <c r="H27" s="19">
        <v>100</v>
      </c>
    </row>
    <row r="28" spans="1:8" ht="12.75">
      <c r="A28" s="7" t="s">
        <v>598</v>
      </c>
      <c r="B28" t="s">
        <v>82</v>
      </c>
      <c r="C28" s="7" t="s">
        <v>619</v>
      </c>
      <c r="D28" s="7">
        <v>0.0045</v>
      </c>
      <c r="E28" s="7">
        <v>0.0005</v>
      </c>
      <c r="F28" s="7"/>
      <c r="G28" s="7" t="s">
        <v>552</v>
      </c>
      <c r="H28" s="19">
        <v>100</v>
      </c>
    </row>
    <row r="29" spans="1:8" ht="12.75">
      <c r="A29" s="7" t="s">
        <v>623</v>
      </c>
      <c r="B29" t="s">
        <v>81</v>
      </c>
      <c r="C29" s="7" t="s">
        <v>577</v>
      </c>
      <c r="D29" s="7">
        <v>0.7929</v>
      </c>
      <c r="E29" s="7">
        <v>0.1514</v>
      </c>
      <c r="F29" s="7">
        <v>125</v>
      </c>
      <c r="G29" s="34">
        <v>1</v>
      </c>
      <c r="H29" s="19"/>
    </row>
    <row r="30" spans="1:8" s="2" customFormat="1" ht="12.75">
      <c r="A30" s="34" t="s">
        <v>553</v>
      </c>
      <c r="B30" s="2" t="s">
        <v>81</v>
      </c>
      <c r="C30" s="34" t="s">
        <v>575</v>
      </c>
      <c r="D30" s="34">
        <v>6.4757</v>
      </c>
      <c r="E30" s="34">
        <v>2.2644</v>
      </c>
      <c r="F30" s="34">
        <v>21</v>
      </c>
      <c r="G30" s="34">
        <v>7</v>
      </c>
      <c r="H30" s="214"/>
    </row>
    <row r="31" spans="1:8" ht="12.75">
      <c r="A31" s="7" t="s">
        <v>69</v>
      </c>
      <c r="B31" t="s">
        <v>82</v>
      </c>
      <c r="C31" s="7" t="s">
        <v>617</v>
      </c>
      <c r="D31" s="7">
        <v>0.0057</v>
      </c>
      <c r="E31" s="7"/>
      <c r="F31" s="7"/>
      <c r="G31" s="7"/>
      <c r="H31" s="19">
        <v>50</v>
      </c>
    </row>
    <row r="32" spans="1:8" ht="12.75">
      <c r="A32" s="7" t="s">
        <v>599</v>
      </c>
      <c r="B32" t="s">
        <v>81</v>
      </c>
      <c r="C32" s="7" t="s">
        <v>621</v>
      </c>
      <c r="D32" s="7">
        <v>0.0182</v>
      </c>
      <c r="E32" s="7">
        <v>0.0035</v>
      </c>
      <c r="F32" s="7">
        <v>125</v>
      </c>
      <c r="G32" s="34">
        <v>1</v>
      </c>
      <c r="H32" s="19"/>
    </row>
    <row r="33" spans="1:8" ht="12.75">
      <c r="A33" s="7" t="s">
        <v>600</v>
      </c>
      <c r="B33" t="s">
        <v>82</v>
      </c>
      <c r="C33" s="7" t="s">
        <v>617</v>
      </c>
      <c r="D33" s="7">
        <v>0.0011</v>
      </c>
      <c r="E33" s="7">
        <v>0.0002</v>
      </c>
      <c r="F33" s="7"/>
      <c r="G33" s="7" t="s">
        <v>552</v>
      </c>
      <c r="H33" s="19">
        <v>75</v>
      </c>
    </row>
    <row r="34" spans="1:8" ht="12.75">
      <c r="A34" s="7" t="s">
        <v>601</v>
      </c>
      <c r="B34" t="s">
        <v>82</v>
      </c>
      <c r="C34" s="7" t="s">
        <v>617</v>
      </c>
      <c r="D34" s="7">
        <v>0.0018</v>
      </c>
      <c r="E34" s="7">
        <v>0.0002</v>
      </c>
      <c r="F34" s="7"/>
      <c r="G34" s="7" t="s">
        <v>552</v>
      </c>
      <c r="H34" s="19">
        <v>75</v>
      </c>
    </row>
    <row r="35" spans="1:8" ht="12.75">
      <c r="A35" s="7" t="s">
        <v>554</v>
      </c>
      <c r="B35" t="s">
        <v>81</v>
      </c>
      <c r="C35" s="7" t="s">
        <v>575</v>
      </c>
      <c r="D35" s="7">
        <v>13.7716</v>
      </c>
      <c r="E35" s="7">
        <v>1.4122</v>
      </c>
      <c r="F35" s="7">
        <v>4</v>
      </c>
      <c r="G35" s="34">
        <v>50</v>
      </c>
      <c r="H35" s="19"/>
    </row>
    <row r="36" spans="1:8" ht="12.75">
      <c r="A36" s="7" t="s">
        <v>555</v>
      </c>
      <c r="B36" t="s">
        <v>81</v>
      </c>
      <c r="C36" s="7" t="s">
        <v>575</v>
      </c>
      <c r="D36" s="7">
        <v>27.0616</v>
      </c>
      <c r="E36" s="7">
        <v>3.9024</v>
      </c>
      <c r="F36" s="7">
        <v>4</v>
      </c>
      <c r="G36" s="34">
        <v>50</v>
      </c>
      <c r="H36" s="19"/>
    </row>
    <row r="37" spans="1:8" ht="12.75">
      <c r="A37" s="58" t="s">
        <v>79</v>
      </c>
      <c r="B37" s="13" t="s">
        <v>82</v>
      </c>
      <c r="C37" s="7" t="s">
        <v>619</v>
      </c>
      <c r="D37" s="7">
        <v>0.002</v>
      </c>
      <c r="E37" s="7">
        <v>0.0002</v>
      </c>
      <c r="F37" s="7"/>
      <c r="G37" s="34"/>
      <c r="H37" s="19">
        <v>35</v>
      </c>
    </row>
    <row r="38" spans="1:8" ht="12" customHeight="1">
      <c r="A38" s="11" t="s">
        <v>70</v>
      </c>
      <c r="B38" s="13" t="s">
        <v>82</v>
      </c>
      <c r="C38" s="34" t="s">
        <v>617</v>
      </c>
      <c r="D38" s="34">
        <v>0.0015</v>
      </c>
      <c r="E38" s="34">
        <v>0.0004</v>
      </c>
      <c r="F38" s="34"/>
      <c r="G38" s="34"/>
      <c r="H38" s="214">
        <v>75</v>
      </c>
    </row>
    <row r="39" spans="1:8" ht="12.75">
      <c r="A39" s="11" t="s">
        <v>71</v>
      </c>
      <c r="B39" s="13" t="s">
        <v>82</v>
      </c>
      <c r="C39" s="34" t="s">
        <v>617</v>
      </c>
      <c r="D39" s="34">
        <v>0.0011</v>
      </c>
      <c r="E39" s="34">
        <v>0.0002</v>
      </c>
      <c r="F39" s="34"/>
      <c r="G39" s="34"/>
      <c r="H39" s="214">
        <v>75</v>
      </c>
    </row>
    <row r="40" spans="1:8" ht="12.75">
      <c r="A40" s="31" t="s">
        <v>622</v>
      </c>
      <c r="B40" s="13" t="s">
        <v>82</v>
      </c>
      <c r="C40" s="7" t="s">
        <v>576</v>
      </c>
      <c r="D40" s="7">
        <v>0.102</v>
      </c>
      <c r="E40" s="7">
        <v>0.0103</v>
      </c>
      <c r="F40" s="7"/>
      <c r="G40" s="7" t="s">
        <v>552</v>
      </c>
      <c r="H40" s="19">
        <v>35</v>
      </c>
    </row>
    <row r="41" spans="1:8" ht="12.75">
      <c r="A41" s="31" t="s">
        <v>556</v>
      </c>
      <c r="B41" t="s">
        <v>81</v>
      </c>
      <c r="C41" s="7" t="s">
        <v>577</v>
      </c>
      <c r="D41" s="7">
        <v>0.5984</v>
      </c>
      <c r="E41" s="7">
        <v>0.1092</v>
      </c>
      <c r="F41" s="7">
        <v>80</v>
      </c>
      <c r="G41" s="34">
        <v>0.8</v>
      </c>
      <c r="H41" s="19"/>
    </row>
    <row r="42" spans="1:8" ht="12.75">
      <c r="A42" s="31" t="s">
        <v>557</v>
      </c>
      <c r="B42" t="s">
        <v>81</v>
      </c>
      <c r="C42" s="7" t="s">
        <v>575</v>
      </c>
      <c r="D42" s="7">
        <v>8.9464</v>
      </c>
      <c r="E42" s="7">
        <v>1.0128</v>
      </c>
      <c r="F42" s="7">
        <v>6</v>
      </c>
      <c r="G42" s="34">
        <v>17</v>
      </c>
      <c r="H42" s="19"/>
    </row>
    <row r="43" spans="1:8" ht="12.75">
      <c r="A43" s="7" t="s">
        <v>558</v>
      </c>
      <c r="B43" t="s">
        <v>81</v>
      </c>
      <c r="C43" s="7" t="s">
        <v>578</v>
      </c>
      <c r="D43" s="7">
        <v>0.2806</v>
      </c>
      <c r="E43" s="7">
        <v>0.0338</v>
      </c>
      <c r="F43" s="7">
        <v>80</v>
      </c>
      <c r="G43" s="34">
        <v>0.8</v>
      </c>
      <c r="H43" s="19"/>
    </row>
    <row r="44" spans="1:8" ht="12.75">
      <c r="A44" s="7" t="s">
        <v>602</v>
      </c>
      <c r="B44" t="s">
        <v>82</v>
      </c>
      <c r="C44" s="7" t="s">
        <v>617</v>
      </c>
      <c r="D44" s="7">
        <v>0.0022</v>
      </c>
      <c r="E44" s="7">
        <v>0.0003</v>
      </c>
      <c r="F44" s="7"/>
      <c r="G44" s="7" t="s">
        <v>552</v>
      </c>
      <c r="H44" s="19">
        <v>100</v>
      </c>
    </row>
    <row r="45" spans="1:8" ht="12.75">
      <c r="A45" s="34" t="s">
        <v>559</v>
      </c>
      <c r="B45" t="s">
        <v>81</v>
      </c>
      <c r="C45" s="34" t="s">
        <v>575</v>
      </c>
      <c r="D45" s="34">
        <v>12.252</v>
      </c>
      <c r="E45" s="34">
        <v>0.9055</v>
      </c>
      <c r="F45" s="34">
        <v>4</v>
      </c>
      <c r="G45" s="34">
        <v>40</v>
      </c>
      <c r="H45" s="214"/>
    </row>
    <row r="46" spans="1:8" ht="12.75">
      <c r="A46" s="34" t="s">
        <v>560</v>
      </c>
      <c r="B46" t="s">
        <v>81</v>
      </c>
      <c r="C46" s="34" t="s">
        <v>575</v>
      </c>
      <c r="D46" s="34">
        <v>30.5747</v>
      </c>
      <c r="E46" s="34">
        <v>4.5162</v>
      </c>
      <c r="F46" s="34">
        <v>4</v>
      </c>
      <c r="G46" s="34">
        <v>40</v>
      </c>
      <c r="H46" s="214"/>
    </row>
    <row r="47" spans="1:8" ht="12.75">
      <c r="A47" s="7" t="s">
        <v>72</v>
      </c>
      <c r="B47" t="s">
        <v>82</v>
      </c>
      <c r="C47" s="7" t="s">
        <v>617</v>
      </c>
      <c r="D47" s="7">
        <v>0.0029</v>
      </c>
      <c r="E47" s="7">
        <v>0.0003</v>
      </c>
      <c r="F47" s="7"/>
      <c r="G47" s="7"/>
      <c r="H47" s="19">
        <v>45</v>
      </c>
    </row>
    <row r="48" spans="1:8" ht="12.75">
      <c r="A48" s="7" t="s">
        <v>603</v>
      </c>
      <c r="B48" t="s">
        <v>82</v>
      </c>
      <c r="C48" s="7" t="s">
        <v>576</v>
      </c>
      <c r="D48" s="7">
        <v>0.3667</v>
      </c>
      <c r="E48" s="7">
        <v>0.0563</v>
      </c>
      <c r="F48" s="7"/>
      <c r="G48" s="7" t="s">
        <v>552</v>
      </c>
      <c r="H48" s="19">
        <v>200</v>
      </c>
    </row>
    <row r="49" spans="1:8" ht="12.75">
      <c r="A49" s="7" t="s">
        <v>604</v>
      </c>
      <c r="B49" t="s">
        <v>82</v>
      </c>
      <c r="C49" s="7" t="s">
        <v>617</v>
      </c>
      <c r="D49" s="7">
        <v>0.0024</v>
      </c>
      <c r="E49" s="7">
        <v>0.0004</v>
      </c>
      <c r="F49" s="7"/>
      <c r="G49" s="7" t="s">
        <v>552</v>
      </c>
      <c r="H49" s="19">
        <v>75</v>
      </c>
    </row>
    <row r="50" spans="1:8" ht="12.75">
      <c r="A50" s="7" t="s">
        <v>73</v>
      </c>
      <c r="B50" t="s">
        <v>82</v>
      </c>
      <c r="C50" s="7" t="s">
        <v>617</v>
      </c>
      <c r="D50" s="7">
        <v>0.0014</v>
      </c>
      <c r="E50" s="7">
        <v>0.0001</v>
      </c>
      <c r="F50" s="7"/>
      <c r="G50" s="7"/>
      <c r="H50" s="19">
        <v>200</v>
      </c>
    </row>
    <row r="51" spans="1:8" s="2" customFormat="1" ht="12.75">
      <c r="A51" s="34" t="s">
        <v>561</v>
      </c>
      <c r="B51" s="2" t="s">
        <v>81</v>
      </c>
      <c r="C51" s="34" t="s">
        <v>577</v>
      </c>
      <c r="D51" s="34">
        <v>0.8386</v>
      </c>
      <c r="E51" s="34">
        <v>0.1873</v>
      </c>
      <c r="F51" s="34">
        <v>60</v>
      </c>
      <c r="G51" s="34">
        <v>1</v>
      </c>
      <c r="H51" s="214"/>
    </row>
    <row r="52" spans="1:8" s="2" customFormat="1" ht="12.75">
      <c r="A52" s="34" t="s">
        <v>562</v>
      </c>
      <c r="B52" s="2" t="s">
        <v>81</v>
      </c>
      <c r="C52" s="34" t="s">
        <v>575</v>
      </c>
      <c r="D52" s="34">
        <v>11.5981</v>
      </c>
      <c r="E52" s="34">
        <v>1.5368</v>
      </c>
      <c r="F52" s="34">
        <v>6</v>
      </c>
      <c r="G52" s="34">
        <v>17</v>
      </c>
      <c r="H52" s="214"/>
    </row>
    <row r="53" spans="1:8" s="2" customFormat="1" ht="12.75">
      <c r="A53" s="34" t="s">
        <v>563</v>
      </c>
      <c r="B53" s="2" t="s">
        <v>81</v>
      </c>
      <c r="C53" s="34" t="s">
        <v>578</v>
      </c>
      <c r="D53" s="34">
        <v>0.3993</v>
      </c>
      <c r="E53" s="34">
        <v>0.0746</v>
      </c>
      <c r="F53" s="34">
        <v>60</v>
      </c>
      <c r="G53" s="34">
        <v>1</v>
      </c>
      <c r="H53" s="214"/>
    </row>
    <row r="54" spans="1:8" s="2" customFormat="1" ht="12.75">
      <c r="A54" s="34" t="s">
        <v>564</v>
      </c>
      <c r="B54" s="2" t="s">
        <v>81</v>
      </c>
      <c r="C54" s="34" t="s">
        <v>577</v>
      </c>
      <c r="D54" s="34">
        <v>0.6797</v>
      </c>
      <c r="E54" s="34">
        <v>0.1655</v>
      </c>
      <c r="F54" s="34">
        <v>125</v>
      </c>
      <c r="G54" s="34">
        <v>0.75</v>
      </c>
      <c r="H54" s="214"/>
    </row>
    <row r="55" spans="1:8" s="2" customFormat="1" ht="12.75">
      <c r="A55" s="34" t="s">
        <v>565</v>
      </c>
      <c r="B55" s="2" t="s">
        <v>81</v>
      </c>
      <c r="C55" s="34" t="s">
        <v>575</v>
      </c>
      <c r="D55" s="34">
        <v>6.3338</v>
      </c>
      <c r="E55" s="34">
        <v>1.1112</v>
      </c>
      <c r="F55" s="34">
        <v>21</v>
      </c>
      <c r="G55" s="34">
        <v>7</v>
      </c>
      <c r="H55" s="214"/>
    </row>
    <row r="56" spans="1:8" s="2" customFormat="1" ht="12.75">
      <c r="A56" s="34" t="s">
        <v>566</v>
      </c>
      <c r="B56" s="2" t="s">
        <v>81</v>
      </c>
      <c r="C56" s="34" t="s">
        <v>575</v>
      </c>
      <c r="D56" s="34">
        <v>5.7482</v>
      </c>
      <c r="E56" s="34">
        <v>1.1928</v>
      </c>
      <c r="F56" s="34">
        <v>21</v>
      </c>
      <c r="G56" s="34">
        <v>7</v>
      </c>
      <c r="H56" s="214"/>
    </row>
    <row r="57" spans="1:8" s="2" customFormat="1" ht="12.75">
      <c r="A57" s="34" t="s">
        <v>425</v>
      </c>
      <c r="B57" s="2" t="s">
        <v>81</v>
      </c>
      <c r="C57" s="34" t="s">
        <v>575</v>
      </c>
      <c r="D57" s="34">
        <v>5.28</v>
      </c>
      <c r="E57" s="34">
        <v>1.0005</v>
      </c>
      <c r="F57" s="34">
        <v>25</v>
      </c>
      <c r="G57" s="34">
        <v>7</v>
      </c>
      <c r="H57" s="214"/>
    </row>
    <row r="58" spans="1:8" s="2" customFormat="1" ht="12.75">
      <c r="A58" s="34" t="s">
        <v>567</v>
      </c>
      <c r="B58" s="2" t="s">
        <v>81</v>
      </c>
      <c r="C58" s="34" t="s">
        <v>575</v>
      </c>
      <c r="D58" s="34">
        <v>6.552</v>
      </c>
      <c r="E58" s="34">
        <v>0.966</v>
      </c>
      <c r="F58" s="34">
        <v>25</v>
      </c>
      <c r="G58" s="34">
        <v>7</v>
      </c>
      <c r="H58" s="214"/>
    </row>
    <row r="59" spans="1:8" ht="12.75">
      <c r="A59" s="7" t="s">
        <v>605</v>
      </c>
      <c r="B59" t="s">
        <v>82</v>
      </c>
      <c r="C59" s="7" t="s">
        <v>619</v>
      </c>
      <c r="D59" s="7">
        <v>0.0049</v>
      </c>
      <c r="E59" s="7">
        <v>0.0005</v>
      </c>
      <c r="F59" s="7"/>
      <c r="G59" s="7" t="s">
        <v>552</v>
      </c>
      <c r="H59" s="19">
        <v>100</v>
      </c>
    </row>
    <row r="60" spans="1:8" ht="12.75">
      <c r="A60" s="7" t="s">
        <v>606</v>
      </c>
      <c r="B60" t="s">
        <v>82</v>
      </c>
      <c r="C60" s="7" t="s">
        <v>617</v>
      </c>
      <c r="D60" s="7">
        <v>0.0016</v>
      </c>
      <c r="E60" s="7">
        <v>0.0003</v>
      </c>
      <c r="F60" s="7"/>
      <c r="G60" s="7" t="s">
        <v>552</v>
      </c>
      <c r="H60" s="19">
        <v>75</v>
      </c>
    </row>
    <row r="61" spans="1:8" ht="12.75">
      <c r="A61" s="7" t="s">
        <v>607</v>
      </c>
      <c r="B61" t="s">
        <v>82</v>
      </c>
      <c r="C61" s="7" t="s">
        <v>617</v>
      </c>
      <c r="D61" s="7">
        <v>0.0013</v>
      </c>
      <c r="E61" s="7">
        <v>0.0004</v>
      </c>
      <c r="F61" s="7"/>
      <c r="G61" s="7" t="s">
        <v>552</v>
      </c>
      <c r="H61" s="19">
        <v>75</v>
      </c>
    </row>
    <row r="62" spans="1:8" ht="12.75">
      <c r="A62" s="7" t="s">
        <v>608</v>
      </c>
      <c r="B62" t="s">
        <v>82</v>
      </c>
      <c r="C62" s="7" t="s">
        <v>617</v>
      </c>
      <c r="D62" s="7">
        <v>0.0016</v>
      </c>
      <c r="E62" s="7">
        <v>0.0003</v>
      </c>
      <c r="F62" s="7"/>
      <c r="G62" s="7" t="s">
        <v>552</v>
      </c>
      <c r="H62" s="19">
        <v>75</v>
      </c>
    </row>
    <row r="63" spans="1:8" ht="12.75">
      <c r="A63" s="7" t="s">
        <v>609</v>
      </c>
      <c r="B63" t="s">
        <v>82</v>
      </c>
      <c r="C63" s="7" t="s">
        <v>617</v>
      </c>
      <c r="D63" s="7">
        <v>0.0019</v>
      </c>
      <c r="E63" s="7">
        <v>0.0003</v>
      </c>
      <c r="F63" s="7"/>
      <c r="G63" s="7" t="s">
        <v>552</v>
      </c>
      <c r="H63" s="19">
        <v>75</v>
      </c>
    </row>
    <row r="64" spans="1:8" ht="12.75">
      <c r="A64" s="7" t="s">
        <v>610</v>
      </c>
      <c r="B64" t="s">
        <v>82</v>
      </c>
      <c r="C64" s="7" t="s">
        <v>617</v>
      </c>
      <c r="D64" s="7">
        <v>0.0011</v>
      </c>
      <c r="E64" s="7">
        <v>0.0002</v>
      </c>
      <c r="F64" s="7"/>
      <c r="G64" s="7" t="s">
        <v>552</v>
      </c>
      <c r="H64" s="19">
        <v>40</v>
      </c>
    </row>
    <row r="65" spans="1:8" ht="12.75">
      <c r="A65" s="7" t="s">
        <v>611</v>
      </c>
      <c r="B65" t="s">
        <v>82</v>
      </c>
      <c r="C65" s="7" t="s">
        <v>620</v>
      </c>
      <c r="D65" s="7">
        <v>0.0028</v>
      </c>
      <c r="E65" s="7">
        <v>0.0005</v>
      </c>
      <c r="F65" s="7"/>
      <c r="G65" s="7" t="s">
        <v>552</v>
      </c>
      <c r="H65" s="19">
        <v>75</v>
      </c>
    </row>
    <row r="66" spans="1:8" ht="12.75">
      <c r="A66" s="34" t="s">
        <v>568</v>
      </c>
      <c r="B66" t="s">
        <v>81</v>
      </c>
      <c r="C66" s="34" t="s">
        <v>575</v>
      </c>
      <c r="D66" s="34">
        <v>11.305</v>
      </c>
      <c r="E66" s="34">
        <v>2.0976</v>
      </c>
      <c r="F66" s="34">
        <v>4</v>
      </c>
      <c r="G66" s="34">
        <v>40</v>
      </c>
      <c r="H66" s="214"/>
    </row>
    <row r="67" spans="1:8" ht="12.75">
      <c r="A67" s="34" t="s">
        <v>569</v>
      </c>
      <c r="B67" t="s">
        <v>81</v>
      </c>
      <c r="C67" s="34" t="s">
        <v>575</v>
      </c>
      <c r="D67" s="34">
        <v>21.7347</v>
      </c>
      <c r="E67" s="34">
        <v>3.0315</v>
      </c>
      <c r="F67" s="34">
        <v>4</v>
      </c>
      <c r="G67" s="34">
        <v>40</v>
      </c>
      <c r="H67" s="214"/>
    </row>
    <row r="68" spans="1:8" ht="12.75">
      <c r="A68" s="34" t="s">
        <v>570</v>
      </c>
      <c r="B68" t="s">
        <v>81</v>
      </c>
      <c r="C68" s="34" t="s">
        <v>575</v>
      </c>
      <c r="D68" s="34">
        <v>11.3025</v>
      </c>
      <c r="E68" s="34">
        <v>1.9335</v>
      </c>
      <c r="F68" s="34">
        <v>4</v>
      </c>
      <c r="G68" s="34">
        <v>40</v>
      </c>
      <c r="H68" s="214"/>
    </row>
    <row r="69" spans="1:8" ht="12.75">
      <c r="A69" s="34" t="s">
        <v>612</v>
      </c>
      <c r="B69" t="s">
        <v>81</v>
      </c>
      <c r="C69" s="34" t="s">
        <v>575</v>
      </c>
      <c r="D69" s="34">
        <f>3*20</f>
        <v>60</v>
      </c>
      <c r="E69" s="34">
        <f>20*0.234</f>
        <v>4.680000000000001</v>
      </c>
      <c r="F69" s="34">
        <v>1.25</v>
      </c>
      <c r="G69" s="34">
        <v>80</v>
      </c>
      <c r="H69" s="214"/>
    </row>
    <row r="70" spans="1:8" ht="12.75">
      <c r="A70" s="34" t="s">
        <v>613</v>
      </c>
      <c r="B70" t="s">
        <v>81</v>
      </c>
      <c r="C70" s="34" t="s">
        <v>575</v>
      </c>
      <c r="D70" s="34">
        <f>0.8278*20</f>
        <v>16.556</v>
      </c>
      <c r="E70" s="34">
        <f>20*0.0372</f>
        <v>0.744</v>
      </c>
      <c r="F70" s="34">
        <v>1.25</v>
      </c>
      <c r="G70" s="34">
        <v>80</v>
      </c>
      <c r="H70" s="214"/>
    </row>
    <row r="71" spans="1:8" ht="12.75">
      <c r="A71" s="34" t="s">
        <v>614</v>
      </c>
      <c r="B71" t="s">
        <v>81</v>
      </c>
      <c r="C71" s="34" t="s">
        <v>575</v>
      </c>
      <c r="D71" s="34">
        <f>20*2.542</f>
        <v>50.839999999999996</v>
      </c>
      <c r="E71" s="34"/>
      <c r="F71" s="34">
        <v>1.25</v>
      </c>
      <c r="G71" s="34">
        <v>80</v>
      </c>
      <c r="H71" s="214"/>
    </row>
    <row r="72" spans="1:8" ht="12.75">
      <c r="A72" s="34" t="s">
        <v>615</v>
      </c>
      <c r="B72" t="s">
        <v>81</v>
      </c>
      <c r="C72" s="34" t="s">
        <v>575</v>
      </c>
      <c r="D72" s="34">
        <f>20*1.7064</f>
        <v>34.128</v>
      </c>
      <c r="E72" s="34">
        <f>20*0.218</f>
        <v>4.36</v>
      </c>
      <c r="F72" s="34">
        <v>1.25</v>
      </c>
      <c r="G72" s="34">
        <v>80</v>
      </c>
      <c r="H72" s="214"/>
    </row>
    <row r="73" spans="1:8" ht="12.75">
      <c r="A73" s="7" t="s">
        <v>616</v>
      </c>
      <c r="B73" t="s">
        <v>82</v>
      </c>
      <c r="C73" s="7" t="s">
        <v>617</v>
      </c>
      <c r="D73" s="7">
        <v>0.0015</v>
      </c>
      <c r="E73" s="7">
        <v>0.0003</v>
      </c>
      <c r="F73" s="7"/>
      <c r="G73" s="7" t="s">
        <v>552</v>
      </c>
      <c r="H73" s="19">
        <v>50</v>
      </c>
    </row>
    <row r="74" spans="1:8" ht="12.75">
      <c r="A74" s="34" t="s">
        <v>571</v>
      </c>
      <c r="B74" t="s">
        <v>81</v>
      </c>
      <c r="C74" s="34" t="s">
        <v>575</v>
      </c>
      <c r="D74" s="34">
        <v>12.3574</v>
      </c>
      <c r="E74" s="34">
        <v>1.6399</v>
      </c>
      <c r="F74" s="34">
        <v>6</v>
      </c>
      <c r="G74" s="34">
        <v>17</v>
      </c>
      <c r="H74" s="214"/>
    </row>
    <row r="75" spans="1:8" ht="12.75">
      <c r="A75" s="7" t="s">
        <v>572</v>
      </c>
      <c r="B75" t="s">
        <v>81</v>
      </c>
      <c r="C75" s="7" t="s">
        <v>577</v>
      </c>
      <c r="D75" s="7">
        <v>0.7646</v>
      </c>
      <c r="E75" s="7">
        <v>0.1509</v>
      </c>
      <c r="F75" s="7">
        <v>60</v>
      </c>
      <c r="G75" s="7">
        <v>1</v>
      </c>
      <c r="H75" s="19"/>
    </row>
    <row r="76" spans="1:8" ht="12.75">
      <c r="A76" s="7" t="s">
        <v>573</v>
      </c>
      <c r="B76" t="s">
        <v>81</v>
      </c>
      <c r="C76" s="7" t="s">
        <v>578</v>
      </c>
      <c r="D76" s="7">
        <v>0.3495</v>
      </c>
      <c r="E76" s="7"/>
      <c r="F76" s="7">
        <v>60</v>
      </c>
      <c r="G76" s="7">
        <v>1</v>
      </c>
      <c r="H76" s="19"/>
    </row>
    <row r="77" spans="1:8" ht="12.75">
      <c r="A77" s="7" t="s">
        <v>574</v>
      </c>
      <c r="B77" t="s">
        <v>81</v>
      </c>
      <c r="C77" s="7" t="s">
        <v>578</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60" t="s">
        <v>632</v>
      </c>
      <c r="B81" s="501"/>
      <c r="C81" s="23"/>
      <c r="D81" s="22"/>
      <c r="E81" s="22"/>
      <c r="F81" s="22"/>
      <c r="G81" s="22"/>
    </row>
    <row r="82" spans="1:7" ht="12.75">
      <c r="A82" s="578" t="s">
        <v>751</v>
      </c>
      <c r="B82" s="569" t="s">
        <v>626</v>
      </c>
      <c r="C82" s="576"/>
      <c r="D82" s="16"/>
      <c r="E82" s="5"/>
      <c r="F82" s="5"/>
      <c r="G82" s="5"/>
    </row>
    <row r="83" spans="1:7" ht="12.75">
      <c r="A83" s="579"/>
      <c r="B83" s="570"/>
      <c r="C83" s="577"/>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219</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220</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221</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224</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225</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60" t="s">
        <v>16</v>
      </c>
      <c r="B123" s="561"/>
      <c r="D123" s="379"/>
      <c r="E123" s="45"/>
      <c r="F123" s="378"/>
      <c r="G123" s="22"/>
    </row>
    <row r="124" spans="1:7" ht="12.75">
      <c r="A124" s="571" t="s">
        <v>17</v>
      </c>
      <c r="B124" s="562" t="s">
        <v>88</v>
      </c>
      <c r="D124" s="380"/>
      <c r="E124" s="381"/>
      <c r="F124" s="16"/>
      <c r="G124" s="5"/>
    </row>
    <row r="125" spans="1:7" ht="12.75">
      <c r="A125" s="572"/>
      <c r="B125" s="563"/>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58" t="s">
        <v>747</v>
      </c>
      <c r="B131" s="564"/>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58" t="s">
        <v>798</v>
      </c>
      <c r="B247" s="501"/>
      <c r="C247" s="501"/>
      <c r="D247" s="501"/>
      <c r="E247" s="513"/>
    </row>
    <row r="248" spans="1:5" ht="12.75">
      <c r="A248" s="28" t="s">
        <v>795</v>
      </c>
      <c r="B248" s="582" t="s">
        <v>796</v>
      </c>
      <c r="C248" s="583"/>
      <c r="D248" s="583"/>
      <c r="E248" s="228" t="s">
        <v>108</v>
      </c>
    </row>
    <row r="249" spans="1:5" ht="12.75">
      <c r="A249" s="223" t="s">
        <v>91</v>
      </c>
      <c r="B249" s="224">
        <v>28</v>
      </c>
      <c r="C249" s="573" t="s">
        <v>244</v>
      </c>
      <c r="D249" s="574"/>
      <c r="E249" s="6" t="s">
        <v>242</v>
      </c>
    </row>
    <row r="250" spans="1:5" ht="12.75">
      <c r="A250" s="31" t="s">
        <v>95</v>
      </c>
      <c r="B250" s="32">
        <v>10</v>
      </c>
      <c r="C250" s="567" t="s">
        <v>797</v>
      </c>
      <c r="D250" s="575"/>
      <c r="E250" s="7" t="s">
        <v>107</v>
      </c>
    </row>
    <row r="251" spans="1:5" ht="12.75">
      <c r="A251" s="31" t="s">
        <v>93</v>
      </c>
      <c r="B251" s="32">
        <v>9</v>
      </c>
      <c r="C251" s="567" t="s">
        <v>797</v>
      </c>
      <c r="D251" s="575"/>
      <c r="E251" s="7" t="s">
        <v>107</v>
      </c>
    </row>
    <row r="252" spans="1:5" ht="12.75">
      <c r="A252" s="33" t="s">
        <v>94</v>
      </c>
      <c r="B252" s="222">
        <v>7</v>
      </c>
      <c r="C252" s="565" t="s">
        <v>797</v>
      </c>
      <c r="D252" s="566"/>
      <c r="E252" s="8" t="s">
        <v>107</v>
      </c>
    </row>
    <row r="253" spans="1:5" ht="12.75">
      <c r="A253" s="58" t="s">
        <v>92</v>
      </c>
      <c r="B253" s="58">
        <v>36</v>
      </c>
      <c r="C253" s="573" t="s">
        <v>244</v>
      </c>
      <c r="D253" s="574"/>
      <c r="E253" s="405" t="s">
        <v>242</v>
      </c>
    </row>
    <row r="254" spans="1:5" ht="12.75">
      <c r="A254" s="104" t="s">
        <v>89</v>
      </c>
      <c r="B254" s="105">
        <v>11</v>
      </c>
      <c r="C254" s="586" t="s">
        <v>797</v>
      </c>
      <c r="D254" s="574"/>
      <c r="E254" s="7" t="s">
        <v>107</v>
      </c>
    </row>
    <row r="255" spans="1:5" ht="12.75">
      <c r="A255" s="33" t="s">
        <v>90</v>
      </c>
      <c r="B255" s="222">
        <v>14</v>
      </c>
      <c r="C255" s="565" t="s">
        <v>797</v>
      </c>
      <c r="D255" s="566"/>
      <c r="E255" s="8" t="s">
        <v>107</v>
      </c>
    </row>
    <row r="256" spans="1:5" ht="12.75">
      <c r="A256" s="225" t="s">
        <v>49</v>
      </c>
      <c r="B256" s="423">
        <v>12</v>
      </c>
      <c r="C256" s="160" t="s">
        <v>797</v>
      </c>
      <c r="D256" s="422"/>
      <c r="E256" s="7" t="s">
        <v>107</v>
      </c>
    </row>
    <row r="257" spans="1:5" ht="12.75">
      <c r="A257" s="11" t="s">
        <v>96</v>
      </c>
      <c r="B257" s="106">
        <v>30</v>
      </c>
      <c r="C257" s="573" t="s">
        <v>244</v>
      </c>
      <c r="D257" s="574"/>
      <c r="E257" s="6" t="s">
        <v>242</v>
      </c>
    </row>
    <row r="258" spans="1:5" ht="12.75">
      <c r="A258" s="32" t="s">
        <v>97</v>
      </c>
      <c r="B258" s="32">
        <v>25</v>
      </c>
      <c r="C258" s="567" t="s">
        <v>244</v>
      </c>
      <c r="D258" s="568"/>
      <c r="E258" s="7" t="s">
        <v>242</v>
      </c>
    </row>
    <row r="259" spans="1:5" ht="12.75">
      <c r="A259" s="32" t="s">
        <v>98</v>
      </c>
      <c r="B259" s="32">
        <v>40</v>
      </c>
      <c r="C259" s="567" t="s">
        <v>244</v>
      </c>
      <c r="D259" s="568"/>
      <c r="E259" s="7" t="s">
        <v>242</v>
      </c>
    </row>
    <row r="260" spans="1:5" ht="12.75">
      <c r="A260" s="32" t="s">
        <v>99</v>
      </c>
      <c r="B260" s="32">
        <v>50</v>
      </c>
      <c r="C260" s="567" t="s">
        <v>244</v>
      </c>
      <c r="D260" s="568"/>
      <c r="E260" s="7" t="s">
        <v>242</v>
      </c>
    </row>
    <row r="261" spans="1:5" ht="12.75">
      <c r="A261" s="12" t="s">
        <v>100</v>
      </c>
      <c r="B261" s="12">
        <v>40</v>
      </c>
      <c r="C261" s="567" t="s">
        <v>244</v>
      </c>
      <c r="D261" s="568"/>
      <c r="E261" s="7" t="s">
        <v>242</v>
      </c>
    </row>
    <row r="262" spans="1:5" ht="12.75">
      <c r="A262" s="11" t="s">
        <v>101</v>
      </c>
      <c r="B262" s="12">
        <v>37</v>
      </c>
      <c r="C262" s="567" t="s">
        <v>797</v>
      </c>
      <c r="D262" s="568"/>
      <c r="E262" s="7" t="s">
        <v>107</v>
      </c>
    </row>
    <row r="263" spans="1:5" ht="12.75">
      <c r="A263" s="12" t="s">
        <v>106</v>
      </c>
      <c r="B263" s="58">
        <v>43</v>
      </c>
      <c r="C263" s="567" t="s">
        <v>797</v>
      </c>
      <c r="D263" s="568"/>
      <c r="E263" s="7" t="s">
        <v>107</v>
      </c>
    </row>
    <row r="264" spans="1:5" ht="12.75">
      <c r="A264" s="58" t="s">
        <v>102</v>
      </c>
      <c r="B264" s="58">
        <v>79</v>
      </c>
      <c r="C264" s="567" t="s">
        <v>797</v>
      </c>
      <c r="D264" s="568"/>
      <c r="E264" s="7" t="s">
        <v>107</v>
      </c>
    </row>
    <row r="265" spans="1:5" ht="12.75">
      <c r="A265" s="58" t="s">
        <v>103</v>
      </c>
      <c r="B265" s="58">
        <v>66</v>
      </c>
      <c r="C265" s="567" t="s">
        <v>797</v>
      </c>
      <c r="D265" s="568"/>
      <c r="E265" s="7" t="s">
        <v>107</v>
      </c>
    </row>
    <row r="266" spans="1:5" ht="12.75">
      <c r="A266" s="58" t="s">
        <v>104</v>
      </c>
      <c r="B266" s="58">
        <v>52</v>
      </c>
      <c r="C266" s="567" t="s">
        <v>797</v>
      </c>
      <c r="D266" s="568"/>
      <c r="E266" s="7" t="s">
        <v>107</v>
      </c>
    </row>
    <row r="267" spans="1:5" ht="12.75">
      <c r="A267" s="58" t="s">
        <v>105</v>
      </c>
      <c r="B267" s="58">
        <v>73</v>
      </c>
      <c r="C267" s="567" t="s">
        <v>797</v>
      </c>
      <c r="D267" s="568"/>
      <c r="E267" s="7" t="s">
        <v>107</v>
      </c>
    </row>
    <row r="268" spans="1:5" ht="12.75">
      <c r="A268" s="428" t="s">
        <v>513</v>
      </c>
      <c r="B268" s="434">
        <v>0</v>
      </c>
      <c r="C268" s="430" t="s">
        <v>797</v>
      </c>
      <c r="D268" s="426"/>
      <c r="E268" s="432" t="s">
        <v>107</v>
      </c>
    </row>
    <row r="269" spans="1:5" ht="12.75">
      <c r="A269" s="429" t="s">
        <v>514</v>
      </c>
      <c r="B269" s="435">
        <v>0</v>
      </c>
      <c r="C269" s="431" t="s">
        <v>244</v>
      </c>
      <c r="D269" s="427"/>
      <c r="E269" s="433" t="s">
        <v>242</v>
      </c>
    </row>
    <row r="270" spans="1:5" ht="12.75">
      <c r="A270" s="225">
        <v>0</v>
      </c>
      <c r="B270" s="226">
        <v>0</v>
      </c>
      <c r="C270" s="580">
        <v>0</v>
      </c>
      <c r="D270" s="581"/>
      <c r="E270" s="145"/>
    </row>
    <row r="271" spans="1:4" ht="12.75">
      <c r="A271" s="58"/>
      <c r="B271" s="58"/>
      <c r="C271" s="58"/>
      <c r="D271" s="58"/>
    </row>
    <row r="272" spans="1:2" ht="12.75">
      <c r="A272" s="25"/>
      <c r="B272" s="24"/>
    </row>
    <row r="273" spans="1:5" ht="15">
      <c r="A273" s="584" t="s">
        <v>799</v>
      </c>
      <c r="B273" s="585"/>
      <c r="D273" s="238"/>
      <c r="E273" s="22"/>
    </row>
    <row r="274" spans="1:5" ht="12.75">
      <c r="A274" s="29" t="s">
        <v>801</v>
      </c>
      <c r="B274" s="30" t="s">
        <v>800</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7:D257"/>
    <mergeCell ref="A273:B273"/>
    <mergeCell ref="C262:D262"/>
    <mergeCell ref="C254:D254"/>
    <mergeCell ref="C249:D249"/>
    <mergeCell ref="C258:D258"/>
    <mergeCell ref="C263:D263"/>
    <mergeCell ref="C264:D264"/>
    <mergeCell ref="C270:D270"/>
    <mergeCell ref="C259:D259"/>
    <mergeCell ref="C267:D267"/>
    <mergeCell ref="C260:D260"/>
    <mergeCell ref="C261:D261"/>
    <mergeCell ref="C266:D266"/>
    <mergeCell ref="B82:B83"/>
    <mergeCell ref="C265:D265"/>
    <mergeCell ref="A124:A125"/>
    <mergeCell ref="C253:D253"/>
    <mergeCell ref="C250:D250"/>
    <mergeCell ref="C82:C83"/>
    <mergeCell ref="C251:D251"/>
    <mergeCell ref="A247:E247"/>
    <mergeCell ref="A82:A83"/>
    <mergeCell ref="A2:H2"/>
    <mergeCell ref="A123:B123"/>
    <mergeCell ref="B124:B125"/>
    <mergeCell ref="A131:B131"/>
    <mergeCell ref="C252:D252"/>
    <mergeCell ref="C255:D255"/>
    <mergeCell ref="A81:B81"/>
    <mergeCell ref="B248:D24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58" t="s">
        <v>841</v>
      </c>
      <c r="B33" s="501"/>
      <c r="C33" s="501"/>
      <c r="D33" s="501"/>
      <c r="E33" s="501"/>
      <c r="F33" s="513"/>
      <c r="G33" s="201"/>
    </row>
    <row r="34" spans="1:7" ht="12.75" customHeight="1">
      <c r="A34" s="591" t="s">
        <v>817</v>
      </c>
      <c r="B34" s="587" t="s">
        <v>215</v>
      </c>
      <c r="C34" s="591" t="s">
        <v>24</v>
      </c>
      <c r="D34" s="589" t="s">
        <v>211</v>
      </c>
      <c r="E34" s="589" t="s">
        <v>212</v>
      </c>
      <c r="F34" s="589" t="s">
        <v>213</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156</v>
      </c>
      <c r="B41" s="91" t="s">
        <v>830</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58" t="s">
        <v>387</v>
      </c>
      <c r="B60" s="501"/>
      <c r="C60" s="501"/>
      <c r="D60" s="501"/>
      <c r="E60" s="501"/>
      <c r="F60" s="513"/>
    </row>
    <row r="61" spans="1:7" ht="38.25">
      <c r="A61" s="597" t="s">
        <v>817</v>
      </c>
      <c r="B61" s="600" t="s">
        <v>40</v>
      </c>
      <c r="C61" s="595" t="s">
        <v>25</v>
      </c>
      <c r="D61" s="62" t="s">
        <v>211</v>
      </c>
      <c r="E61" s="62" t="s">
        <v>212</v>
      </c>
      <c r="F61" s="62" t="s">
        <v>213</v>
      </c>
      <c r="G61" s="199"/>
    </row>
    <row r="62" spans="1:7" ht="12.75">
      <c r="A62" s="598"/>
      <c r="B62" s="598"/>
      <c r="C62" s="595"/>
      <c r="D62" s="63" t="s">
        <v>838</v>
      </c>
      <c r="E62" s="63" t="s">
        <v>838</v>
      </c>
      <c r="F62" s="63" t="s">
        <v>838</v>
      </c>
      <c r="G62" s="200"/>
    </row>
    <row r="63" spans="1:7" ht="12.75">
      <c r="A63" s="598"/>
      <c r="B63" s="598"/>
      <c r="C63" s="595"/>
      <c r="D63" s="64" t="s">
        <v>818</v>
      </c>
      <c r="E63" s="64" t="s">
        <v>818</v>
      </c>
      <c r="F63" s="64" t="s">
        <v>818</v>
      </c>
      <c r="G63" s="200"/>
    </row>
    <row r="64" spans="1:7" ht="13.5" thickBot="1">
      <c r="A64" s="599"/>
      <c r="B64" s="599"/>
      <c r="C64" s="596"/>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3" t="s">
        <v>278</v>
      </c>
      <c r="B145" s="594"/>
      <c r="C145" s="594"/>
      <c r="D145" s="594"/>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214</v>
      </c>
      <c r="C163" s="7" t="s">
        <v>262</v>
      </c>
      <c r="D163" s="344" t="str">
        <f t="shared" si="2"/>
        <v>Carbon SequestrationConventional till</v>
      </c>
      <c r="E163" s="338" t="s">
        <v>269</v>
      </c>
    </row>
    <row r="164" spans="2:5" ht="12.75">
      <c r="B164" s="31" t="s">
        <v>214</v>
      </c>
      <c r="C164" s="7" t="s">
        <v>264</v>
      </c>
      <c r="D164" s="344" t="str">
        <f t="shared" si="2"/>
        <v>Carbon SequestrationConservation till</v>
      </c>
      <c r="E164" s="338" t="s">
        <v>270</v>
      </c>
    </row>
    <row r="165" spans="2:5" ht="12.75">
      <c r="B165" s="31" t="s">
        <v>214</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2016-02-10T20:40:24Z</dcterms:modified>
  <cp:category/>
  <cp:version/>
  <cp:contentType/>
  <cp:contentStatus/>
</cp:coreProperties>
</file>