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480" yWindow="120" windowWidth="11340" windowHeight="8835" tabRatio="571"/>
  </bookViews>
  <sheets>
    <sheet name="CREDIT CALCULATION FORM" sheetId="1" r:id="rId1"/>
    <sheet name="Calculations- All Data" sheetId="4" r:id="rId2"/>
    <sheet name="Data Tables" sheetId="2" r:id="rId3"/>
    <sheet name="BMPs and Bay Model Data" sheetId="3" r:id="rId4"/>
  </sheets>
  <definedNames>
    <definedName name="_ftn1" localSheetId="3">'BMPs and Bay Model Data'!#REF!</definedName>
    <definedName name="_ftnref1" localSheetId="3">'BMPs and Bay Model Data'!$B$61</definedName>
  </definedNames>
  <calcPr calcId="145621"/>
</workbook>
</file>

<file path=xl/calcChain.xml><?xml version="1.0" encoding="utf-8"?>
<calcChain xmlns="http://schemas.openxmlformats.org/spreadsheetml/2006/main">
  <c r="J56" i="4" l="1"/>
  <c r="J57" i="4" s="1"/>
  <c r="F56" i="4"/>
  <c r="F57" i="4" s="1"/>
  <c r="F44" i="4"/>
  <c r="F40" i="4"/>
  <c r="F41" i="4" s="1"/>
  <c r="G42" i="4" s="1"/>
  <c r="F46" i="4"/>
  <c r="F48" i="4" s="1"/>
  <c r="F45" i="4"/>
  <c r="J45" i="4" s="1"/>
  <c r="K45" i="4" s="1"/>
  <c r="L45" i="4"/>
  <c r="F43" i="4"/>
  <c r="E144" i="4"/>
  <c r="F149" i="4"/>
  <c r="F47" i="4"/>
  <c r="F177" i="4" s="1"/>
  <c r="J62" i="4"/>
  <c r="F60" i="4"/>
  <c r="F66" i="4"/>
  <c r="F67" i="4"/>
  <c r="F61" i="4"/>
  <c r="F68" i="4" s="1"/>
  <c r="F62" i="4"/>
  <c r="F65" i="4"/>
  <c r="F87" i="4"/>
  <c r="F90" i="4" s="1"/>
  <c r="F86" i="4"/>
  <c r="F93" i="4" s="1"/>
  <c r="F94" i="4" s="1"/>
  <c r="F92" i="4"/>
  <c r="F88" i="4"/>
  <c r="F91" i="4"/>
  <c r="F74" i="4"/>
  <c r="F73" i="4"/>
  <c r="F80" i="4" s="1"/>
  <c r="F81" i="4" s="1"/>
  <c r="F79" i="4"/>
  <c r="F75" i="4"/>
  <c r="F78" i="4"/>
  <c r="F105" i="4"/>
  <c r="F106" i="4"/>
  <c r="F107" i="4" s="1"/>
  <c r="F109" i="4" s="1"/>
  <c r="F103" i="4"/>
  <c r="F104" i="4" s="1"/>
  <c r="J60" i="4"/>
  <c r="J67" i="4" s="1"/>
  <c r="J66" i="4"/>
  <c r="J61" i="4"/>
  <c r="J64" i="4" s="1"/>
  <c r="J69" i="4" s="1"/>
  <c r="J60" i="1" s="1"/>
  <c r="J65" i="4"/>
  <c r="J87" i="4"/>
  <c r="J90" i="4" s="1"/>
  <c r="J95" i="4" s="1"/>
  <c r="J81" i="1" s="1"/>
  <c r="J86" i="4"/>
  <c r="J92" i="4"/>
  <c r="J93" i="4"/>
  <c r="J88" i="4"/>
  <c r="J91" i="4"/>
  <c r="J74" i="4"/>
  <c r="J77" i="4" s="1"/>
  <c r="J82" i="4" s="1"/>
  <c r="J70" i="1" s="1"/>
  <c r="J73" i="4"/>
  <c r="J79" i="4"/>
  <c r="J80" i="4"/>
  <c r="J75" i="4"/>
  <c r="J78" i="4"/>
  <c r="F151" i="4"/>
  <c r="E157" i="4"/>
  <c r="E158" i="4"/>
  <c r="F158" i="4"/>
  <c r="L158" i="4" s="1"/>
  <c r="F165" i="4"/>
  <c r="H157" i="4"/>
  <c r="J157" i="4"/>
  <c r="B25" i="4"/>
  <c r="F179" i="4" s="1"/>
  <c r="G177" i="1" s="1"/>
  <c r="E145" i="4"/>
  <c r="E146" i="4"/>
  <c r="E147" i="4"/>
  <c r="G147" i="4"/>
  <c r="K147" i="4" s="1"/>
  <c r="L147" i="4" s="1"/>
  <c r="F161" i="4"/>
  <c r="F27" i="4"/>
  <c r="F29" i="4"/>
  <c r="F30" i="4" s="1"/>
  <c r="F32" i="4"/>
  <c r="F28" i="4"/>
  <c r="F49" i="4"/>
  <c r="H158" i="4"/>
  <c r="J158" i="4"/>
  <c r="G180" i="1"/>
  <c r="F4" i="4"/>
  <c r="F21" i="4"/>
  <c r="F20" i="4"/>
  <c r="F11" i="4"/>
  <c r="F10" i="4"/>
  <c r="F5" i="4"/>
  <c r="F8" i="4"/>
  <c r="F9" i="4"/>
  <c r="B19" i="4"/>
  <c r="F108" i="4"/>
  <c r="D148" i="3"/>
  <c r="D149" i="3"/>
  <c r="D150" i="3"/>
  <c r="D151" i="3"/>
  <c r="D152" i="3"/>
  <c r="D153" i="3"/>
  <c r="D154" i="3"/>
  <c r="D155" i="3"/>
  <c r="D156" i="3"/>
  <c r="D157" i="3"/>
  <c r="D158" i="3"/>
  <c r="D159" i="3"/>
  <c r="D160" i="3"/>
  <c r="C65" i="3"/>
  <c r="C66" i="3"/>
  <c r="C67" i="3"/>
  <c r="C68" i="3"/>
  <c r="C69" i="3"/>
  <c r="C70" i="3"/>
  <c r="C71" i="3"/>
  <c r="C72" i="3"/>
  <c r="C73" i="3"/>
  <c r="C74" i="3"/>
  <c r="C75" i="3"/>
  <c r="C76" i="3"/>
  <c r="C77" i="3"/>
  <c r="C78" i="3"/>
  <c r="C79" i="3"/>
  <c r="C80" i="3"/>
  <c r="C81" i="3"/>
  <c r="C82" i="3"/>
  <c r="C83" i="3"/>
  <c r="C84" i="3"/>
  <c r="C85" i="3"/>
  <c r="C86" i="3"/>
  <c r="C87" i="3"/>
  <c r="C88" i="3"/>
  <c r="C89" i="3"/>
  <c r="C90" i="3"/>
  <c r="C91" i="3"/>
  <c r="C92" i="3"/>
  <c r="C93" i="3"/>
  <c r="C94" i="3"/>
  <c r="C95" i="3"/>
  <c r="C96" i="3"/>
  <c r="C97" i="3"/>
  <c r="C41" i="3"/>
  <c r="C42" i="3"/>
  <c r="C43" i="3"/>
  <c r="C44" i="3"/>
  <c r="C48" i="3"/>
  <c r="C49" i="3"/>
  <c r="C50" i="3"/>
  <c r="C51" i="3"/>
  <c r="C142" i="3"/>
  <c r="C141" i="3"/>
  <c r="C140" i="3"/>
  <c r="C139" i="3"/>
  <c r="C138" i="3"/>
  <c r="C137" i="3"/>
  <c r="C136" i="3"/>
  <c r="C135" i="3"/>
  <c r="C134" i="3"/>
  <c r="C133" i="3"/>
  <c r="C132" i="3"/>
  <c r="C131" i="3"/>
  <c r="C130" i="3"/>
  <c r="C129" i="3"/>
  <c r="C128" i="3"/>
  <c r="C127" i="3"/>
  <c r="C126" i="3"/>
  <c r="C125" i="3"/>
  <c r="C124" i="3"/>
  <c r="C123" i="3"/>
  <c r="C122" i="3"/>
  <c r="C121" i="3"/>
  <c r="C120" i="3"/>
  <c r="C119" i="3"/>
  <c r="C118" i="3"/>
  <c r="C117" i="3"/>
  <c r="C116" i="3"/>
  <c r="C115" i="3"/>
  <c r="C114" i="3"/>
  <c r="C113" i="3"/>
  <c r="C112" i="3"/>
  <c r="C111" i="3"/>
  <c r="C110" i="3"/>
  <c r="C109" i="3"/>
  <c r="C108" i="3"/>
  <c r="C107" i="3"/>
  <c r="C106" i="3"/>
  <c r="C105" i="3"/>
  <c r="C104" i="3"/>
  <c r="C103" i="3"/>
  <c r="C102" i="3"/>
  <c r="C101" i="3"/>
  <c r="C100" i="3"/>
  <c r="C99" i="3"/>
  <c r="C98" i="3"/>
  <c r="D166" i="3"/>
  <c r="D165" i="3"/>
  <c r="D164" i="3"/>
  <c r="D163" i="3"/>
  <c r="D162" i="3"/>
  <c r="D161" i="3"/>
  <c r="H40" i="1"/>
  <c r="F89" i="4"/>
  <c r="J89" i="4"/>
  <c r="K79" i="1"/>
  <c r="K91" i="4" s="1"/>
  <c r="J63" i="4"/>
  <c r="F63" i="4"/>
  <c r="K78" i="1"/>
  <c r="K90" i="4"/>
  <c r="G78" i="1"/>
  <c r="G90" i="4" s="1"/>
  <c r="K67" i="1"/>
  <c r="K76" i="4" s="1"/>
  <c r="K77" i="4"/>
  <c r="G67" i="1"/>
  <c r="G77" i="4" s="1"/>
  <c r="K57" i="1"/>
  <c r="K64" i="4"/>
  <c r="G57" i="1"/>
  <c r="G64" i="4" s="1"/>
  <c r="K89" i="4"/>
  <c r="G79" i="1"/>
  <c r="G91" i="4" s="1"/>
  <c r="K68" i="1"/>
  <c r="K78" i="4" s="1"/>
  <c r="G68" i="1"/>
  <c r="G78" i="4"/>
  <c r="G76" i="4"/>
  <c r="K58" i="1"/>
  <c r="K65" i="4"/>
  <c r="K63" i="4"/>
  <c r="G58" i="1"/>
  <c r="G65" i="4" s="1"/>
  <c r="E72" i="2"/>
  <c r="E70" i="2"/>
  <c r="E69" i="2"/>
  <c r="D72" i="2"/>
  <c r="D71" i="2"/>
  <c r="D70" i="2"/>
  <c r="D69" i="2"/>
  <c r="D80" i="1"/>
  <c r="D69" i="1"/>
  <c r="B59" i="1"/>
  <c r="J76" i="4"/>
  <c r="F76" i="4"/>
  <c r="D92" i="4"/>
  <c r="D79" i="4"/>
  <c r="D66" i="4"/>
  <c r="J81" i="4"/>
  <c r="J94" i="4"/>
  <c r="J96" i="4" s="1"/>
  <c r="F77" i="4"/>
  <c r="F82" i="4" s="1"/>
  <c r="F70" i="1" s="1"/>
  <c r="F162" i="4"/>
  <c r="K158" i="4"/>
  <c r="F157" i="4"/>
  <c r="K157" i="4" s="1"/>
  <c r="G175" i="1" l="1"/>
  <c r="G145" i="4"/>
  <c r="K145" i="4" s="1"/>
  <c r="L145" i="4" s="1"/>
  <c r="L157" i="4"/>
  <c r="F166" i="4" s="1"/>
  <c r="G144" i="4"/>
  <c r="K144" i="4" s="1"/>
  <c r="L144" i="4" s="1"/>
  <c r="G146" i="4"/>
  <c r="K146" i="4" s="1"/>
  <c r="L146" i="4" s="1"/>
  <c r="F111" i="4"/>
  <c r="F105" i="1" s="1"/>
  <c r="G121" i="1"/>
  <c r="G129" i="1"/>
  <c r="F130" i="4"/>
  <c r="G126" i="1" s="1"/>
  <c r="G44" i="4"/>
  <c r="J83" i="4"/>
  <c r="J71" i="1" s="1"/>
  <c r="F95" i="4"/>
  <c r="F81" i="1" s="1"/>
  <c r="J82" i="1"/>
  <c r="F83" i="4"/>
  <c r="F71" i="1" s="1"/>
  <c r="F96" i="4"/>
  <c r="F51" i="1"/>
  <c r="J51" i="1"/>
  <c r="F135" i="4"/>
  <c r="G132" i="1" s="1"/>
  <c r="J68" i="4"/>
  <c r="J70" i="4" s="1"/>
  <c r="J61" i="1" s="1"/>
  <c r="F42" i="4"/>
  <c r="F116" i="4" s="1"/>
  <c r="G112" i="1" s="1"/>
  <c r="G89" i="4"/>
  <c r="G63" i="4"/>
  <c r="F31" i="4"/>
  <c r="F64" i="4"/>
  <c r="F69" i="4" s="1"/>
  <c r="F60" i="1" l="1"/>
  <c r="F98" i="4"/>
  <c r="F70" i="4"/>
  <c r="F61" i="1" s="1"/>
  <c r="F82" i="1"/>
  <c r="F99" i="4" l="1"/>
  <c r="F85" i="1"/>
  <c r="J98" i="4"/>
  <c r="J85" i="1" s="1"/>
  <c r="F117" i="4" l="1"/>
  <c r="F86" i="1"/>
  <c r="J99" i="4"/>
  <c r="G113" i="1" l="1"/>
  <c r="F123" i="4"/>
  <c r="J86" i="1"/>
  <c r="F118" i="4"/>
  <c r="F119" i="4" l="1"/>
  <c r="F124" i="4"/>
  <c r="G114" i="1"/>
  <c r="G115" i="1" l="1"/>
  <c r="F120" i="4"/>
  <c r="G119" i="1"/>
  <c r="F125" i="4"/>
  <c r="F126" i="4" l="1"/>
  <c r="G120" i="1"/>
  <c r="G116" i="1"/>
  <c r="F129" i="4"/>
  <c r="G125" i="1" l="1"/>
  <c r="F132" i="4"/>
  <c r="G122" i="1"/>
  <c r="G128" i="1" l="1"/>
  <c r="F133" i="4"/>
  <c r="F134" i="4" l="1"/>
  <c r="G131" i="1" s="1"/>
  <c r="G130" i="1"/>
  <c r="F136" i="4" l="1"/>
  <c r="G134" i="1" l="1"/>
  <c r="F137" i="4"/>
  <c r="G133" i="1" l="1"/>
  <c r="F153" i="4"/>
  <c r="F154" i="4" l="1"/>
  <c r="F163" i="4" l="1"/>
  <c r="F168" i="4" s="1"/>
  <c r="F171" i="4" s="1"/>
  <c r="F166" i="1" l="1"/>
  <c r="F176" i="4"/>
  <c r="F178" i="4" l="1"/>
  <c r="G174" i="1"/>
  <c r="F180" i="4" l="1"/>
  <c r="F181" i="4" s="1"/>
  <c r="G176" i="1"/>
  <c r="F184" i="4" l="1"/>
  <c r="F185" i="4" s="1"/>
  <c r="G181" i="1" s="1"/>
  <c r="G178" i="1"/>
</calcChain>
</file>

<file path=xl/comments1.xml><?xml version="1.0" encoding="utf-8"?>
<comments xmlns="http://schemas.openxmlformats.org/spreadsheetml/2006/main">
  <authors>
    <author>Jenny Guiling</author>
  </authors>
  <commentList>
    <comment ref="F123" authorId="0">
      <text>
        <r>
          <rPr>
            <sz val="8"/>
            <color indexed="81"/>
            <rFont val="Tahoma"/>
            <family val="2"/>
          </rPr>
          <t>Determines how many pounds do not count toward credits depending on the amount currently applied OVER PSU recommended limits. 
[(current N available)-(PSU Rate)]*(1+percentage of N applied but not available for crop uptake)
negative #s = an INCREASE in N application!</t>
        </r>
      </text>
    </comment>
    <comment ref="F124" authorId="0">
      <text>
        <r>
          <rPr>
            <sz val="8"/>
            <color indexed="81"/>
            <rFont val="Tahoma"/>
            <family val="2"/>
          </rPr>
          <t>Subtracts Applied N from current, and then subtracts amount of N applied over PSU recommended rates (calculated in cell above) from this amount because this amount cannot generate credits.  Also changes all "-" #s to "0"</t>
        </r>
      </text>
    </comment>
    <comment ref="F132" authorId="0">
      <text>
        <r>
          <rPr>
            <sz val="8"/>
            <color indexed="81"/>
            <rFont val="Tahoma"/>
            <family val="2"/>
          </rPr>
          <t>(Nitrogen Load - Crop Uptake) using PLANNED available N, if that is changing.
If N Load &lt; Crop Uptake, then the load on the field is calculated as:
N Load on Field - Available N
This is because this portion of N is in a form that is never taken up by crops-- therefore this amount should always be available for runoff on the field, even when N Load &lt; Crop Uptake.</t>
        </r>
      </text>
    </comment>
    <comment ref="F134" authorId="0">
      <text>
        <r>
          <rPr>
            <sz val="8"/>
            <color indexed="81"/>
            <rFont val="Tahoma"/>
            <family val="2"/>
          </rPr>
          <t>The lookup for this value can be found in cells J46-L46. The percentage efficiencies for conservation and no-till are multiplied by the EOS Nitrogen Load in the cell above.</t>
        </r>
      </text>
    </comment>
    <comment ref="F135" authorId="0">
      <text>
        <r>
          <rPr>
            <sz val="8"/>
            <color indexed="81"/>
            <rFont val="Tahoma"/>
            <family val="2"/>
          </rPr>
          <t xml:space="preserve">There are 2 reductions for Buffers, and they are added together here. The first reduction is applied to 4 upland acres only. This percentage is found in cell F30. The next reduction is applied to the landuse conversion of the actual buffer itself (from row crops).  This efficiency is found in cell F32. These reductions are applied to a baseline that has already been reduced depending on the tillage methods.
</t>
        </r>
      </text>
    </comment>
  </commentList>
</comments>
</file>

<file path=xl/comments2.xml><?xml version="1.0" encoding="utf-8"?>
<comments xmlns="http://schemas.openxmlformats.org/spreadsheetml/2006/main">
  <authors>
    <author>Jenny Guiling</author>
  </authors>
  <commentList>
    <comment ref="D3" authorId="0">
      <text>
        <r>
          <rPr>
            <sz val="8"/>
            <color indexed="81"/>
            <rFont val="Tahoma"/>
            <family val="2"/>
          </rPr>
          <t>Data taken from USDA Plant Crop Nutrient Tool and assumes average moisture percentages at time of harvest.  
http://npk.nrcs.usda.gov/</t>
        </r>
      </text>
    </comment>
    <comment ref="E3" authorId="0">
      <text>
        <r>
          <rPr>
            <sz val="8"/>
            <color indexed="81"/>
            <rFont val="Tahoma"/>
            <family val="2"/>
          </rPr>
          <t xml:space="preserve">Data taken from USDA Plant Crop Nutrient Tool and assumes average moisture percentages at time of harvest.  
http://npk.nrcs.usda.gov/
</t>
        </r>
      </text>
    </comment>
    <comment ref="F3" authorId="0">
      <text>
        <r>
          <rPr>
            <sz val="8"/>
            <color indexed="81"/>
            <rFont val="Tahoma"/>
            <family val="2"/>
          </rPr>
          <t xml:space="preserve">PSU Agronomy Guide Table 1.2.6 "N Recommendations for Agronomic Crops" - Used for normal row crops.
</t>
        </r>
      </text>
    </comment>
    <comment ref="G3" authorId="0">
      <text>
        <r>
          <rPr>
            <sz val="8"/>
            <color indexed="81"/>
            <rFont val="Tahoma"/>
            <family val="2"/>
          </rPr>
          <t xml:space="preserve">PSU Agronomy Guide Table 1.2.6 "N Recommendations for Agronomic Crops" - Used for normal row crops.
</t>
        </r>
      </text>
    </comment>
    <comment ref="H3" authorId="0">
      <text>
        <r>
          <rPr>
            <sz val="8"/>
            <color indexed="81"/>
            <rFont val="Tahoma"/>
            <family val="2"/>
          </rPr>
          <t xml:space="preserve">Fruit, Vegetable, and recommendationsfor  everything else come from- AASL Handbooks http://www.aasl.psu.edu/SOILRecHdbks.HTM
(Understood that these app rates are higher than Agronomy Guide rates, however this is the best available for PA.)
This uses an average yield, so recommendations are on a lbs/ac basis.
</t>
        </r>
      </text>
    </comment>
    <comment ref="D7" authorId="0">
      <text>
        <r>
          <rPr>
            <b/>
            <sz val="8"/>
            <color indexed="81"/>
            <rFont val="Tahoma"/>
            <family val="2"/>
          </rPr>
          <t>6-row @ 30% moisture value used</t>
        </r>
      </text>
    </comment>
    <comment ref="D8" authorId="0">
      <text>
        <r>
          <rPr>
            <b/>
            <sz val="8"/>
            <color indexed="81"/>
            <rFont val="Tahoma"/>
            <family val="2"/>
          </rPr>
          <t>6-row uptake value used</t>
        </r>
      </text>
    </comment>
    <comment ref="D30" authorId="0">
      <text>
        <r>
          <rPr>
            <b/>
            <sz val="8"/>
            <color indexed="81"/>
            <rFont val="Tahoma"/>
            <family val="2"/>
          </rPr>
          <t>75% moisture value used</t>
        </r>
        <r>
          <rPr>
            <sz val="8"/>
            <color indexed="81"/>
            <rFont val="Tahoma"/>
            <family val="2"/>
          </rPr>
          <t xml:space="preserve">
</t>
        </r>
      </text>
    </comment>
    <comment ref="D51" authorId="0">
      <text>
        <r>
          <rPr>
            <b/>
            <sz val="8"/>
            <color indexed="81"/>
            <rFont val="Tahoma"/>
            <family val="2"/>
          </rPr>
          <t>30% moisture value used</t>
        </r>
      </text>
    </comment>
    <comment ref="D54" authorId="0">
      <text>
        <r>
          <rPr>
            <b/>
            <sz val="8"/>
            <color indexed="81"/>
            <rFont val="Tahoma"/>
            <family val="2"/>
          </rPr>
          <t>35% moisture value used</t>
        </r>
        <r>
          <rPr>
            <sz val="8"/>
            <color indexed="81"/>
            <rFont val="Tahoma"/>
            <family val="2"/>
          </rPr>
          <t xml:space="preserve">
</t>
        </r>
      </text>
    </comment>
    <comment ref="D58" authorId="0">
      <text>
        <r>
          <rPr>
            <b/>
            <sz val="8"/>
            <color indexed="81"/>
            <rFont val="Tahoma"/>
            <family val="2"/>
          </rPr>
          <t>80% moisture value used</t>
        </r>
        <r>
          <rPr>
            <sz val="8"/>
            <color indexed="81"/>
            <rFont val="Tahoma"/>
            <family val="2"/>
          </rPr>
          <t xml:space="preserve">
</t>
        </r>
      </text>
    </comment>
    <comment ref="A81" authorId="0">
      <text>
        <r>
          <rPr>
            <sz val="8"/>
            <color indexed="81"/>
            <rFont val="Tahoma"/>
            <family val="2"/>
          </rPr>
          <t>Penn State Agronomy Guide, Table 1.2.8</t>
        </r>
      </text>
    </comment>
    <comment ref="A123" authorId="0">
      <text>
        <r>
          <rPr>
            <sz val="8"/>
            <color indexed="81"/>
            <rFont val="Tahoma"/>
            <family val="2"/>
          </rPr>
          <t xml:space="preserve">Table is from Duke Adams (PA DEP) and Doug Beegle (Penn State).  These will be the new standards for residuals from manure.
</t>
        </r>
      </text>
    </comment>
    <comment ref="A131" authorId="0">
      <text>
        <r>
          <rPr>
            <sz val="8"/>
            <color indexed="81"/>
            <rFont val="Tahoma"/>
            <family val="2"/>
          </rPr>
          <t xml:space="preserve">From Table 1.1.1 Agronomy Guide. Used for Residual contribution from legumes table.
</t>
        </r>
      </text>
    </comment>
    <comment ref="A247" authorId="0">
      <text>
        <r>
          <rPr>
            <sz val="8"/>
            <color indexed="81"/>
            <rFont val="Tahoma"/>
            <family val="2"/>
          </rPr>
          <t xml:space="preserve">Information from this chart is taken from table 1.2.13 of the Penn State Agronomy Guide
</t>
        </r>
      </text>
    </comment>
    <comment ref="A273" authorId="0">
      <text>
        <r>
          <rPr>
            <sz val="8"/>
            <color indexed="81"/>
            <rFont val="Tahoma"/>
            <family val="2"/>
          </rPr>
          <t>From table 1.2.14 of the Penn State Agronomy Guide</t>
        </r>
      </text>
    </comment>
  </commentList>
</comments>
</file>

<file path=xl/comments3.xml><?xml version="1.0" encoding="utf-8"?>
<comments xmlns="http://schemas.openxmlformats.org/spreadsheetml/2006/main">
  <authors>
    <author>Jenny Guiling</author>
  </authors>
  <commentList>
    <comment ref="D3" authorId="0">
      <text>
        <r>
          <rPr>
            <sz val="8"/>
            <color indexed="81"/>
            <rFont val="Tahoma"/>
            <family val="2"/>
          </rPr>
          <t>Based on 2003 Implementation Model Run. Source: Ann Smith, Pa DEP (9/28/2005) and handed out by Duke Adams at Pa Ag. Workgroup meeting</t>
        </r>
      </text>
    </comment>
    <comment ref="E3" authorId="0">
      <text>
        <r>
          <rPr>
            <sz val="8"/>
            <color indexed="81"/>
            <rFont val="Tahoma"/>
            <family val="2"/>
          </rPr>
          <t xml:space="preserve">Data comes from DRAFT- 7/18/2006 document "Estimated Portion of Model Input Load that Becomes the Edge-of-Segment Load" Faxed to WRI on 10/5/06 by Duke Adams.
</t>
        </r>
      </text>
    </comment>
    <comment ref="F3" authorId="0">
      <text>
        <r>
          <rPr>
            <sz val="8"/>
            <color indexed="81"/>
            <rFont val="Tahoma"/>
            <family val="2"/>
          </rPr>
          <t xml:space="preserve">Based on 2003 Implementation Model Run. Source: Ann Smith, Pa DEP (9/28/2005) and handed out by Duke Adams at Pa Ag. Workgroup meeting
</t>
        </r>
      </text>
    </comment>
    <comment ref="A38" authorId="0">
      <text>
        <r>
          <rPr>
            <sz val="8"/>
            <color indexed="81"/>
            <rFont val="Tahoma"/>
            <family val="2"/>
          </rPr>
          <t>According to CBM: Solely structural practices such as installation of grass waterways in areas with concentrated flow, terraces, diversions, drop structures, etc.
**THESE EFFICIENCIES ARE CURRENTLY NOT ABLE TO GENERATE CREDITS.</t>
        </r>
      </text>
    </comment>
    <comment ref="E41" authorId="0">
      <text>
        <r>
          <rPr>
            <sz val="8"/>
            <color indexed="81"/>
            <rFont val="Tahoma"/>
            <family val="2"/>
          </rPr>
          <t xml:space="preserve">There are additional break-down's in P efficiencies depending on tillage (conservation vs. no-till vs. conventional till)  --&gt; look at Bay Model efficiencies sheet again for these since it's not broken down here.
</t>
        </r>
      </text>
    </comment>
    <comment ref="D48" authorId="0">
      <text>
        <r>
          <rPr>
            <sz val="8"/>
            <color indexed="81"/>
            <rFont val="Tahoma"/>
            <family val="2"/>
          </rPr>
          <t>These efficiencies are from going from conservation till to no-till. (not from going from conventional to no-till)</t>
        </r>
      </text>
    </comment>
    <comment ref="D49" authorId="0">
      <text>
        <r>
          <rPr>
            <sz val="8"/>
            <color indexed="81"/>
            <rFont val="Tahoma"/>
            <family val="2"/>
          </rPr>
          <t xml:space="preserve">These efficiencies are from going from conservation till to no-till. (not from going from conventional to no-till)
</t>
        </r>
      </text>
    </comment>
    <comment ref="D50" authorId="0">
      <text>
        <r>
          <rPr>
            <sz val="8"/>
            <color indexed="81"/>
            <rFont val="Tahoma"/>
            <family val="2"/>
          </rPr>
          <t>These efficiencies are from going from conservation till to no-till. (not from going from conventional to no-till)</t>
        </r>
      </text>
    </comment>
    <comment ref="D51" authorId="0">
      <text>
        <r>
          <rPr>
            <sz val="8"/>
            <color indexed="81"/>
            <rFont val="Tahoma"/>
            <family val="2"/>
          </rPr>
          <t xml:space="preserve">These efficiencies are from going from conservation till to no-till. (not from going from conventional to no-till)
</t>
        </r>
      </text>
    </comment>
    <comment ref="A54" authorId="0">
      <text>
        <r>
          <rPr>
            <sz val="8"/>
            <color indexed="81"/>
            <rFont val="Tahoma"/>
            <family val="2"/>
          </rPr>
          <t>THIS EFFICIENCY IS CURRENTLY NOT ABLE TO GENERATE CREDITS.</t>
        </r>
      </text>
    </comment>
    <comment ref="A60" authorId="0">
      <text>
        <r>
          <rPr>
            <sz val="8"/>
            <color indexed="81"/>
            <rFont val="Tahoma"/>
            <family val="2"/>
          </rPr>
          <t>This efficiency should be applied to the landuse loading of the upland acres specified.  An additional landuse conversion efficiency is applied to the land being converted to Buffers/wetland (Table 3)
This data originates from Kenn Pattison via Randal Adams (both MDE). Data is from the 1985 CBM reference load.</t>
        </r>
      </text>
    </comment>
    <comment ref="A145" authorId="0">
      <text>
        <r>
          <rPr>
            <sz val="8"/>
            <color indexed="81"/>
            <rFont val="Tahoma"/>
            <family val="2"/>
          </rPr>
          <t>Based on 1985 CBM Reference Loads provided by Kenn Pattison (MDE) on 1/3, 2007.
% landuse change efficiencies were determined by dividing the landuse loading rates by watershed segment.</t>
        </r>
      </text>
    </comment>
  </commentList>
</comments>
</file>

<file path=xl/sharedStrings.xml><?xml version="1.0" encoding="utf-8"?>
<sst xmlns="http://schemas.openxmlformats.org/spreadsheetml/2006/main" count="1890" uniqueCount="881">
  <si>
    <t>Nitrogen Load to reach EOF (after N application changes):</t>
  </si>
  <si>
    <t xml:space="preserve">N Reduction for Conservation or Continuous No-Till: </t>
  </si>
  <si>
    <t xml:space="preserve">lbs/ac/yr     </t>
  </si>
  <si>
    <r>
      <t>Current crop:</t>
    </r>
    <r>
      <rPr>
        <vertAlign val="superscript"/>
        <sz val="10"/>
        <rFont val="Arial"/>
        <family val="2"/>
      </rPr>
      <t>1</t>
    </r>
  </si>
  <si>
    <r>
      <t>4. Nitrogen Application</t>
    </r>
    <r>
      <rPr>
        <b/>
        <vertAlign val="superscript"/>
        <sz val="11"/>
        <rFont val="Arial"/>
        <family val="2"/>
      </rPr>
      <t>1</t>
    </r>
  </si>
  <si>
    <r>
      <t>Nitrogen applied from commercial fertilizer:</t>
    </r>
    <r>
      <rPr>
        <vertAlign val="superscript"/>
        <sz val="10"/>
        <rFont val="Arial"/>
        <family val="2"/>
      </rPr>
      <t>2</t>
    </r>
  </si>
  <si>
    <t>2. Please total up all commercial fertilizer applications over the year and include them here.</t>
  </si>
  <si>
    <r>
      <t>7. Planned Nitrogen Reductions- Best Management Practices</t>
    </r>
    <r>
      <rPr>
        <b/>
        <vertAlign val="superscript"/>
        <sz val="11"/>
        <rFont val="Arial"/>
        <family val="2"/>
      </rPr>
      <t>1</t>
    </r>
  </si>
  <si>
    <r>
      <t>A 35 ft riparian buffer is installed or is currently in place.</t>
    </r>
    <r>
      <rPr>
        <vertAlign val="superscript"/>
        <sz val="10"/>
        <rFont val="Arial"/>
        <family val="2"/>
      </rPr>
      <t>**</t>
    </r>
  </si>
  <si>
    <t>A 35 ft riparian buffer is installed or is currently in place.**</t>
  </si>
  <si>
    <t>If a 35 ft or greater riparian buffer is currently in place, please fill out the next question below:</t>
  </si>
  <si>
    <t>If a 35 ft riparian buffer is currently in place, please fill out the next question below:</t>
  </si>
  <si>
    <t>4. Nitrogen Application</t>
  </si>
  <si>
    <t>Current</t>
  </si>
  <si>
    <t>Planned</t>
  </si>
  <si>
    <t>Manure application rate:</t>
  </si>
  <si>
    <t>Manure Application Rate:</t>
  </si>
  <si>
    <t>a</t>
  </si>
  <si>
    <t>1.</t>
  </si>
  <si>
    <t>b</t>
  </si>
  <si>
    <t>if other, please explain:</t>
  </si>
  <si>
    <t>Who has verified compliance in part (a.):</t>
  </si>
  <si>
    <t>Baseline Requirements to Generate Credits</t>
  </si>
  <si>
    <t>2.</t>
  </si>
  <si>
    <t>Threshold Requirements to Generate Credits</t>
  </si>
  <si>
    <t>There are no surface waters within 100 ft of farm.</t>
  </si>
  <si>
    <t>Farm uses no manure application and applies commercial fertilizer at or below the Penn State recommended agronomic rates</t>
  </si>
  <si>
    <t>A 100 ft manure application setback is followed; Manure is not mechanically applied within 100 ft of surface water.</t>
  </si>
  <si>
    <t>None of the above are applicable; a reduction of 20% in the farm's overall nutrient balance will be taken beyond baseline compliance.</t>
  </si>
  <si>
    <t>3.</t>
  </si>
  <si>
    <t>Current Crop</t>
  </si>
  <si>
    <t>Acres</t>
  </si>
  <si>
    <t>Expected Yield</t>
  </si>
  <si>
    <t xml:space="preserve">Crop   </t>
  </si>
  <si>
    <t xml:space="preserve"> </t>
  </si>
  <si>
    <t xml:space="preserve">Corn-Field, for silage (mature) </t>
  </si>
  <si>
    <t xml:space="preserve">Grass, for green chop </t>
  </si>
  <si>
    <t xml:space="preserve">Grass, for hay </t>
  </si>
  <si>
    <t xml:space="preserve">Oat, for grain (not including Pacific Coast) </t>
  </si>
  <si>
    <t xml:space="preserve">Oat, for green chop </t>
  </si>
  <si>
    <t xml:space="preserve">Oat, straw (not including Pacific coast) </t>
  </si>
  <si>
    <t xml:space="preserve">Orchardgrass, for green chop </t>
  </si>
  <si>
    <t xml:space="preserve">Orchardgrass, for hay </t>
  </si>
  <si>
    <t xml:space="preserve">Rye, for grain </t>
  </si>
  <si>
    <t xml:space="preserve">Rye, for green chop </t>
  </si>
  <si>
    <t xml:space="preserve">Rye, for straw </t>
  </si>
  <si>
    <t xml:space="preserve">Sorghum, for grain </t>
  </si>
  <si>
    <t xml:space="preserve">Sorghum, for green chop </t>
  </si>
  <si>
    <t xml:space="preserve">Sorghum, for silage </t>
  </si>
  <si>
    <t xml:space="preserve">Sorghum/Sudangrass, for silage </t>
  </si>
  <si>
    <t xml:space="preserve">Timothy, for green chop </t>
  </si>
  <si>
    <t xml:space="preserve">Timothy, for hay </t>
  </si>
  <si>
    <t xml:space="preserve">Timothy, for silage </t>
  </si>
  <si>
    <t xml:space="preserve">Wheat, for green chop </t>
  </si>
  <si>
    <t xml:space="preserve">Wheat-Spelt, for grain </t>
  </si>
  <si>
    <t xml:space="preserve">Wheat-Spelt, for straw </t>
  </si>
  <si>
    <t xml:space="preserve">Wheat-Winter, for straw </t>
  </si>
  <si>
    <t>ton</t>
  </si>
  <si>
    <t>cwt</t>
  </si>
  <si>
    <t>bu</t>
  </si>
  <si>
    <t>lb straw/bu grain</t>
  </si>
  <si>
    <t>lb straw/cwt grain</t>
  </si>
  <si>
    <t xml:space="preserve">Asparagus-Green, for shoot or spear (immature) </t>
  </si>
  <si>
    <t xml:space="preserve">Asparagus-White, for shoot or spear (immature) </t>
  </si>
  <si>
    <t xml:space="preserve">Bean, for seed (dry) </t>
  </si>
  <si>
    <t xml:space="preserve">Bean-Faba, for pod with seeds (immature) </t>
  </si>
  <si>
    <t xml:space="preserve">Bean-Kidney, for seed </t>
  </si>
  <si>
    <t xml:space="preserve">Bean-Kidney, for straw </t>
  </si>
  <si>
    <t xml:space="preserve">Bean-Lima, for pod with seeds </t>
  </si>
  <si>
    <t xml:space="preserve">Bean-Lima, for seed </t>
  </si>
  <si>
    <t xml:space="preserve">Bean-Lima, for straw </t>
  </si>
  <si>
    <t xml:space="preserve">Bean-Navy, for seed </t>
  </si>
  <si>
    <t xml:space="preserve">Bean-Navy, for straw </t>
  </si>
  <si>
    <t xml:space="preserve">Bean-Snap for seed (dry) </t>
  </si>
  <si>
    <t xml:space="preserve">Brussel Sprouts, for bud </t>
  </si>
  <si>
    <t xml:space="preserve">Cabbage, for head (with outer leaves) </t>
  </si>
  <si>
    <t xml:space="preserve">Cabbage, for head (without outer leaves) </t>
  </si>
  <si>
    <t xml:space="preserve">Carrot, for root </t>
  </si>
  <si>
    <t xml:space="preserve">Celery-Green </t>
  </si>
  <si>
    <t xml:space="preserve">Chard-Swiss, for immature leaf </t>
  </si>
  <si>
    <t xml:space="preserve">Chive </t>
  </si>
  <si>
    <t xml:space="preserve">Corn-Sweet, for grain (dry) </t>
  </si>
  <si>
    <t xml:space="preserve">Cucumber, for fruit </t>
  </si>
  <si>
    <t xml:space="preserve">Eggplant, for fruit </t>
  </si>
  <si>
    <t xml:space="preserve">Onion-Dry (bulb) </t>
  </si>
  <si>
    <t xml:space="preserve">Potato-Irish for tuber </t>
  </si>
  <si>
    <t xml:space="preserve">Pumpkin </t>
  </si>
  <si>
    <t xml:space="preserve">Spinach </t>
  </si>
  <si>
    <t xml:space="preserve">Squash Straight neck, for immature fruit (summer) </t>
  </si>
  <si>
    <t xml:space="preserve">Squash-Acorn, for mature fruit (winter) </t>
  </si>
  <si>
    <t xml:space="preserve">Squash-Butternut, for mature fruit (winter) </t>
  </si>
  <si>
    <t xml:space="preserve">Squash-Zucchini, for immature fruit (summer) </t>
  </si>
  <si>
    <t xml:space="preserve">Strawberry </t>
  </si>
  <si>
    <t xml:space="preserve">Sweet Potato, for root </t>
  </si>
  <si>
    <t xml:space="preserve">Tobacco-Air cured, Burley type </t>
  </si>
  <si>
    <t xml:space="preserve">Tobacco-Air cured, Havana Seed type </t>
  </si>
  <si>
    <t xml:space="preserve">Tobacco-Air cured, Maryland Broadleaf type </t>
  </si>
  <si>
    <t xml:space="preserve">Tobacco-Flue-cured </t>
  </si>
  <si>
    <t xml:space="preserve">Tomato </t>
  </si>
  <si>
    <t>lb of fruit</t>
  </si>
  <si>
    <t>lb of stem</t>
  </si>
  <si>
    <t>lb of leaf</t>
  </si>
  <si>
    <t>lb of root</t>
  </si>
  <si>
    <t>lb of caryopsis</t>
  </si>
  <si>
    <t xml:space="preserve">Melon-Watermelon </t>
  </si>
  <si>
    <t xml:space="preserve">Corn-Field, for grain (shelled, yellow dent, grade #1) </t>
  </si>
  <si>
    <t>Yield Unit</t>
  </si>
  <si>
    <t>Typical Yield</t>
  </si>
  <si>
    <t>Nitrogen credit (lb/A)</t>
  </si>
  <si>
    <t xml:space="preserve">Soybeans </t>
  </si>
  <si>
    <t>Alfalfa &gt;50% stand</t>
  </si>
  <si>
    <t>Red clover or trefoil &gt;50% stand</t>
  </si>
  <si>
    <t>Alfalfa 25-49% stand</t>
  </si>
  <si>
    <t>Red clover or trefoil 25-49% stand</t>
  </si>
  <si>
    <t>Residual N Contribution from Legumes</t>
  </si>
  <si>
    <t>Manure Type:</t>
  </si>
  <si>
    <t xml:space="preserve">Calvin </t>
  </si>
  <si>
    <t xml:space="preserve">Cambridge </t>
  </si>
  <si>
    <t xml:space="preserve">Canfield </t>
  </si>
  <si>
    <t xml:space="preserve">Cavode </t>
  </si>
  <si>
    <t xml:space="preserve">Chenango </t>
  </si>
  <si>
    <t xml:space="preserve">Chester </t>
  </si>
  <si>
    <t xml:space="preserve">Chippewa </t>
  </si>
  <si>
    <t xml:space="preserve">Clarksburg </t>
  </si>
  <si>
    <t xml:space="preserve">Clymer </t>
  </si>
  <si>
    <t xml:space="preserve">Comly </t>
  </si>
  <si>
    <t xml:space="preserve">Conestoga </t>
  </si>
  <si>
    <t>Conotton</t>
  </si>
  <si>
    <t xml:space="preserve">Cookport </t>
  </si>
  <si>
    <t xml:space="preserve">Croton </t>
  </si>
  <si>
    <t xml:space="preserve">Culleoka </t>
  </si>
  <si>
    <t xml:space="preserve">DeKalb </t>
  </si>
  <si>
    <t xml:space="preserve">Dormont </t>
  </si>
  <si>
    <t xml:space="preserve">Duffield </t>
  </si>
  <si>
    <t xml:space="preserve">Duncannon </t>
  </si>
  <si>
    <t xml:space="preserve">Edgemont </t>
  </si>
  <si>
    <t>Edom</t>
  </si>
  <si>
    <t xml:space="preserve">Elliber </t>
  </si>
  <si>
    <t xml:space="preserve">Erie </t>
  </si>
  <si>
    <t xml:space="preserve">Ernest </t>
  </si>
  <si>
    <t xml:space="preserve">Fredon </t>
  </si>
  <si>
    <t xml:space="preserve">Frenchtown </t>
  </si>
  <si>
    <t xml:space="preserve">Gilpin </t>
  </si>
  <si>
    <t xml:space="preserve">Glenelg </t>
  </si>
  <si>
    <t xml:space="preserve">Glenville </t>
  </si>
  <si>
    <t>Guernsey</t>
  </si>
  <si>
    <t xml:space="preserve">Hagerstown </t>
  </si>
  <si>
    <t xml:space="preserve">Hanover </t>
  </si>
  <si>
    <t xml:space="preserve">Hartleton </t>
  </si>
  <si>
    <t xml:space="preserve">Hazelton </t>
  </si>
  <si>
    <t xml:space="preserve">Highfield </t>
  </si>
  <si>
    <t xml:space="preserve">Holly </t>
  </si>
  <si>
    <t xml:space="preserve">Hublersburg </t>
  </si>
  <si>
    <t xml:space="preserve">Huntington </t>
  </si>
  <si>
    <t xml:space="preserve">Klinesville </t>
  </si>
  <si>
    <t xml:space="preserve">Kreamer </t>
  </si>
  <si>
    <t xml:space="preserve">Lackawanna </t>
  </si>
  <si>
    <t xml:space="preserve">Laidig </t>
  </si>
  <si>
    <t xml:space="preserve">Langford </t>
  </si>
  <si>
    <t xml:space="preserve">Lansdale </t>
  </si>
  <si>
    <t xml:space="preserve">Leck Kill </t>
  </si>
  <si>
    <t xml:space="preserve">Lehigh </t>
  </si>
  <si>
    <t xml:space="preserve">Letort </t>
  </si>
  <si>
    <t>Lewisberry</t>
  </si>
  <si>
    <t xml:space="preserve">Lordstown </t>
  </si>
  <si>
    <t xml:space="preserve">Manor </t>
  </si>
  <si>
    <t xml:space="preserve">Mardin </t>
  </si>
  <si>
    <t xml:space="preserve">Meckesville </t>
  </si>
  <si>
    <t xml:space="preserve">Melvin </t>
  </si>
  <si>
    <t xml:space="preserve">Mertz </t>
  </si>
  <si>
    <t>Monongahela</t>
  </si>
  <si>
    <t xml:space="preserve">Morris </t>
  </si>
  <si>
    <t>Morrison</t>
  </si>
  <si>
    <t xml:space="preserve">Murrill </t>
  </si>
  <si>
    <t xml:space="preserve">Neshaminy </t>
  </si>
  <si>
    <t xml:space="preserve">Opequon </t>
  </si>
  <si>
    <t xml:space="preserve">Oquaga </t>
  </si>
  <si>
    <t xml:space="preserve">Penn </t>
  </si>
  <si>
    <t xml:space="preserve">Philo </t>
  </si>
  <si>
    <t xml:space="preserve">Platea </t>
  </si>
  <si>
    <t xml:space="preserve">Pope </t>
  </si>
  <si>
    <t xml:space="preserve">Rainsboro </t>
  </si>
  <si>
    <t xml:space="preserve">Ravenna </t>
  </si>
  <si>
    <t xml:space="preserve">Rayne </t>
  </si>
  <si>
    <t xml:space="preserve">Readington </t>
  </si>
  <si>
    <t xml:space="preserve">Reaville </t>
  </si>
  <si>
    <t>Red Hook</t>
  </si>
  <si>
    <t xml:space="preserve">Sheffield </t>
  </si>
  <si>
    <t>Shelmadine</t>
  </si>
  <si>
    <t xml:space="preserve">Swartswood </t>
  </si>
  <si>
    <t xml:space="preserve">Tunkhannock </t>
  </si>
  <si>
    <t xml:space="preserve">Tyler </t>
  </si>
  <si>
    <t xml:space="preserve">Upshur </t>
  </si>
  <si>
    <t>Venango</t>
  </si>
  <si>
    <t xml:space="preserve">Volusia </t>
  </si>
  <si>
    <t>Washington</t>
  </si>
  <si>
    <t>Watson</t>
  </si>
  <si>
    <t xml:space="preserve">Weikert </t>
  </si>
  <si>
    <t xml:space="preserve">Wellsboro </t>
  </si>
  <si>
    <t xml:space="preserve">Westmoreland </t>
  </si>
  <si>
    <t xml:space="preserve">Wharton </t>
  </si>
  <si>
    <t xml:space="preserve">Wheeling </t>
  </si>
  <si>
    <t xml:space="preserve">Wurtsboro </t>
  </si>
  <si>
    <t xml:space="preserve">Wyoming </t>
  </si>
  <si>
    <t>Abbottstown</t>
  </si>
  <si>
    <t xml:space="preserve">Albrights </t>
  </si>
  <si>
    <t xml:space="preserve">Allegheny </t>
  </si>
  <si>
    <t xml:space="preserve">Allenwood </t>
  </si>
  <si>
    <t xml:space="preserve">Alton </t>
  </si>
  <si>
    <t xml:space="preserve">Alvira </t>
  </si>
  <si>
    <t xml:space="preserve">Andover </t>
  </si>
  <si>
    <t xml:space="preserve">Armagh </t>
  </si>
  <si>
    <t xml:space="preserve">Atkins </t>
  </si>
  <si>
    <t>Barbour</t>
  </si>
  <si>
    <t xml:space="preserve">Basher </t>
  </si>
  <si>
    <t xml:space="preserve">Bath </t>
  </si>
  <si>
    <t>Bedington</t>
  </si>
  <si>
    <t xml:space="preserve">Berks </t>
  </si>
  <si>
    <t xml:space="preserve">Birdsall </t>
  </si>
  <si>
    <t xml:space="preserve">Birdsboro </t>
  </si>
  <si>
    <t xml:space="preserve">Blairton </t>
  </si>
  <si>
    <t xml:space="preserve">Bowmansville </t>
  </si>
  <si>
    <t xml:space="preserve">Braceville </t>
  </si>
  <si>
    <t xml:space="preserve">Brecknock </t>
  </si>
  <si>
    <t xml:space="preserve">Brinkerton </t>
  </si>
  <si>
    <t xml:space="preserve">Brooke </t>
  </si>
  <si>
    <t xml:space="preserve">Buchanan </t>
  </si>
  <si>
    <t xml:space="preserve">Bucks </t>
  </si>
  <si>
    <t>Soil Series</t>
  </si>
  <si>
    <t>PA Soil Properties</t>
  </si>
  <si>
    <t>Crop Productivity Group</t>
  </si>
  <si>
    <t>Alfalfa &lt;25% stand</t>
  </si>
  <si>
    <t>Red clover or trefoil &lt;25% stand</t>
  </si>
  <si>
    <t>Previous Crop (followed by Soil Productivity Group)</t>
  </si>
  <si>
    <t>1 lb N/bu soybeans</t>
  </si>
  <si>
    <t>Alfalfa &gt;50% stand1</t>
  </si>
  <si>
    <t>Alfalfa &gt;50% stand2</t>
  </si>
  <si>
    <t>Alfalfa &gt;50% stand3</t>
  </si>
  <si>
    <t>Alfalfa &gt;50% stand4</t>
  </si>
  <si>
    <t>Alfalfa &gt;50% stand5</t>
  </si>
  <si>
    <t>Alfalfa 25-49% stand1</t>
  </si>
  <si>
    <t>Alfalfa 25-49% stand2</t>
  </si>
  <si>
    <t>Alfalfa 25-49% stand3</t>
  </si>
  <si>
    <t>Alfalfa 25-49% stand4</t>
  </si>
  <si>
    <t>Alfalfa 25-49% stand5</t>
  </si>
  <si>
    <t>Alfalfa &lt;25% stand1</t>
  </si>
  <si>
    <t>Alfalfa &lt;25% stand2</t>
  </si>
  <si>
    <t>Alfalfa &lt;25% stand3</t>
  </si>
  <si>
    <t>Alfalfa &lt;25% stand4</t>
  </si>
  <si>
    <t>Alfalfa &lt;25% stand5</t>
  </si>
  <si>
    <t>Red clover or trefoil &gt;50% stand1</t>
  </si>
  <si>
    <t>Red clover or trefoil &gt;50% stand2</t>
  </si>
  <si>
    <t>Red clover or trefoil &gt;50% stand3</t>
  </si>
  <si>
    <t>Red clover or trefoil &gt;50% stand4</t>
  </si>
  <si>
    <t xml:space="preserve">Is "N Available- Planned" greater than PSU Recommended Rate? </t>
  </si>
  <si>
    <t>Is farm able to generate credits?</t>
  </si>
  <si>
    <t>Red clover or trefoil &gt;50% stand5</t>
  </si>
  <si>
    <t>Red clover or trefoil 25-49% stand1</t>
  </si>
  <si>
    <t>Red clover or trefoil 25-49% stand2</t>
  </si>
  <si>
    <t>Red clover or trefoil 25-49% stand3</t>
  </si>
  <si>
    <t>Red clover or trefoil 25-49% stand4</t>
  </si>
  <si>
    <t>Red clover or trefoil 25-49% stand5</t>
  </si>
  <si>
    <t>Red clover or trefoil &lt;25% stand1</t>
  </si>
  <si>
    <t>Red clover or trefoil &lt;25% stand2</t>
  </si>
  <si>
    <t>Red clover or trefoil &lt;25% stand3</t>
  </si>
  <si>
    <t>Red clover or trefoil &lt;25% stand4</t>
  </si>
  <si>
    <t>Red clover or trefoil &lt;25% stand5</t>
  </si>
  <si>
    <t>Watershed Model Segment Number</t>
  </si>
  <si>
    <t>lbs/ac</t>
  </si>
  <si>
    <t>Poultry</t>
  </si>
  <si>
    <t>Beef</t>
  </si>
  <si>
    <t>Dairy- Solid</t>
  </si>
  <si>
    <t>Dairy- Liquid Slurry</t>
  </si>
  <si>
    <t>If so, N concentration in manure</t>
  </si>
  <si>
    <t>lbs N/</t>
  </si>
  <si>
    <t>Do you have a recent manure analysis test?</t>
  </si>
  <si>
    <t>If not, N concentration in manure</t>
  </si>
  <si>
    <t>Manure Type</t>
  </si>
  <si>
    <t>Average N Concentration</t>
  </si>
  <si>
    <t>lbs/ton</t>
  </si>
  <si>
    <t>Nutrient Content of Manure</t>
  </si>
  <si>
    <t>Manure Nitrogen Availability Factors</t>
  </si>
  <si>
    <t>Factor</t>
  </si>
  <si>
    <t>time of year/application management</t>
  </si>
  <si>
    <t>spring/summer- same day incorporation</t>
  </si>
  <si>
    <t>spring/summer- incorporation within 1 day</t>
  </si>
  <si>
    <t>spring/summer- no incorporation</t>
  </si>
  <si>
    <t>early fall- no incorporation</t>
  </si>
  <si>
    <t>early fall- incorporation within 2 days</t>
  </si>
  <si>
    <t>late fall/winter for spring utilization</t>
  </si>
  <si>
    <t>late fall/winter for summer utilization</t>
  </si>
  <si>
    <t>for Vlookup:</t>
  </si>
  <si>
    <t>N availability factor</t>
  </si>
  <si>
    <t>N applied from commercial fertilizer</t>
  </si>
  <si>
    <t>General Information</t>
  </si>
  <si>
    <t>5. Residual Nitrogen</t>
  </si>
  <si>
    <t>NONE</t>
  </si>
  <si>
    <t>Residual N from previous crop</t>
  </si>
  <si>
    <t>lbs/yr</t>
  </si>
  <si>
    <t>Agricultural BMPs</t>
  </si>
  <si>
    <t>applied to</t>
  </si>
  <si>
    <t>Coastal Plain Lowlands</t>
  </si>
  <si>
    <t>Coastal Plain Dissected Uplands</t>
  </si>
  <si>
    <t>Coastal Plain Uplands</t>
  </si>
  <si>
    <t>Piedmont Crystalline</t>
  </si>
  <si>
    <t>Blue Ridge</t>
  </si>
  <si>
    <t>Mesozoic Lowlands</t>
  </si>
  <si>
    <t>Piedmont Carbonate</t>
  </si>
  <si>
    <t>Valley and Ridge Carbonate</t>
  </si>
  <si>
    <t>Valley and Ridge Siliciclastic</t>
  </si>
  <si>
    <t>Appalachian Plateau Siliciclastic</t>
  </si>
  <si>
    <t>Conservation Plans on Pasture</t>
  </si>
  <si>
    <t>Early-Planting - Up to 7 days prior to published first frost date</t>
  </si>
  <si>
    <t>Off-stream Watering with Stream Fencing (Pasture)</t>
  </si>
  <si>
    <t>Off-stream Watering without Fencing (Pasture)</t>
  </si>
  <si>
    <t>N/A</t>
  </si>
  <si>
    <t>Below Fall Line</t>
  </si>
  <si>
    <t>Above Fall Line</t>
  </si>
  <si>
    <t>Wetland Restoration</t>
  </si>
  <si>
    <t xml:space="preserve">Off-stream Watering with Stream Fencing and Rotational Grazing (Pasture) </t>
  </si>
  <si>
    <t>LUC + (Efficiency</t>
  </si>
  <si>
    <t>4 upland acres)</t>
  </si>
  <si>
    <t>2 upland acres)</t>
  </si>
  <si>
    <t>Table 1: NPS BMP's that have been peer-reviewed and CBP approved for Phase 5.0 of the CBM (Rev.1/12/06)</t>
  </si>
  <si>
    <t>Precision Grazing</t>
  </si>
  <si>
    <t>Mortality Composters</t>
  </si>
  <si>
    <t>Horse Pasture Management</t>
  </si>
  <si>
    <t>(0.0046 lbs/ft)</t>
  </si>
  <si>
    <t>(3.32 lbs/ft)</t>
  </si>
  <si>
    <t>(0.0035 lbs/ft)</t>
  </si>
  <si>
    <t>(2.55 lbs/ft)</t>
  </si>
  <si>
    <t>Watershed</t>
  </si>
  <si>
    <t>Watershed Segment ID</t>
  </si>
  <si>
    <t>Nitrogen EOS</t>
  </si>
  <si>
    <t>Phosphorus EOS</t>
  </si>
  <si>
    <t>Phosphorus DF</t>
  </si>
  <si>
    <t>Nitrogen DF</t>
  </si>
  <si>
    <t>Potomac</t>
  </si>
  <si>
    <t>Fall Line</t>
  </si>
  <si>
    <t>Below</t>
  </si>
  <si>
    <t>Susquehanna</t>
  </si>
  <si>
    <t>Above</t>
  </si>
  <si>
    <t>Conservation Till</t>
  </si>
  <si>
    <t>Total N Reduction from BMP Implementation</t>
  </si>
  <si>
    <t xml:space="preserve">*Compliance can be determined through a site inspection or verification of the development and implementation of a Nutrient Management Plan, E&amp;S Plan (or an                       acceptable conservation plan), or Manure Management Plan, as applicable. </t>
  </si>
  <si>
    <t>Swine</t>
  </si>
  <si>
    <t>Credits/Year</t>
  </si>
  <si>
    <t>1. Source: Pennsylvania State Agronomy Guide and AASL Handbook.</t>
  </si>
  <si>
    <r>
      <t>PSU Recommended Nitrogen Application Rate:</t>
    </r>
    <r>
      <rPr>
        <vertAlign val="superscript"/>
        <sz val="10"/>
        <rFont val="Arial"/>
        <family val="2"/>
      </rPr>
      <t>1</t>
    </r>
  </si>
  <si>
    <r>
      <t>Edge of Field Nitrogen Reductions:</t>
    </r>
    <r>
      <rPr>
        <vertAlign val="superscript"/>
        <sz val="10"/>
        <rFont val="Arial"/>
        <family val="2"/>
      </rPr>
      <t>2</t>
    </r>
  </si>
  <si>
    <r>
      <t>EOS Nitrogen Reductions:</t>
    </r>
    <r>
      <rPr>
        <vertAlign val="superscript"/>
        <sz val="10"/>
        <rFont val="Arial"/>
        <family val="2"/>
      </rPr>
      <t xml:space="preserve">3                                          </t>
    </r>
  </si>
  <si>
    <t>3. The Edge of Segment (EOS) Nitrogen Reductions determines the amount of nitrogen reductions that reach the edge of the watershed segment from the farming field.  The EOS Ratio is derived from the Chesapeake Bay Model.</t>
  </si>
  <si>
    <t>5. Nitrogen uptake from crops varies by crop type and expected yield. Source: USDA Plant-Crop Nutrient Tool.</t>
  </si>
  <si>
    <r>
      <t>Nitrogen Uptake from Crop:</t>
    </r>
    <r>
      <rPr>
        <vertAlign val="superscript"/>
        <sz val="10"/>
        <rFont val="Arial"/>
        <family val="2"/>
      </rPr>
      <t>5</t>
    </r>
  </si>
  <si>
    <r>
      <t>Nitrogen Load to Reach Edge of Field:</t>
    </r>
    <r>
      <rPr>
        <vertAlign val="superscript"/>
        <sz val="10"/>
        <rFont val="Arial"/>
        <family val="2"/>
      </rPr>
      <t>6</t>
    </r>
  </si>
  <si>
    <r>
      <t>Total Nitrogen on Field- Planned:</t>
    </r>
    <r>
      <rPr>
        <vertAlign val="superscript"/>
        <sz val="10"/>
        <rFont val="Arial"/>
        <family val="2"/>
      </rPr>
      <t>4</t>
    </r>
  </si>
  <si>
    <t>4. Total Nitrogen on Field = [(Planned Total Nitrogen Applied) + (Total Nitrogen From Residuals)]</t>
  </si>
  <si>
    <t>The section below gives a snapshot of nitrogen application and loading rates. The first heading, "Nitrogen Reductions from Change in Application Rate," determines if any nitrogen credits are received from a reduction in nitrogen application rates. Nitrogen application rates used in this calculation are found in line 85 of this sheet. The second heading, "Nitrogen Loading Calculations," determines the amount of nitrogen available for runoff, and is calculated by subtracting the nitrogen uptake from the crop by the total nitrogen on the field (from applied nitrogen and residuals). BMPs chosen in Section 7 below are applied against the "Nitrogen Load to Reach Edge of Watershed Segment" calculated here to determine the nitrogen reductions achieved by the BMPs implemented.</t>
  </si>
  <si>
    <r>
      <t xml:space="preserve">2. Edge of Field Nitrogen Reductions= [(Current Nitrogen Applied)-(Planned Nitrogen Applied)]. </t>
    </r>
    <r>
      <rPr>
        <i/>
        <sz val="8"/>
        <rFont val="Arial"/>
        <family val="2"/>
      </rPr>
      <t>Credit is not received for the decrease in nitrogen applications that exceed PSU recommended application rates.</t>
    </r>
  </si>
  <si>
    <r>
      <t>This form will help assist the agricultural sector in determining how many nitrogen reduction credits may be generated from the implementation of particular Best Management Practices (BMPs). Calculations on this sheet are based on expected yield. This form should be completed and submitted to Pennsylvania Department of Environmental Protection (PA DEP) as part of a proposal to generate credits. A submitted proposal should follow the guidelines outlined in the Trading of Nutrient and Sediment Reduction Credits- Policy and Guidelines</t>
    </r>
    <r>
      <rPr>
        <vertAlign val="superscript"/>
        <sz val="10"/>
        <rFont val="Arial"/>
        <family val="2"/>
      </rPr>
      <t>1</t>
    </r>
    <r>
      <rPr>
        <sz val="10"/>
        <rFont val="Arial"/>
        <family val="2"/>
      </rPr>
      <t xml:space="preserve"> regarding submission criteria for approvals of activities that reduce nutrients and potentially create credits. Please check the PA DEP Nutrient Trading Website or Pennsylvania's Water Quality Trading Marketplace</t>
    </r>
    <r>
      <rPr>
        <vertAlign val="superscript"/>
        <sz val="10"/>
        <rFont val="Arial"/>
        <family val="2"/>
      </rPr>
      <t>2</t>
    </r>
    <r>
      <rPr>
        <sz val="10"/>
        <rFont val="Arial"/>
        <family val="2"/>
      </rPr>
      <t xml:space="preserve"> to ensure you are using the most up-to-date Credit Calculation Form.                                                                                                                                                                                                   
    </t>
    </r>
    <r>
      <rPr>
        <sz val="8"/>
        <rFont val="Arial"/>
        <family val="2"/>
      </rPr>
      <t>1. The Final Trading Policy can be found on the PA DEP Trading Program website at:http://www.dep.state.pa.us/river/river_trading.htm</t>
    </r>
    <r>
      <rPr>
        <sz val="10"/>
        <rFont val="Arial"/>
        <family val="2"/>
      </rPr>
      <t xml:space="preserve">
</t>
    </r>
    <r>
      <rPr>
        <b/>
        <i/>
        <sz val="10"/>
        <color indexed="52"/>
        <rFont val="Arial"/>
        <family val="2"/>
      </rPr>
      <t xml:space="preserve"> </t>
    </r>
    <r>
      <rPr>
        <sz val="10"/>
        <rFont val="Arial"/>
        <family val="2"/>
      </rPr>
      <t xml:space="preserve">  </t>
    </r>
    <r>
      <rPr>
        <sz val="8"/>
        <rFont val="Arial"/>
        <family val="2"/>
      </rPr>
      <t>2. Pennsylvania's Water Quality Trading Marketplace (http://pa.nutrientnet.org) is an online trading platform where users buy and sell credits under PA's Trading Program.</t>
    </r>
    <r>
      <rPr>
        <sz val="10"/>
        <rFont val="Arial"/>
        <family val="2"/>
      </rPr>
      <t xml:space="preserve">                                                                                                                                                                                                                                  </t>
    </r>
  </si>
  <si>
    <t>This form provides all of the underlying calculation information needed on the Credit Calculation Form. Users do not need to fill anything out on this page, or any of the subsequent Data Table pages.</t>
  </si>
  <si>
    <t>Total Nitrogen Applied and from Residuals- Planned:</t>
  </si>
  <si>
    <t>**In order to meet the threshold for a buffer, a minimum of 35 ft of permanent vegetation should be established and maintained between the field and surface water. The area can be grazed or cropped under a specific management plan, however permanent vegetation must be maintained at all times;  Permanent vegetative buffers greater than 50 ft in width may qualify to generate nutrient reduction credits.</t>
  </si>
  <si>
    <t xml:space="preserve">Please select one of the following statements below to determine whether threshold requirements for trading have been met. </t>
  </si>
  <si>
    <t xml:space="preserve"> per acre</t>
  </si>
  <si>
    <r>
      <t xml:space="preserve">lbs/ac </t>
    </r>
    <r>
      <rPr>
        <sz val="10"/>
        <color indexed="10"/>
        <rFont val="Arial"/>
        <family val="2"/>
      </rPr>
      <t xml:space="preserve">   </t>
    </r>
  </si>
  <si>
    <t>1. Baseline Requirements to Generate Credits</t>
  </si>
  <si>
    <t>2. Threshold Requirements to Generate Credits</t>
  </si>
  <si>
    <t>3. General Information</t>
  </si>
  <si>
    <t>Manure type:</t>
  </si>
  <si>
    <t>Expected yield:</t>
  </si>
  <si>
    <t>If so, nitrogen concentration in manure:</t>
  </si>
  <si>
    <t>Residual N from previous crop:</t>
  </si>
  <si>
    <t>Yield if soybeans provide residual nitrogen:</t>
  </si>
  <si>
    <t>a.</t>
  </si>
  <si>
    <t>b.</t>
  </si>
  <si>
    <t>c.</t>
  </si>
  <si>
    <t>d.</t>
  </si>
  <si>
    <t>Residual N  from Manure</t>
  </si>
  <si>
    <t>Frequency of manure application in past (followed by manure type)</t>
  </si>
  <si>
    <t>Frequency of past manure applications:</t>
  </si>
  <si>
    <t xml:space="preserve">Residuals from manure: </t>
  </si>
  <si>
    <t>Total Nitrogen from Residuals:</t>
  </si>
  <si>
    <t xml:space="preserve">Total N from Residuals: </t>
  </si>
  <si>
    <t>Type of Buffer</t>
  </si>
  <si>
    <t>Riparian Forest Buffer</t>
  </si>
  <si>
    <t>Concatenated version (for V-Lookup)</t>
  </si>
  <si>
    <t>Concatenated version            (for V-Lookup)</t>
  </si>
  <si>
    <t>Riparian Grass Buffer</t>
  </si>
  <si>
    <t>EOS Nitrogen Reductions from BMP Implementation:</t>
  </si>
  <si>
    <t>Conservation Plans on Conventional till</t>
  </si>
  <si>
    <t>Conservation Plans on Conservation Till and Hay</t>
  </si>
  <si>
    <t>Water Control Structure</t>
  </si>
  <si>
    <t>Mortality Composter</t>
  </si>
  <si>
    <t>Stream Restoration on Conventional Till and Pasture</t>
  </si>
  <si>
    <t>Stream Restoration on Conservation Till, Hay</t>
  </si>
  <si>
    <t>ft</t>
  </si>
  <si>
    <t xml:space="preserve">Total feet of streambank to be restored: </t>
  </si>
  <si>
    <t>Date:</t>
  </si>
  <si>
    <t>Name:</t>
  </si>
  <si>
    <t>Organization:</t>
  </si>
  <si>
    <t>Phone Number:</t>
  </si>
  <si>
    <t>WSM Segment:</t>
  </si>
  <si>
    <t>Acres of Current Crop:</t>
  </si>
  <si>
    <t>Time of Year</t>
  </si>
  <si>
    <t>Time of Year:</t>
  </si>
  <si>
    <t>Same day incorporation</t>
  </si>
  <si>
    <t>Incorporation within 1 day</t>
  </si>
  <si>
    <t>No incorporation</t>
  </si>
  <si>
    <t>Incorporation within 2 days</t>
  </si>
  <si>
    <t>Spring</t>
  </si>
  <si>
    <t>Horse</t>
  </si>
  <si>
    <t>COWS/HORSE (OTHER)</t>
  </si>
  <si>
    <t>Summer</t>
  </si>
  <si>
    <t>Spring or summer</t>
  </si>
  <si>
    <t>Early fall</t>
  </si>
  <si>
    <t>Late fall or winter</t>
  </si>
  <si>
    <t>Application #1</t>
  </si>
  <si>
    <t>Total Applied Nitrogen- Application #4:</t>
  </si>
  <si>
    <t>Total Applied Nitrogen- Application #3:</t>
  </si>
  <si>
    <t>Total Applied Nitrogen- Application #2:</t>
  </si>
  <si>
    <t>Application #2</t>
  </si>
  <si>
    <t>Application #4</t>
  </si>
  <si>
    <t>Application #3</t>
  </si>
  <si>
    <t>00</t>
  </si>
  <si>
    <t>(use if needed)</t>
  </si>
  <si>
    <t>for streambank</t>
  </si>
  <si>
    <t>% Efficiency</t>
  </si>
  <si>
    <t xml:space="preserve">Blueberry </t>
  </si>
  <si>
    <t xml:space="preserve">Broccoli, for stem and immature floral parts </t>
  </si>
  <si>
    <t xml:space="preserve">Cauliflower, for immature inflorescence </t>
  </si>
  <si>
    <t xml:space="preserve">Corn-Sweet, for ears with husk (immature) </t>
  </si>
  <si>
    <t xml:space="preserve">Melon-Canteloupe </t>
  </si>
  <si>
    <t xml:space="preserve">Melon-Honeydew </t>
  </si>
  <si>
    <t xml:space="preserve">Pea-Garden, for pod </t>
  </si>
  <si>
    <t xml:space="preserve">Rhubarb, for fruit </t>
  </si>
  <si>
    <t xml:space="preserve">Yam </t>
  </si>
  <si>
    <t>lb of tuber</t>
  </si>
  <si>
    <t>Watershed segment number:</t>
  </si>
  <si>
    <t>N Recommendation (lbs N/unit of expected yield)</t>
  </si>
  <si>
    <t>N Recommendation (lbs N/ac)</t>
  </si>
  <si>
    <t>Lettuce-Head, for head</t>
  </si>
  <si>
    <t>for VLookup</t>
  </si>
  <si>
    <t>yield</t>
  </si>
  <si>
    <t>acre</t>
  </si>
  <si>
    <t>for VLookup- recommended application rate</t>
  </si>
  <si>
    <t>recommended application</t>
  </si>
  <si>
    <t>Soil Series Type:</t>
  </si>
  <si>
    <t>Soil Productivity Group:</t>
  </si>
  <si>
    <t>For VLookup:</t>
  </si>
  <si>
    <t>N Available (lbs N/ac)</t>
  </si>
  <si>
    <t>Beef- Cow and Calf</t>
  </si>
  <si>
    <t>Beef- Steer</t>
  </si>
  <si>
    <t>Dairy- Lactating Cows Liquid</t>
  </si>
  <si>
    <t>Veal</t>
  </si>
  <si>
    <t>Dairy- Dry Cow</t>
  </si>
  <si>
    <t>Dairy- Calf and Heifer</t>
  </si>
  <si>
    <t>Dairy- Lactating Cows Solid</t>
  </si>
  <si>
    <t>Swine- Gestation</t>
  </si>
  <si>
    <t>Swine- Lactation</t>
  </si>
  <si>
    <t>Swine- Nursery</t>
  </si>
  <si>
    <t>Swine- Grow to Finish</t>
  </si>
  <si>
    <t>Swine- Farrow to Feeder</t>
  </si>
  <si>
    <t>Poultry- Layer</t>
  </si>
  <si>
    <t>Poultry- Light Broiler</t>
  </si>
  <si>
    <t>Poultry- Heavy Broiler</t>
  </si>
  <si>
    <t>Turkey- Tom</t>
  </si>
  <si>
    <t>Turkey- Hen</t>
  </si>
  <si>
    <t>Poultry- Pullet</t>
  </si>
  <si>
    <t>tons/ac</t>
  </si>
  <si>
    <t>for lookups:</t>
  </si>
  <si>
    <t>Spring or summer0</t>
  </si>
  <si>
    <t>Early fall0</t>
  </si>
  <si>
    <t>Late fall or winter0</t>
  </si>
  <si>
    <t>Spring or summersame day incorporation</t>
  </si>
  <si>
    <t>Spring or summerincorporation within 1 day</t>
  </si>
  <si>
    <r>
      <t>Is farm in compliance with Act 38 Nutrient Management Regulations, Chapter 102 Erosion &amp; Sedimentation Regulations, Chapter 91.36 (for agricultural operations), and Chapter 92 (for CAFO operations), as applicable?</t>
    </r>
    <r>
      <rPr>
        <vertAlign val="superscript"/>
        <sz val="10"/>
        <rFont val="Arial"/>
        <family val="2"/>
      </rPr>
      <t>*</t>
    </r>
  </si>
  <si>
    <t>Spring or summerincorporation within 2-4 days</t>
  </si>
  <si>
    <t>Spring or summerincorporation within 5-7 days</t>
  </si>
  <si>
    <t>Spring or summerincorporation within 7 days</t>
  </si>
  <si>
    <t>Early fallincorporation within 3-7 days</t>
  </si>
  <si>
    <t>Early fallincorporation within 7 days</t>
  </si>
  <si>
    <t>spring/summer- incorporation within 2-4 days</t>
  </si>
  <si>
    <t>spring/summer- incorporation within 5-7 days</t>
  </si>
  <si>
    <t>spring/summer- incorporation within 7 days</t>
  </si>
  <si>
    <t>early fall- incorporation within 3-7 days</t>
  </si>
  <si>
    <t>early fall- incorporation within 7 days</t>
  </si>
  <si>
    <t>Incorporation within 2-4 days</t>
  </si>
  <si>
    <t>Incorporation within 5-7 days</t>
  </si>
  <si>
    <t>Incorporation within 7 days</t>
  </si>
  <si>
    <t>Incorporation within 3-7 days</t>
  </si>
  <si>
    <t>Is farm in compliance with Act 38 Nutrient Management Regulations, Chapter 102 Erosion &amp; Sedimentation Regulations, Chapter 91.36 (for agricultural operations), and Chapter 92 (for CAFO operations), as applicable? *</t>
  </si>
  <si>
    <t>Spring or summerno incorporation</t>
  </si>
  <si>
    <t>Early fallincorporation within 2 days</t>
  </si>
  <si>
    <t>Early fallno incorporation</t>
  </si>
  <si>
    <t>Late fall or winterSpring</t>
  </si>
  <si>
    <t>Late fall or winterSummer</t>
  </si>
  <si>
    <t>POULTRY</t>
  </si>
  <si>
    <t>SWINE</t>
  </si>
  <si>
    <t>Total Available Nitrogen- Application #4:</t>
  </si>
  <si>
    <t>Total Available Nitrogen- Application #3:</t>
  </si>
  <si>
    <t>Total Available Nitrogen- Application #2:</t>
  </si>
  <si>
    <t>Total Available Nitrogen- Application #1:</t>
  </si>
  <si>
    <t xml:space="preserve">Total Applied Nitrogen- Application #2:  </t>
  </si>
  <si>
    <t xml:space="preserve">Total Applied Nitrogen- Application #3:  </t>
  </si>
  <si>
    <t xml:space="preserve">Total Applied Nitrogen- Application #4:  </t>
  </si>
  <si>
    <t xml:space="preserve">Nitrogen Reductions to Chesapeake Bay: </t>
  </si>
  <si>
    <t xml:space="preserve">*Compliance can be determined through a site inspection or verification of the development and implementation of a Nutrient Management Plan, E&amp;S Plan (or an acceptable conservation plan), or Manure Management Plan, as applicable. </t>
  </si>
  <si>
    <t>Nitrogen Available- Current:</t>
  </si>
  <si>
    <t>Nitrogen Available- Planned:</t>
  </si>
  <si>
    <t>Total Nitrogen Applied-                                Current</t>
  </si>
  <si>
    <t>Total Nitrogen available for Crop Uptake-    Current</t>
  </si>
  <si>
    <t>Nitrogen Reductions from Change in Application Rate:</t>
  </si>
  <si>
    <t>total N reduction from app: Step 1</t>
  </si>
  <si>
    <t>total N reduction from app: Step 2</t>
  </si>
  <si>
    <t>2. According to the PA DEP Final Trading Policy, 10% of all credits generated will be placed in the DEP Credit Reserve. The DEP Credit Reserve contains credits set aside by the Department to address nutrient and sediment reduction failures, uncertainty, and to provide liquidity in the market.</t>
  </si>
  <si>
    <t xml:space="preserve">Credits Retired to Meet Threshold: </t>
  </si>
  <si>
    <t>Conservation Plans on Conventional Till</t>
  </si>
  <si>
    <t>Cereal Cover Crop</t>
  </si>
  <si>
    <t>Commodity Cereal Cover Crop</t>
  </si>
  <si>
    <t>acres</t>
  </si>
  <si>
    <t xml:space="preserve">   Cover Crop planting time:</t>
  </si>
  <si>
    <t xml:space="preserve">    Total feet of streambank to be restored: </t>
  </si>
  <si>
    <t>e.</t>
  </si>
  <si>
    <t>g.</t>
  </si>
  <si>
    <t xml:space="preserve">f. </t>
  </si>
  <si>
    <r>
      <t xml:space="preserve">Application #1 </t>
    </r>
    <r>
      <rPr>
        <i/>
        <sz val="8"/>
        <color indexed="53"/>
        <rFont val="Arial"/>
        <family val="2"/>
      </rPr>
      <t>(Use if Needed)</t>
    </r>
  </si>
  <si>
    <r>
      <t>Application #2</t>
    </r>
    <r>
      <rPr>
        <i/>
        <sz val="10"/>
        <rFont val="Arial"/>
        <family val="2"/>
      </rPr>
      <t xml:space="preserve"> </t>
    </r>
    <r>
      <rPr>
        <i/>
        <sz val="8"/>
        <color indexed="53"/>
        <rFont val="Arial"/>
        <family val="2"/>
      </rPr>
      <t>(Use if Needed)</t>
    </r>
  </si>
  <si>
    <r>
      <t>Application #3</t>
    </r>
    <r>
      <rPr>
        <i/>
        <sz val="8"/>
        <rFont val="Arial"/>
        <family val="2"/>
      </rPr>
      <t xml:space="preserve"> </t>
    </r>
    <r>
      <rPr>
        <i/>
        <sz val="8"/>
        <color indexed="53"/>
        <rFont val="Arial"/>
        <family val="2"/>
      </rPr>
      <t>(Use if Needed)</t>
    </r>
  </si>
  <si>
    <r>
      <t>Application #4</t>
    </r>
    <r>
      <rPr>
        <i/>
        <sz val="8"/>
        <rFont val="Arial"/>
        <family val="2"/>
      </rPr>
      <t xml:space="preserve"> </t>
    </r>
    <r>
      <rPr>
        <i/>
        <sz val="8"/>
        <color indexed="53"/>
        <rFont val="Arial"/>
        <family val="2"/>
      </rPr>
      <t>(Use if Needed)</t>
    </r>
  </si>
  <si>
    <t>Nitrogen Loading Calculations:</t>
  </si>
  <si>
    <t xml:space="preserve">1. Residual Nitrogen is the amount of nitrogen in the soil from previous manure applications or legume crops. </t>
  </si>
  <si>
    <r>
      <t>5. Residual Nitrogen</t>
    </r>
    <r>
      <rPr>
        <b/>
        <vertAlign val="superscript"/>
        <sz val="10"/>
        <rFont val="Arial"/>
        <family val="2"/>
      </rPr>
      <t>1</t>
    </r>
  </si>
  <si>
    <t>6. Nitrogen Application Reductions and Loading Snapshot</t>
  </si>
  <si>
    <t>7. Planned Nitrogen Reductions- Best Management Practices</t>
  </si>
  <si>
    <t xml:space="preserve">             Cover crop planting time:</t>
  </si>
  <si>
    <t>Cropland and pasture BMPs to generate credits:</t>
  </si>
  <si>
    <t>Streambank BMPs to generate credits:</t>
  </si>
  <si>
    <t>a. Cropland and pasture BMPs to generate credits:</t>
  </si>
  <si>
    <t>b. Streambank BMPs to generate credits:</t>
  </si>
  <si>
    <t>2. If cover crops will be planted:</t>
  </si>
  <si>
    <t>1. If riparian buffers or wetland restoration is planned:</t>
  </si>
  <si>
    <t>2. If streambank restoration is planned:</t>
  </si>
  <si>
    <t>Pounds Reduced</t>
  </si>
  <si>
    <t>lbs/ft/yr</t>
  </si>
  <si>
    <t xml:space="preserve">    Lbs reduced from streambank restoration:</t>
  </si>
  <si>
    <t>1. Total acres BMPs are implemented on:</t>
  </si>
  <si>
    <t>lbs/ac/yr</t>
  </si>
  <si>
    <t xml:space="preserve">5. Avg. EOS nitrogen load after BMPs in place: </t>
  </si>
  <si>
    <t>3. N reduced from all streambank BMPs:</t>
  </si>
  <si>
    <t>4. N reduced from all cropland and pasture BMPs:</t>
  </si>
  <si>
    <t>8. Summary and Credit Calculation</t>
  </si>
  <si>
    <t>8. Credit Calculation</t>
  </si>
  <si>
    <t>behind the scenes calculation</t>
  </si>
  <si>
    <t>important calculation</t>
  </si>
  <si>
    <t>user entered on certification sheet</t>
  </si>
  <si>
    <r>
      <t>Contact Information</t>
    </r>
    <r>
      <rPr>
        <b/>
        <vertAlign val="superscript"/>
        <sz val="11"/>
        <rFont val="Arial"/>
        <family val="2"/>
      </rPr>
      <t>1</t>
    </r>
  </si>
  <si>
    <t>1. This is the contact information for the person submitting the proposal to DEP.</t>
  </si>
  <si>
    <t>Email Address:</t>
  </si>
  <si>
    <t>Total Credits Available to Trade</t>
  </si>
  <si>
    <t>Nitrogen Reductions to Edge of Watershed Segment:</t>
  </si>
  <si>
    <t>Total Credits Generated:</t>
  </si>
  <si>
    <t xml:space="preserve">Credits Retired to DEP Reserve: </t>
  </si>
  <si>
    <t xml:space="preserve">Nitrogen uptake from crop: </t>
  </si>
  <si>
    <t>PSU Recommended Nitrogen Application Rate:</t>
  </si>
  <si>
    <t>If other, please explain:</t>
  </si>
  <si>
    <t>1. BMPs listed are only those that have an approved nitrogen reduction efficiency by the Chesapeake Bay Model. If a practice is not listed above then the submitting entity must determine their own acceptable calculation, which can be done in conjunction with PA DEP. Contact PA DEP Water Planning Office for more specific information.</t>
  </si>
  <si>
    <t>Information used for spreadsheet calculations below:</t>
  </si>
  <si>
    <t>Nitrogen load to reach edge of watershed segment:</t>
  </si>
  <si>
    <t>EOS nitrogen load on per acre basis:</t>
  </si>
  <si>
    <t>Nitrogen reductions from changes in application:</t>
  </si>
  <si>
    <t>Edge of watershed segment nitrogen reduction:</t>
  </si>
  <si>
    <t>Crop Nutrient Content, typical yields, and Nutrient Recommendations</t>
  </si>
  <si>
    <t>TN Reduction Efficiency</t>
  </si>
  <si>
    <t>TP Reduction Efficiency</t>
  </si>
  <si>
    <t>SED Reduction Efficiency</t>
  </si>
  <si>
    <t>Carbon Sequestration</t>
  </si>
  <si>
    <t>Additional information</t>
  </si>
  <si>
    <t>Project Name:</t>
  </si>
  <si>
    <t>GUIDE TO COLORS USED:</t>
  </si>
  <si>
    <t>Alfalfa &gt;50% stand0</t>
  </si>
  <si>
    <t>Alfalfa 25-49% stand0</t>
  </si>
  <si>
    <t>Alfalfa &lt;25% stand0</t>
  </si>
  <si>
    <t>Red clover or trefoil &gt;50% stand0</t>
  </si>
  <si>
    <t>Credits/Year (Rounded)</t>
  </si>
  <si>
    <t>Credits/Year (Not-Rounded)</t>
  </si>
  <si>
    <t>Red clover or trefoil 25-49% stand0</t>
  </si>
  <si>
    <t>Red clover or trefoil &lt;25% stand0</t>
  </si>
  <si>
    <t>bu/ac</t>
  </si>
  <si>
    <t>Soil series type:</t>
  </si>
  <si>
    <t>Late-Planting - Up to 7 days after published first frost date</t>
  </si>
  <si>
    <t xml:space="preserve">Edge of Field Nitrogen Reductions:                      </t>
  </si>
  <si>
    <r>
      <t xml:space="preserve">lbs/ac/yr </t>
    </r>
    <r>
      <rPr>
        <sz val="10"/>
        <color indexed="10"/>
        <rFont val="Arial"/>
        <family val="2"/>
      </rPr>
      <t xml:space="preserve">   </t>
    </r>
  </si>
  <si>
    <t>(x)</t>
  </si>
  <si>
    <t>(=)</t>
  </si>
  <si>
    <t>(-)</t>
  </si>
  <si>
    <t xml:space="preserve">N reduction for currently having riparian buffers in place: </t>
  </si>
  <si>
    <t>1.The Delivery Ratio compensates for the natural attenuation, or loss, of nutrients and sediments as they travel in water. The Delivery Ratio is also known as the Delivery Factor.</t>
  </si>
  <si>
    <r>
      <t>Delivery Ratio:</t>
    </r>
    <r>
      <rPr>
        <vertAlign val="superscript"/>
        <sz val="10"/>
        <rFont val="Arial"/>
        <family val="2"/>
      </rPr>
      <t>1</t>
    </r>
    <r>
      <rPr>
        <sz val="10"/>
        <rFont val="Arial"/>
        <family val="2"/>
      </rPr>
      <t xml:space="preserve">                                             </t>
    </r>
  </si>
  <si>
    <t xml:space="preserve">EOS Ratio:                                                      </t>
  </si>
  <si>
    <t>EOS Ratio:</t>
  </si>
  <si>
    <t xml:space="preserve">Total Nitrogen Available for Crop Uptake:           Current          </t>
  </si>
  <si>
    <r>
      <t xml:space="preserve">Total Nitrogen Applied:                   </t>
    </r>
    <r>
      <rPr>
        <b/>
        <sz val="8"/>
        <rFont val="Arial"/>
        <family val="2"/>
      </rPr>
      <t xml:space="preserve">                      </t>
    </r>
    <r>
      <rPr>
        <b/>
        <sz val="10"/>
        <rFont val="Arial"/>
        <family val="2"/>
      </rPr>
      <t xml:space="preserve">    Current          </t>
    </r>
  </si>
  <si>
    <t>If you plan on reducing nitrogen applications ("Planned Nitrogen Applied" is less than "Current Nitrogen Applied" above), is this because:</t>
  </si>
  <si>
    <t>1000 gallons/ac</t>
  </si>
  <si>
    <t>lbs/1000 gallons</t>
  </si>
  <si>
    <t>Delivery Ratio</t>
  </si>
  <si>
    <t>Edge of Segment Ratio</t>
  </si>
  <si>
    <t>Contact Information</t>
  </si>
  <si>
    <r>
      <t>Delivery Ratio</t>
    </r>
    <r>
      <rPr>
        <sz val="10"/>
        <rFont val="Arial"/>
        <family val="2"/>
      </rPr>
      <t xml:space="preserve">                                             </t>
    </r>
  </si>
  <si>
    <t xml:space="preserve">Nitrogen Load to Reach Edge of Watershed Segment:  </t>
  </si>
  <si>
    <t xml:space="preserve">lbs/yr   </t>
  </si>
  <si>
    <r>
      <t>Total Credits Available to Trade</t>
    </r>
    <r>
      <rPr>
        <sz val="10"/>
        <rFont val="Arial"/>
        <family val="2"/>
      </rPr>
      <t xml:space="preserve">              </t>
    </r>
  </si>
  <si>
    <t xml:space="preserve">Credits Retired to Meet the Threshold:                      </t>
  </si>
  <si>
    <t>Fill out all current AND planned sources of nitrogen applied to the field for the given year. Applications for the year may be separated out for different application times and manure types.  Nitrogen credits may be generated if the planned nitrogen application is less than the current application (for example, a planned decrease in nitrogen application due better nutrient management).</t>
  </si>
  <si>
    <t xml:space="preserve">Nitrogen Reductions to Chesapeake Bay:            </t>
  </si>
  <si>
    <t>N Uptake (lbs/yield unit)</t>
  </si>
  <si>
    <t>P Uptake (lbs/yield unit)</t>
  </si>
  <si>
    <r>
      <t>1. Total acres of BMP:</t>
    </r>
    <r>
      <rPr>
        <vertAlign val="superscript"/>
        <sz val="10"/>
        <rFont val="Arial"/>
        <family val="2"/>
      </rPr>
      <t>2</t>
    </r>
  </si>
  <si>
    <r>
      <t xml:space="preserve">              Total acres of BMP:</t>
    </r>
    <r>
      <rPr>
        <vertAlign val="superscript"/>
        <sz val="10"/>
        <rFont val="Arial"/>
        <family val="2"/>
      </rPr>
      <t>2</t>
    </r>
  </si>
  <si>
    <t>1. If riparian buffers or wetland restoration are planned:</t>
  </si>
  <si>
    <t>Current tillage method</t>
  </si>
  <si>
    <t>Current tillage method:</t>
  </si>
  <si>
    <t>Conventional till</t>
  </si>
  <si>
    <t>N reduction for conservation till or no-till:</t>
  </si>
  <si>
    <t>Conservation till</t>
  </si>
  <si>
    <t>high till to mixed open</t>
  </si>
  <si>
    <t>low till to mixed open</t>
  </si>
  <si>
    <t>high till to forest</t>
  </si>
  <si>
    <t>low till to forest</t>
  </si>
  <si>
    <t>high till to hayland</t>
  </si>
  <si>
    <t>low till to hayland</t>
  </si>
  <si>
    <t>Efficiency to use</t>
  </si>
  <si>
    <t>high till to low till</t>
  </si>
  <si>
    <t>BMP</t>
  </si>
  <si>
    <t>Tillage</t>
  </si>
  <si>
    <t>Continuous no-till</t>
  </si>
  <si>
    <t>Retirement of Highly Erodible Land</t>
  </si>
  <si>
    <t>Tree Planting (non-buffer)</t>
  </si>
  <si>
    <t>Table 3: Reduction Efficiencies for Landuse Conversion- based on WSM Segment</t>
  </si>
  <si>
    <t>WSM Segment No. AND Landuse Change</t>
  </si>
  <si>
    <t>10high till to mixed open</t>
  </si>
  <si>
    <t>20high till to mixed open</t>
  </si>
  <si>
    <t>30high till to mixed open</t>
  </si>
  <si>
    <t>40high till to mixed open</t>
  </si>
  <si>
    <t>50high till to mixed open</t>
  </si>
  <si>
    <t>60high till to mixed open</t>
  </si>
  <si>
    <t>70high till to mixed open</t>
  </si>
  <si>
    <t>80high till to mixed open</t>
  </si>
  <si>
    <t>90high till to mixed open</t>
  </si>
  <si>
    <t>100high till to mixed open</t>
  </si>
  <si>
    <t>110high till to mixed open</t>
  </si>
  <si>
    <t>120high till to mixed open</t>
  </si>
  <si>
    <t>140high till to mixed open</t>
  </si>
  <si>
    <t>160high till to mixed open</t>
  </si>
  <si>
    <t>175high till to mixed open</t>
  </si>
  <si>
    <t>180high till to mixed open</t>
  </si>
  <si>
    <t>210high till to mixed open</t>
  </si>
  <si>
    <t>450high till to mixed open</t>
  </si>
  <si>
    <t>470high till to mixed open</t>
  </si>
  <si>
    <t>700high till to mixed open</t>
  </si>
  <si>
    <t>710high till to mixed open</t>
  </si>
  <si>
    <t>720high till to mixed open</t>
  </si>
  <si>
    <t>730high till to mixed open</t>
  </si>
  <si>
    <t>740high till to mixed open</t>
  </si>
  <si>
    <t>750high till to mixed open</t>
  </si>
  <si>
    <t>800high till to mixed open</t>
  </si>
  <si>
    <t>10low till to mixed open</t>
  </si>
  <si>
    <t>20low till to mixed open</t>
  </si>
  <si>
    <t xml:space="preserve">To complete this form please fill out all required fields in yellow. Dark blue fields are automatic calculations performed on the spreadsheet. The annual credit generation period is October 1-September 30th.             </t>
  </si>
  <si>
    <t>1. If your current crop is not listed, contact PA DEP Water Planning Office (717-772-4785) for a more specific calculation methodology.</t>
  </si>
  <si>
    <t>1. If biosolids are applied as fertilizer, contact PA DEP Water Planning Office (717-772-4785) for a more specific calculation methodology.</t>
  </si>
  <si>
    <t>Use the drop down options below to select any number of BMPs to implement that may generate nitrogen credits. The total nitrogen reduced for all BMPs chosen in this section appears on Line 156. If you are only generating credits from reducing nitrogen application rates (calculated above) then you can skip this section.</t>
  </si>
  <si>
    <t>Section 8 below calculates the total number of possible credits generated from the above management practices. The "Nitrogen Reductions to Edge of Watershed Segment" is a combination of nitrogen reductions from a reduction in nitrogen application rate (Section 6), if applicable, as well as reductions from any BMPs implemented (Section 7).</t>
  </si>
  <si>
    <t>30low till to mixed open</t>
  </si>
  <si>
    <t>40low till to mixed open</t>
  </si>
  <si>
    <t>50low till to mixed open</t>
  </si>
  <si>
    <t>60low till to mixed open</t>
  </si>
  <si>
    <t>70low till to mixed open</t>
  </si>
  <si>
    <t>80low till to mixed open</t>
  </si>
  <si>
    <t>90low till to mixed open</t>
  </si>
  <si>
    <t>100low till to mixed open</t>
  </si>
  <si>
    <t>110low till to mixed open</t>
  </si>
  <si>
    <t>120low till to mixed open</t>
  </si>
  <si>
    <t>140low till to mixed open</t>
  </si>
  <si>
    <t>160low till to mixed open</t>
  </si>
  <si>
    <t>175low till to mixed open</t>
  </si>
  <si>
    <t>180low till to mixed open</t>
  </si>
  <si>
    <t>210low till to mixed open</t>
  </si>
  <si>
    <t>450low till to mixed open</t>
  </si>
  <si>
    <t>470low till to mixed open</t>
  </si>
  <si>
    <t>700low till to mixed open</t>
  </si>
  <si>
    <t>710low till to mixed open</t>
  </si>
  <si>
    <t>720low till to mixed open</t>
  </si>
  <si>
    <t>730low till to mixed open</t>
  </si>
  <si>
    <t>740low till to mixed open</t>
  </si>
  <si>
    <t>750low till to mixed open</t>
  </si>
  <si>
    <t>800low till to mixed open</t>
  </si>
  <si>
    <t>10high till to forest</t>
  </si>
  <si>
    <t>20high till to forest</t>
  </si>
  <si>
    <t>30high till to forest</t>
  </si>
  <si>
    <t>40high till to forest</t>
  </si>
  <si>
    <t>50high till to forest</t>
  </si>
  <si>
    <t>60high till to forest</t>
  </si>
  <si>
    <t>70high till to forest</t>
  </si>
  <si>
    <t>80high till to forest</t>
  </si>
  <si>
    <t>90high till to forest</t>
  </si>
  <si>
    <t>100high till to forest</t>
  </si>
  <si>
    <t>110high till to forest</t>
  </si>
  <si>
    <t>120high till to forest</t>
  </si>
  <si>
    <t>140high till to forest</t>
  </si>
  <si>
    <t>160high till to forest</t>
  </si>
  <si>
    <t>175high till to forest</t>
  </si>
  <si>
    <t>180high till to forest</t>
  </si>
  <si>
    <t>210high till to forest</t>
  </si>
  <si>
    <t>450high till to forest</t>
  </si>
  <si>
    <t>470high till to forest</t>
  </si>
  <si>
    <t>700high till to forest</t>
  </si>
  <si>
    <t>710high till to forest</t>
  </si>
  <si>
    <t>720high till to forest</t>
  </si>
  <si>
    <t>730high till to forest</t>
  </si>
  <si>
    <t>740high till to forest</t>
  </si>
  <si>
    <t>750high till to forest</t>
  </si>
  <si>
    <t>800high till to forest</t>
  </si>
  <si>
    <t>10low till to forest</t>
  </si>
  <si>
    <t>20low till to forest</t>
  </si>
  <si>
    <t>30low till to forest</t>
  </si>
  <si>
    <t>40low till to forest</t>
  </si>
  <si>
    <t>50low till to forest</t>
  </si>
  <si>
    <t>60low till to forest</t>
  </si>
  <si>
    <t>70low till to forest</t>
  </si>
  <si>
    <t>80low till to forest</t>
  </si>
  <si>
    <t>90low till to forest</t>
  </si>
  <si>
    <t>100low till to forest</t>
  </si>
  <si>
    <t>110low till to forest</t>
  </si>
  <si>
    <t>120low till to forest</t>
  </si>
  <si>
    <t>140low till to forest</t>
  </si>
  <si>
    <t>160low till to forest</t>
  </si>
  <si>
    <t>175low till to forest</t>
  </si>
  <si>
    <t>180low till to forest</t>
  </si>
  <si>
    <t>210low till to forest</t>
  </si>
  <si>
    <t>450low till to forest</t>
  </si>
  <si>
    <t>% Landuse Change Efficiency- SEDIMENT</t>
  </si>
  <si>
    <t>% Landuse Change Efficiency- TP</t>
  </si>
  <si>
    <t>Table 2: Upland reduction efficiencies for Riparial Buffers and Wetland Conversion (based on WSM segment)</t>
  </si>
  <si>
    <t>*If you plan on implementing Continuous No-till and you are currently doing conventional till (Section 3 above), then please select both "Conservation till" AND "Continuous no-till" in the drop down boxes to receive full N reduction credits.</t>
  </si>
  <si>
    <t xml:space="preserve">Preliminary EOS Nitrogen Load:  </t>
  </si>
  <si>
    <t>2. This calculation assumes that all BMPs are implemented together on the same field (or pasture). If cropland and/or pasture BMPs are implemented in separate locations then please fill out a separate Credit Calculation Form for each.</t>
  </si>
  <si>
    <t>Frequently received manure (2-3 out of 5 yrs)</t>
  </si>
  <si>
    <t>Rarely received manure in past (&lt;2 out of 5 yrs)</t>
  </si>
  <si>
    <t>Continuously received manure (4-5 out of 5 yrs)</t>
  </si>
  <si>
    <t>Value used for Continuous No-Till BMP Efficiency:</t>
  </si>
  <si>
    <t>470low till to forest</t>
  </si>
  <si>
    <t>700low till to forest</t>
  </si>
  <si>
    <t>710low till to forest</t>
  </si>
  <si>
    <t>720low till to forest</t>
  </si>
  <si>
    <t>730low till to forest</t>
  </si>
  <si>
    <t>740low till to forest</t>
  </si>
  <si>
    <t>750low till to forest</t>
  </si>
  <si>
    <t>800low till to forest</t>
  </si>
  <si>
    <t>10high till to hayland</t>
  </si>
  <si>
    <t>20high till to hayland</t>
  </si>
  <si>
    <t>30high till to hayland</t>
  </si>
  <si>
    <t>40high till to hayland</t>
  </si>
  <si>
    <t>50high till to hayland</t>
  </si>
  <si>
    <t>60high till to hayland</t>
  </si>
  <si>
    <t>70high till to hayland</t>
  </si>
  <si>
    <t>80high till to hayland</t>
  </si>
  <si>
    <t>90high till to hayland</t>
  </si>
  <si>
    <t>100high till to hayland</t>
  </si>
  <si>
    <t>110high till to hayland</t>
  </si>
  <si>
    <t>120high till to hayland</t>
  </si>
  <si>
    <t>140high till to hayland</t>
  </si>
  <si>
    <t>160high till to hayland</t>
  </si>
  <si>
    <t>175high till to hayland</t>
  </si>
  <si>
    <t>180high till to hayland</t>
  </si>
  <si>
    <t>210high till to hayland</t>
  </si>
  <si>
    <t>450high till to hayland</t>
  </si>
  <si>
    <t xml:space="preserve">Barley for straw </t>
  </si>
  <si>
    <t xml:space="preserve">Barley for grain </t>
  </si>
  <si>
    <t>Sorghum/Sudangrass, for green chop (mature)</t>
  </si>
  <si>
    <r>
      <t>Credits sent to DEP Reserve:</t>
    </r>
    <r>
      <rPr>
        <vertAlign val="superscript"/>
        <sz val="10"/>
        <rFont val="Arial"/>
        <family val="2"/>
      </rPr>
      <t>2</t>
    </r>
    <r>
      <rPr>
        <sz val="10"/>
        <rFont val="Arial"/>
        <family val="2"/>
      </rPr>
      <t xml:space="preserve">                       </t>
    </r>
  </si>
  <si>
    <t>= Yellow BMPs below are currently not incorporated into the spreadsheet calculations</t>
  </si>
  <si>
    <t>470high till to hayland</t>
  </si>
  <si>
    <t>700high till to hayland</t>
  </si>
  <si>
    <t>710high till to hayland</t>
  </si>
  <si>
    <t>720high till to hayland</t>
  </si>
  <si>
    <t>730high till to hayland</t>
  </si>
  <si>
    <t>740high till to hayland</t>
  </si>
  <si>
    <t>750high till to hayland</t>
  </si>
  <si>
    <t>800high till to hayland</t>
  </si>
  <si>
    <t>10low till to hayland</t>
  </si>
  <si>
    <t>20low till to hayland</t>
  </si>
  <si>
    <t>30low till to hayland</t>
  </si>
  <si>
    <t>40low till to hayland</t>
  </si>
  <si>
    <t>50low till to hayland</t>
  </si>
  <si>
    <t>60low till to hayland</t>
  </si>
  <si>
    <t>70low till to hayland</t>
  </si>
  <si>
    <t>80low till to hayland</t>
  </si>
  <si>
    <t>90low till to hayland</t>
  </si>
  <si>
    <t>100low till to hayland</t>
  </si>
  <si>
    <t>110low till to hayland</t>
  </si>
  <si>
    <t>Total Acres of Land in Buffer Strip</t>
  </si>
  <si>
    <t>120low till to hayland</t>
  </si>
  <si>
    <t>140low till to hayland</t>
  </si>
  <si>
    <t>160low till to hayland</t>
  </si>
  <si>
    <t>175low till to hayland</t>
  </si>
  <si>
    <t>180low till to hayland</t>
  </si>
  <si>
    <t>210low till to hayland</t>
  </si>
  <si>
    <t>450low till to hayland</t>
  </si>
  <si>
    <t>470low till to hayland</t>
  </si>
  <si>
    <t>700low till to hayland</t>
  </si>
  <si>
    <t>710low till to hayland</t>
  </si>
  <si>
    <t>720low till to hayland</t>
  </si>
  <si>
    <t>730low till to hayland</t>
  </si>
  <si>
    <t>740low till to hayland</t>
  </si>
  <si>
    <t>750low till to hayland</t>
  </si>
  <si>
    <t>800low till to hayland</t>
  </si>
  <si>
    <t>10high till to low till</t>
  </si>
  <si>
    <t>20high till to low till</t>
  </si>
  <si>
    <t>30high till to low till</t>
  </si>
  <si>
    <t>40high till to low till</t>
  </si>
  <si>
    <t>50high till to low till</t>
  </si>
  <si>
    <t>60high till to low till</t>
  </si>
  <si>
    <t>70high till to low till</t>
  </si>
  <si>
    <t>80high till to low till</t>
  </si>
  <si>
    <t>90high till to low till</t>
  </si>
  <si>
    <t>100high till to low till</t>
  </si>
  <si>
    <t>110high till to low till</t>
  </si>
  <si>
    <t>120high till to low till</t>
  </si>
  <si>
    <t>140high till to low till</t>
  </si>
  <si>
    <t>160high till to low till</t>
  </si>
  <si>
    <t>175high till to low till</t>
  </si>
  <si>
    <t>180high till to low till</t>
  </si>
  <si>
    <t>210high till to low till</t>
  </si>
  <si>
    <t>450high till to low till</t>
  </si>
  <si>
    <t>470high till to low till</t>
  </si>
  <si>
    <t>700high till to low till</t>
  </si>
  <si>
    <t>710high till to low till</t>
  </si>
  <si>
    <t>720high till to low till</t>
  </si>
  <si>
    <t>730high till to low till</t>
  </si>
  <si>
    <t>740high till to low till</t>
  </si>
  <si>
    <t>750high till to low till</t>
  </si>
  <si>
    <t>800high till to low till</t>
  </si>
  <si>
    <t>% Landuse Change Efficiency- TN</t>
  </si>
  <si>
    <t xml:space="preserve">    Lbs reduced from landuse conversion:</t>
  </si>
  <si>
    <t>(applied to 4 upland acres)</t>
  </si>
  <si>
    <t>% Efficiency for buffers- Table 2</t>
  </si>
  <si>
    <t>-------------for Vlookup- Table 3------------------</t>
  </si>
  <si>
    <t>---for Vlookup- Table 2---</t>
  </si>
  <si>
    <t xml:space="preserve">    % Efficiency for landuse conversion: (Table 3)</t>
  </si>
  <si>
    <t xml:space="preserve">    Total acres BMP is implemented on:</t>
  </si>
  <si>
    <t>% reduction for conservation till</t>
  </si>
  <si>
    <t>--for no-till--</t>
  </si>
  <si>
    <t>-----------------------------------------</t>
  </si>
  <si>
    <t>------------------------------------for Vlookup- Tables 1 &amp; 3-------------------</t>
  </si>
  <si>
    <t>Continuous No-Till</t>
  </si>
  <si>
    <t>Continuous No-Till*</t>
  </si>
  <si>
    <r>
      <t>Continuous No-Till</t>
    </r>
    <r>
      <rPr>
        <vertAlign val="superscript"/>
        <sz val="10"/>
        <rFont val="Arial"/>
        <family val="2"/>
      </rPr>
      <t>*</t>
    </r>
  </si>
  <si>
    <t>Vlookup for cons. Till</t>
  </si>
  <si>
    <t>For Vlookup- Table 2</t>
  </si>
  <si>
    <t>For Vlookup- Table 3</t>
  </si>
  <si>
    <t>% Reduction Efficiency for Buffers- applies to 4 upland ac.</t>
  </si>
  <si>
    <t>% Reduction Efficiency for Buffers- applies to landuse conv.</t>
  </si>
  <si>
    <t>Acres of land in Buffer</t>
  </si>
  <si>
    <t>EOS Nitrogen Load:</t>
  </si>
  <si>
    <t>N reduction for currently having buffers in place:</t>
  </si>
  <si>
    <t>CREDIT CALCULATION FORM- Effective December 4, 2007</t>
  </si>
  <si>
    <t>Other- Treated Manure Solid</t>
  </si>
  <si>
    <t>Other- Treated Manure Liquid</t>
  </si>
  <si>
    <r>
      <t>Do you have a recent manure analysis test?</t>
    </r>
    <r>
      <rPr>
        <vertAlign val="superscript"/>
        <sz val="10"/>
        <rFont val="Arial"/>
        <family val="2"/>
      </rPr>
      <t>3</t>
    </r>
  </si>
  <si>
    <t>6. Nitrogen Load to Reach Edge of Field= [(Planned Nitrogen on Field)-(Nitrogen Uptake from Crop)]. If the "Planned Nitrogen on Field" is less than "Nitrogen Uptake from Crop," then the Nitrogen Load is determined by [(Planned Nitrogen Applied) - (Planned Nitrogen Available)].</t>
  </si>
  <si>
    <t xml:space="preserve">3. There are no default nitrogen concentrations for treated manure in the spreadsheet-- please enter nitrogen concentrations for treated manure in the field below. </t>
  </si>
  <si>
    <t>Conventional Till</t>
  </si>
  <si>
    <t>Rod Morehart</t>
  </si>
  <si>
    <t>Lycoming County Conservation District</t>
  </si>
  <si>
    <t>570-329-1619</t>
  </si>
  <si>
    <t>rmorehart@lyco.org</t>
  </si>
  <si>
    <t>Yes</t>
  </si>
  <si>
    <t>County Conservation District</t>
  </si>
  <si>
    <t>JRT Farms T 555 F 1 &amp; 2</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</si>
</sst>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0.000"/>
    <numFmt numFmtId="165" formatCode="0.0000"/>
    <numFmt numFmtId="166" formatCode="m/d/yyyy;@"/>
    <numFmt numFmtId="167" formatCode="0.000000"/>
    <numFmt numFmtId="168" formatCode="0.00000"/>
  </numFmts>
  <fonts count="43" x14ac:knownFonts="1">
    <font>
      <sz val="10"/>
      <name val="Arial"/>
    </font>
    <font>
      <sz val="10"/>
      <name val="Arial"/>
      <family val="2"/>
    </font>
    <font>
      <sz val="8"/>
      <name val="Arial"/>
      <family val="2"/>
    </font>
    <font>
      <b/>
      <sz val="10"/>
      <name val="Arial"/>
      <family val="2"/>
    </font>
    <font>
      <sz val="8"/>
      <color indexed="81"/>
      <name val="Tahoma"/>
      <family val="2"/>
    </font>
    <font>
      <i/>
      <sz val="10"/>
      <name val="Arial"/>
      <family val="2"/>
    </font>
    <font>
      <b/>
      <i/>
      <sz val="10"/>
      <name val="Arial"/>
      <family val="2"/>
    </font>
    <font>
      <b/>
      <sz val="11"/>
      <name val="Arial"/>
      <family val="2"/>
    </font>
    <font>
      <sz val="11"/>
      <name val="Arial"/>
      <family val="2"/>
    </font>
    <font>
      <b/>
      <sz val="12"/>
      <name val="Arial"/>
      <family val="2"/>
    </font>
    <font>
      <sz val="10"/>
      <color indexed="10"/>
      <name val="Arial"/>
      <family val="2"/>
    </font>
    <font>
      <u/>
      <sz val="10"/>
      <color indexed="12"/>
      <name val="Arial"/>
      <family val="2"/>
    </font>
    <font>
      <sz val="10"/>
      <name val="Arial"/>
      <family val="2"/>
    </font>
    <font>
      <sz val="10"/>
      <color indexed="10"/>
      <name val="Arial"/>
      <family val="2"/>
    </font>
    <font>
      <b/>
      <i/>
      <sz val="10"/>
      <color indexed="10"/>
      <name val="Arial"/>
      <family val="2"/>
    </font>
    <font>
      <sz val="10"/>
      <name val="Arial"/>
      <family val="2"/>
    </font>
    <font>
      <sz val="8"/>
      <name val="Arial"/>
      <family val="2"/>
    </font>
    <font>
      <sz val="9"/>
      <name val="Arial"/>
      <family val="2"/>
    </font>
    <font>
      <b/>
      <sz val="9"/>
      <name val="Arial"/>
      <family val="2"/>
    </font>
    <font>
      <i/>
      <sz val="10"/>
      <color indexed="53"/>
      <name val="Arial"/>
      <family val="2"/>
    </font>
    <font>
      <sz val="10"/>
      <color indexed="53"/>
      <name val="Arial"/>
      <family val="2"/>
    </font>
    <font>
      <b/>
      <sz val="10"/>
      <color indexed="53"/>
      <name val="Arial"/>
      <family val="2"/>
    </font>
    <font>
      <b/>
      <sz val="11"/>
      <color indexed="10"/>
      <name val="Arial"/>
      <family val="2"/>
    </font>
    <font>
      <b/>
      <sz val="8"/>
      <name val="Arial"/>
      <family val="2"/>
    </font>
    <font>
      <i/>
      <sz val="10"/>
      <color indexed="10"/>
      <name val="Arial"/>
      <family val="2"/>
    </font>
    <font>
      <sz val="16"/>
      <name val="Arial"/>
      <family val="2"/>
    </font>
    <font>
      <sz val="11"/>
      <name val="Arial"/>
      <family val="2"/>
    </font>
    <font>
      <sz val="9"/>
      <name val="Arial"/>
      <family val="2"/>
    </font>
    <font>
      <sz val="10"/>
      <name val="Arial"/>
      <family val="2"/>
    </font>
    <font>
      <i/>
      <sz val="8"/>
      <color indexed="53"/>
      <name val="Arial"/>
      <family val="2"/>
    </font>
    <font>
      <i/>
      <sz val="8"/>
      <name val="Arial"/>
      <family val="2"/>
    </font>
    <font>
      <vertAlign val="superscript"/>
      <sz val="10"/>
      <name val="Arial"/>
      <family val="2"/>
    </font>
    <font>
      <b/>
      <vertAlign val="superscript"/>
      <sz val="10"/>
      <name val="Arial"/>
      <family val="2"/>
    </font>
    <font>
      <b/>
      <vertAlign val="superscript"/>
      <sz val="11"/>
      <name val="Arial"/>
      <family val="2"/>
    </font>
    <font>
      <b/>
      <i/>
      <sz val="10"/>
      <color indexed="52"/>
      <name val="Arial"/>
      <family val="2"/>
    </font>
    <font>
      <sz val="8"/>
      <color indexed="8"/>
      <name val="Arial"/>
      <family val="2"/>
    </font>
    <font>
      <sz val="10"/>
      <color indexed="8"/>
      <name val="Arial"/>
      <family val="2"/>
    </font>
    <font>
      <b/>
      <sz val="10"/>
      <color indexed="8"/>
      <name val="Arial"/>
      <family val="2"/>
    </font>
    <font>
      <i/>
      <sz val="10"/>
      <color indexed="52"/>
      <name val="Arial"/>
      <family val="2"/>
    </font>
    <font>
      <b/>
      <sz val="8"/>
      <color indexed="81"/>
      <name val="Tahoma"/>
      <family val="2"/>
    </font>
    <font>
      <b/>
      <sz val="11"/>
      <name val="Arial"/>
      <family val="2"/>
    </font>
    <font>
      <sz val="10"/>
      <name val="Arial"/>
      <family val="2"/>
    </font>
    <font>
      <sz val="8"/>
      <color rgb="FF000000"/>
      <name val="Tahoma"/>
      <family val="2"/>
    </font>
  </fonts>
  <fills count="7">
    <fill>
      <patternFill patternType="none"/>
    </fill>
    <fill>
      <patternFill patternType="gray125"/>
    </fill>
    <fill>
      <patternFill patternType="solid">
        <fgColor indexed="41"/>
        <bgColor indexed="64"/>
      </patternFill>
    </fill>
    <fill>
      <patternFill patternType="solid">
        <fgColor indexed="22"/>
        <bgColor indexed="64"/>
      </patternFill>
    </fill>
    <fill>
      <patternFill patternType="solid">
        <fgColor indexed="43"/>
        <bgColor indexed="64"/>
      </patternFill>
    </fill>
    <fill>
      <patternFill patternType="solid">
        <fgColor indexed="42"/>
        <bgColor indexed="64"/>
      </patternFill>
    </fill>
    <fill>
      <patternFill patternType="solid">
        <fgColor indexed="44"/>
        <bgColor indexed="64"/>
      </patternFill>
    </fill>
  </fills>
  <borders count="39">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style="medium">
        <color indexed="64"/>
      </bottom>
      <diagonal/>
    </border>
    <border>
      <left/>
      <right style="medium">
        <color indexed="64"/>
      </right>
      <top/>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top style="medium">
        <color indexed="64"/>
      </top>
      <bottom/>
      <diagonal/>
    </border>
    <border>
      <left/>
      <right style="thin">
        <color indexed="64"/>
      </right>
      <top style="medium">
        <color indexed="64"/>
      </top>
      <bottom/>
      <diagonal/>
    </border>
    <border>
      <left/>
      <right style="thin">
        <color indexed="64"/>
      </right>
      <top/>
      <bottom/>
      <diagonal/>
    </border>
    <border>
      <left style="thin">
        <color indexed="64"/>
      </left>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right/>
      <top/>
      <bottom style="thin">
        <color indexed="64"/>
      </bottom>
      <diagonal/>
    </border>
    <border>
      <left/>
      <right/>
      <top/>
      <bottom style="thick">
        <color indexed="64"/>
      </bottom>
      <diagonal/>
    </border>
    <border>
      <left/>
      <right style="thin">
        <color indexed="64"/>
      </right>
      <top style="thin">
        <color indexed="64"/>
      </top>
      <bottom/>
      <diagonal/>
    </border>
    <border>
      <left/>
      <right/>
      <top style="medium">
        <color indexed="64"/>
      </top>
      <bottom style="thin">
        <color indexed="64"/>
      </bottom>
      <diagonal/>
    </border>
  </borders>
  <cellStyleXfs count="2">
    <xf numFmtId="0" fontId="0" fillId="0" borderId="0"/>
    <xf numFmtId="0" fontId="11" fillId="0" borderId="0" applyNumberFormat="0" applyFill="0" applyBorder="0" applyAlignment="0" applyProtection="0">
      <alignment vertical="top"/>
      <protection locked="0"/>
    </xf>
  </cellStyleXfs>
  <cellXfs count="601">
    <xf numFmtId="0" fontId="0" fillId="0" borderId="0" xfId="0"/>
    <xf numFmtId="0" fontId="3" fillId="0" borderId="0" xfId="0" applyFont="1"/>
    <xf numFmtId="0" fontId="0" fillId="0" borderId="0" xfId="0" applyFill="1"/>
    <xf numFmtId="0" fontId="0" fillId="0" borderId="0" xfId="0" applyFill="1" applyAlignment="1"/>
    <xf numFmtId="0" fontId="0" fillId="0" borderId="0" xfId="0" applyFill="1" applyBorder="1"/>
    <xf numFmtId="0" fontId="0" fillId="0" borderId="0" xfId="0" applyBorder="1"/>
    <xf numFmtId="0" fontId="2" fillId="0" borderId="1" xfId="0" applyFont="1" applyBorder="1"/>
    <xf numFmtId="0" fontId="2" fillId="0" borderId="2" xfId="0" applyFont="1" applyBorder="1"/>
    <xf numFmtId="0" fontId="2" fillId="0" borderId="3" xfId="0" applyFont="1" applyBorder="1"/>
    <xf numFmtId="0" fontId="6" fillId="0" borderId="4" xfId="0" applyFont="1" applyBorder="1" applyAlignment="1"/>
    <xf numFmtId="0" fontId="6" fillId="0" borderId="4" xfId="0" applyFont="1" applyBorder="1"/>
    <xf numFmtId="0" fontId="2" fillId="0" borderId="5" xfId="0" applyFont="1" applyFill="1" applyBorder="1"/>
    <xf numFmtId="0" fontId="2" fillId="0" borderId="0" xfId="0" applyFont="1" applyFill="1" applyBorder="1"/>
    <xf numFmtId="0" fontId="0" fillId="0" borderId="5" xfId="0" applyBorder="1"/>
    <xf numFmtId="0" fontId="0" fillId="0" borderId="6" xfId="0" applyBorder="1"/>
    <xf numFmtId="0" fontId="0" fillId="0" borderId="7" xfId="0" applyBorder="1"/>
    <xf numFmtId="0" fontId="3" fillId="0" borderId="0" xfId="0" applyFont="1" applyBorder="1" applyAlignment="1">
      <alignment horizontal="center"/>
    </xf>
    <xf numFmtId="0" fontId="0" fillId="0" borderId="0" xfId="0" applyFill="1" applyAlignment="1">
      <alignment horizontal="left"/>
    </xf>
    <xf numFmtId="0" fontId="10" fillId="0" borderId="0" xfId="0" applyFont="1" applyFill="1" applyAlignment="1"/>
    <xf numFmtId="0" fontId="0" fillId="0" borderId="2" xfId="0" applyBorder="1"/>
    <xf numFmtId="0" fontId="3" fillId="0" borderId="8" xfId="0" applyFont="1" applyBorder="1"/>
    <xf numFmtId="0" fontId="3" fillId="0" borderId="9" xfId="0" applyFont="1" applyBorder="1" applyAlignment="1">
      <alignment wrapText="1"/>
    </xf>
    <xf numFmtId="0" fontId="0" fillId="0" borderId="0" xfId="0" applyBorder="1" applyAlignment="1"/>
    <xf numFmtId="0" fontId="0" fillId="0" borderId="5" xfId="0" applyBorder="1" applyAlignment="1"/>
    <xf numFmtId="0" fontId="12" fillId="0" borderId="0" xfId="0" applyFont="1" applyFill="1" applyBorder="1" applyAlignment="1">
      <alignment horizontal="right"/>
    </xf>
    <xf numFmtId="0" fontId="12" fillId="0" borderId="5" xfId="0" applyFont="1" applyFill="1" applyBorder="1" applyAlignment="1">
      <alignment horizontal="left"/>
    </xf>
    <xf numFmtId="0" fontId="0" fillId="2" borderId="0" xfId="0" applyFill="1"/>
    <xf numFmtId="0" fontId="12" fillId="2" borderId="0" xfId="0" applyFont="1" applyFill="1"/>
    <xf numFmtId="0" fontId="3" fillId="0" borderId="4" xfId="0" applyFont="1" applyBorder="1"/>
    <xf numFmtId="0" fontId="3" fillId="0" borderId="6" xfId="0" applyFont="1" applyFill="1" applyBorder="1" applyAlignment="1">
      <alignment horizontal="left"/>
    </xf>
    <xf numFmtId="0" fontId="3" fillId="0" borderId="7" xfId="0" applyFont="1" applyFill="1" applyBorder="1" applyAlignment="1">
      <alignment horizontal="right"/>
    </xf>
    <xf numFmtId="0" fontId="2" fillId="0" borderId="5" xfId="0" applyFont="1" applyBorder="1"/>
    <xf numFmtId="0" fontId="2" fillId="0" borderId="0" xfId="0" applyFont="1" applyBorder="1"/>
    <xf numFmtId="0" fontId="2" fillId="0" borderId="6" xfId="0" applyFont="1" applyBorder="1"/>
    <xf numFmtId="0" fontId="2" fillId="0" borderId="2" xfId="0" applyFont="1" applyFill="1" applyBorder="1"/>
    <xf numFmtId="0" fontId="2" fillId="0" borderId="5" xfId="0" applyFont="1" applyFill="1" applyBorder="1" applyAlignment="1"/>
    <xf numFmtId="0" fontId="2" fillId="0" borderId="2" xfId="0" applyFont="1" applyFill="1" applyBorder="1" applyAlignment="1">
      <alignment horizontal="right" wrapText="1"/>
    </xf>
    <xf numFmtId="0" fontId="2" fillId="0" borderId="2" xfId="0" applyFont="1" applyFill="1" applyBorder="1" applyAlignment="1">
      <alignment horizontal="right"/>
    </xf>
    <xf numFmtId="0" fontId="2" fillId="0" borderId="6" xfId="0" applyFont="1" applyBorder="1" applyAlignment="1"/>
    <xf numFmtId="0" fontId="3" fillId="2" borderId="0" xfId="0" applyFont="1" applyFill="1"/>
    <xf numFmtId="0" fontId="0" fillId="2" borderId="0" xfId="0" applyFill="1" applyAlignment="1"/>
    <xf numFmtId="0" fontId="0" fillId="2" borderId="0" xfId="0" applyFill="1" applyAlignment="1">
      <alignment horizontal="left"/>
    </xf>
    <xf numFmtId="0" fontId="0" fillId="2" borderId="0" xfId="0" applyFill="1" applyBorder="1" applyAlignment="1"/>
    <xf numFmtId="0" fontId="12" fillId="2" borderId="0" xfId="0" applyFont="1" applyFill="1" applyBorder="1" applyAlignment="1"/>
    <xf numFmtId="0" fontId="12" fillId="2" borderId="0" xfId="0" applyFont="1" applyFill="1" applyBorder="1"/>
    <xf numFmtId="0" fontId="0" fillId="0" borderId="0" xfId="0" applyFill="1" applyBorder="1" applyAlignment="1"/>
    <xf numFmtId="0" fontId="0" fillId="2" borderId="0" xfId="0" applyFill="1" applyBorder="1"/>
    <xf numFmtId="0" fontId="2" fillId="2" borderId="0" xfId="0" applyFont="1" applyFill="1" applyAlignment="1"/>
    <xf numFmtId="0" fontId="0" fillId="2" borderId="0" xfId="0" applyFill="1" applyBorder="1" applyAlignment="1">
      <alignment horizontal="left"/>
    </xf>
    <xf numFmtId="0" fontId="10" fillId="2" borderId="0" xfId="0" applyFont="1" applyFill="1" applyAlignment="1"/>
    <xf numFmtId="0" fontId="12" fillId="0" borderId="0" xfId="0" applyFont="1" applyFill="1" applyBorder="1" applyAlignment="1"/>
    <xf numFmtId="0" fontId="10" fillId="2" borderId="0" xfId="0" applyFont="1" applyFill="1"/>
    <xf numFmtId="0" fontId="10" fillId="2" borderId="0" xfId="0" applyFont="1" applyFill="1" applyBorder="1"/>
    <xf numFmtId="0" fontId="5" fillId="2" borderId="0" xfId="0" applyFont="1" applyFill="1"/>
    <xf numFmtId="0" fontId="3" fillId="2" borderId="0" xfId="0" applyFont="1" applyFill="1" applyBorder="1" applyAlignment="1"/>
    <xf numFmtId="0" fontId="10" fillId="0" borderId="0" xfId="0" applyFont="1"/>
    <xf numFmtId="0" fontId="0" fillId="0" borderId="10" xfId="0" applyBorder="1"/>
    <xf numFmtId="0" fontId="0" fillId="0" borderId="11" xfId="0" applyBorder="1"/>
    <xf numFmtId="0" fontId="2" fillId="0" borderId="0" xfId="0" applyFont="1"/>
    <xf numFmtId="0" fontId="16" fillId="0" borderId="4" xfId="0" applyFont="1" applyBorder="1" applyAlignment="1">
      <alignment horizontal="left"/>
    </xf>
    <xf numFmtId="9" fontId="12" fillId="0" borderId="4" xfId="0" applyNumberFormat="1" applyFont="1" applyBorder="1" applyAlignment="1">
      <alignment horizontal="center"/>
    </xf>
    <xf numFmtId="0" fontId="12" fillId="0" borderId="4" xfId="0" applyFont="1" applyBorder="1" applyAlignment="1"/>
    <xf numFmtId="0" fontId="14" fillId="0" borderId="1" xfId="0" applyFont="1" applyBorder="1" applyAlignment="1">
      <alignment horizontal="center" wrapText="1"/>
    </xf>
    <xf numFmtId="0" fontId="12" fillId="0" borderId="1" xfId="0" applyFont="1" applyBorder="1" applyAlignment="1">
      <alignment horizontal="center"/>
    </xf>
    <xf numFmtId="0" fontId="12" fillId="0" borderId="2" xfId="0" applyFont="1" applyBorder="1" applyAlignment="1">
      <alignment horizontal="center"/>
    </xf>
    <xf numFmtId="0" fontId="12" fillId="0" borderId="12" xfId="0" applyFont="1" applyBorder="1" applyAlignment="1">
      <alignment horizontal="center"/>
    </xf>
    <xf numFmtId="0" fontId="12" fillId="0" borderId="4" xfId="0" applyFont="1" applyBorder="1" applyAlignment="1">
      <alignment horizontal="center" wrapText="1"/>
    </xf>
    <xf numFmtId="9" fontId="12" fillId="0" borderId="1" xfId="0" applyNumberFormat="1" applyFont="1" applyBorder="1" applyAlignment="1">
      <alignment horizontal="center"/>
    </xf>
    <xf numFmtId="0" fontId="7" fillId="0" borderId="0" xfId="0" applyFont="1"/>
    <xf numFmtId="0" fontId="12" fillId="0" borderId="4" xfId="0" applyFont="1" applyBorder="1" applyAlignment="1">
      <alignment wrapText="1"/>
    </xf>
    <xf numFmtId="0" fontId="12" fillId="3" borderId="4" xfId="0" applyFont="1" applyFill="1" applyBorder="1" applyAlignment="1">
      <alignment horizontal="center" wrapText="1"/>
    </xf>
    <xf numFmtId="9" fontId="12" fillId="0" borderId="4" xfId="0" applyNumberFormat="1" applyFont="1" applyBorder="1" applyAlignment="1">
      <alignment horizontal="center" wrapText="1"/>
    </xf>
    <xf numFmtId="0" fontId="12" fillId="0" borderId="1" xfId="0" applyFont="1" applyBorder="1" applyAlignment="1"/>
    <xf numFmtId="0" fontId="12" fillId="3" borderId="1" xfId="0" applyFont="1" applyFill="1" applyBorder="1" applyAlignment="1">
      <alignment horizontal="center"/>
    </xf>
    <xf numFmtId="0" fontId="16" fillId="3" borderId="4" xfId="0" applyFont="1" applyFill="1" applyBorder="1" applyAlignment="1">
      <alignment horizontal="center" wrapText="1"/>
    </xf>
    <xf numFmtId="0" fontId="3" fillId="0" borderId="13" xfId="0" applyFont="1" applyBorder="1"/>
    <xf numFmtId="0" fontId="3" fillId="0" borderId="14" xfId="0" applyFont="1" applyBorder="1"/>
    <xf numFmtId="0" fontId="0" fillId="0" borderId="15" xfId="0" applyFill="1" applyBorder="1"/>
    <xf numFmtId="165" fontId="0" fillId="0" borderId="0" xfId="0" applyNumberFormat="1" applyFill="1" applyBorder="1"/>
    <xf numFmtId="0" fontId="0" fillId="0" borderId="16" xfId="0" applyFill="1" applyBorder="1"/>
    <xf numFmtId="0" fontId="0" fillId="0" borderId="17" xfId="0" applyBorder="1"/>
    <xf numFmtId="165" fontId="0" fillId="0" borderId="17" xfId="0" applyNumberFormat="1" applyFill="1" applyBorder="1"/>
    <xf numFmtId="0" fontId="12" fillId="0" borderId="18" xfId="0" applyFont="1" applyBorder="1"/>
    <xf numFmtId="0" fontId="12" fillId="0" borderId="0" xfId="0" applyFont="1" applyBorder="1"/>
    <xf numFmtId="0" fontId="12" fillId="0" borderId="0" xfId="0" applyFont="1" applyFill="1" applyBorder="1"/>
    <xf numFmtId="0" fontId="12" fillId="0" borderId="19" xfId="0" applyFont="1" applyFill="1" applyBorder="1"/>
    <xf numFmtId="0" fontId="12" fillId="0" borderId="20" xfId="0" applyFont="1" applyFill="1" applyBorder="1"/>
    <xf numFmtId="0" fontId="12" fillId="0" borderId="21" xfId="0" applyFont="1" applyFill="1" applyBorder="1"/>
    <xf numFmtId="0" fontId="12" fillId="0" borderId="5" xfId="0" applyFont="1" applyFill="1" applyBorder="1"/>
    <xf numFmtId="0" fontId="12" fillId="0" borderId="11" xfId="0" applyFont="1" applyFill="1" applyBorder="1"/>
    <xf numFmtId="0" fontId="0" fillId="0" borderId="22" xfId="0" applyBorder="1"/>
    <xf numFmtId="0" fontId="16" fillId="0" borderId="4" xfId="0" applyFont="1" applyBorder="1" applyAlignment="1">
      <alignment horizontal="left" wrapText="1"/>
    </xf>
    <xf numFmtId="165" fontId="0" fillId="0" borderId="20" xfId="0" applyNumberFormat="1" applyFill="1" applyBorder="1"/>
    <xf numFmtId="165" fontId="0" fillId="0" borderId="23" xfId="0" applyNumberFormat="1" applyFill="1" applyBorder="1"/>
    <xf numFmtId="0" fontId="3" fillId="0" borderId="14" xfId="0" applyFont="1" applyFill="1" applyBorder="1"/>
    <xf numFmtId="0" fontId="3" fillId="0" borderId="14" xfId="0" applyFont="1" applyFill="1" applyBorder="1" applyAlignment="1">
      <alignment horizontal="center" wrapText="1"/>
    </xf>
    <xf numFmtId="0" fontId="3" fillId="0" borderId="24" xfId="0" applyFont="1" applyFill="1" applyBorder="1"/>
    <xf numFmtId="0" fontId="0" fillId="0" borderId="0" xfId="0" applyAlignment="1">
      <alignment wrapText="1"/>
    </xf>
    <xf numFmtId="0" fontId="7" fillId="2" borderId="0" xfId="0" applyFont="1" applyFill="1"/>
    <xf numFmtId="0" fontId="0" fillId="2" borderId="0" xfId="0" applyFill="1" applyAlignment="1">
      <alignment wrapText="1"/>
    </xf>
    <xf numFmtId="0" fontId="0" fillId="2" borderId="0" xfId="0" applyFill="1" applyBorder="1" applyAlignment="1">
      <alignment wrapText="1"/>
    </xf>
    <xf numFmtId="0" fontId="0" fillId="4" borderId="4" xfId="0" applyFill="1" applyBorder="1" applyAlignment="1"/>
    <xf numFmtId="0" fontId="0" fillId="3" borderId="4" xfId="0" applyFill="1" applyBorder="1" applyAlignment="1"/>
    <xf numFmtId="0" fontId="0" fillId="3" borderId="4" xfId="0" applyFill="1" applyBorder="1"/>
    <xf numFmtId="0" fontId="2" fillId="0" borderId="25" xfId="0" applyFont="1" applyFill="1" applyBorder="1"/>
    <xf numFmtId="0" fontId="2" fillId="0" borderId="26" xfId="0" applyFont="1" applyFill="1" applyBorder="1" applyAlignment="1">
      <alignment horizontal="right"/>
    </xf>
    <xf numFmtId="0" fontId="2" fillId="0" borderId="0" xfId="0" applyFont="1" applyFill="1" applyBorder="1" applyAlignment="1">
      <alignment horizontal="right"/>
    </xf>
    <xf numFmtId="49" fontId="3" fillId="2" borderId="0" xfId="0" applyNumberFormat="1" applyFont="1" applyFill="1" applyAlignment="1">
      <alignment horizontal="left"/>
    </xf>
    <xf numFmtId="0" fontId="3" fillId="2" borderId="0" xfId="0" applyFont="1" applyFill="1" applyAlignment="1">
      <alignment horizontal="right"/>
    </xf>
    <xf numFmtId="0" fontId="12" fillId="2" borderId="0" xfId="0" applyFont="1" applyFill="1" applyAlignment="1">
      <alignment horizontal="right"/>
    </xf>
    <xf numFmtId="0" fontId="0" fillId="5" borderId="0" xfId="0" applyFill="1"/>
    <xf numFmtId="49" fontId="3" fillId="5" borderId="0" xfId="0" applyNumberFormat="1" applyFont="1" applyFill="1" applyAlignment="1">
      <alignment horizontal="left"/>
    </xf>
    <xf numFmtId="0" fontId="7" fillId="5" borderId="0" xfId="0" applyFont="1" applyFill="1"/>
    <xf numFmtId="0" fontId="12" fillId="5" borderId="0" xfId="0" applyFont="1" applyFill="1" applyAlignment="1">
      <alignment horizontal="right"/>
    </xf>
    <xf numFmtId="0" fontId="0" fillId="5" borderId="0" xfId="0" applyFill="1" applyAlignment="1">
      <alignment wrapText="1"/>
    </xf>
    <xf numFmtId="0" fontId="0" fillId="5" borderId="0" xfId="0" applyFill="1" applyBorder="1" applyAlignment="1">
      <alignment wrapText="1"/>
    </xf>
    <xf numFmtId="0" fontId="3" fillId="5" borderId="0" xfId="0" applyFont="1" applyFill="1"/>
    <xf numFmtId="0" fontId="0" fillId="5" borderId="0" xfId="0" applyFill="1" applyAlignment="1"/>
    <xf numFmtId="0" fontId="3" fillId="5" borderId="0" xfId="0" applyFont="1" applyFill="1" applyAlignment="1">
      <alignment horizontal="right"/>
    </xf>
    <xf numFmtId="0" fontId="0" fillId="5" borderId="0" xfId="0" applyFill="1" applyAlignment="1">
      <alignment horizontal="left"/>
    </xf>
    <xf numFmtId="0" fontId="0" fillId="5" borderId="0" xfId="0" applyFill="1" applyBorder="1"/>
    <xf numFmtId="0" fontId="5" fillId="5" borderId="0" xfId="0" applyFont="1" applyFill="1"/>
    <xf numFmtId="0" fontId="0" fillId="5" borderId="0" xfId="0" applyFill="1" applyBorder="1" applyAlignment="1"/>
    <xf numFmtId="49" fontId="0" fillId="5" borderId="0" xfId="0" applyNumberFormat="1" applyFill="1" applyAlignment="1">
      <alignment horizontal="left"/>
    </xf>
    <xf numFmtId="0" fontId="12" fillId="5" borderId="0" xfId="0" applyFont="1" applyFill="1" applyBorder="1" applyAlignment="1"/>
    <xf numFmtId="0" fontId="12" fillId="5" borderId="0" xfId="0" applyFont="1" applyFill="1" applyBorder="1"/>
    <xf numFmtId="0" fontId="0" fillId="5" borderId="0" xfId="0" applyFill="1" applyBorder="1" applyAlignment="1">
      <alignment horizontal="left"/>
    </xf>
    <xf numFmtId="0" fontId="10" fillId="5" borderId="0" xfId="0" applyFont="1" applyFill="1" applyBorder="1"/>
    <xf numFmtId="0" fontId="2" fillId="5" borderId="0" xfId="0" applyFont="1" applyFill="1" applyAlignment="1"/>
    <xf numFmtId="0" fontId="10" fillId="5" borderId="0" xfId="0" applyFont="1" applyFill="1"/>
    <xf numFmtId="0" fontId="10" fillId="5" borderId="0" xfId="0" applyFont="1" applyFill="1" applyAlignment="1"/>
    <xf numFmtId="0" fontId="12" fillId="5" borderId="0" xfId="0" applyFont="1" applyFill="1"/>
    <xf numFmtId="49" fontId="7" fillId="2" borderId="0" xfId="0" applyNumberFormat="1" applyFont="1" applyFill="1" applyAlignment="1">
      <alignment horizontal="left"/>
    </xf>
    <xf numFmtId="1" fontId="0" fillId="2" borderId="0" xfId="0" applyNumberFormat="1" applyFill="1" applyBorder="1"/>
    <xf numFmtId="0" fontId="3" fillId="2" borderId="0" xfId="0" applyFont="1" applyFill="1" applyBorder="1" applyAlignment="1">
      <alignment horizontal="left"/>
    </xf>
    <xf numFmtId="1" fontId="8" fillId="6" borderId="27" xfId="0" applyNumberFormat="1" applyFont="1" applyFill="1" applyBorder="1"/>
    <xf numFmtId="0" fontId="0" fillId="2" borderId="0" xfId="0" applyFill="1" applyAlignment="1">
      <alignment horizontal="right"/>
    </xf>
    <xf numFmtId="49" fontId="0" fillId="2" borderId="0" xfId="0" applyNumberFormat="1" applyFill="1" applyAlignment="1">
      <alignment horizontal="right"/>
    </xf>
    <xf numFmtId="0" fontId="2" fillId="0" borderId="28" xfId="0" applyFont="1" applyBorder="1" applyAlignment="1">
      <alignment horizontal="center"/>
    </xf>
    <xf numFmtId="0" fontId="0" fillId="3" borderId="3" xfId="0" applyFill="1" applyBorder="1" applyAlignment="1"/>
    <xf numFmtId="0" fontId="0" fillId="5" borderId="26" xfId="0" applyFill="1" applyBorder="1" applyAlignment="1"/>
    <xf numFmtId="0" fontId="1" fillId="5" borderId="0" xfId="0" applyFont="1" applyFill="1" applyBorder="1" applyAlignment="1"/>
    <xf numFmtId="0" fontId="0" fillId="2" borderId="26" xfId="0" applyFill="1" applyBorder="1" applyAlignment="1"/>
    <xf numFmtId="0" fontId="5" fillId="2" borderId="26" xfId="0" applyFont="1" applyFill="1" applyBorder="1" applyAlignment="1"/>
    <xf numFmtId="0" fontId="5" fillId="5" borderId="26" xfId="0" applyFont="1" applyFill="1" applyBorder="1" applyAlignment="1"/>
    <xf numFmtId="0" fontId="0" fillId="0" borderId="3" xfId="0" applyBorder="1"/>
    <xf numFmtId="9" fontId="0" fillId="3" borderId="4" xfId="0" applyNumberFormat="1" applyFill="1" applyBorder="1" applyAlignment="1"/>
    <xf numFmtId="0" fontId="0" fillId="4" borderId="3" xfId="0" applyFill="1" applyBorder="1" applyAlignment="1"/>
    <xf numFmtId="0" fontId="19" fillId="2" borderId="0" xfId="0" applyFont="1" applyFill="1"/>
    <xf numFmtId="0" fontId="16" fillId="2" borderId="0" xfId="0" applyFont="1" applyFill="1"/>
    <xf numFmtId="0" fontId="21" fillId="2" borderId="0" xfId="0" applyFont="1" applyFill="1"/>
    <xf numFmtId="1" fontId="1" fillId="2" borderId="0" xfId="0" applyNumberFormat="1" applyFont="1" applyFill="1" applyBorder="1"/>
    <xf numFmtId="0" fontId="2" fillId="2" borderId="0" xfId="0" applyFont="1" applyFill="1"/>
    <xf numFmtId="0" fontId="3" fillId="0" borderId="0" xfId="0" applyFont="1" applyFill="1"/>
    <xf numFmtId="0" fontId="0" fillId="4" borderId="4" xfId="0" applyFill="1" applyBorder="1" applyAlignment="1" applyProtection="1">
      <protection locked="0"/>
    </xf>
    <xf numFmtId="0" fontId="0" fillId="4" borderId="3" xfId="0" applyFill="1" applyBorder="1" applyAlignment="1" applyProtection="1">
      <protection locked="0"/>
    </xf>
    <xf numFmtId="0" fontId="0" fillId="2" borderId="0" xfId="0" applyFill="1" applyBorder="1" applyAlignment="1" applyProtection="1">
      <protection locked="0"/>
    </xf>
    <xf numFmtId="0" fontId="21" fillId="5" borderId="0" xfId="0" applyFont="1" applyFill="1"/>
    <xf numFmtId="0" fontId="2" fillId="5" borderId="0" xfId="0" applyFont="1" applyFill="1"/>
    <xf numFmtId="0" fontId="0" fillId="5" borderId="0" xfId="0" applyFill="1" applyBorder="1" applyAlignment="1" applyProtection="1">
      <protection locked="0"/>
    </xf>
    <xf numFmtId="0" fontId="2" fillId="0" borderId="0" xfId="0" applyFont="1" applyBorder="1" applyAlignment="1"/>
    <xf numFmtId="0" fontId="12" fillId="0" borderId="19" xfId="0" applyFont="1" applyFill="1" applyBorder="1" applyAlignment="1">
      <alignment horizontal="center" wrapText="1"/>
    </xf>
    <xf numFmtId="0" fontId="12" fillId="0" borderId="20" xfId="0" applyFont="1" applyFill="1" applyBorder="1" applyAlignment="1">
      <alignment horizontal="center" wrapText="1"/>
    </xf>
    <xf numFmtId="0" fontId="12" fillId="0" borderId="23" xfId="0" applyFont="1" applyFill="1" applyBorder="1" applyAlignment="1">
      <alignment horizontal="center" wrapText="1"/>
    </xf>
    <xf numFmtId="0" fontId="15" fillId="0" borderId="29" xfId="0" applyFont="1" applyBorder="1"/>
    <xf numFmtId="0" fontId="0" fillId="0" borderId="30" xfId="0" applyBorder="1"/>
    <xf numFmtId="9" fontId="12" fillId="0" borderId="30" xfId="0" applyNumberFormat="1" applyFont="1" applyBorder="1" applyAlignment="1">
      <alignment horizontal="center"/>
    </xf>
    <xf numFmtId="0" fontId="15" fillId="0" borderId="31" xfId="0" applyFont="1" applyBorder="1"/>
    <xf numFmtId="0" fontId="15" fillId="0" borderId="32" xfId="0" applyFont="1" applyBorder="1"/>
    <xf numFmtId="9" fontId="12" fillId="0" borderId="33" xfId="0" applyNumberFormat="1" applyFont="1" applyBorder="1" applyAlignment="1">
      <alignment horizontal="center"/>
    </xf>
    <xf numFmtId="0" fontId="15" fillId="0" borderId="34" xfId="0" applyFont="1" applyBorder="1"/>
    <xf numFmtId="0" fontId="12" fillId="0" borderId="30" xfId="0" applyFont="1" applyBorder="1" applyAlignment="1">
      <alignment horizontal="left"/>
    </xf>
    <xf numFmtId="0" fontId="12" fillId="0" borderId="4" xfId="0" applyFont="1" applyBorder="1" applyAlignment="1">
      <alignment horizontal="left"/>
    </xf>
    <xf numFmtId="0" fontId="12" fillId="0" borderId="4" xfId="0" applyFont="1" applyFill="1" applyBorder="1" applyAlignment="1">
      <alignment horizontal="left"/>
    </xf>
    <xf numFmtId="0" fontId="0" fillId="0" borderId="4" xfId="0" applyFill="1" applyBorder="1" applyAlignment="1">
      <alignment horizontal="left"/>
    </xf>
    <xf numFmtId="0" fontId="0" fillId="0" borderId="1" xfId="0" applyFill="1" applyBorder="1" applyAlignment="1">
      <alignment horizontal="left"/>
    </xf>
    <xf numFmtId="0" fontId="0" fillId="0" borderId="33" xfId="0" applyFill="1" applyBorder="1" applyAlignment="1">
      <alignment horizontal="left"/>
    </xf>
    <xf numFmtId="49" fontId="0" fillId="0" borderId="0" xfId="0" applyNumberFormat="1" applyFill="1" applyAlignment="1">
      <alignment horizontal="left"/>
    </xf>
    <xf numFmtId="0" fontId="19" fillId="0" borderId="0" xfId="0" applyFont="1"/>
    <xf numFmtId="0" fontId="1" fillId="2" borderId="0" xfId="0" applyFont="1" applyFill="1" applyBorder="1" applyAlignment="1"/>
    <xf numFmtId="0" fontId="0" fillId="0" borderId="4" xfId="0" quotePrefix="1" applyFill="1" applyBorder="1"/>
    <xf numFmtId="0" fontId="2" fillId="0" borderId="4" xfId="0" applyFont="1" applyFill="1" applyBorder="1"/>
    <xf numFmtId="0" fontId="12" fillId="0" borderId="1" xfId="0" applyFont="1" applyFill="1" applyBorder="1" applyAlignment="1">
      <alignment horizontal="right"/>
    </xf>
    <xf numFmtId="0" fontId="12" fillId="0" borderId="2" xfId="0" applyFont="1" applyFill="1" applyBorder="1" applyAlignment="1">
      <alignment horizontal="right"/>
    </xf>
    <xf numFmtId="0" fontId="12" fillId="0" borderId="3" xfId="0" applyFont="1" applyFill="1" applyBorder="1" applyAlignment="1">
      <alignment horizontal="right"/>
    </xf>
    <xf numFmtId="0" fontId="0" fillId="2" borderId="5" xfId="0" applyFill="1" applyBorder="1" applyAlignment="1" applyProtection="1">
      <protection locked="0"/>
    </xf>
    <xf numFmtId="0" fontId="22" fillId="2" borderId="0" xfId="0" applyFont="1" applyFill="1"/>
    <xf numFmtId="0" fontId="0" fillId="2" borderId="2" xfId="0" applyFill="1" applyBorder="1" applyAlignment="1" applyProtection="1">
      <protection locked="0"/>
    </xf>
    <xf numFmtId="0" fontId="0" fillId="2" borderId="2" xfId="0" applyFill="1" applyBorder="1" applyAlignment="1"/>
    <xf numFmtId="0" fontId="0" fillId="5" borderId="5" xfId="0" applyFill="1" applyBorder="1" applyAlignment="1"/>
    <xf numFmtId="0" fontId="22" fillId="5" borderId="0" xfId="0" applyFont="1" applyFill="1"/>
    <xf numFmtId="0" fontId="3" fillId="5" borderId="0" xfId="0" applyFont="1" applyFill="1" applyAlignment="1"/>
    <xf numFmtId="0" fontId="19" fillId="2" borderId="0" xfId="0" applyFont="1" applyFill="1" applyBorder="1" applyAlignment="1"/>
    <xf numFmtId="0" fontId="20" fillId="2" borderId="0" xfId="0" applyFont="1" applyFill="1" applyBorder="1" applyAlignment="1"/>
    <xf numFmtId="0" fontId="0" fillId="5" borderId="28" xfId="0" applyFill="1" applyBorder="1" applyAlignment="1"/>
    <xf numFmtId="0" fontId="3" fillId="0" borderId="5" xfId="0" applyFont="1" applyBorder="1"/>
    <xf numFmtId="0" fontId="0" fillId="0" borderId="0" xfId="0" applyBorder="1" applyAlignment="1">
      <alignment horizontal="center" wrapText="1"/>
    </xf>
    <xf numFmtId="0" fontId="0" fillId="0" borderId="5" xfId="0" quotePrefix="1" applyBorder="1" applyAlignment="1">
      <alignment wrapText="1"/>
    </xf>
    <xf numFmtId="0" fontId="23" fillId="0" borderId="5" xfId="0" applyFont="1" applyBorder="1"/>
    <xf numFmtId="0" fontId="14" fillId="0" borderId="5" xfId="0" applyFont="1" applyFill="1" applyBorder="1" applyAlignment="1">
      <alignment horizontal="center" wrapText="1"/>
    </xf>
    <xf numFmtId="2" fontId="0" fillId="0" borderId="0" xfId="0" applyNumberFormat="1" applyBorder="1"/>
    <xf numFmtId="1" fontId="0" fillId="0" borderId="0" xfId="0" applyNumberFormat="1" applyBorder="1"/>
    <xf numFmtId="1" fontId="0" fillId="0" borderId="0" xfId="0" applyNumberFormat="1" applyBorder="1" applyAlignment="1">
      <alignment wrapText="1"/>
    </xf>
    <xf numFmtId="1" fontId="12" fillId="0" borderId="5" xfId="0" applyNumberFormat="1" applyFont="1" applyFill="1" applyBorder="1" applyAlignment="1">
      <alignment horizontal="right" wrapText="1"/>
    </xf>
    <xf numFmtId="1" fontId="0" fillId="0" borderId="0" xfId="0" applyNumberFormat="1" applyBorder="1" applyAlignment="1">
      <alignment horizontal="right"/>
    </xf>
    <xf numFmtId="0" fontId="12" fillId="2" borderId="0" xfId="0" applyFont="1" applyFill="1" applyAlignment="1">
      <alignment horizontal="right" wrapText="1"/>
    </xf>
    <xf numFmtId="0" fontId="19" fillId="2" borderId="0" xfId="0" applyFont="1" applyFill="1" applyAlignment="1">
      <alignment horizontal="right" wrapText="1"/>
    </xf>
    <xf numFmtId="0" fontId="16" fillId="0" borderId="30" xfId="0" applyFont="1" applyBorder="1" applyAlignment="1">
      <alignment wrapText="1"/>
    </xf>
    <xf numFmtId="9" fontId="16" fillId="0" borderId="30" xfId="0" applyNumberFormat="1" applyFont="1" applyBorder="1" applyAlignment="1">
      <alignment horizontal="center" wrapText="1"/>
    </xf>
    <xf numFmtId="164" fontId="0" fillId="5" borderId="0" xfId="0" applyNumberFormat="1" applyFill="1" applyBorder="1"/>
    <xf numFmtId="0" fontId="2" fillId="5" borderId="0" xfId="0" applyFont="1" applyFill="1" applyBorder="1" applyAlignment="1">
      <alignment wrapText="1"/>
    </xf>
    <xf numFmtId="9" fontId="0" fillId="5" borderId="0" xfId="0" applyNumberFormat="1" applyFill="1" applyBorder="1"/>
    <xf numFmtId="0" fontId="1" fillId="5" borderId="0" xfId="0" applyFont="1" applyFill="1" applyBorder="1" applyAlignment="1">
      <alignment wrapText="1"/>
    </xf>
    <xf numFmtId="0" fontId="24" fillId="2" borderId="0" xfId="0" applyFont="1" applyFill="1"/>
    <xf numFmtId="0" fontId="0" fillId="0" borderId="2" xfId="0" applyFill="1" applyBorder="1"/>
    <xf numFmtId="0" fontId="0" fillId="4" borderId="1" xfId="0" applyFill="1" applyBorder="1" applyAlignment="1"/>
    <xf numFmtId="0" fontId="2" fillId="5" borderId="0" xfId="0" applyFont="1" applyFill="1" applyBorder="1" applyAlignment="1"/>
    <xf numFmtId="0" fontId="0" fillId="5" borderId="0" xfId="0" applyNumberFormat="1" applyFill="1" applyBorder="1" applyAlignment="1"/>
    <xf numFmtId="0" fontId="0" fillId="3" borderId="4" xfId="0" applyNumberFormat="1" applyFill="1" applyBorder="1" applyAlignment="1"/>
    <xf numFmtId="0" fontId="2" fillId="0" borderId="6" xfId="0" applyFont="1" applyFill="1" applyBorder="1" applyAlignment="1"/>
    <xf numFmtId="0" fontId="0" fillId="0" borderId="20" xfId="0" applyBorder="1"/>
    <xf numFmtId="0" fontId="3" fillId="0" borderId="1" xfId="0" applyFont="1" applyBorder="1" applyAlignment="1">
      <alignment wrapText="1"/>
    </xf>
    <xf numFmtId="0" fontId="2" fillId="0" borderId="35" xfId="0" applyFont="1" applyBorder="1"/>
    <xf numFmtId="0" fontId="2" fillId="0" borderId="25" xfId="0" applyFont="1" applyFill="1" applyBorder="1" applyAlignment="1">
      <alignment wrapText="1"/>
    </xf>
    <xf numFmtId="0" fontId="2" fillId="0" borderId="26" xfId="0" applyFont="1" applyFill="1" applyBorder="1" applyAlignment="1">
      <alignment wrapText="1"/>
    </xf>
    <xf numFmtId="0" fontId="2" fillId="0" borderId="8" xfId="0" applyFont="1" applyBorder="1"/>
    <xf numFmtId="0" fontId="2" fillId="0" borderId="28" xfId="0" applyFont="1" applyFill="1" applyBorder="1" applyAlignment="1">
      <alignment horizontal="right"/>
    </xf>
    <xf numFmtId="0" fontId="2" fillId="0" borderId="0" xfId="0" applyFont="1" applyFill="1" applyBorder="1" applyAlignment="1"/>
    <xf numFmtId="0" fontId="23" fillId="0" borderId="4" xfId="0" applyFont="1" applyBorder="1"/>
    <xf numFmtId="164" fontId="0" fillId="3" borderId="4" xfId="0" applyNumberFormat="1" applyFill="1" applyBorder="1" applyAlignment="1"/>
    <xf numFmtId="0" fontId="2" fillId="0" borderId="0" xfId="0" applyFont="1" applyFill="1" applyBorder="1" applyAlignment="1">
      <alignment wrapText="1"/>
    </xf>
    <xf numFmtId="0" fontId="15" fillId="0" borderId="0" xfId="0" applyFont="1" applyBorder="1" applyAlignment="1"/>
    <xf numFmtId="0" fontId="12" fillId="0" borderId="0" xfId="0" applyFont="1" applyBorder="1" applyAlignment="1"/>
    <xf numFmtId="0" fontId="0" fillId="0" borderId="0" xfId="0" applyFill="1" applyBorder="1" applyAlignment="1">
      <alignment horizontal="left"/>
    </xf>
    <xf numFmtId="0" fontId="3" fillId="0" borderId="0" xfId="0" applyFont="1" applyFill="1" applyBorder="1" applyAlignment="1">
      <alignment horizontal="left"/>
    </xf>
    <xf numFmtId="0" fontId="3" fillId="0" borderId="0" xfId="0" applyFont="1" applyFill="1" applyBorder="1" applyAlignment="1">
      <alignment horizontal="right"/>
    </xf>
    <xf numFmtId="0" fontId="2" fillId="0" borderId="0" xfId="0" applyFont="1" applyFill="1" applyBorder="1" applyAlignment="1">
      <alignment horizontal="right" wrapText="1"/>
    </xf>
    <xf numFmtId="0" fontId="0" fillId="0" borderId="0" xfId="0" quotePrefix="1" applyFill="1" applyBorder="1"/>
    <xf numFmtId="0" fontId="7" fillId="0" borderId="0" xfId="0" applyFont="1" applyFill="1" applyBorder="1" applyAlignment="1">
      <alignment horizontal="left"/>
    </xf>
    <xf numFmtId="0" fontId="2" fillId="0" borderId="1" xfId="0" applyFont="1" applyBorder="1" applyAlignment="1"/>
    <xf numFmtId="0" fontId="2" fillId="0" borderId="2" xfId="0" applyFont="1" applyFill="1" applyBorder="1" applyAlignment="1"/>
    <xf numFmtId="0" fontId="2" fillId="0" borderId="2" xfId="0" applyFont="1" applyBorder="1" applyAlignment="1"/>
    <xf numFmtId="0" fontId="25" fillId="0" borderId="0" xfId="0" applyFont="1" applyFill="1"/>
    <xf numFmtId="0" fontId="16" fillId="0" borderId="0" xfId="0" applyFont="1" applyBorder="1" applyAlignment="1">
      <alignment horizontal="left"/>
    </xf>
    <xf numFmtId="0" fontId="0" fillId="0" borderId="36" xfId="0" applyBorder="1"/>
    <xf numFmtId="0" fontId="3" fillId="0" borderId="36" xfId="0" applyFont="1" applyBorder="1"/>
    <xf numFmtId="1" fontId="8" fillId="2" borderId="0" xfId="0" applyNumberFormat="1" applyFont="1" applyFill="1" applyBorder="1"/>
    <xf numFmtId="2" fontId="0" fillId="6" borderId="4" xfId="0" applyNumberFormat="1" applyFill="1" applyBorder="1" applyAlignment="1"/>
    <xf numFmtId="2" fontId="0" fillId="6" borderId="1" xfId="0" applyNumberFormat="1" applyFill="1" applyBorder="1"/>
    <xf numFmtId="0" fontId="28" fillId="0" borderId="0" xfId="0" applyFont="1"/>
    <xf numFmtId="0" fontId="2" fillId="2" borderId="0" xfId="0" applyFont="1" applyFill="1" applyBorder="1" applyAlignment="1"/>
    <xf numFmtId="0" fontId="27" fillId="2" borderId="0" xfId="0" applyFont="1" applyFill="1" applyAlignment="1">
      <alignment horizontal="left"/>
    </xf>
    <xf numFmtId="0" fontId="3" fillId="2" borderId="0" xfId="0" applyFont="1" applyFill="1" applyAlignment="1">
      <alignment horizontal="center"/>
    </xf>
    <xf numFmtId="0" fontId="3" fillId="2" borderId="0" xfId="0" applyFont="1" applyFill="1" applyAlignment="1">
      <alignment horizontal="left"/>
    </xf>
    <xf numFmtId="164" fontId="0" fillId="5" borderId="0" xfId="0" applyNumberFormat="1" applyFill="1" applyBorder="1" applyAlignment="1"/>
    <xf numFmtId="0" fontId="1" fillId="2" borderId="5" xfId="0" applyFont="1" applyFill="1" applyBorder="1" applyAlignment="1" applyProtection="1">
      <protection locked="0"/>
    </xf>
    <xf numFmtId="0" fontId="1" fillId="2" borderId="5" xfId="0" applyFont="1" applyFill="1" applyBorder="1" applyAlignment="1"/>
    <xf numFmtId="0" fontId="10" fillId="5" borderId="0" xfId="0" applyFont="1" applyFill="1" applyBorder="1" applyAlignment="1"/>
    <xf numFmtId="0" fontId="12" fillId="4" borderId="4" xfId="0" applyFont="1" applyFill="1" applyBorder="1" applyAlignment="1">
      <alignment wrapText="1"/>
    </xf>
    <xf numFmtId="0" fontId="12" fillId="4" borderId="4" xfId="0" applyFont="1" applyFill="1" applyBorder="1" applyAlignment="1">
      <alignment horizontal="center" wrapText="1"/>
    </xf>
    <xf numFmtId="9" fontId="12" fillId="4" borderId="4" xfId="0" applyNumberFormat="1" applyFont="1" applyFill="1" applyBorder="1" applyAlignment="1">
      <alignment horizontal="center" wrapText="1"/>
    </xf>
    <xf numFmtId="0" fontId="2" fillId="2" borderId="0" xfId="0" applyFont="1" applyFill="1" applyBorder="1" applyAlignment="1" applyProtection="1">
      <alignment wrapText="1"/>
      <protection locked="0"/>
    </xf>
    <xf numFmtId="0" fontId="0" fillId="2" borderId="0" xfId="0" applyFill="1" applyBorder="1" applyAlignment="1" applyProtection="1">
      <alignment wrapText="1"/>
      <protection locked="0"/>
    </xf>
    <xf numFmtId="0" fontId="29" fillId="2" borderId="0" xfId="0" applyFont="1" applyFill="1" applyAlignment="1">
      <alignment horizontal="right" wrapText="1"/>
    </xf>
    <xf numFmtId="0" fontId="2" fillId="2" borderId="26" xfId="0" applyFont="1" applyFill="1" applyBorder="1" applyAlignment="1" applyProtection="1">
      <protection locked="0"/>
    </xf>
    <xf numFmtId="0" fontId="0" fillId="2" borderId="26" xfId="0" applyFill="1" applyBorder="1" applyAlignment="1" applyProtection="1">
      <protection locked="0"/>
    </xf>
    <xf numFmtId="0" fontId="0" fillId="2" borderId="35" xfId="0" applyFill="1" applyBorder="1" applyAlignment="1" applyProtection="1">
      <protection locked="0"/>
    </xf>
    <xf numFmtId="0" fontId="12" fillId="2" borderId="0" xfId="0" applyFont="1" applyFill="1" applyAlignment="1">
      <alignment horizontal="left"/>
    </xf>
    <xf numFmtId="0" fontId="0" fillId="5" borderId="0" xfId="0" applyFill="1" applyBorder="1" applyAlignment="1" applyProtection="1">
      <alignment wrapText="1"/>
      <protection locked="0"/>
    </xf>
    <xf numFmtId="0" fontId="29" fillId="5" borderId="0" xfId="0" applyFont="1" applyFill="1" applyAlignment="1">
      <alignment horizontal="right" wrapText="1"/>
    </xf>
    <xf numFmtId="0" fontId="19" fillId="5" borderId="0" xfId="0" applyFont="1" applyFill="1" applyAlignment="1">
      <alignment horizontal="right" wrapText="1"/>
    </xf>
    <xf numFmtId="0" fontId="2" fillId="5" borderId="0" xfId="0" applyFont="1" applyFill="1" applyBorder="1" applyAlignment="1" applyProtection="1">
      <alignment wrapText="1"/>
      <protection locked="0"/>
    </xf>
    <xf numFmtId="9" fontId="0" fillId="3" borderId="9" xfId="0" applyNumberFormat="1" applyFill="1" applyBorder="1" applyAlignment="1">
      <alignment horizontal="right"/>
    </xf>
    <xf numFmtId="0" fontId="0" fillId="0" borderId="25" xfId="0" applyFill="1" applyBorder="1" applyAlignment="1">
      <alignment wrapText="1"/>
    </xf>
    <xf numFmtId="0" fontId="17" fillId="0" borderId="37" xfId="0" applyFont="1" applyFill="1" applyBorder="1" applyAlignment="1">
      <alignment horizontal="right" wrapText="1"/>
    </xf>
    <xf numFmtId="1" fontId="0" fillId="2" borderId="0" xfId="0" applyNumberFormat="1" applyFill="1" applyBorder="1" applyAlignment="1"/>
    <xf numFmtId="0" fontId="12" fillId="2" borderId="0" xfId="0" applyFont="1" applyFill="1" applyBorder="1" applyAlignment="1">
      <alignment horizontal="left"/>
    </xf>
    <xf numFmtId="0" fontId="1" fillId="4" borderId="4" xfId="0" applyFont="1" applyFill="1" applyBorder="1" applyAlignment="1" applyProtection="1">
      <alignment wrapText="1"/>
      <protection locked="0"/>
    </xf>
    <xf numFmtId="0" fontId="12" fillId="5" borderId="0" xfId="0" applyFont="1" applyFill="1" applyAlignment="1"/>
    <xf numFmtId="2" fontId="1" fillId="3" borderId="27" xfId="0" applyNumberFormat="1" applyFont="1" applyFill="1" applyBorder="1" applyAlignment="1"/>
    <xf numFmtId="2" fontId="0" fillId="3" borderId="27" xfId="0" applyNumberFormat="1" applyFill="1" applyBorder="1" applyAlignment="1"/>
    <xf numFmtId="2" fontId="1" fillId="3" borderId="3" xfId="0" applyNumberFormat="1" applyFont="1" applyFill="1" applyBorder="1" applyAlignment="1"/>
    <xf numFmtId="1" fontId="0" fillId="5" borderId="0" xfId="0" applyNumberFormat="1" applyFill="1" applyBorder="1"/>
    <xf numFmtId="0" fontId="16" fillId="0" borderId="3" xfId="0" applyFont="1" applyBorder="1" applyAlignment="1">
      <alignment wrapText="1"/>
    </xf>
    <xf numFmtId="9" fontId="16" fillId="0" borderId="3" xfId="0" applyNumberFormat="1" applyFont="1" applyBorder="1" applyAlignment="1">
      <alignment horizontal="center" wrapText="1"/>
    </xf>
    <xf numFmtId="0" fontId="0" fillId="3" borderId="0" xfId="0" applyFill="1"/>
    <xf numFmtId="0" fontId="17" fillId="0" borderId="0" xfId="0" applyFont="1" applyAlignment="1">
      <alignment horizontal="right"/>
    </xf>
    <xf numFmtId="0" fontId="17" fillId="4" borderId="0" xfId="0" applyFont="1" applyFill="1"/>
    <xf numFmtId="0" fontId="17" fillId="6" borderId="0" xfId="0" applyFont="1" applyFill="1"/>
    <xf numFmtId="0" fontId="17" fillId="3" borderId="0" xfId="0" applyFont="1" applyFill="1"/>
    <xf numFmtId="9" fontId="0" fillId="6" borderId="1" xfId="0" applyNumberFormat="1" applyFill="1" applyBorder="1" applyAlignment="1">
      <alignment horizontal="right"/>
    </xf>
    <xf numFmtId="9" fontId="0" fillId="6" borderId="3" xfId="0" applyNumberFormat="1" applyFill="1" applyBorder="1"/>
    <xf numFmtId="9" fontId="0" fillId="2" borderId="38" xfId="0" applyNumberFormat="1" applyFill="1" applyBorder="1" applyAlignment="1">
      <alignment horizontal="right"/>
    </xf>
    <xf numFmtId="1" fontId="0" fillId="6" borderId="27" xfId="0" applyNumberFormat="1" applyFill="1" applyBorder="1" applyAlignment="1">
      <alignment horizontal="right"/>
    </xf>
    <xf numFmtId="0" fontId="2" fillId="0" borderId="35" xfId="0" applyFont="1" applyBorder="1" applyAlignment="1">
      <alignment horizontal="left"/>
    </xf>
    <xf numFmtId="0" fontId="6" fillId="0" borderId="4" xfId="0" applyFont="1" applyBorder="1" applyAlignment="1">
      <alignment wrapText="1"/>
    </xf>
    <xf numFmtId="0" fontId="1" fillId="0" borderId="0" xfId="0" applyFont="1"/>
    <xf numFmtId="0" fontId="15" fillId="4" borderId="3" xfId="0" applyFont="1" applyFill="1" applyBorder="1" applyAlignment="1">
      <alignment wrapText="1"/>
    </xf>
    <xf numFmtId="0" fontId="16" fillId="4" borderId="3" xfId="0" applyFont="1" applyFill="1" applyBorder="1" applyAlignment="1">
      <alignment horizontal="left" wrapText="1"/>
    </xf>
    <xf numFmtId="0" fontId="15" fillId="4" borderId="3" xfId="0" applyFont="1" applyFill="1" applyBorder="1" applyAlignment="1"/>
    <xf numFmtId="9" fontId="12" fillId="4" borderId="3" xfId="0" applyNumberFormat="1" applyFont="1" applyFill="1" applyBorder="1" applyAlignment="1">
      <alignment horizontal="center" wrapText="1"/>
    </xf>
    <xf numFmtId="0" fontId="15" fillId="4" borderId="4" xfId="0" applyFont="1" applyFill="1" applyBorder="1" applyAlignment="1">
      <alignment wrapText="1"/>
    </xf>
    <xf numFmtId="0" fontId="16" fillId="4" borderId="4" xfId="0" applyFont="1" applyFill="1" applyBorder="1" applyAlignment="1">
      <alignment horizontal="left" wrapText="1"/>
    </xf>
    <xf numFmtId="0" fontId="15" fillId="4" borderId="4" xfId="0" applyFont="1" applyFill="1" applyBorder="1" applyAlignment="1"/>
    <xf numFmtId="0" fontId="14" fillId="3" borderId="30" xfId="0" applyFont="1" applyFill="1" applyBorder="1" applyAlignment="1">
      <alignment horizontal="center" wrapText="1"/>
    </xf>
    <xf numFmtId="0" fontId="14" fillId="3" borderId="3" xfId="0" applyFont="1" applyFill="1" applyBorder="1" applyAlignment="1">
      <alignment horizontal="center" wrapText="1"/>
    </xf>
    <xf numFmtId="0" fontId="14" fillId="3" borderId="30" xfId="0" applyFont="1" applyFill="1" applyBorder="1" applyAlignment="1">
      <alignment wrapText="1"/>
    </xf>
    <xf numFmtId="0" fontId="16" fillId="3" borderId="30" xfId="0" applyFont="1" applyFill="1" applyBorder="1" applyAlignment="1">
      <alignment horizontal="left"/>
    </xf>
    <xf numFmtId="0" fontId="14" fillId="3" borderId="3" xfId="0" applyFont="1" applyFill="1" applyBorder="1" applyAlignment="1">
      <alignment wrapText="1"/>
    </xf>
    <xf numFmtId="0" fontId="16" fillId="3" borderId="3" xfId="0" applyFont="1" applyFill="1" applyBorder="1" applyAlignment="1">
      <alignment horizontal="left"/>
    </xf>
    <xf numFmtId="0" fontId="12" fillId="0" borderId="0" xfId="0" applyFont="1"/>
    <xf numFmtId="0" fontId="16" fillId="0" borderId="2" xfId="0" applyFont="1" applyBorder="1" applyAlignment="1"/>
    <xf numFmtId="0" fontId="16" fillId="0" borderId="0" xfId="0" applyFont="1" applyBorder="1"/>
    <xf numFmtId="0" fontId="16" fillId="0" borderId="2" xfId="0" applyFont="1" applyBorder="1" applyAlignment="1">
      <alignment wrapText="1"/>
    </xf>
    <xf numFmtId="0" fontId="16" fillId="0" borderId="0" xfId="0" applyFont="1"/>
    <xf numFmtId="0" fontId="12" fillId="0" borderId="21" xfId="0" applyFont="1" applyBorder="1"/>
    <xf numFmtId="0" fontId="12" fillId="2" borderId="0" xfId="0" applyFont="1" applyFill="1" applyAlignment="1">
      <alignment wrapText="1"/>
    </xf>
    <xf numFmtId="0" fontId="12" fillId="5" borderId="0" xfId="0" applyFont="1" applyFill="1" applyAlignment="1">
      <alignment wrapText="1"/>
    </xf>
    <xf numFmtId="2" fontId="0" fillId="6" borderId="1" xfId="0" applyNumberFormat="1" applyFill="1" applyBorder="1" applyAlignment="1">
      <alignment horizontal="right"/>
    </xf>
    <xf numFmtId="2" fontId="0" fillId="6" borderId="3" xfId="0" applyNumberFormat="1" applyFill="1" applyBorder="1"/>
    <xf numFmtId="0" fontId="12" fillId="2" borderId="0" xfId="0" applyFont="1" applyFill="1" applyAlignment="1"/>
    <xf numFmtId="0" fontId="12" fillId="2" borderId="0" xfId="0" applyFont="1" applyFill="1" applyAlignment="1">
      <alignment horizontal="left" vertical="center"/>
    </xf>
    <xf numFmtId="0" fontId="0" fillId="2" borderId="0" xfId="0" applyFill="1" applyAlignment="1">
      <alignment horizontal="center" vertical="center"/>
    </xf>
    <xf numFmtId="0" fontId="0" fillId="2" borderId="0" xfId="0" applyFill="1" applyBorder="1" applyAlignment="1">
      <alignment horizontal="right" vertical="center"/>
    </xf>
    <xf numFmtId="0" fontId="0" fillId="2" borderId="0" xfId="0" applyFill="1" applyBorder="1" applyAlignment="1">
      <alignment horizontal="right"/>
    </xf>
    <xf numFmtId="0" fontId="0" fillId="2" borderId="20" xfId="0" applyFill="1" applyBorder="1"/>
    <xf numFmtId="0" fontId="0" fillId="2" borderId="0" xfId="0" applyFill="1" applyBorder="1" applyProtection="1">
      <protection locked="0"/>
    </xf>
    <xf numFmtId="1" fontId="1" fillId="2" borderId="0" xfId="0" applyNumberFormat="1" applyFont="1" applyFill="1" applyBorder="1" applyAlignment="1"/>
    <xf numFmtId="0" fontId="0" fillId="0" borderId="0" xfId="0" applyAlignment="1">
      <alignment horizontal="center"/>
    </xf>
    <xf numFmtId="0" fontId="0" fillId="4" borderId="1" xfId="0" applyFill="1" applyBorder="1" applyAlignment="1" applyProtection="1">
      <protection locked="0"/>
    </xf>
    <xf numFmtId="0" fontId="0" fillId="4" borderId="3" xfId="0" applyFill="1" applyBorder="1" applyProtection="1">
      <protection locked="0"/>
    </xf>
    <xf numFmtId="0" fontId="0" fillId="4" borderId="2" xfId="0" applyFill="1" applyBorder="1"/>
    <xf numFmtId="2" fontId="0" fillId="6" borderId="33" xfId="0" applyNumberFormat="1" applyFill="1" applyBorder="1"/>
    <xf numFmtId="9" fontId="12" fillId="0" borderId="0" xfId="0" applyNumberFormat="1" applyFont="1" applyBorder="1" applyAlignment="1">
      <alignment horizontal="center"/>
    </xf>
    <xf numFmtId="0" fontId="3" fillId="0" borderId="0" xfId="0" applyFont="1" applyAlignment="1">
      <alignment wrapText="1"/>
    </xf>
    <xf numFmtId="0" fontId="0" fillId="0" borderId="1" xfId="0" applyBorder="1"/>
    <xf numFmtId="0" fontId="3" fillId="0" borderId="4" xfId="0" applyFont="1" applyBorder="1" applyAlignment="1">
      <alignment wrapText="1"/>
    </xf>
    <xf numFmtId="0" fontId="3" fillId="0" borderId="9" xfId="0" applyFont="1" applyBorder="1"/>
    <xf numFmtId="0" fontId="2" fillId="0" borderId="20" xfId="0" applyFont="1" applyBorder="1"/>
    <xf numFmtId="0" fontId="2" fillId="0" borderId="7" xfId="0" applyFont="1" applyBorder="1"/>
    <xf numFmtId="0" fontId="16" fillId="4" borderId="4" xfId="0" applyFont="1" applyFill="1" applyBorder="1" applyAlignment="1">
      <alignment horizontal="center" wrapText="1"/>
    </xf>
    <xf numFmtId="0" fontId="12" fillId="4" borderId="4" xfId="0" applyFont="1" applyFill="1" applyBorder="1" applyAlignment="1"/>
    <xf numFmtId="0" fontId="37" fillId="0" borderId="1" xfId="0" applyFont="1" applyBorder="1" applyAlignment="1"/>
    <xf numFmtId="0" fontId="3" fillId="0" borderId="1" xfId="0" applyFont="1" applyBorder="1"/>
    <xf numFmtId="0" fontId="35" fillId="0" borderId="20" xfId="0" applyFont="1" applyBorder="1" applyAlignment="1"/>
    <xf numFmtId="0" fontId="35" fillId="0" borderId="7" xfId="0" applyFont="1" applyBorder="1" applyAlignment="1"/>
    <xf numFmtId="0" fontId="1" fillId="0" borderId="0" xfId="0" applyFont="1" applyBorder="1"/>
    <xf numFmtId="0" fontId="2" fillId="0" borderId="1" xfId="0" applyFont="1" applyFill="1" applyBorder="1"/>
    <xf numFmtId="0" fontId="35" fillId="0" borderId="1" xfId="0" applyFont="1" applyBorder="1" applyAlignment="1"/>
    <xf numFmtId="0" fontId="3" fillId="0" borderId="0" xfId="0" applyFont="1" applyBorder="1" applyAlignment="1">
      <alignment wrapText="1"/>
    </xf>
    <xf numFmtId="10" fontId="2" fillId="0" borderId="1" xfId="0" applyNumberFormat="1" applyFont="1" applyBorder="1"/>
    <xf numFmtId="10" fontId="2" fillId="0" borderId="2" xfId="0" applyNumberFormat="1" applyFont="1" applyBorder="1"/>
    <xf numFmtId="10" fontId="2" fillId="0" borderId="3" xfId="0" applyNumberFormat="1" applyFont="1" applyBorder="1"/>
    <xf numFmtId="0" fontId="2" fillId="0" borderId="3" xfId="0" applyFont="1" applyFill="1" applyBorder="1"/>
    <xf numFmtId="0" fontId="27" fillId="5" borderId="20" xfId="0" applyFont="1" applyFill="1" applyBorder="1"/>
    <xf numFmtId="0" fontId="27" fillId="5" borderId="7" xfId="0" applyFont="1" applyFill="1" applyBorder="1"/>
    <xf numFmtId="0" fontId="27" fillId="5" borderId="0" xfId="0" applyFont="1" applyFill="1" applyBorder="1"/>
    <xf numFmtId="9" fontId="27" fillId="5" borderId="0" xfId="0" applyNumberFormat="1" applyFont="1" applyFill="1" applyBorder="1"/>
    <xf numFmtId="0" fontId="27" fillId="5" borderId="0" xfId="0" applyFont="1" applyFill="1"/>
    <xf numFmtId="0" fontId="27" fillId="5" borderId="0" xfId="0" applyFont="1" applyFill="1" applyBorder="1" applyAlignment="1"/>
    <xf numFmtId="0" fontId="2" fillId="4" borderId="4" xfId="0" applyFont="1" applyFill="1" applyBorder="1" applyAlignment="1"/>
    <xf numFmtId="0" fontId="0" fillId="3" borderId="1" xfId="0" applyFill="1" applyBorder="1"/>
    <xf numFmtId="0" fontId="27" fillId="5" borderId="0" xfId="0" quotePrefix="1" applyFont="1" applyFill="1" applyBorder="1" applyAlignment="1"/>
    <xf numFmtId="10" fontId="0" fillId="3" borderId="4" xfId="0" applyNumberFormat="1" applyFill="1" applyBorder="1" applyAlignment="1"/>
    <xf numFmtId="2" fontId="0" fillId="3" borderId="4" xfId="0" applyNumberFormat="1" applyFill="1" applyBorder="1" applyAlignment="1"/>
    <xf numFmtId="0" fontId="27" fillId="5" borderId="0" xfId="0" quotePrefix="1" applyFont="1" applyFill="1"/>
    <xf numFmtId="0" fontId="0" fillId="5" borderId="0" xfId="0" quotePrefix="1" applyFill="1"/>
    <xf numFmtId="10" fontId="0" fillId="3" borderId="9" xfId="0" applyNumberFormat="1" applyFill="1" applyBorder="1"/>
    <xf numFmtId="9" fontId="0" fillId="3" borderId="1" xfId="0" applyNumberFormat="1" applyFill="1" applyBorder="1" applyAlignment="1"/>
    <xf numFmtId="0" fontId="0" fillId="2" borderId="25" xfId="0" applyFill="1" applyBorder="1" applyAlignment="1" applyProtection="1">
      <protection locked="0"/>
    </xf>
    <xf numFmtId="2" fontId="0" fillId="6" borderId="4" xfId="0" applyNumberFormat="1" applyFill="1" applyBorder="1"/>
    <xf numFmtId="2" fontId="0" fillId="6" borderId="27" xfId="0" applyNumberFormat="1" applyFill="1" applyBorder="1"/>
    <xf numFmtId="2" fontId="0" fillId="2" borderId="0" xfId="0" applyNumberFormat="1" applyFill="1"/>
    <xf numFmtId="10" fontId="2" fillId="0" borderId="0" xfId="0" applyNumberFormat="1" applyFont="1" applyBorder="1"/>
    <xf numFmtId="10" fontId="2" fillId="0" borderId="35" xfId="0" applyNumberFormat="1" applyFont="1" applyBorder="1"/>
    <xf numFmtId="10" fontId="2" fillId="0" borderId="20" xfId="0" applyNumberFormat="1" applyFont="1" applyBorder="1"/>
    <xf numFmtId="10" fontId="2" fillId="0" borderId="7" xfId="0" applyNumberFormat="1" applyFont="1" applyBorder="1"/>
    <xf numFmtId="0" fontId="7" fillId="0" borderId="0" xfId="0" applyFont="1" applyBorder="1"/>
    <xf numFmtId="0" fontId="13" fillId="0" borderId="0" xfId="0" applyFont="1" applyBorder="1" applyAlignment="1"/>
    <xf numFmtId="0" fontId="9" fillId="0" borderId="0" xfId="0" applyFont="1" applyFill="1" applyBorder="1" applyAlignment="1"/>
    <xf numFmtId="0" fontId="3" fillId="0" borderId="0" xfId="0" applyFont="1" applyFill="1" applyBorder="1" applyAlignment="1"/>
    <xf numFmtId="0" fontId="18" fillId="0" borderId="0" xfId="0" applyFont="1" applyFill="1" applyBorder="1" applyAlignment="1">
      <alignment horizontal="center"/>
    </xf>
    <xf numFmtId="0" fontId="17" fillId="0" borderId="0" xfId="0" applyFont="1" applyFill="1" applyBorder="1" applyAlignment="1">
      <alignment horizontal="center"/>
    </xf>
    <xf numFmtId="0" fontId="0" fillId="0" borderId="0" xfId="0" applyFill="1" applyBorder="1" applyAlignment="1">
      <alignment horizontal="center"/>
    </xf>
    <xf numFmtId="0" fontId="2" fillId="0" borderId="0" xfId="0" quotePrefix="1" applyFont="1" applyFill="1" applyBorder="1" applyAlignment="1"/>
    <xf numFmtId="0" fontId="3" fillId="2" borderId="0" xfId="0" applyFont="1" applyFill="1" applyBorder="1" applyAlignment="1">
      <alignment horizontal="right"/>
    </xf>
    <xf numFmtId="0" fontId="2" fillId="0" borderId="0" xfId="0" applyFont="1" applyFill="1"/>
    <xf numFmtId="0" fontId="16" fillId="0" borderId="0" xfId="0" applyFont="1" applyFill="1"/>
    <xf numFmtId="1" fontId="0" fillId="0" borderId="0" xfId="0" applyNumberFormat="1" applyFill="1" applyBorder="1"/>
    <xf numFmtId="2" fontId="0" fillId="6" borderId="1" xfId="0" applyNumberFormat="1" applyFill="1" applyBorder="1" applyAlignment="1"/>
    <xf numFmtId="0" fontId="1" fillId="0" borderId="0" xfId="0" applyFont="1" applyBorder="1" applyAlignment="1"/>
    <xf numFmtId="164" fontId="0" fillId="3" borderId="4" xfId="0" applyNumberFormat="1" applyFill="1" applyBorder="1" applyAlignment="1">
      <alignment horizontal="right"/>
    </xf>
    <xf numFmtId="0" fontId="15" fillId="4" borderId="0" xfId="0" applyFont="1" applyFill="1" applyBorder="1"/>
    <xf numFmtId="0" fontId="0" fillId="0" borderId="0" xfId="0" quotePrefix="1" applyFill="1" applyBorder="1" applyAlignment="1">
      <alignment horizontal="left"/>
    </xf>
    <xf numFmtId="0" fontId="1" fillId="3" borderId="4" xfId="0" applyFont="1" applyFill="1" applyBorder="1" applyAlignment="1"/>
    <xf numFmtId="2" fontId="0" fillId="6" borderId="27" xfId="0" applyNumberFormat="1" applyFill="1" applyBorder="1" applyAlignment="1">
      <alignment horizontal="right"/>
    </xf>
    <xf numFmtId="2" fontId="1" fillId="6" borderId="4" xfId="0" applyNumberFormat="1" applyFont="1" applyFill="1" applyBorder="1" applyAlignment="1">
      <alignment horizontal="right"/>
    </xf>
    <xf numFmtId="2" fontId="0" fillId="6" borderId="4" xfId="0" applyNumberFormat="1" applyFill="1" applyBorder="1" applyAlignment="1">
      <alignment horizontal="right"/>
    </xf>
    <xf numFmtId="2" fontId="0" fillId="6" borderId="4" xfId="0" applyNumberFormat="1" applyFill="1" applyBorder="1" applyAlignment="1" applyProtection="1">
      <alignment horizontal="right"/>
    </xf>
    <xf numFmtId="2" fontId="1" fillId="6" borderId="27" xfId="0" applyNumberFormat="1" applyFont="1" applyFill="1" applyBorder="1" applyAlignment="1">
      <alignment horizontal="right"/>
    </xf>
    <xf numFmtId="2" fontId="0" fillId="6" borderId="2" xfId="0" applyNumberFormat="1" applyFill="1" applyBorder="1" applyAlignment="1">
      <alignment horizontal="right"/>
    </xf>
    <xf numFmtId="2" fontId="12" fillId="6" borderId="27" xfId="0" applyNumberFormat="1" applyFont="1" applyFill="1" applyBorder="1" applyAlignment="1">
      <alignment horizontal="right"/>
    </xf>
    <xf numFmtId="2" fontId="0" fillId="6" borderId="27" xfId="0" applyNumberFormat="1" applyFill="1" applyBorder="1" applyAlignment="1"/>
    <xf numFmtId="2" fontId="0" fillId="3" borderId="3" xfId="0" applyNumberFormat="1" applyFill="1" applyBorder="1" applyAlignment="1"/>
    <xf numFmtId="10" fontId="0" fillId="3" borderId="4" xfId="0" applyNumberFormat="1" applyFill="1" applyBorder="1" applyAlignment="1">
      <alignment horizontal="right"/>
    </xf>
    <xf numFmtId="0" fontId="2" fillId="0" borderId="4" xfId="0" applyFont="1" applyBorder="1"/>
    <xf numFmtId="2" fontId="0" fillId="6" borderId="30" xfId="0" applyNumberFormat="1" applyFill="1" applyBorder="1"/>
    <xf numFmtId="0" fontId="1" fillId="5" borderId="25" xfId="0" applyFont="1" applyFill="1" applyBorder="1" applyAlignment="1"/>
    <xf numFmtId="0" fontId="1" fillId="5" borderId="26" xfId="0" applyFont="1" applyFill="1" applyBorder="1" applyAlignment="1"/>
    <xf numFmtId="0" fontId="1" fillId="3" borderId="3" xfId="0" applyFont="1" applyFill="1" applyBorder="1" applyAlignment="1"/>
    <xf numFmtId="167" fontId="0" fillId="5" borderId="0" xfId="0" applyNumberFormat="1" applyFill="1" applyBorder="1"/>
    <xf numFmtId="168" fontId="0" fillId="6" borderId="27" xfId="0" applyNumberFormat="1" applyFill="1" applyBorder="1"/>
    <xf numFmtId="168" fontId="0" fillId="6" borderId="3" xfId="0" applyNumberFormat="1" applyFill="1" applyBorder="1"/>
    <xf numFmtId="168" fontId="0" fillId="6" borderId="27" xfId="0" applyNumberFormat="1" applyFill="1" applyBorder="1" applyAlignment="1">
      <alignment horizontal="right"/>
    </xf>
    <xf numFmtId="168" fontId="26" fillId="6" borderId="27" xfId="0" applyNumberFormat="1" applyFont="1" applyFill="1" applyBorder="1"/>
    <xf numFmtId="0" fontId="1" fillId="5" borderId="0" xfId="0" applyFont="1" applyFill="1"/>
    <xf numFmtId="168" fontId="1" fillId="6" borderId="27" xfId="0" applyNumberFormat="1" applyFont="1" applyFill="1" applyBorder="1" applyAlignment="1">
      <alignment horizontal="right"/>
    </xf>
    <xf numFmtId="9" fontId="1" fillId="5" borderId="35" xfId="0" applyNumberFormat="1" applyFont="1" applyFill="1" applyBorder="1" applyAlignment="1">
      <alignment horizontal="right"/>
    </xf>
    <xf numFmtId="9" fontId="1" fillId="6" borderId="2" xfId="0" applyNumberFormat="1" applyFont="1" applyFill="1" applyBorder="1"/>
    <xf numFmtId="168" fontId="1" fillId="6" borderId="27" xfId="0" applyNumberFormat="1" applyFont="1" applyFill="1" applyBorder="1"/>
    <xf numFmtId="0" fontId="40" fillId="5" borderId="0" xfId="0" applyFont="1" applyFill="1"/>
    <xf numFmtId="0" fontId="41" fillId="5" borderId="0" xfId="0" applyFont="1" applyFill="1"/>
    <xf numFmtId="0" fontId="0" fillId="0" borderId="20" xfId="0" applyBorder="1" applyAlignment="1"/>
    <xf numFmtId="0" fontId="2" fillId="0" borderId="28" xfId="0" applyFont="1" applyBorder="1"/>
    <xf numFmtId="2" fontId="0" fillId="6" borderId="3" xfId="0" applyNumberFormat="1" applyFill="1" applyBorder="1" applyAlignment="1"/>
    <xf numFmtId="2" fontId="0" fillId="5" borderId="35" xfId="0" applyNumberFormat="1" applyFill="1" applyBorder="1" applyAlignment="1"/>
    <xf numFmtId="0" fontId="2" fillId="0" borderId="37" xfId="0" applyFont="1" applyBorder="1" applyAlignment="1"/>
    <xf numFmtId="0" fontId="2" fillId="0" borderId="7" xfId="0" applyFont="1" applyBorder="1" applyAlignment="1"/>
    <xf numFmtId="0" fontId="16" fillId="0" borderId="25" xfId="0" applyFont="1" applyBorder="1"/>
    <xf numFmtId="0" fontId="16" fillId="0" borderId="6" xfId="0" applyFont="1" applyBorder="1"/>
    <xf numFmtId="0" fontId="16" fillId="0" borderId="26" xfId="0" applyFont="1" applyBorder="1" applyAlignment="1"/>
    <xf numFmtId="0" fontId="16" fillId="0" borderId="35" xfId="0" applyFont="1" applyBorder="1" applyAlignment="1"/>
    <xf numFmtId="0" fontId="16" fillId="0" borderId="1" xfId="0" applyFont="1" applyBorder="1"/>
    <xf numFmtId="0" fontId="16" fillId="0" borderId="3" xfId="0" applyFont="1" applyBorder="1"/>
    <xf numFmtId="0" fontId="16" fillId="0" borderId="26" xfId="0" applyFont="1" applyBorder="1" applyAlignment="1">
      <alignment horizontal="right"/>
    </xf>
    <xf numFmtId="0" fontId="16" fillId="0" borderId="35" xfId="0" applyFont="1" applyBorder="1" applyAlignment="1">
      <alignment horizontal="right"/>
    </xf>
    <xf numFmtId="0" fontId="2" fillId="2" borderId="0" xfId="0" applyFont="1" applyFill="1" applyAlignment="1">
      <alignment horizontal="left"/>
    </xf>
    <xf numFmtId="0" fontId="0" fillId="4" borderId="8" xfId="0" applyFill="1" applyBorder="1" applyAlignment="1" applyProtection="1">
      <protection locked="0"/>
    </xf>
    <xf numFmtId="0" fontId="0" fillId="0" borderId="28" xfId="0" applyBorder="1" applyAlignment="1" applyProtection="1">
      <protection locked="0"/>
    </xf>
    <xf numFmtId="0" fontId="0" fillId="0" borderId="9" xfId="0" applyBorder="1" applyAlignment="1" applyProtection="1">
      <protection locked="0"/>
    </xf>
    <xf numFmtId="0" fontId="1" fillId="4" borderId="8" xfId="0" applyFont="1" applyFill="1" applyBorder="1" applyAlignment="1" applyProtection="1">
      <protection locked="0"/>
    </xf>
    <xf numFmtId="0" fontId="1" fillId="0" borderId="28" xfId="0" applyFont="1" applyBorder="1" applyAlignment="1" applyProtection="1">
      <protection locked="0"/>
    </xf>
    <xf numFmtId="0" fontId="1" fillId="0" borderId="9" xfId="0" applyFont="1" applyBorder="1" applyAlignment="1" applyProtection="1">
      <protection locked="0"/>
    </xf>
    <xf numFmtId="0" fontId="0" fillId="4" borderId="28" xfId="0" applyFill="1" applyBorder="1" applyAlignment="1" applyProtection="1">
      <protection locked="0"/>
    </xf>
    <xf numFmtId="0" fontId="0" fillId="4" borderId="9" xfId="0" applyFill="1" applyBorder="1" applyAlignment="1" applyProtection="1">
      <protection locked="0"/>
    </xf>
    <xf numFmtId="0" fontId="11" fillId="4" borderId="8" xfId="1" applyFill="1" applyBorder="1" applyAlignment="1" applyProtection="1">
      <protection locked="0"/>
    </xf>
    <xf numFmtId="0" fontId="19" fillId="0" borderId="0" xfId="0" applyFont="1" applyFill="1" applyAlignment="1">
      <alignment wrapText="1"/>
    </xf>
    <xf numFmtId="0" fontId="0" fillId="0" borderId="0" xfId="0" applyAlignment="1">
      <alignment wrapText="1"/>
    </xf>
    <xf numFmtId="0" fontId="0" fillId="2" borderId="0" xfId="0" applyFill="1" applyBorder="1" applyAlignment="1"/>
    <xf numFmtId="0" fontId="12" fillId="2" borderId="0" xfId="0" applyFont="1" applyFill="1" applyBorder="1" applyAlignment="1"/>
    <xf numFmtId="0" fontId="0" fillId="0" borderId="0" xfId="0" applyBorder="1" applyAlignment="1"/>
    <xf numFmtId="0" fontId="0" fillId="4" borderId="8" xfId="0" applyFill="1" applyBorder="1" applyAlignment="1" applyProtection="1">
      <alignment wrapText="1"/>
      <protection locked="0"/>
    </xf>
    <xf numFmtId="0" fontId="0" fillId="4" borderId="28" xfId="0" applyFill="1" applyBorder="1" applyAlignment="1" applyProtection="1">
      <alignment wrapText="1"/>
      <protection locked="0"/>
    </xf>
    <xf numFmtId="0" fontId="0" fillId="4" borderId="9" xfId="0" applyFill="1" applyBorder="1" applyAlignment="1" applyProtection="1">
      <alignment wrapText="1"/>
      <protection locked="0"/>
    </xf>
    <xf numFmtId="0" fontId="16" fillId="2" borderId="0" xfId="0" applyFont="1" applyFill="1" applyAlignment="1">
      <alignment wrapText="1"/>
    </xf>
    <xf numFmtId="0" fontId="17" fillId="4" borderId="8" xfId="0" applyFont="1" applyFill="1" applyBorder="1" applyAlignment="1" applyProtection="1">
      <protection locked="0"/>
    </xf>
    <xf numFmtId="0" fontId="17" fillId="0" borderId="28" xfId="0" applyFont="1" applyBorder="1" applyAlignment="1" applyProtection="1">
      <protection locked="0"/>
    </xf>
    <xf numFmtId="166" fontId="12" fillId="4" borderId="25" xfId="0" applyNumberFormat="1" applyFont="1" applyFill="1" applyBorder="1" applyAlignment="1" applyProtection="1">
      <protection locked="0"/>
    </xf>
    <xf numFmtId="166" fontId="12" fillId="4" borderId="26" xfId="0" applyNumberFormat="1" applyFont="1" applyFill="1" applyBorder="1" applyAlignment="1" applyProtection="1">
      <protection locked="0"/>
    </xf>
    <xf numFmtId="166" fontId="12" fillId="4" borderId="37" xfId="0" applyNumberFormat="1" applyFont="1" applyFill="1" applyBorder="1" applyAlignment="1" applyProtection="1">
      <protection locked="0"/>
    </xf>
    <xf numFmtId="0" fontId="12" fillId="4" borderId="25" xfId="0" applyFont="1" applyFill="1" applyBorder="1" applyAlignment="1" applyProtection="1">
      <protection locked="0"/>
    </xf>
    <xf numFmtId="0" fontId="0" fillId="4" borderId="26" xfId="0" applyFill="1" applyBorder="1" applyAlignment="1" applyProtection="1">
      <protection locked="0"/>
    </xf>
    <xf numFmtId="0" fontId="0" fillId="4" borderId="37" xfId="0" applyFill="1" applyBorder="1" applyAlignment="1" applyProtection="1">
      <protection locked="0"/>
    </xf>
    <xf numFmtId="0" fontId="12" fillId="4" borderId="4" xfId="0" applyFont="1" applyFill="1" applyBorder="1" applyAlignment="1" applyProtection="1">
      <protection locked="0"/>
    </xf>
    <xf numFmtId="0" fontId="0" fillId="4" borderId="4" xfId="0" applyFill="1" applyBorder="1" applyAlignment="1" applyProtection="1">
      <protection locked="0"/>
    </xf>
    <xf numFmtId="0" fontId="0" fillId="0" borderId="4" xfId="0" applyBorder="1" applyAlignment="1" applyProtection="1">
      <protection locked="0"/>
    </xf>
    <xf numFmtId="0" fontId="12" fillId="4" borderId="8" xfId="0" applyFont="1" applyFill="1" applyBorder="1" applyAlignment="1" applyProtection="1">
      <alignment horizontal="left"/>
      <protection locked="0"/>
    </xf>
    <xf numFmtId="0" fontId="0" fillId="4" borderId="28" xfId="0" applyFill="1" applyBorder="1" applyAlignment="1" applyProtection="1">
      <alignment horizontal="left"/>
      <protection locked="0"/>
    </xf>
    <xf numFmtId="0" fontId="0" fillId="4" borderId="9" xfId="0" applyFill="1" applyBorder="1" applyAlignment="1" applyProtection="1">
      <alignment horizontal="left"/>
      <protection locked="0"/>
    </xf>
    <xf numFmtId="0" fontId="12" fillId="4" borderId="28" xfId="0" applyFont="1" applyFill="1" applyBorder="1" applyAlignment="1" applyProtection="1">
      <protection locked="0"/>
    </xf>
    <xf numFmtId="0" fontId="19" fillId="0" borderId="0" xfId="0" applyFont="1" applyAlignment="1">
      <alignment wrapText="1"/>
    </xf>
    <xf numFmtId="0" fontId="2" fillId="4" borderId="8" xfId="0" applyFont="1" applyFill="1" applyBorder="1" applyAlignment="1" applyProtection="1">
      <alignment wrapText="1"/>
      <protection locked="0"/>
    </xf>
    <xf numFmtId="0" fontId="2" fillId="0" borderId="28" xfId="0" applyFont="1" applyBorder="1" applyAlignment="1" applyProtection="1">
      <alignment wrapText="1"/>
      <protection locked="0"/>
    </xf>
    <xf numFmtId="0" fontId="0" fillId="0" borderId="28" xfId="0" applyBorder="1" applyAlignment="1" applyProtection="1">
      <alignment wrapText="1"/>
      <protection locked="0"/>
    </xf>
    <xf numFmtId="0" fontId="0" fillId="4" borderId="8" xfId="0" applyNumberFormat="1" applyFill="1" applyBorder="1" applyAlignment="1" applyProtection="1">
      <protection locked="0"/>
    </xf>
    <xf numFmtId="0" fontId="2" fillId="2" borderId="0" xfId="0" applyFont="1" applyFill="1" applyAlignment="1">
      <alignment wrapText="1"/>
    </xf>
    <xf numFmtId="0" fontId="38" fillId="0" borderId="0" xfId="0" applyFont="1" applyAlignment="1">
      <alignment wrapText="1"/>
    </xf>
    <xf numFmtId="0" fontId="0" fillId="4" borderId="28" xfId="0" applyNumberFormat="1" applyFill="1" applyBorder="1" applyAlignment="1" applyProtection="1">
      <protection locked="0"/>
    </xf>
    <xf numFmtId="0" fontId="0" fillId="4" borderId="9" xfId="0" applyNumberFormat="1" applyFill="1" applyBorder="1" applyAlignment="1" applyProtection="1">
      <protection locked="0"/>
    </xf>
    <xf numFmtId="0" fontId="0" fillId="2" borderId="0" xfId="0" applyFill="1" applyAlignment="1"/>
    <xf numFmtId="0" fontId="12" fillId="0" borderId="0" xfId="0" applyFont="1" applyAlignment="1">
      <alignment wrapText="1"/>
    </xf>
    <xf numFmtId="0" fontId="2" fillId="2" borderId="26" xfId="0" applyFont="1" applyFill="1" applyBorder="1" applyAlignment="1" applyProtection="1">
      <alignment wrapText="1"/>
      <protection locked="0"/>
    </xf>
    <xf numFmtId="0" fontId="0" fillId="2" borderId="26" xfId="0" applyFill="1" applyBorder="1" applyAlignment="1" applyProtection="1">
      <alignment wrapText="1"/>
      <protection locked="0"/>
    </xf>
    <xf numFmtId="0" fontId="16" fillId="2" borderId="0" xfId="0" applyFont="1" applyFill="1" applyAlignment="1">
      <alignment horizontal="left" wrapText="1"/>
    </xf>
    <xf numFmtId="0" fontId="0" fillId="0" borderId="0" xfId="0" applyAlignment="1">
      <alignment horizontal="left" wrapText="1"/>
    </xf>
    <xf numFmtId="0" fontId="0" fillId="0" borderId="9" xfId="0" applyBorder="1" applyAlignment="1" applyProtection="1">
      <alignment wrapText="1"/>
      <protection locked="0"/>
    </xf>
    <xf numFmtId="0" fontId="2" fillId="2" borderId="0" xfId="0" applyFont="1" applyFill="1" applyAlignment="1"/>
    <xf numFmtId="0" fontId="0" fillId="2" borderId="0" xfId="0" applyFill="1" applyAlignment="1">
      <alignment wrapText="1"/>
    </xf>
    <xf numFmtId="0" fontId="0" fillId="2" borderId="0" xfId="0" applyFill="1" applyBorder="1" applyAlignment="1">
      <alignment wrapText="1"/>
    </xf>
    <xf numFmtId="0" fontId="0" fillId="4" borderId="8" xfId="0" applyFill="1" applyBorder="1" applyAlignment="1" applyProtection="1">
      <alignment horizontal="center" wrapText="1"/>
      <protection locked="0"/>
    </xf>
    <xf numFmtId="0" fontId="0" fillId="4" borderId="28" xfId="0" applyFill="1" applyBorder="1" applyAlignment="1" applyProtection="1">
      <alignment horizontal="center" wrapText="1"/>
      <protection locked="0"/>
    </xf>
    <xf numFmtId="0" fontId="0" fillId="4" borderId="9" xfId="0" applyFill="1" applyBorder="1" applyAlignment="1" applyProtection="1">
      <alignment horizontal="center" wrapText="1"/>
      <protection locked="0"/>
    </xf>
    <xf numFmtId="0" fontId="29" fillId="2" borderId="0" xfId="0" applyFont="1" applyFill="1" applyAlignment="1">
      <alignment horizontal="right" wrapText="1"/>
    </xf>
    <xf numFmtId="0" fontId="29" fillId="2" borderId="20" xfId="0" applyFont="1" applyFill="1" applyBorder="1" applyAlignment="1">
      <alignment horizontal="right" wrapText="1"/>
    </xf>
    <xf numFmtId="0" fontId="2" fillId="4" borderId="25" xfId="0" applyFont="1" applyFill="1" applyBorder="1" applyAlignment="1" applyProtection="1">
      <alignment wrapText="1"/>
      <protection locked="0"/>
    </xf>
    <xf numFmtId="0" fontId="0" fillId="0" borderId="26" xfId="0" applyBorder="1" applyAlignment="1" applyProtection="1">
      <alignment wrapText="1"/>
      <protection locked="0"/>
    </xf>
    <xf numFmtId="0" fontId="0" fillId="5" borderId="0" xfId="0" applyFill="1" applyBorder="1" applyAlignment="1">
      <alignment wrapText="1"/>
    </xf>
    <xf numFmtId="0" fontId="2" fillId="4" borderId="8" xfId="0" applyFont="1" applyFill="1" applyBorder="1" applyAlignment="1">
      <alignment wrapText="1"/>
    </xf>
    <xf numFmtId="0" fontId="2" fillId="4" borderId="28" xfId="0" applyFont="1" applyFill="1" applyBorder="1" applyAlignment="1">
      <alignment wrapText="1"/>
    </xf>
    <xf numFmtId="0" fontId="0" fillId="5" borderId="26" xfId="0" applyFill="1" applyBorder="1" applyAlignment="1">
      <alignment wrapText="1"/>
    </xf>
    <xf numFmtId="0" fontId="0" fillId="4" borderId="8" xfId="0" applyFill="1" applyBorder="1" applyAlignment="1"/>
    <xf numFmtId="0" fontId="0" fillId="0" borderId="28" xfId="0" applyBorder="1" applyAlignment="1"/>
    <xf numFmtId="0" fontId="0" fillId="0" borderId="9" xfId="0" applyBorder="1" applyAlignment="1"/>
    <xf numFmtId="0" fontId="2" fillId="4" borderId="8" xfId="0" applyFont="1" applyFill="1" applyBorder="1" applyAlignment="1"/>
    <xf numFmtId="0" fontId="2" fillId="0" borderId="28" xfId="0" applyFont="1" applyBorder="1" applyAlignment="1"/>
    <xf numFmtId="0" fontId="2" fillId="0" borderId="9" xfId="0" applyFont="1" applyBorder="1" applyAlignment="1"/>
    <xf numFmtId="0" fontId="0" fillId="3" borderId="8" xfId="0" applyFill="1" applyBorder="1" applyAlignment="1"/>
    <xf numFmtId="0" fontId="0" fillId="5" borderId="0" xfId="0" applyFill="1" applyBorder="1" applyAlignment="1"/>
    <xf numFmtId="0" fontId="0" fillId="4" borderId="28" xfId="0" applyFill="1" applyBorder="1" applyAlignment="1"/>
    <xf numFmtId="0" fontId="0" fillId="4" borderId="9" xfId="0" applyFill="1" applyBorder="1" applyAlignment="1"/>
    <xf numFmtId="0" fontId="1" fillId="4" borderId="8" xfId="0" applyFont="1" applyFill="1" applyBorder="1" applyAlignment="1"/>
    <xf numFmtId="0" fontId="1" fillId="4" borderId="28" xfId="0" applyFont="1" applyFill="1" applyBorder="1" applyAlignment="1"/>
    <xf numFmtId="0" fontId="1" fillId="4" borderId="9" xfId="0" applyFont="1" applyFill="1" applyBorder="1" applyAlignment="1"/>
    <xf numFmtId="166" fontId="12" fillId="4" borderId="25" xfId="0" applyNumberFormat="1" applyFont="1" applyFill="1" applyBorder="1" applyAlignment="1" applyProtection="1"/>
    <xf numFmtId="166" fontId="12" fillId="4" borderId="26" xfId="0" applyNumberFormat="1" applyFont="1" applyFill="1" applyBorder="1" applyAlignment="1" applyProtection="1"/>
    <xf numFmtId="166" fontId="12" fillId="4" borderId="37" xfId="0" applyNumberFormat="1" applyFont="1" applyFill="1" applyBorder="1" applyAlignment="1" applyProtection="1"/>
    <xf numFmtId="0" fontId="12" fillId="4" borderId="8" xfId="0" applyFont="1" applyFill="1" applyBorder="1" applyAlignment="1" applyProtection="1"/>
    <xf numFmtId="0" fontId="12" fillId="4" borderId="28" xfId="0" applyFont="1" applyFill="1" applyBorder="1" applyAlignment="1" applyProtection="1"/>
    <xf numFmtId="0" fontId="0" fillId="0" borderId="28" xfId="0" applyBorder="1" applyAlignment="1" applyProtection="1"/>
    <xf numFmtId="0" fontId="0" fillId="0" borderId="9" xfId="0" applyBorder="1" applyAlignment="1" applyProtection="1"/>
    <xf numFmtId="0" fontId="0" fillId="4" borderId="25" xfId="0" applyFill="1" applyBorder="1" applyAlignment="1" applyProtection="1"/>
    <xf numFmtId="0" fontId="0" fillId="4" borderId="26" xfId="0" applyFill="1" applyBorder="1" applyAlignment="1" applyProtection="1"/>
    <xf numFmtId="0" fontId="0" fillId="4" borderId="37" xfId="0" applyFill="1" applyBorder="1" applyAlignment="1" applyProtection="1"/>
    <xf numFmtId="0" fontId="0" fillId="4" borderId="4" xfId="0" applyFill="1" applyBorder="1" applyAlignment="1" applyProtection="1"/>
    <xf numFmtId="0" fontId="0" fillId="0" borderId="4" xfId="0" applyBorder="1" applyAlignment="1" applyProtection="1"/>
    <xf numFmtId="0" fontId="0" fillId="4" borderId="8" xfId="0" applyFill="1" applyBorder="1" applyAlignment="1" applyProtection="1"/>
    <xf numFmtId="0" fontId="0" fillId="4" borderId="28" xfId="0" applyFill="1" applyBorder="1" applyAlignment="1" applyProtection="1"/>
    <xf numFmtId="0" fontId="0" fillId="4" borderId="9" xfId="0" applyFill="1" applyBorder="1" applyAlignment="1" applyProtection="1"/>
    <xf numFmtId="0" fontId="16" fillId="5" borderId="0" xfId="0" applyFont="1" applyFill="1" applyAlignment="1">
      <alignment wrapText="1"/>
    </xf>
    <xf numFmtId="0" fontId="0" fillId="5" borderId="0" xfId="0" applyFill="1" applyAlignment="1">
      <alignment wrapText="1"/>
    </xf>
    <xf numFmtId="0" fontId="0" fillId="3" borderId="28" xfId="0" applyFill="1" applyBorder="1" applyAlignment="1"/>
    <xf numFmtId="0" fontId="0" fillId="3" borderId="9" xfId="0" applyFill="1" applyBorder="1" applyAlignment="1"/>
    <xf numFmtId="0" fontId="0" fillId="4" borderId="8" xfId="0" applyFill="1" applyBorder="1" applyAlignment="1">
      <alignment wrapText="1"/>
    </xf>
    <xf numFmtId="0" fontId="0" fillId="4" borderId="28" xfId="0" applyFill="1" applyBorder="1" applyAlignment="1">
      <alignment wrapText="1"/>
    </xf>
    <xf numFmtId="0" fontId="0" fillId="4" borderId="9" xfId="0" applyFill="1" applyBorder="1" applyAlignment="1">
      <alignment wrapText="1"/>
    </xf>
    <xf numFmtId="0" fontId="17" fillId="4" borderId="8" xfId="0" applyNumberFormat="1" applyFont="1" applyFill="1" applyBorder="1" applyAlignment="1"/>
    <xf numFmtId="0" fontId="17" fillId="0" borderId="28" xfId="0" applyNumberFormat="1" applyFont="1" applyBorder="1" applyAlignment="1"/>
    <xf numFmtId="0" fontId="0" fillId="0" borderId="28" xfId="0" applyNumberFormat="1" applyBorder="1" applyAlignment="1"/>
    <xf numFmtId="0" fontId="0" fillId="0" borderId="9" xfId="0" applyNumberFormat="1" applyBorder="1" applyAlignment="1"/>
    <xf numFmtId="0" fontId="1" fillId="3" borderId="25" xfId="0" applyFont="1" applyFill="1" applyBorder="1" applyAlignment="1"/>
    <xf numFmtId="0" fontId="1" fillId="0" borderId="37" xfId="0" applyFont="1" applyBorder="1" applyAlignment="1"/>
    <xf numFmtId="0" fontId="1" fillId="3" borderId="4" xfId="0" applyFont="1" applyFill="1" applyBorder="1" applyAlignment="1"/>
    <xf numFmtId="0" fontId="1" fillId="0" borderId="4" xfId="0" applyFont="1" applyBorder="1" applyAlignment="1"/>
    <xf numFmtId="0" fontId="0" fillId="5" borderId="35" xfId="0" quotePrefix="1" applyFill="1" applyBorder="1" applyAlignment="1"/>
    <xf numFmtId="0" fontId="0" fillId="0" borderId="35" xfId="0" applyBorder="1" applyAlignment="1"/>
    <xf numFmtId="0" fontId="0" fillId="0" borderId="28" xfId="0" applyBorder="1" applyAlignment="1">
      <alignment wrapText="1"/>
    </xf>
    <xf numFmtId="0" fontId="1" fillId="0" borderId="28" xfId="0" applyFont="1" applyBorder="1" applyAlignment="1"/>
    <xf numFmtId="0" fontId="1" fillId="0" borderId="9" xfId="0" applyFont="1" applyBorder="1" applyAlignment="1"/>
    <xf numFmtId="0" fontId="0" fillId="4" borderId="8" xfId="0" applyNumberFormat="1" applyFill="1" applyBorder="1" applyAlignment="1"/>
    <xf numFmtId="0" fontId="0" fillId="4" borderId="28" xfId="0" applyNumberFormat="1" applyFill="1" applyBorder="1" applyAlignment="1"/>
    <xf numFmtId="0" fontId="0" fillId="4" borderId="9" xfId="0" applyNumberFormat="1" applyFill="1" applyBorder="1" applyAlignment="1"/>
    <xf numFmtId="0" fontId="3" fillId="0" borderId="0" xfId="0" applyFont="1" applyAlignment="1">
      <alignment vertical="center" wrapText="1"/>
    </xf>
    <xf numFmtId="0" fontId="27" fillId="5" borderId="35" xfId="0" quotePrefix="1" applyFont="1" applyFill="1" applyBorder="1" applyAlignment="1"/>
    <xf numFmtId="9" fontId="0" fillId="3" borderId="8" xfId="0" applyNumberFormat="1" applyFill="1" applyBorder="1" applyAlignment="1"/>
    <xf numFmtId="0" fontId="12" fillId="5" borderId="0" xfId="0" applyFont="1" applyFill="1" applyBorder="1" applyAlignment="1"/>
    <xf numFmtId="0" fontId="0" fillId="4" borderId="8" xfId="0" applyFill="1" applyBorder="1" applyAlignment="1">
      <alignment horizontal="center" wrapText="1"/>
    </xf>
    <xf numFmtId="0" fontId="0" fillId="4" borderId="28" xfId="0" applyFill="1" applyBorder="1" applyAlignment="1">
      <alignment horizontal="center" wrapText="1"/>
    </xf>
    <xf numFmtId="0" fontId="0" fillId="4" borderId="9" xfId="0" applyFill="1" applyBorder="1" applyAlignment="1">
      <alignment horizontal="center" wrapText="1"/>
    </xf>
    <xf numFmtId="0" fontId="7" fillId="0" borderId="8" xfId="0" applyFont="1" applyBorder="1" applyAlignment="1"/>
    <xf numFmtId="0" fontId="8" fillId="0" borderId="28" xfId="0" applyFont="1" applyBorder="1" applyAlignment="1"/>
    <xf numFmtId="0" fontId="7" fillId="0" borderId="25" xfId="0" applyFont="1" applyFill="1" applyBorder="1" applyAlignment="1">
      <alignment horizontal="left"/>
    </xf>
    <xf numFmtId="0" fontId="0" fillId="0" borderId="37" xfId="0" applyBorder="1" applyAlignment="1"/>
    <xf numFmtId="0" fontId="2" fillId="0" borderId="0" xfId="0" applyFont="1" applyBorder="1" applyAlignment="1"/>
    <xf numFmtId="0" fontId="2" fillId="0" borderId="20" xfId="0" applyFont="1" applyBorder="1" applyAlignment="1"/>
    <xf numFmtId="0" fontId="2" fillId="0" borderId="26" xfId="0" applyFont="1" applyFill="1" applyBorder="1" applyAlignment="1"/>
    <xf numFmtId="0" fontId="2" fillId="0" borderId="37" xfId="0" applyFont="1" applyBorder="1" applyAlignment="1"/>
    <xf numFmtId="0" fontId="2" fillId="0" borderId="26" xfId="0" applyFont="1" applyBorder="1" applyAlignment="1"/>
    <xf numFmtId="0" fontId="18" fillId="0" borderId="20" xfId="0" applyFont="1" applyFill="1" applyBorder="1" applyAlignment="1">
      <alignment horizontal="center" wrapText="1"/>
    </xf>
    <xf numFmtId="0" fontId="17" fillId="0" borderId="7" xfId="0" applyFont="1" applyFill="1" applyBorder="1" applyAlignment="1">
      <alignment horizontal="center" wrapText="1"/>
    </xf>
    <xf numFmtId="0" fontId="3" fillId="0" borderId="4" xfId="0" applyFont="1" applyBorder="1" applyAlignment="1"/>
    <xf numFmtId="0" fontId="0" fillId="0" borderId="4" xfId="0" applyBorder="1" applyAlignment="1"/>
    <xf numFmtId="0" fontId="7" fillId="0" borderId="9" xfId="0" applyFont="1" applyBorder="1" applyAlignment="1"/>
    <xf numFmtId="0" fontId="3" fillId="0" borderId="5" xfId="0" applyFont="1" applyFill="1" applyBorder="1" applyAlignment="1">
      <alignment wrapText="1"/>
    </xf>
    <xf numFmtId="0" fontId="0" fillId="0" borderId="6" xfId="0" applyFill="1" applyBorder="1" applyAlignment="1">
      <alignment wrapText="1"/>
    </xf>
    <xf numFmtId="0" fontId="9" fillId="0" borderId="8" xfId="0" applyFont="1" applyFill="1" applyBorder="1" applyAlignment="1"/>
    <xf numFmtId="0" fontId="3" fillId="0" borderId="5" xfId="0" applyFont="1" applyBorder="1" applyAlignment="1">
      <alignment wrapText="1"/>
    </xf>
    <xf numFmtId="0" fontId="0" fillId="0" borderId="6" xfId="0" applyBorder="1" applyAlignment="1">
      <alignment wrapText="1"/>
    </xf>
    <xf numFmtId="0" fontId="3" fillId="0" borderId="0" xfId="0" applyFont="1" applyBorder="1" applyAlignment="1">
      <alignment horizontal="center" wrapText="1"/>
    </xf>
    <xf numFmtId="0" fontId="0" fillId="0" borderId="35" xfId="0" applyBorder="1" applyAlignment="1">
      <alignment horizontal="center" wrapText="1"/>
    </xf>
    <xf numFmtId="0" fontId="3" fillId="0" borderId="5" xfId="0" applyFont="1" applyBorder="1" applyAlignment="1">
      <alignment horizontal="center" wrapText="1"/>
    </xf>
    <xf numFmtId="0" fontId="0" fillId="0" borderId="5" xfId="0" applyBorder="1" applyAlignment="1">
      <alignment wrapText="1"/>
    </xf>
    <xf numFmtId="0" fontId="0" fillId="0" borderId="9" xfId="0" applyFill="1" applyBorder="1" applyAlignment="1"/>
    <xf numFmtId="0" fontId="2" fillId="0" borderId="28" xfId="0" applyFont="1" applyBorder="1" applyAlignment="1">
      <alignment horizontal="left"/>
    </xf>
    <xf numFmtId="0" fontId="0" fillId="0" borderId="9" xfId="0" applyBorder="1" applyAlignment="1">
      <alignment horizontal="left"/>
    </xf>
    <xf numFmtId="0" fontId="2" fillId="0" borderId="35" xfId="0" applyFont="1" applyBorder="1" applyAlignment="1"/>
    <xf numFmtId="0" fontId="0" fillId="0" borderId="7" xfId="0" applyBorder="1" applyAlignment="1"/>
    <xf numFmtId="0" fontId="0" fillId="0" borderId="20" xfId="0" applyBorder="1" applyAlignment="1"/>
    <xf numFmtId="0" fontId="37" fillId="0" borderId="1" xfId="0" applyFont="1" applyBorder="1" applyAlignment="1">
      <alignment horizontal="left"/>
    </xf>
    <xf numFmtId="0" fontId="37" fillId="0" borderId="12" xfId="0" applyFont="1" applyBorder="1" applyAlignment="1">
      <alignment horizontal="left"/>
    </xf>
    <xf numFmtId="0" fontId="37" fillId="0" borderId="1" xfId="0" applyFont="1" applyBorder="1" applyAlignment="1">
      <alignment horizontal="center" wrapText="1"/>
    </xf>
    <xf numFmtId="0" fontId="36" fillId="0" borderId="12" xfId="0" applyFont="1" applyBorder="1" applyAlignment="1">
      <alignment horizontal="center" wrapText="1"/>
    </xf>
    <xf numFmtId="0" fontId="37" fillId="0" borderId="1" xfId="0" applyFont="1" applyBorder="1" applyAlignment="1">
      <alignment wrapText="1"/>
    </xf>
    <xf numFmtId="0" fontId="37" fillId="0" borderId="12" xfId="0" applyFont="1" applyBorder="1" applyAlignment="1">
      <alignment wrapText="1"/>
    </xf>
    <xf numFmtId="0" fontId="7" fillId="0" borderId="0" xfId="0" applyFont="1" applyAlignment="1"/>
    <xf numFmtId="0" fontId="0" fillId="0" borderId="0" xfId="0" applyAlignment="1"/>
    <xf numFmtId="0" fontId="14" fillId="0" borderId="4" xfId="0" applyFont="1" applyBorder="1" applyAlignment="1">
      <alignment wrapText="1"/>
    </xf>
    <xf numFmtId="0" fontId="14" fillId="0" borderId="33" xfId="0" applyFont="1" applyBorder="1" applyAlignment="1">
      <alignment wrapText="1"/>
    </xf>
    <xf numFmtId="0" fontId="14" fillId="0" borderId="1" xfId="0" applyFont="1" applyBorder="1" applyAlignment="1">
      <alignment wrapText="1"/>
    </xf>
    <xf numFmtId="0" fontId="0" fillId="0" borderId="2" xfId="0" applyBorder="1" applyAlignment="1"/>
    <xf numFmtId="0" fontId="0" fillId="0" borderId="12" xfId="0" applyBorder="1" applyAlignment="1"/>
    <xf numFmtId="0" fontId="14" fillId="0" borderId="1" xfId="1" applyFont="1" applyBorder="1" applyAlignment="1" applyProtection="1"/>
  </cellXfs>
  <cellStyles count="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Radio" checked="Checked" firstButton="1"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95250</xdr:colOff>
          <xdr:row>87</xdr:row>
          <xdr:rowOff>133350</xdr:rowOff>
        </xdr:from>
        <xdr:to>
          <xdr:col>3</xdr:col>
          <xdr:colOff>771525</xdr:colOff>
          <xdr:row>89</xdr:row>
          <xdr:rowOff>9525</xdr:rowOff>
        </xdr:to>
        <xdr:sp macro="" textlink="">
          <xdr:nvSpPr>
            <xdr:cNvPr id="1387" name="Option Button 363" hidden="1">
              <a:extLst>
                <a:ext uri="{63B3BB69-23CF-44E3-9099-C40C66FF867C}">
                  <a14:compatExt spid="_x0000_s138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Not Applicable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88</xdr:row>
          <xdr:rowOff>133350</xdr:rowOff>
        </xdr:from>
        <xdr:to>
          <xdr:col>4</xdr:col>
          <xdr:colOff>209550</xdr:colOff>
          <xdr:row>90</xdr:row>
          <xdr:rowOff>28575</xdr:rowOff>
        </xdr:to>
        <xdr:sp macro="" textlink="">
          <xdr:nvSpPr>
            <xdr:cNvPr id="1388" name="Option Button 364" hidden="1">
              <a:extLst>
                <a:ext uri="{63B3BB69-23CF-44E3-9099-C40C66FF867C}">
                  <a14:compatExt spid="_x0000_s138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Farm is no longer importing manure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89</xdr:row>
          <xdr:rowOff>142875</xdr:rowOff>
        </xdr:from>
        <xdr:to>
          <xdr:col>4</xdr:col>
          <xdr:colOff>1552575</xdr:colOff>
          <xdr:row>91</xdr:row>
          <xdr:rowOff>38100</xdr:rowOff>
        </xdr:to>
        <xdr:sp macro="" textlink="">
          <xdr:nvSpPr>
            <xdr:cNvPr id="1389" name="Option Button 365" hidden="1">
              <a:extLst>
                <a:ext uri="{63B3BB69-23CF-44E3-9099-C40C66FF867C}">
                  <a14:compatExt spid="_x0000_s138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Farm is now exporting manure, or has increased manure exports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90</xdr:row>
          <xdr:rowOff>142875</xdr:rowOff>
        </xdr:from>
        <xdr:to>
          <xdr:col>4</xdr:col>
          <xdr:colOff>209550</xdr:colOff>
          <xdr:row>92</xdr:row>
          <xdr:rowOff>38100</xdr:rowOff>
        </xdr:to>
        <xdr:sp macro="" textlink="">
          <xdr:nvSpPr>
            <xdr:cNvPr id="1411" name="Option Button 387" hidden="1">
              <a:extLst>
                <a:ext uri="{63B3BB69-23CF-44E3-9099-C40C66FF867C}">
                  <a14:compatExt spid="_x0000_s141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Other (please specify below): </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2:M450"/>
  <sheetViews>
    <sheetView showGridLines="0" tabSelected="1" topLeftCell="A31" zoomScaleNormal="100" workbookViewId="0">
      <selection activeCell="G42" sqref="G42"/>
    </sheetView>
  </sheetViews>
  <sheetFormatPr defaultRowHeight="12.75" x14ac:dyDescent="0.2"/>
  <cols>
    <col min="1" max="1" width="3.140625" customWidth="1"/>
    <col min="2" max="2" width="3" customWidth="1"/>
    <col min="3" max="3" width="2.85546875" customWidth="1"/>
    <col min="4" max="4" width="21.140625" customWidth="1"/>
    <col min="5" max="5" width="23.5703125" customWidth="1"/>
    <col min="6" max="7" width="11.7109375" customWidth="1"/>
    <col min="8" max="8" width="6.42578125" customWidth="1"/>
    <col min="9" max="9" width="10" customWidth="1"/>
    <col min="10" max="11" width="11.7109375" customWidth="1"/>
    <col min="12" max="12" width="6.42578125" customWidth="1"/>
    <col min="13" max="13" width="4.85546875" customWidth="1"/>
  </cols>
  <sheetData>
    <row r="2" spans="1:13" ht="20.25" x14ac:dyDescent="0.3">
      <c r="A2" s="242" t="s">
        <v>867</v>
      </c>
      <c r="B2" s="249"/>
      <c r="C2" s="249"/>
      <c r="D2" s="249"/>
      <c r="E2" s="249"/>
      <c r="F2" s="249"/>
      <c r="G2" s="249"/>
      <c r="H2" s="249"/>
      <c r="I2" s="249"/>
      <c r="J2" s="249"/>
      <c r="K2" s="249"/>
      <c r="L2" s="249"/>
      <c r="M2" s="249"/>
    </row>
    <row r="3" spans="1:13" ht="112.5" customHeight="1" x14ac:dyDescent="0.2">
      <c r="A3" s="480" t="s">
        <v>359</v>
      </c>
      <c r="B3" s="480"/>
      <c r="C3" s="480"/>
      <c r="D3" s="480"/>
      <c r="E3" s="480"/>
      <c r="F3" s="480"/>
      <c r="G3" s="480"/>
      <c r="H3" s="480"/>
      <c r="I3" s="480"/>
      <c r="J3" s="480"/>
      <c r="K3" s="480"/>
      <c r="L3" s="480"/>
      <c r="M3" s="480"/>
    </row>
    <row r="4" spans="1:13" ht="35.25" customHeight="1" x14ac:dyDescent="0.2">
      <c r="A4" s="470" t="s">
        <v>669</v>
      </c>
      <c r="B4" s="470"/>
      <c r="C4" s="470"/>
      <c r="D4" s="470"/>
      <c r="E4" s="470"/>
      <c r="F4" s="470"/>
      <c r="G4" s="470"/>
      <c r="H4" s="470"/>
      <c r="I4" s="470"/>
      <c r="J4" s="470"/>
      <c r="K4" s="470"/>
      <c r="L4" s="470"/>
      <c r="M4" s="470"/>
    </row>
    <row r="5" spans="1:13" ht="12.75" customHeight="1" x14ac:dyDescent="0.2">
      <c r="A5" s="316"/>
      <c r="B5" s="316"/>
      <c r="C5" s="316"/>
      <c r="D5" s="316"/>
      <c r="E5" s="316"/>
      <c r="F5" s="316"/>
      <c r="G5" s="316"/>
      <c r="H5" s="316"/>
      <c r="I5" s="316"/>
      <c r="J5" s="316"/>
      <c r="K5" s="316"/>
      <c r="L5" s="316"/>
      <c r="M5" s="316"/>
    </row>
    <row r="6" spans="1:13" ht="12.75" customHeight="1" x14ac:dyDescent="0.2">
      <c r="A6" s="316"/>
      <c r="B6" s="316"/>
      <c r="C6" s="316"/>
      <c r="D6" s="316" t="s">
        <v>398</v>
      </c>
      <c r="E6" s="316"/>
      <c r="F6" s="457">
        <v>42402</v>
      </c>
      <c r="G6" s="458"/>
      <c r="H6" s="458"/>
      <c r="I6" s="459"/>
      <c r="J6" s="316"/>
      <c r="K6" s="316"/>
      <c r="L6" s="316"/>
      <c r="M6" s="316"/>
    </row>
    <row r="7" spans="1:13" ht="12.75" customHeight="1" x14ac:dyDescent="0.2">
      <c r="A7" s="316"/>
      <c r="B7" s="316"/>
      <c r="C7" s="316"/>
      <c r="D7" s="316" t="s">
        <v>578</v>
      </c>
      <c r="E7" s="316"/>
      <c r="F7" s="440" t="s">
        <v>880</v>
      </c>
      <c r="G7" s="469"/>
      <c r="H7" s="469"/>
      <c r="I7" s="469"/>
      <c r="J7" s="438"/>
      <c r="K7" s="439"/>
      <c r="L7" s="316"/>
      <c r="M7" s="316"/>
    </row>
    <row r="8" spans="1:13" ht="12.75" customHeight="1" x14ac:dyDescent="0.2">
      <c r="A8" s="316"/>
      <c r="B8" s="316"/>
      <c r="C8" s="316"/>
      <c r="D8" s="316"/>
      <c r="E8" s="316"/>
      <c r="F8" s="316"/>
      <c r="G8" s="316"/>
      <c r="H8" s="316"/>
      <c r="I8" s="316"/>
      <c r="J8" s="316"/>
      <c r="K8" s="316"/>
      <c r="L8" s="316"/>
      <c r="M8" s="316"/>
    </row>
    <row r="9" spans="1:13" ht="16.5" customHeight="1" x14ac:dyDescent="0.25">
      <c r="A9" s="98" t="s">
        <v>556</v>
      </c>
      <c r="B9" s="26"/>
      <c r="C9" s="26"/>
      <c r="D9" s="26"/>
      <c r="E9" s="26"/>
      <c r="F9" s="26"/>
      <c r="G9" s="26"/>
      <c r="H9" s="26"/>
      <c r="I9" s="26"/>
      <c r="J9" s="26"/>
      <c r="K9" s="26"/>
      <c r="L9" s="26"/>
      <c r="M9" s="26"/>
    </row>
    <row r="10" spans="1:13" x14ac:dyDescent="0.2">
      <c r="A10" s="39"/>
      <c r="B10" s="26"/>
      <c r="C10" s="26"/>
      <c r="D10" s="26" t="s">
        <v>399</v>
      </c>
      <c r="E10" s="26"/>
      <c r="F10" s="460" t="s">
        <v>874</v>
      </c>
      <c r="G10" s="461"/>
      <c r="H10" s="461"/>
      <c r="I10" s="462"/>
      <c r="J10" s="26"/>
      <c r="K10" s="26"/>
      <c r="L10" s="26"/>
      <c r="M10" s="26"/>
    </row>
    <row r="11" spans="1:13" x14ac:dyDescent="0.2">
      <c r="A11" s="39"/>
      <c r="B11" s="26"/>
      <c r="C11" s="26"/>
      <c r="D11" s="26" t="s">
        <v>400</v>
      </c>
      <c r="E11" s="26"/>
      <c r="F11" s="463" t="s">
        <v>875</v>
      </c>
      <c r="G11" s="464"/>
      <c r="H11" s="464"/>
      <c r="I11" s="464"/>
      <c r="J11" s="465"/>
      <c r="K11" s="465"/>
      <c r="L11" s="26"/>
      <c r="M11" s="26"/>
    </row>
    <row r="12" spans="1:13" x14ac:dyDescent="0.2">
      <c r="A12" s="39"/>
      <c r="B12" s="26"/>
      <c r="C12" s="26"/>
      <c r="D12" s="26" t="s">
        <v>401</v>
      </c>
      <c r="E12" s="26"/>
      <c r="F12" s="466" t="s">
        <v>876</v>
      </c>
      <c r="G12" s="467"/>
      <c r="H12" s="467"/>
      <c r="I12" s="468"/>
      <c r="J12" s="156"/>
      <c r="K12" s="156"/>
      <c r="L12" s="26"/>
      <c r="M12" s="26"/>
    </row>
    <row r="13" spans="1:13" x14ac:dyDescent="0.2">
      <c r="A13" s="39"/>
      <c r="B13" s="26"/>
      <c r="C13" s="26"/>
      <c r="D13" s="26" t="s">
        <v>558</v>
      </c>
      <c r="E13" s="26"/>
      <c r="F13" s="445" t="s">
        <v>877</v>
      </c>
      <c r="G13" s="443"/>
      <c r="H13" s="443"/>
      <c r="I13" s="444"/>
      <c r="J13" s="156"/>
      <c r="K13" s="156"/>
      <c r="L13" s="26"/>
      <c r="M13" s="26"/>
    </row>
    <row r="14" spans="1:13" x14ac:dyDescent="0.2">
      <c r="A14" s="39"/>
      <c r="B14" s="26"/>
      <c r="C14" s="26"/>
      <c r="D14" s="26"/>
      <c r="E14" s="26"/>
      <c r="F14" s="26"/>
      <c r="G14" s="26"/>
      <c r="H14" s="26"/>
      <c r="I14" s="26"/>
      <c r="J14" s="26"/>
      <c r="K14" s="26"/>
      <c r="L14" s="26"/>
      <c r="M14" s="26"/>
    </row>
    <row r="15" spans="1:13" x14ac:dyDescent="0.2">
      <c r="A15" s="150"/>
      <c r="B15" s="152" t="s">
        <v>557</v>
      </c>
      <c r="C15" s="26"/>
      <c r="D15" s="26"/>
      <c r="E15" s="26"/>
      <c r="F15" s="26"/>
      <c r="G15" s="26"/>
      <c r="H15" s="26"/>
      <c r="I15" s="26"/>
      <c r="J15" s="26"/>
      <c r="K15" s="26"/>
      <c r="L15" s="26"/>
      <c r="M15" s="26"/>
    </row>
    <row r="17" spans="1:13" x14ac:dyDescent="0.2">
      <c r="A17" s="26"/>
      <c r="B17" s="26"/>
      <c r="C17" s="26"/>
      <c r="D17" s="26"/>
      <c r="E17" s="26"/>
      <c r="F17" s="26"/>
      <c r="G17" s="26"/>
      <c r="H17" s="26"/>
      <c r="I17" s="26"/>
      <c r="J17" s="26"/>
      <c r="K17" s="26"/>
      <c r="L17" s="26"/>
      <c r="M17" s="26"/>
    </row>
    <row r="18" spans="1:13" ht="15" x14ac:dyDescent="0.25">
      <c r="A18" s="132" t="s">
        <v>366</v>
      </c>
      <c r="B18" s="98"/>
      <c r="C18" s="26"/>
      <c r="D18" s="26"/>
      <c r="E18" s="26"/>
      <c r="F18" s="26"/>
      <c r="G18" s="26"/>
      <c r="H18" s="26"/>
      <c r="I18" s="26"/>
      <c r="J18" s="26"/>
      <c r="K18" s="26"/>
      <c r="L18" s="26"/>
      <c r="M18" s="26"/>
    </row>
    <row r="19" spans="1:13" ht="12.75" customHeight="1" x14ac:dyDescent="0.2">
      <c r="A19" s="109" t="s">
        <v>374</v>
      </c>
      <c r="B19" s="487" t="s">
        <v>476</v>
      </c>
      <c r="C19" s="487"/>
      <c r="D19" s="487"/>
      <c r="E19" s="487"/>
      <c r="F19" s="487"/>
      <c r="G19" s="487"/>
      <c r="H19" s="487"/>
      <c r="I19" s="487"/>
      <c r="J19" s="487"/>
      <c r="K19" s="487"/>
      <c r="L19" s="488"/>
      <c r="M19" s="26"/>
    </row>
    <row r="20" spans="1:13" x14ac:dyDescent="0.2">
      <c r="A20" s="39"/>
      <c r="B20" s="487"/>
      <c r="C20" s="487"/>
      <c r="D20" s="487"/>
      <c r="E20" s="487"/>
      <c r="F20" s="487"/>
      <c r="G20" s="487"/>
      <c r="H20" s="487"/>
      <c r="I20" s="487"/>
      <c r="J20" s="487"/>
      <c r="K20" s="487"/>
      <c r="L20" s="488"/>
      <c r="M20" s="26"/>
    </row>
    <row r="21" spans="1:13" x14ac:dyDescent="0.2">
      <c r="A21" s="39"/>
      <c r="B21" s="451" t="s">
        <v>878</v>
      </c>
      <c r="C21" s="452"/>
      <c r="D21" s="453"/>
      <c r="E21" s="99"/>
      <c r="F21" s="99"/>
      <c r="G21" s="99"/>
      <c r="H21" s="99"/>
      <c r="I21" s="99"/>
      <c r="J21" s="99"/>
      <c r="K21" s="99"/>
      <c r="L21" s="100"/>
      <c r="M21" s="26"/>
    </row>
    <row r="22" spans="1:13" x14ac:dyDescent="0.2">
      <c r="A22" s="109" t="s">
        <v>375</v>
      </c>
      <c r="B22" s="40" t="s">
        <v>21</v>
      </c>
      <c r="C22" s="26"/>
      <c r="D22" s="99"/>
      <c r="E22" s="40"/>
      <c r="F22" s="489" t="s">
        <v>879</v>
      </c>
      <c r="G22" s="490"/>
      <c r="H22" s="490"/>
      <c r="I22" s="491"/>
      <c r="J22" s="100"/>
      <c r="K22" s="99"/>
      <c r="L22" s="26"/>
      <c r="M22" s="26"/>
    </row>
    <row r="23" spans="1:13" x14ac:dyDescent="0.2">
      <c r="A23" s="108"/>
      <c r="B23" s="41"/>
      <c r="C23" s="26" t="s">
        <v>565</v>
      </c>
      <c r="D23" s="26"/>
      <c r="E23" s="46"/>
      <c r="F23" s="451"/>
      <c r="G23" s="452"/>
      <c r="H23" s="452"/>
      <c r="I23" s="452"/>
      <c r="J23" s="452"/>
      <c r="K23" s="452"/>
      <c r="L23" s="453"/>
      <c r="M23" s="26"/>
    </row>
    <row r="24" spans="1:13" x14ac:dyDescent="0.2">
      <c r="A24" s="108"/>
      <c r="B24" s="41"/>
      <c r="C24" s="26"/>
      <c r="D24" s="26"/>
      <c r="E24" s="26"/>
      <c r="F24" s="26"/>
      <c r="G24" s="26"/>
      <c r="H24" s="26"/>
      <c r="I24" s="26"/>
      <c r="J24" s="26"/>
      <c r="K24" s="26"/>
      <c r="L24" s="26"/>
      <c r="M24" s="26"/>
    </row>
    <row r="25" spans="1:13" ht="15" x14ac:dyDescent="0.25">
      <c r="A25" s="132" t="s">
        <v>367</v>
      </c>
      <c r="B25" s="98"/>
      <c r="C25" s="26"/>
      <c r="D25" s="26"/>
      <c r="E25" s="26"/>
      <c r="F25" s="26"/>
      <c r="G25" s="26"/>
      <c r="H25" s="26"/>
      <c r="I25" s="26"/>
      <c r="J25" s="26"/>
      <c r="K25" s="26"/>
      <c r="L25" s="26"/>
      <c r="M25" s="26"/>
    </row>
    <row r="26" spans="1:13" x14ac:dyDescent="0.2">
      <c r="A26" s="107"/>
      <c r="B26" s="455" t="s">
        <v>26</v>
      </c>
      <c r="C26" s="456"/>
      <c r="D26" s="456"/>
      <c r="E26" s="456"/>
      <c r="F26" s="456"/>
      <c r="G26" s="456"/>
      <c r="H26" s="456"/>
      <c r="I26" s="456"/>
      <c r="J26" s="456"/>
      <c r="K26" s="438"/>
      <c r="L26" s="439"/>
      <c r="M26" s="26"/>
    </row>
    <row r="27" spans="1:13" x14ac:dyDescent="0.2">
      <c r="A27" s="39"/>
      <c r="B27" s="26"/>
      <c r="C27" s="143" t="s">
        <v>10</v>
      </c>
      <c r="D27" s="142"/>
      <c r="E27" s="142"/>
      <c r="F27" s="142"/>
      <c r="G27" s="142"/>
      <c r="H27" s="142"/>
      <c r="I27" s="142"/>
      <c r="J27" s="142"/>
      <c r="K27" s="142"/>
      <c r="L27" s="142"/>
      <c r="M27" s="26"/>
    </row>
    <row r="28" spans="1:13" x14ac:dyDescent="0.2">
      <c r="A28" s="39"/>
      <c r="B28" s="42"/>
      <c r="C28" s="26"/>
      <c r="D28" s="42" t="s">
        <v>384</v>
      </c>
      <c r="E28" s="42"/>
      <c r="F28" s="437"/>
      <c r="G28" s="443"/>
      <c r="H28" s="443"/>
      <c r="I28" s="444"/>
      <c r="J28" s="42"/>
      <c r="K28" s="42"/>
      <c r="L28" s="42"/>
      <c r="M28" s="26"/>
    </row>
    <row r="29" spans="1:13" x14ac:dyDescent="0.2">
      <c r="A29" s="39"/>
      <c r="B29" s="42"/>
      <c r="C29" s="26"/>
      <c r="D29" s="42" t="s">
        <v>802</v>
      </c>
      <c r="E29" s="42"/>
      <c r="F29" s="154"/>
      <c r="G29" s="369" t="s">
        <v>520</v>
      </c>
      <c r="H29" s="265"/>
      <c r="I29" s="265"/>
      <c r="J29" s="42"/>
      <c r="K29" s="42"/>
      <c r="L29" s="42"/>
      <c r="M29" s="26"/>
    </row>
    <row r="30" spans="1:13" x14ac:dyDescent="0.2">
      <c r="A30" s="39"/>
      <c r="B30" s="42"/>
      <c r="C30" s="42"/>
      <c r="D30" s="42"/>
      <c r="E30" s="42"/>
      <c r="F30" s="42"/>
      <c r="G30" s="42"/>
      <c r="H30" s="42"/>
      <c r="I30" s="42"/>
      <c r="J30" s="42"/>
      <c r="K30" s="42"/>
      <c r="L30" s="42"/>
      <c r="M30" s="26"/>
    </row>
    <row r="31" spans="1:13" x14ac:dyDescent="0.2">
      <c r="A31" s="39"/>
      <c r="B31" s="454" t="s">
        <v>344</v>
      </c>
      <c r="C31" s="447"/>
      <c r="D31" s="447"/>
      <c r="E31" s="447"/>
      <c r="F31" s="447"/>
      <c r="G31" s="447"/>
      <c r="H31" s="447"/>
      <c r="I31" s="447"/>
      <c r="J31" s="447"/>
      <c r="K31" s="447"/>
      <c r="L31" s="447"/>
      <c r="M31" s="447"/>
    </row>
    <row r="32" spans="1:13" x14ac:dyDescent="0.2">
      <c r="A32" s="39"/>
      <c r="B32" s="447"/>
      <c r="C32" s="447"/>
      <c r="D32" s="447"/>
      <c r="E32" s="447"/>
      <c r="F32" s="447"/>
      <c r="G32" s="447"/>
      <c r="H32" s="447"/>
      <c r="I32" s="447"/>
      <c r="J32" s="447"/>
      <c r="K32" s="447"/>
      <c r="L32" s="447"/>
      <c r="M32" s="447"/>
    </row>
    <row r="33" spans="1:13" ht="8.25" customHeight="1" x14ac:dyDescent="0.2">
      <c r="A33" s="39"/>
      <c r="B33" s="454" t="s">
        <v>362</v>
      </c>
      <c r="C33" s="447"/>
      <c r="D33" s="447"/>
      <c r="E33" s="447"/>
      <c r="F33" s="447"/>
      <c r="G33" s="447"/>
      <c r="H33" s="447"/>
      <c r="I33" s="447"/>
      <c r="J33" s="447"/>
      <c r="K33" s="447"/>
      <c r="L33" s="447"/>
      <c r="M33" s="447"/>
    </row>
    <row r="34" spans="1:13" x14ac:dyDescent="0.2">
      <c r="A34" s="39"/>
      <c r="B34" s="447"/>
      <c r="C34" s="447"/>
      <c r="D34" s="447"/>
      <c r="E34" s="447"/>
      <c r="F34" s="447"/>
      <c r="G34" s="447"/>
      <c r="H34" s="447"/>
      <c r="I34" s="447"/>
      <c r="J34" s="447"/>
      <c r="K34" s="447"/>
      <c r="L34" s="447"/>
      <c r="M34" s="447"/>
    </row>
    <row r="35" spans="1:13" x14ac:dyDescent="0.2">
      <c r="A35" s="39"/>
      <c r="B35" s="447"/>
      <c r="C35" s="447"/>
      <c r="D35" s="447"/>
      <c r="E35" s="447"/>
      <c r="F35" s="447"/>
      <c r="G35" s="447"/>
      <c r="H35" s="447"/>
      <c r="I35" s="447"/>
      <c r="J35" s="447"/>
      <c r="K35" s="447"/>
      <c r="L35" s="447"/>
      <c r="M35" s="447"/>
    </row>
    <row r="36" spans="1:13" x14ac:dyDescent="0.2">
      <c r="A36" s="178"/>
    </row>
    <row r="37" spans="1:13" ht="15" x14ac:dyDescent="0.25">
      <c r="A37" s="132" t="s">
        <v>368</v>
      </c>
      <c r="B37" s="98"/>
      <c r="C37" s="26"/>
      <c r="D37" s="26"/>
      <c r="E37" s="26"/>
      <c r="F37" s="26"/>
      <c r="G37" s="26"/>
      <c r="H37" s="26"/>
      <c r="I37" s="26"/>
      <c r="J37" s="26"/>
      <c r="K37" s="26"/>
      <c r="L37" s="26"/>
      <c r="M37" s="26"/>
    </row>
    <row r="38" spans="1:13" ht="14.25" x14ac:dyDescent="0.2">
      <c r="A38" s="136" t="s">
        <v>374</v>
      </c>
      <c r="B38" s="448" t="s">
        <v>3</v>
      </c>
      <c r="C38" s="448"/>
      <c r="D38" s="448"/>
      <c r="E38" s="448"/>
      <c r="F38" s="26"/>
      <c r="G38" s="440" t="s">
        <v>431</v>
      </c>
      <c r="H38" s="441"/>
      <c r="I38" s="441"/>
      <c r="J38" s="441"/>
      <c r="K38" s="441"/>
      <c r="L38" s="442"/>
      <c r="M38" s="26"/>
    </row>
    <row r="39" spans="1:13" x14ac:dyDescent="0.2">
      <c r="A39" s="136" t="s">
        <v>375</v>
      </c>
      <c r="B39" s="448" t="s">
        <v>403</v>
      </c>
      <c r="C39" s="448"/>
      <c r="D39" s="448"/>
      <c r="E39" s="448"/>
      <c r="F39" s="26"/>
      <c r="G39" s="154">
        <v>117.8</v>
      </c>
      <c r="H39" s="42"/>
      <c r="I39" s="42"/>
      <c r="J39" s="42"/>
      <c r="K39" s="46"/>
      <c r="L39" s="46"/>
      <c r="M39" s="26"/>
    </row>
    <row r="40" spans="1:13" x14ac:dyDescent="0.2">
      <c r="A40" s="136" t="s">
        <v>376</v>
      </c>
      <c r="B40" s="448" t="s">
        <v>370</v>
      </c>
      <c r="C40" s="448"/>
      <c r="D40" s="448"/>
      <c r="E40" s="448"/>
      <c r="F40" s="26"/>
      <c r="G40" s="329">
        <v>1000</v>
      </c>
      <c r="H40" s="48" t="str">
        <f>CONCATENATE(VLOOKUP(G38, 'Data Tables'!A4:C78, 3, FALSE), B257)</f>
        <v>lb of fruit per acre</v>
      </c>
      <c r="I40" s="26"/>
      <c r="J40" s="42"/>
      <c r="K40" s="46"/>
      <c r="L40" s="46"/>
      <c r="M40" s="26"/>
    </row>
    <row r="41" spans="1:13" x14ac:dyDescent="0.2">
      <c r="A41" s="136" t="s">
        <v>377</v>
      </c>
      <c r="B41" s="42" t="s">
        <v>622</v>
      </c>
      <c r="C41" s="42"/>
      <c r="D41" s="42"/>
      <c r="E41" s="42"/>
      <c r="F41" s="26"/>
      <c r="G41" s="437" t="s">
        <v>873</v>
      </c>
      <c r="H41" s="438"/>
      <c r="I41" s="438"/>
      <c r="J41" s="438"/>
      <c r="K41" s="438"/>
      <c r="L41" s="439"/>
      <c r="M41" s="26"/>
    </row>
    <row r="42" spans="1:13" x14ac:dyDescent="0.2">
      <c r="A42" s="137" t="s">
        <v>523</v>
      </c>
      <c r="B42" s="449" t="s">
        <v>438</v>
      </c>
      <c r="C42" s="450"/>
      <c r="D42" s="450"/>
      <c r="E42" s="450"/>
      <c r="F42" s="26"/>
      <c r="G42" s="330">
        <v>70</v>
      </c>
      <c r="H42" s="52"/>
      <c r="I42" s="46"/>
      <c r="J42" s="46"/>
      <c r="K42" s="46"/>
      <c r="L42" s="46"/>
      <c r="M42" s="26"/>
    </row>
    <row r="43" spans="1:13" x14ac:dyDescent="0.2">
      <c r="A43" s="137"/>
      <c r="B43" s="43"/>
      <c r="C43" s="42"/>
      <c r="D43" s="42"/>
      <c r="E43" s="42"/>
      <c r="F43" s="26"/>
      <c r="G43" s="326"/>
      <c r="H43" s="52"/>
      <c r="I43" s="46"/>
      <c r="J43" s="46"/>
      <c r="K43" s="46"/>
      <c r="L43" s="46"/>
      <c r="M43" s="26"/>
    </row>
    <row r="44" spans="1:13" x14ac:dyDescent="0.2">
      <c r="A44" s="137"/>
      <c r="B44" s="250" t="s">
        <v>670</v>
      </c>
      <c r="C44" s="26"/>
      <c r="D44" s="42"/>
      <c r="E44" s="42"/>
      <c r="F44" s="26"/>
      <c r="G44" s="156"/>
      <c r="H44" s="42"/>
      <c r="I44" s="42"/>
      <c r="J44" s="42"/>
      <c r="K44" s="52"/>
      <c r="L44" s="46"/>
      <c r="M44" s="26"/>
    </row>
    <row r="45" spans="1:13" x14ac:dyDescent="0.2">
      <c r="A45" s="177"/>
      <c r="B45" s="84"/>
      <c r="C45" s="45"/>
      <c r="D45" s="45"/>
      <c r="E45" s="45"/>
      <c r="F45" s="4"/>
      <c r="G45" s="4"/>
      <c r="H45" s="4"/>
      <c r="I45" s="4"/>
      <c r="J45" s="4"/>
      <c r="K45" s="4"/>
      <c r="L45" s="2"/>
      <c r="M45" s="2"/>
    </row>
    <row r="46" spans="1:13" ht="42.75" customHeight="1" x14ac:dyDescent="0.2">
      <c r="A46" s="446" t="s">
        <v>614</v>
      </c>
      <c r="B46" s="447"/>
      <c r="C46" s="447"/>
      <c r="D46" s="447"/>
      <c r="E46" s="447"/>
      <c r="F46" s="447"/>
      <c r="G46" s="447"/>
      <c r="H46" s="447"/>
      <c r="I46" s="447"/>
      <c r="J46" s="447"/>
      <c r="K46" s="447"/>
      <c r="L46" s="447"/>
      <c r="M46" s="447"/>
    </row>
    <row r="47" spans="1:13" ht="17.25" x14ac:dyDescent="0.25">
      <c r="A47" s="98" t="s">
        <v>4</v>
      </c>
      <c r="B47" s="26"/>
      <c r="C47" s="26"/>
      <c r="D47" s="26"/>
      <c r="E47" s="26"/>
      <c r="F47" s="479"/>
      <c r="G47" s="479"/>
      <c r="H47" s="479"/>
      <c r="I47" s="40"/>
      <c r="J47" s="479"/>
      <c r="K47" s="479"/>
      <c r="L47" s="479"/>
      <c r="M47" s="26"/>
    </row>
    <row r="48" spans="1:13" ht="15" x14ac:dyDescent="0.25">
      <c r="A48" s="26"/>
      <c r="B48" s="148"/>
      <c r="C48" s="26"/>
      <c r="D48" s="26"/>
      <c r="E48" s="26"/>
      <c r="F48" s="98" t="s">
        <v>13</v>
      </c>
      <c r="G48" s="98"/>
      <c r="H48" s="98"/>
      <c r="I48" s="186"/>
      <c r="J48" s="98" t="s">
        <v>14</v>
      </c>
      <c r="K48" s="26"/>
      <c r="L48" s="26"/>
      <c r="M48" s="26"/>
    </row>
    <row r="49" spans="1:13" x14ac:dyDescent="0.2">
      <c r="A49" s="39" t="s">
        <v>526</v>
      </c>
      <c r="B49" s="26"/>
      <c r="C49" s="26"/>
      <c r="D49" s="26"/>
      <c r="E49" s="26"/>
      <c r="F49" s="40"/>
      <c r="G49" s="40"/>
      <c r="H49" s="40"/>
      <c r="I49" s="40"/>
      <c r="J49" s="26"/>
      <c r="K49" s="26"/>
      <c r="L49" s="26"/>
      <c r="M49" s="26"/>
    </row>
    <row r="50" spans="1:13" ht="14.25" x14ac:dyDescent="0.2">
      <c r="A50" s="136" t="s">
        <v>374</v>
      </c>
      <c r="B50" s="27" t="s">
        <v>5</v>
      </c>
      <c r="C50" s="26"/>
      <c r="D50" s="26"/>
      <c r="E50" s="26"/>
      <c r="F50" s="154">
        <v>41</v>
      </c>
      <c r="G50" s="40" t="s">
        <v>268</v>
      </c>
      <c r="H50" s="40"/>
      <c r="I50" s="40"/>
      <c r="J50" s="154">
        <v>41</v>
      </c>
      <c r="K50" s="26"/>
      <c r="L50" s="26"/>
      <c r="M50" s="26"/>
    </row>
    <row r="51" spans="1:13" x14ac:dyDescent="0.2">
      <c r="A51" s="136" t="s">
        <v>375</v>
      </c>
      <c r="B51" s="27" t="s">
        <v>502</v>
      </c>
      <c r="C51" s="41"/>
      <c r="D51" s="39"/>
      <c r="E51" s="26"/>
      <c r="F51" s="396">
        <f>'Calculations- All Data'!F57</f>
        <v>41</v>
      </c>
      <c r="G51" s="42" t="s">
        <v>268</v>
      </c>
      <c r="H51" s="42"/>
      <c r="I51" s="42"/>
      <c r="J51" s="397">
        <f>'Calculations- All Data'!J57</f>
        <v>41</v>
      </c>
      <c r="K51" s="42" t="s">
        <v>268</v>
      </c>
      <c r="L51" s="26"/>
      <c r="M51" s="26"/>
    </row>
    <row r="52" spans="1:13" x14ac:dyDescent="0.2">
      <c r="A52" s="26"/>
      <c r="B52" s="27"/>
      <c r="C52" s="41"/>
      <c r="D52" s="26"/>
      <c r="E52" s="26"/>
      <c r="F52" s="179"/>
      <c r="G52" s="42"/>
      <c r="H52" s="42"/>
      <c r="I52" s="42"/>
      <c r="J52" s="46"/>
      <c r="K52" s="42"/>
      <c r="L52" s="26"/>
      <c r="M52" s="26"/>
    </row>
    <row r="53" spans="1:13" x14ac:dyDescent="0.2">
      <c r="A53" s="39" t="s">
        <v>527</v>
      </c>
      <c r="B53" s="26"/>
      <c r="C53" s="41"/>
      <c r="D53" s="26"/>
      <c r="E53" s="26"/>
      <c r="F53" s="40"/>
      <c r="G53" s="40"/>
      <c r="H53" s="40"/>
      <c r="I53" s="40"/>
      <c r="J53" s="26"/>
      <c r="K53" s="26"/>
      <c r="L53" s="26"/>
      <c r="M53" s="26"/>
    </row>
    <row r="54" spans="1:13" x14ac:dyDescent="0.2">
      <c r="A54" s="109" t="s">
        <v>374</v>
      </c>
      <c r="B54" s="26" t="s">
        <v>404</v>
      </c>
      <c r="C54" s="26"/>
      <c r="D54" s="26"/>
      <c r="E54" s="26"/>
      <c r="F54" s="437"/>
      <c r="G54" s="438"/>
      <c r="H54" s="438"/>
      <c r="I54" s="188"/>
      <c r="J54" s="437"/>
      <c r="K54" s="443"/>
      <c r="L54" s="444"/>
      <c r="M54" s="26"/>
    </row>
    <row r="55" spans="1:13" x14ac:dyDescent="0.2">
      <c r="A55" s="136" t="s">
        <v>375</v>
      </c>
      <c r="B55" s="41" t="s">
        <v>369</v>
      </c>
      <c r="C55" s="26"/>
      <c r="D55" s="26"/>
      <c r="E55" s="26"/>
      <c r="F55" s="440"/>
      <c r="G55" s="441"/>
      <c r="H55" s="441"/>
      <c r="I55" s="187"/>
      <c r="J55" s="440"/>
      <c r="K55" s="441"/>
      <c r="L55" s="442"/>
      <c r="M55" s="26"/>
    </row>
    <row r="56" spans="1:13" ht="14.25" x14ac:dyDescent="0.2">
      <c r="A56" s="136" t="s">
        <v>376</v>
      </c>
      <c r="B56" s="267" t="s">
        <v>870</v>
      </c>
      <c r="C56" s="26"/>
      <c r="D56" s="26"/>
      <c r="E56" s="26"/>
      <c r="F56" s="154"/>
      <c r="G56" s="41"/>
      <c r="H56" s="40"/>
      <c r="I56" s="40"/>
      <c r="J56" s="154"/>
      <c r="K56" s="26"/>
      <c r="L56" s="26"/>
      <c r="M56" s="26"/>
    </row>
    <row r="57" spans="1:13" x14ac:dyDescent="0.2">
      <c r="A57" s="136"/>
      <c r="B57" s="40"/>
      <c r="C57" s="41" t="s">
        <v>371</v>
      </c>
      <c r="D57" s="26"/>
      <c r="E57" s="26"/>
      <c r="F57" s="154"/>
      <c r="G57" s="41">
        <f>VLOOKUP(F55, 'Data Tables'!$A$249:$D$270, 3, FALSE)</f>
        <v>0</v>
      </c>
      <c r="H57" s="26"/>
      <c r="I57" s="40"/>
      <c r="J57" s="154"/>
      <c r="K57" s="41">
        <f>VLOOKUP(J55, 'Data Tables'!$A$249:$D$270, 3, FALSE)</f>
        <v>0</v>
      </c>
      <c r="L57" s="26"/>
      <c r="M57" s="26"/>
    </row>
    <row r="58" spans="1:13" x14ac:dyDescent="0.2">
      <c r="A58" s="136" t="s">
        <v>377</v>
      </c>
      <c r="B58" s="41" t="s">
        <v>15</v>
      </c>
      <c r="C58" s="26"/>
      <c r="D58" s="26"/>
      <c r="E58" s="26"/>
      <c r="F58" s="154"/>
      <c r="G58" s="41">
        <f>VLOOKUP(F55, 'Data Tables'!$A$249:$E$270, 5, FALSE)</f>
        <v>0</v>
      </c>
      <c r="H58" s="40"/>
      <c r="I58" s="40"/>
      <c r="J58" s="154"/>
      <c r="K58" s="41">
        <f>VLOOKUP(J55, 'Data Tables'!$A$249:$E$270, 5, FALSE)</f>
        <v>0</v>
      </c>
      <c r="L58" s="26"/>
      <c r="M58" s="26"/>
    </row>
    <row r="59" spans="1:13" x14ac:dyDescent="0.2">
      <c r="A59" s="136" t="s">
        <v>523</v>
      </c>
      <c r="B59" s="26" t="str">
        <f>IF(F54=$D$271, "Time when manure will be utilized:", "Days until incorporation:")</f>
        <v>Days until incorporation:</v>
      </c>
      <c r="C59" s="41"/>
      <c r="D59" s="26"/>
      <c r="E59" s="26"/>
      <c r="F59" s="437"/>
      <c r="G59" s="438"/>
      <c r="H59" s="438"/>
      <c r="I59" s="187"/>
      <c r="J59" s="437"/>
      <c r="K59" s="438"/>
      <c r="L59" s="439"/>
      <c r="M59" s="26"/>
    </row>
    <row r="60" spans="1:13" x14ac:dyDescent="0.2">
      <c r="A60" s="136" t="s">
        <v>525</v>
      </c>
      <c r="B60" s="27" t="s">
        <v>420</v>
      </c>
      <c r="C60" s="41"/>
      <c r="D60" s="26"/>
      <c r="E60" s="26"/>
      <c r="F60" s="398">
        <f>'Calculations- All Data'!F69</f>
        <v>0</v>
      </c>
      <c r="G60" s="42" t="s">
        <v>268</v>
      </c>
      <c r="H60" s="42"/>
      <c r="I60" s="156"/>
      <c r="J60" s="398">
        <f>'Calculations- All Data'!J69</f>
        <v>0</v>
      </c>
      <c r="K60" s="42" t="s">
        <v>268</v>
      </c>
      <c r="L60" s="42"/>
      <c r="M60" s="26"/>
    </row>
    <row r="61" spans="1:13" x14ac:dyDescent="0.2">
      <c r="A61" s="136" t="s">
        <v>524</v>
      </c>
      <c r="B61" s="27" t="s">
        <v>501</v>
      </c>
      <c r="C61" s="41"/>
      <c r="D61" s="39"/>
      <c r="E61" s="26"/>
      <c r="F61" s="396">
        <f>'Calculations- All Data'!F70</f>
        <v>0</v>
      </c>
      <c r="G61" s="42" t="s">
        <v>268</v>
      </c>
      <c r="H61" s="42"/>
      <c r="I61" s="42"/>
      <c r="J61" s="397">
        <f>'Calculations- All Data'!J70</f>
        <v>0</v>
      </c>
      <c r="K61" s="42" t="s">
        <v>268</v>
      </c>
      <c r="L61" s="26"/>
      <c r="M61" s="26"/>
    </row>
    <row r="62" spans="1:13" x14ac:dyDescent="0.2">
      <c r="A62" s="26"/>
      <c r="B62" s="26"/>
      <c r="C62" s="41"/>
      <c r="D62" s="26"/>
      <c r="E62" s="26"/>
      <c r="F62" s="40"/>
      <c r="G62" s="40"/>
      <c r="H62" s="40"/>
      <c r="I62" s="40"/>
      <c r="J62" s="26"/>
      <c r="K62" s="26"/>
      <c r="L62" s="26"/>
      <c r="M62" s="26"/>
    </row>
    <row r="63" spans="1:13" x14ac:dyDescent="0.2">
      <c r="A63" s="39" t="s">
        <v>528</v>
      </c>
      <c r="B63" s="26"/>
      <c r="C63" s="41"/>
      <c r="D63" s="26"/>
      <c r="E63" s="26"/>
      <c r="F63" s="40"/>
      <c r="G63" s="40"/>
      <c r="H63" s="40"/>
      <c r="I63" s="40"/>
      <c r="J63" s="26"/>
      <c r="K63" s="26"/>
      <c r="L63" s="26"/>
      <c r="M63" s="26"/>
    </row>
    <row r="64" spans="1:13" x14ac:dyDescent="0.2">
      <c r="A64" s="109" t="s">
        <v>374</v>
      </c>
      <c r="B64" s="26" t="s">
        <v>405</v>
      </c>
      <c r="C64" s="26"/>
      <c r="D64" s="26"/>
      <c r="E64" s="26"/>
      <c r="F64" s="437"/>
      <c r="G64" s="438"/>
      <c r="H64" s="438"/>
      <c r="I64" s="188"/>
      <c r="J64" s="437"/>
      <c r="K64" s="443"/>
      <c r="L64" s="444"/>
      <c r="M64" s="26"/>
    </row>
    <row r="65" spans="1:13" x14ac:dyDescent="0.2">
      <c r="A65" s="26"/>
      <c r="B65" s="40"/>
      <c r="C65" s="41" t="s">
        <v>369</v>
      </c>
      <c r="D65" s="26"/>
      <c r="E65" s="26"/>
      <c r="F65" s="440"/>
      <c r="G65" s="441"/>
      <c r="H65" s="441"/>
      <c r="I65" s="187"/>
      <c r="J65" s="440"/>
      <c r="K65" s="441"/>
      <c r="L65" s="442"/>
      <c r="M65" s="26"/>
    </row>
    <row r="66" spans="1:13" ht="14.25" x14ac:dyDescent="0.2">
      <c r="A66" s="26"/>
      <c r="B66" s="40"/>
      <c r="C66" s="267" t="s">
        <v>870</v>
      </c>
      <c r="D66" s="26"/>
      <c r="E66" s="26"/>
      <c r="F66" s="154"/>
      <c r="G66" s="41"/>
      <c r="H66" s="40"/>
      <c r="I66" s="40"/>
      <c r="J66" s="154"/>
      <c r="K66" s="26"/>
      <c r="L66" s="26"/>
      <c r="M66" s="26"/>
    </row>
    <row r="67" spans="1:13" x14ac:dyDescent="0.2">
      <c r="A67" s="26"/>
      <c r="B67" s="40"/>
      <c r="C67" s="41"/>
      <c r="D67" s="41" t="s">
        <v>371</v>
      </c>
      <c r="E67" s="26"/>
      <c r="F67" s="154"/>
      <c r="G67" s="41">
        <f>VLOOKUP(F65, 'Data Tables'!$A$249:$D$270, 3, FALSE)</f>
        <v>0</v>
      </c>
      <c r="H67" s="26"/>
      <c r="I67" s="40"/>
      <c r="J67" s="154"/>
      <c r="K67" s="41">
        <f>VLOOKUP(J65, 'Data Tables'!$A$249:$D$270, 3, FALSE)</f>
        <v>0</v>
      </c>
      <c r="L67" s="26"/>
      <c r="M67" s="26"/>
    </row>
    <row r="68" spans="1:13" x14ac:dyDescent="0.2">
      <c r="A68" s="26"/>
      <c r="B68" s="40"/>
      <c r="C68" s="41" t="s">
        <v>15</v>
      </c>
      <c r="D68" s="26"/>
      <c r="E68" s="26"/>
      <c r="F68" s="154"/>
      <c r="G68" s="41">
        <f>VLOOKUP(F65, 'Data Tables'!$A$249:$E$270, 5, FALSE)</f>
        <v>0</v>
      </c>
      <c r="H68" s="40"/>
      <c r="I68" s="40"/>
      <c r="J68" s="154"/>
      <c r="K68" s="41">
        <f>VLOOKUP(J65, 'Data Tables'!$A$249:$E$270, 5, FALSE)</f>
        <v>0</v>
      </c>
      <c r="L68" s="26"/>
      <c r="M68" s="26"/>
    </row>
    <row r="69" spans="1:13" x14ac:dyDescent="0.2">
      <c r="A69" s="26"/>
      <c r="B69" s="40"/>
      <c r="C69" s="41"/>
      <c r="D69" s="26" t="str">
        <f>IF(F64=$D$271, "Time when manure will be utilized:", "Days until incorporation:")</f>
        <v>Days until incorporation:</v>
      </c>
      <c r="E69" s="26"/>
      <c r="F69" s="437"/>
      <c r="G69" s="438"/>
      <c r="H69" s="438"/>
      <c r="I69" s="187"/>
      <c r="J69" s="437"/>
      <c r="K69" s="438"/>
      <c r="L69" s="439"/>
      <c r="M69" s="26"/>
    </row>
    <row r="70" spans="1:13" x14ac:dyDescent="0.2">
      <c r="A70" s="26"/>
      <c r="B70" s="27" t="s">
        <v>419</v>
      </c>
      <c r="C70" s="41"/>
      <c r="D70" s="26"/>
      <c r="E70" s="26"/>
      <c r="F70" s="398">
        <f>'Calculations- All Data'!F82</f>
        <v>0</v>
      </c>
      <c r="G70" s="42" t="s">
        <v>268</v>
      </c>
      <c r="H70" s="42"/>
      <c r="I70" s="156"/>
      <c r="J70" s="398">
        <f>'Calculations- All Data'!J82</f>
        <v>0</v>
      </c>
      <c r="K70" s="42" t="s">
        <v>268</v>
      </c>
      <c r="L70" s="42"/>
      <c r="M70" s="26"/>
    </row>
    <row r="71" spans="1:13" x14ac:dyDescent="0.2">
      <c r="A71" s="26"/>
      <c r="B71" s="27" t="s">
        <v>500</v>
      </c>
      <c r="C71" s="41"/>
      <c r="D71" s="39"/>
      <c r="E71" s="26"/>
      <c r="F71" s="396">
        <f>'Calculations- All Data'!F83</f>
        <v>0</v>
      </c>
      <c r="G71" s="42" t="s">
        <v>268</v>
      </c>
      <c r="H71" s="42"/>
      <c r="I71" s="42"/>
      <c r="J71" s="397">
        <f>'Calculations- All Data'!J83</f>
        <v>0</v>
      </c>
      <c r="K71" s="42" t="s">
        <v>268</v>
      </c>
      <c r="L71" s="26"/>
      <c r="M71" s="26"/>
    </row>
    <row r="72" spans="1:13" x14ac:dyDescent="0.2">
      <c r="A72" s="26"/>
      <c r="B72" s="26"/>
      <c r="C72" s="41"/>
      <c r="D72" s="26"/>
      <c r="E72" s="26"/>
      <c r="F72" s="40"/>
      <c r="G72" s="40"/>
      <c r="H72" s="40"/>
      <c r="I72" s="40"/>
      <c r="J72" s="26"/>
      <c r="K72" s="26"/>
      <c r="L72" s="26"/>
      <c r="M72" s="26"/>
    </row>
    <row r="73" spans="1:13" x14ac:dyDescent="0.2">
      <c r="A73" s="26"/>
      <c r="B73" s="26"/>
      <c r="C73" s="41"/>
      <c r="D73" s="26"/>
      <c r="E73" s="26"/>
      <c r="F73" s="40"/>
      <c r="G73" s="40"/>
      <c r="H73" s="40"/>
      <c r="I73" s="40"/>
      <c r="J73" s="26"/>
      <c r="K73" s="26"/>
      <c r="L73" s="26"/>
      <c r="M73" s="26"/>
    </row>
    <row r="74" spans="1:13" x14ac:dyDescent="0.2">
      <c r="A74" s="39" t="s">
        <v>529</v>
      </c>
      <c r="B74" s="26"/>
      <c r="C74" s="26"/>
      <c r="D74" s="26"/>
      <c r="E74" s="26"/>
      <c r="F74" s="40"/>
      <c r="G74" s="40"/>
      <c r="H74" s="40"/>
      <c r="I74" s="40"/>
      <c r="J74" s="26"/>
      <c r="K74" s="26"/>
      <c r="L74" s="26"/>
      <c r="M74" s="26"/>
    </row>
    <row r="75" spans="1:13" x14ac:dyDescent="0.2">
      <c r="A75" s="109" t="s">
        <v>374</v>
      </c>
      <c r="B75" s="26" t="s">
        <v>405</v>
      </c>
      <c r="C75" s="26"/>
      <c r="D75" s="26"/>
      <c r="E75" s="26"/>
      <c r="F75" s="437"/>
      <c r="G75" s="438"/>
      <c r="H75" s="438"/>
      <c r="I75" s="188"/>
      <c r="J75" s="437"/>
      <c r="K75" s="443"/>
      <c r="L75" s="444"/>
      <c r="M75" s="26"/>
    </row>
    <row r="76" spans="1:13" x14ac:dyDescent="0.2">
      <c r="A76" s="26"/>
      <c r="B76" s="40"/>
      <c r="C76" s="41" t="s">
        <v>369</v>
      </c>
      <c r="D76" s="26"/>
      <c r="E76" s="26"/>
      <c r="F76" s="440"/>
      <c r="G76" s="441"/>
      <c r="H76" s="441"/>
      <c r="I76" s="187"/>
      <c r="J76" s="440"/>
      <c r="K76" s="441"/>
      <c r="L76" s="442"/>
      <c r="M76" s="26"/>
    </row>
    <row r="77" spans="1:13" ht="14.25" x14ac:dyDescent="0.2">
      <c r="A77" s="26"/>
      <c r="B77" s="40"/>
      <c r="C77" s="267" t="s">
        <v>870</v>
      </c>
      <c r="D77" s="26"/>
      <c r="E77" s="26"/>
      <c r="F77" s="154"/>
      <c r="G77" s="41"/>
      <c r="H77" s="40"/>
      <c r="I77" s="40"/>
      <c r="J77" s="154"/>
      <c r="K77" s="26"/>
      <c r="L77" s="26"/>
      <c r="M77" s="26"/>
    </row>
    <row r="78" spans="1:13" x14ac:dyDescent="0.2">
      <c r="A78" s="26"/>
      <c r="B78" s="40"/>
      <c r="C78" s="41"/>
      <c r="D78" s="41" t="s">
        <v>371</v>
      </c>
      <c r="E78" s="26"/>
      <c r="F78" s="154"/>
      <c r="G78" s="41">
        <f>VLOOKUP(F76, 'Data Tables'!$A$249:$D$270, 3, FALSE)</f>
        <v>0</v>
      </c>
      <c r="H78" s="26"/>
      <c r="I78" s="40"/>
      <c r="J78" s="154"/>
      <c r="K78" s="41">
        <f>VLOOKUP(J76, 'Data Tables'!$A$249:$D$270, 3, FALSE)</f>
        <v>0</v>
      </c>
      <c r="L78" s="26"/>
      <c r="M78" s="26"/>
    </row>
    <row r="79" spans="1:13" x14ac:dyDescent="0.2">
      <c r="A79" s="26"/>
      <c r="B79" s="40"/>
      <c r="C79" s="41" t="s">
        <v>15</v>
      </c>
      <c r="D79" s="26"/>
      <c r="E79" s="26"/>
      <c r="F79" s="154"/>
      <c r="G79" s="41">
        <f>VLOOKUP(F76, 'Data Tables'!$A$249:$E$270, 5, FALSE)</f>
        <v>0</v>
      </c>
      <c r="H79" s="40"/>
      <c r="I79" s="40"/>
      <c r="J79" s="154"/>
      <c r="K79" s="41">
        <f>VLOOKUP(J76, 'Data Tables'!$A$249:$E$270, 5, FALSE)</f>
        <v>0</v>
      </c>
      <c r="L79" s="26"/>
      <c r="M79" s="26"/>
    </row>
    <row r="80" spans="1:13" x14ac:dyDescent="0.2">
      <c r="A80" s="26"/>
      <c r="B80" s="40"/>
      <c r="C80" s="41"/>
      <c r="D80" s="26" t="str">
        <f>IF(F75=$D$271, "Time when manure will be utilized:", "Days until incorporation:")</f>
        <v>Days until incorporation:</v>
      </c>
      <c r="E80" s="26"/>
      <c r="F80" s="437"/>
      <c r="G80" s="438"/>
      <c r="H80" s="438"/>
      <c r="I80" s="187"/>
      <c r="J80" s="437"/>
      <c r="K80" s="438"/>
      <c r="L80" s="439"/>
      <c r="M80" s="26"/>
    </row>
    <row r="81" spans="1:13" x14ac:dyDescent="0.2">
      <c r="A81" s="26"/>
      <c r="B81" s="27" t="s">
        <v>418</v>
      </c>
      <c r="C81" s="41"/>
      <c r="D81" s="26"/>
      <c r="E81" s="26"/>
      <c r="F81" s="398">
        <f>'Calculations- All Data'!F95</f>
        <v>0</v>
      </c>
      <c r="G81" s="42" t="s">
        <v>268</v>
      </c>
      <c r="H81" s="42"/>
      <c r="I81" s="156"/>
      <c r="J81" s="398">
        <f>'Calculations- All Data'!J95</f>
        <v>0</v>
      </c>
      <c r="K81" s="42" t="s">
        <v>268</v>
      </c>
      <c r="L81" s="42"/>
      <c r="M81" s="26"/>
    </row>
    <row r="82" spans="1:13" x14ac:dyDescent="0.2">
      <c r="A82" s="26"/>
      <c r="B82" s="27" t="s">
        <v>499</v>
      </c>
      <c r="C82" s="41"/>
      <c r="D82" s="39"/>
      <c r="E82" s="26"/>
      <c r="F82" s="396">
        <f>'Calculations- All Data'!F96</f>
        <v>0</v>
      </c>
      <c r="G82" s="42" t="s">
        <v>268</v>
      </c>
      <c r="H82" s="42"/>
      <c r="I82" s="42"/>
      <c r="J82" s="397">
        <f>'Calculations- All Data'!J96</f>
        <v>0</v>
      </c>
      <c r="K82" s="42" t="s">
        <v>268</v>
      </c>
      <c r="L82" s="26"/>
      <c r="M82" s="26"/>
    </row>
    <row r="83" spans="1:13" x14ac:dyDescent="0.2">
      <c r="A83" s="26"/>
      <c r="B83" s="27"/>
      <c r="C83" s="41"/>
      <c r="D83" s="39"/>
      <c r="E83" s="26"/>
      <c r="F83" s="179"/>
      <c r="G83" s="42"/>
      <c r="H83" s="42"/>
      <c r="I83" s="42"/>
      <c r="J83" s="26"/>
      <c r="K83" s="26"/>
      <c r="L83" s="26"/>
      <c r="M83" s="26"/>
    </row>
    <row r="84" spans="1:13" ht="13.5" thickBot="1" x14ac:dyDescent="0.25">
      <c r="A84" s="26"/>
      <c r="B84" s="27"/>
      <c r="C84" s="41"/>
      <c r="D84" s="39"/>
      <c r="E84" s="26"/>
      <c r="F84" s="179"/>
      <c r="G84" s="42"/>
      <c r="H84" s="42"/>
      <c r="I84" s="42"/>
      <c r="J84" s="26"/>
      <c r="K84" s="26"/>
      <c r="L84" s="26"/>
      <c r="M84" s="26"/>
    </row>
    <row r="85" spans="1:13" ht="13.5" thickBot="1" x14ac:dyDescent="0.25">
      <c r="A85" s="253" t="s">
        <v>602</v>
      </c>
      <c r="B85" s="26"/>
      <c r="C85" s="41"/>
      <c r="D85" s="26"/>
      <c r="E85" s="252"/>
      <c r="F85" s="399">
        <f>'Calculations- All Data'!F98</f>
        <v>41</v>
      </c>
      <c r="G85" s="27" t="s">
        <v>268</v>
      </c>
      <c r="H85" s="39"/>
      <c r="I85" s="385" t="s">
        <v>14</v>
      </c>
      <c r="J85" s="395">
        <f>'Calculations- All Data'!J98</f>
        <v>41</v>
      </c>
      <c r="K85" s="26" t="s">
        <v>268</v>
      </c>
      <c r="L85" s="26"/>
      <c r="M85" s="26"/>
    </row>
    <row r="86" spans="1:13" ht="13.5" thickBot="1" x14ac:dyDescent="0.25">
      <c r="A86" s="253" t="s">
        <v>601</v>
      </c>
      <c r="B86" s="26"/>
      <c r="C86" s="26"/>
      <c r="D86" s="26"/>
      <c r="E86" s="252"/>
      <c r="F86" s="399">
        <f>'Calculations- All Data'!F99</f>
        <v>41</v>
      </c>
      <c r="G86" s="27" t="s">
        <v>268</v>
      </c>
      <c r="H86" s="39"/>
      <c r="I86" s="385" t="s">
        <v>14</v>
      </c>
      <c r="J86" s="395">
        <f>'Calculations- All Data'!J99</f>
        <v>41</v>
      </c>
      <c r="K86" s="26" t="s">
        <v>268</v>
      </c>
      <c r="L86" s="26"/>
      <c r="M86" s="26"/>
    </row>
    <row r="87" spans="1:13" x14ac:dyDescent="0.2">
      <c r="A87" s="26"/>
      <c r="B87" s="253"/>
      <c r="C87" s="26"/>
      <c r="D87" s="26"/>
      <c r="E87" s="252"/>
      <c r="F87" s="327"/>
      <c r="G87" s="27"/>
      <c r="H87" s="39"/>
      <c r="I87" s="54"/>
      <c r="J87" s="133"/>
      <c r="K87" s="26"/>
      <c r="L87" s="26"/>
      <c r="M87" s="26"/>
    </row>
    <row r="88" spans="1:13" x14ac:dyDescent="0.2">
      <c r="A88" s="39" t="s">
        <v>603</v>
      </c>
      <c r="B88" s="253"/>
      <c r="C88" s="26"/>
      <c r="D88" s="26"/>
      <c r="E88" s="252"/>
      <c r="F88" s="327"/>
      <c r="G88" s="27"/>
      <c r="H88" s="39"/>
      <c r="I88" s="54"/>
      <c r="J88" s="133"/>
      <c r="K88" s="26"/>
      <c r="L88" s="26"/>
      <c r="M88" s="26"/>
    </row>
    <row r="89" spans="1:13" x14ac:dyDescent="0.2">
      <c r="A89" s="39"/>
      <c r="B89" s="253"/>
      <c r="C89" s="26"/>
      <c r="D89" s="26"/>
      <c r="E89" s="252"/>
      <c r="F89" s="327"/>
      <c r="G89" s="27"/>
      <c r="H89" s="39"/>
      <c r="I89" s="54"/>
      <c r="J89" s="133"/>
      <c r="K89" s="26"/>
      <c r="L89" s="26"/>
      <c r="M89" s="26"/>
    </row>
    <row r="90" spans="1:13" x14ac:dyDescent="0.2">
      <c r="A90" s="26"/>
      <c r="B90" s="26"/>
      <c r="C90" s="267"/>
      <c r="D90" s="26"/>
      <c r="E90" s="252"/>
      <c r="F90" s="327"/>
      <c r="G90" s="27"/>
      <c r="H90" s="39"/>
      <c r="I90" s="54"/>
      <c r="J90" s="133"/>
      <c r="K90" s="26"/>
      <c r="L90" s="26"/>
      <c r="M90" s="26"/>
    </row>
    <row r="91" spans="1:13" x14ac:dyDescent="0.2">
      <c r="A91" s="26"/>
      <c r="B91" s="253"/>
      <c r="C91" s="26"/>
      <c r="D91" s="26"/>
      <c r="E91" s="252"/>
      <c r="F91" s="327"/>
      <c r="G91" s="27"/>
      <c r="H91" s="39"/>
      <c r="I91" s="54"/>
      <c r="J91" s="133"/>
      <c r="K91" s="26"/>
      <c r="L91" s="26"/>
      <c r="M91" s="26"/>
    </row>
    <row r="92" spans="1:13" x14ac:dyDescent="0.2">
      <c r="A92" s="26"/>
      <c r="B92" s="253"/>
      <c r="C92" s="26"/>
      <c r="D92" s="26"/>
      <c r="E92" s="252"/>
      <c r="F92" s="327"/>
      <c r="G92" s="27"/>
      <c r="H92" s="39"/>
      <c r="I92" s="54"/>
      <c r="J92" s="133"/>
      <c r="K92" s="26"/>
      <c r="L92" s="26"/>
      <c r="M92" s="26"/>
    </row>
    <row r="93" spans="1:13" x14ac:dyDescent="0.2">
      <c r="A93" s="26"/>
      <c r="B93" s="253"/>
      <c r="C93" s="26"/>
      <c r="D93" s="451"/>
      <c r="E93" s="473"/>
      <c r="F93" s="473"/>
      <c r="G93" s="473"/>
      <c r="H93" s="473"/>
      <c r="I93" s="473"/>
      <c r="J93" s="473"/>
      <c r="K93" s="473"/>
      <c r="L93" s="485"/>
      <c r="M93" s="26"/>
    </row>
    <row r="94" spans="1:13" x14ac:dyDescent="0.2">
      <c r="A94" s="26"/>
      <c r="B94" s="253"/>
      <c r="C94" s="26"/>
      <c r="D94" s="26"/>
      <c r="E94" s="252"/>
      <c r="F94" s="327"/>
      <c r="G94" s="27"/>
      <c r="H94" s="39"/>
      <c r="I94" s="54"/>
      <c r="J94" s="133"/>
      <c r="K94" s="26"/>
      <c r="L94" s="26"/>
      <c r="M94" s="26"/>
    </row>
    <row r="95" spans="1:13" x14ac:dyDescent="0.2">
      <c r="A95" s="26"/>
      <c r="B95" s="149" t="s">
        <v>671</v>
      </c>
      <c r="C95" s="26"/>
      <c r="D95" s="26"/>
      <c r="E95" s="252"/>
      <c r="F95" s="327"/>
      <c r="G95" s="27"/>
      <c r="H95" s="39"/>
      <c r="I95" s="54"/>
      <c r="J95" s="133"/>
      <c r="K95" s="26"/>
      <c r="L95" s="26"/>
      <c r="M95" s="26"/>
    </row>
    <row r="96" spans="1:13" x14ac:dyDescent="0.2">
      <c r="A96" s="26"/>
      <c r="B96" s="149" t="s">
        <v>6</v>
      </c>
      <c r="C96" s="26"/>
      <c r="D96" s="26"/>
      <c r="E96" s="252"/>
      <c r="F96" s="327"/>
      <c r="G96" s="27"/>
      <c r="H96" s="39"/>
      <c r="I96" s="54"/>
      <c r="J96" s="133"/>
      <c r="K96" s="26"/>
      <c r="L96" s="26"/>
      <c r="M96" s="26"/>
    </row>
    <row r="97" spans="1:13" x14ac:dyDescent="0.2">
      <c r="A97" s="26"/>
      <c r="B97" s="436" t="s">
        <v>872</v>
      </c>
      <c r="C97" s="26"/>
      <c r="D97" s="26"/>
      <c r="E97" s="252"/>
      <c r="F97" s="327"/>
      <c r="G97" s="27"/>
      <c r="H97" s="39"/>
      <c r="I97" s="54"/>
      <c r="J97" s="133"/>
      <c r="K97" s="26"/>
      <c r="L97" s="26"/>
      <c r="M97" s="26"/>
    </row>
    <row r="98" spans="1:13" s="2" customFormat="1" x14ac:dyDescent="0.2">
      <c r="C98" s="17"/>
      <c r="F98" s="3"/>
      <c r="G98" s="3"/>
      <c r="H98" s="3"/>
      <c r="I98" s="3"/>
    </row>
    <row r="99" spans="1:13" s="2" customFormat="1" ht="16.5" customHeight="1" x14ac:dyDescent="0.25">
      <c r="A99" s="98" t="s">
        <v>532</v>
      </c>
      <c r="B99" s="40"/>
      <c r="C99" s="41"/>
      <c r="D99" s="26"/>
      <c r="E99" s="26"/>
      <c r="F99" s="40"/>
      <c r="G99" s="40"/>
      <c r="H99" s="40"/>
      <c r="I99" s="40"/>
      <c r="J99" s="26"/>
      <c r="K99" s="26"/>
      <c r="L99" s="26"/>
      <c r="M99" s="26"/>
    </row>
    <row r="100" spans="1:13" x14ac:dyDescent="0.2">
      <c r="A100" s="136" t="s">
        <v>374</v>
      </c>
      <c r="B100" s="41" t="s">
        <v>380</v>
      </c>
      <c r="C100" s="26"/>
      <c r="D100" s="26"/>
      <c r="E100" s="26"/>
      <c r="F100" s="437" t="s">
        <v>749</v>
      </c>
      <c r="G100" s="443"/>
      <c r="H100" s="443"/>
      <c r="I100" s="443"/>
      <c r="J100" s="444"/>
      <c r="K100" s="213"/>
      <c r="L100" s="26"/>
      <c r="M100" s="26"/>
    </row>
    <row r="101" spans="1:13" x14ac:dyDescent="0.2">
      <c r="A101" s="136" t="s">
        <v>375</v>
      </c>
      <c r="B101" s="40" t="s">
        <v>372</v>
      </c>
      <c r="C101" s="26"/>
      <c r="D101" s="26"/>
      <c r="E101" s="26"/>
      <c r="F101" s="474" t="s">
        <v>296</v>
      </c>
      <c r="G101" s="477"/>
      <c r="H101" s="477"/>
      <c r="I101" s="478"/>
      <c r="J101" s="26"/>
      <c r="K101" s="26"/>
      <c r="L101" s="26"/>
      <c r="M101" s="26"/>
    </row>
    <row r="102" spans="1:13" x14ac:dyDescent="0.2">
      <c r="A102" s="136"/>
      <c r="B102" s="40"/>
      <c r="C102" s="26" t="s">
        <v>589</v>
      </c>
      <c r="D102" s="26"/>
      <c r="E102" s="26"/>
      <c r="F102" s="474" t="s">
        <v>213</v>
      </c>
      <c r="G102" s="438"/>
      <c r="H102" s="438"/>
      <c r="I102" s="439"/>
      <c r="J102" s="26"/>
      <c r="K102" s="26"/>
      <c r="L102" s="26"/>
      <c r="M102" s="26"/>
    </row>
    <row r="103" spans="1:13" x14ac:dyDescent="0.2">
      <c r="A103" s="26"/>
      <c r="B103" s="40"/>
      <c r="C103" s="41" t="s">
        <v>373</v>
      </c>
      <c r="D103" s="26"/>
      <c r="E103" s="26"/>
      <c r="F103" s="155"/>
      <c r="G103" s="41" t="s">
        <v>588</v>
      </c>
      <c r="H103" s="40"/>
      <c r="I103" s="40"/>
      <c r="J103" s="26"/>
      <c r="K103" s="26"/>
      <c r="L103" s="26"/>
      <c r="M103" s="26"/>
    </row>
    <row r="104" spans="1:13" ht="13.5" thickBot="1" x14ac:dyDescent="0.25">
      <c r="A104" s="26"/>
      <c r="B104" s="40"/>
      <c r="C104" s="41"/>
      <c r="D104" s="26"/>
      <c r="E104" s="26"/>
      <c r="F104" s="142"/>
      <c r="G104" s="41"/>
      <c r="H104" s="40"/>
      <c r="I104" s="40"/>
      <c r="J104" s="26"/>
      <c r="K104" s="26"/>
      <c r="L104" s="26"/>
      <c r="M104" s="26"/>
    </row>
    <row r="105" spans="1:13" ht="13.5" thickBot="1" x14ac:dyDescent="0.25">
      <c r="A105" s="26"/>
      <c r="B105" s="39" t="s">
        <v>382</v>
      </c>
      <c r="C105" s="41"/>
      <c r="D105" s="39"/>
      <c r="E105" s="26"/>
      <c r="F105" s="395">
        <f>'Calculations- All Data'!F111</f>
        <v>0</v>
      </c>
      <c r="G105" s="41" t="s">
        <v>268</v>
      </c>
      <c r="H105" s="40"/>
      <c r="I105" s="40"/>
      <c r="J105" s="26"/>
      <c r="K105" s="26"/>
      <c r="L105" s="26"/>
      <c r="M105" s="26"/>
    </row>
    <row r="106" spans="1:13" x14ac:dyDescent="0.2">
      <c r="A106" s="26"/>
      <c r="B106" s="40"/>
      <c r="C106" s="41"/>
      <c r="D106" s="39"/>
      <c r="E106" s="26"/>
      <c r="F106" s="42"/>
      <c r="G106" s="41"/>
      <c r="H106" s="40"/>
      <c r="I106" s="40"/>
      <c r="J106" s="26"/>
      <c r="K106" s="26"/>
      <c r="L106" s="26"/>
      <c r="M106" s="26"/>
    </row>
    <row r="107" spans="1:13" x14ac:dyDescent="0.2">
      <c r="A107" s="26"/>
      <c r="B107" s="47" t="s">
        <v>531</v>
      </c>
      <c r="C107" s="41"/>
      <c r="D107" s="39"/>
      <c r="E107" s="26"/>
      <c r="F107" s="42"/>
      <c r="G107" s="41"/>
      <c r="H107" s="40"/>
      <c r="I107" s="40"/>
      <c r="J107" s="26"/>
      <c r="K107" s="26"/>
      <c r="L107" s="26"/>
      <c r="M107" s="26"/>
    </row>
    <row r="108" spans="1:13" s="2" customFormat="1" x14ac:dyDescent="0.2">
      <c r="B108" s="386"/>
      <c r="F108" s="3"/>
      <c r="G108" s="3"/>
      <c r="H108" s="18"/>
      <c r="I108" s="3"/>
    </row>
    <row r="109" spans="1:13" s="2" customFormat="1" ht="75" customHeight="1" x14ac:dyDescent="0.2">
      <c r="A109" s="446" t="s">
        <v>357</v>
      </c>
      <c r="B109" s="476"/>
      <c r="C109" s="476"/>
      <c r="D109" s="476"/>
      <c r="E109" s="476"/>
      <c r="F109" s="476"/>
      <c r="G109" s="476"/>
      <c r="H109" s="476"/>
      <c r="I109" s="476"/>
      <c r="J109" s="476"/>
      <c r="K109" s="476"/>
      <c r="L109" s="476"/>
      <c r="M109" s="476"/>
    </row>
    <row r="110" spans="1:13" s="2" customFormat="1" ht="15" x14ac:dyDescent="0.25">
      <c r="A110" s="98" t="s">
        <v>533</v>
      </c>
      <c r="B110" s="26"/>
      <c r="C110" s="26"/>
      <c r="D110" s="26"/>
      <c r="E110" s="26"/>
      <c r="F110" s="40"/>
      <c r="G110" s="40"/>
      <c r="H110" s="49"/>
      <c r="I110" s="40"/>
      <c r="J110" s="26"/>
      <c r="K110" s="26"/>
      <c r="L110" s="26"/>
      <c r="M110" s="26"/>
    </row>
    <row r="111" spans="1:13" s="2" customFormat="1" ht="15" x14ac:dyDescent="0.25">
      <c r="A111" s="98"/>
      <c r="B111" s="26"/>
      <c r="C111" s="26"/>
      <c r="D111" s="26"/>
      <c r="E111" s="26"/>
      <c r="F111" s="40"/>
      <c r="G111" s="40"/>
      <c r="H111" s="49"/>
      <c r="I111" s="40"/>
      <c r="J111" s="26"/>
      <c r="K111" s="26"/>
      <c r="L111" s="26"/>
      <c r="M111" s="26"/>
    </row>
    <row r="112" spans="1:13" ht="15.75" customHeight="1" x14ac:dyDescent="0.2">
      <c r="A112" s="26"/>
      <c r="B112" s="26"/>
      <c r="C112" s="276" t="s">
        <v>348</v>
      </c>
      <c r="D112" s="134"/>
      <c r="E112" s="54"/>
      <c r="F112" s="324"/>
      <c r="G112" s="318">
        <f>'Calculations- All Data'!F116</f>
        <v>50</v>
      </c>
      <c r="H112" s="43" t="s">
        <v>592</v>
      </c>
      <c r="I112" s="42"/>
      <c r="J112" s="46"/>
      <c r="K112" s="46"/>
      <c r="L112" s="26"/>
      <c r="M112" s="26"/>
    </row>
    <row r="113" spans="1:13" x14ac:dyDescent="0.2">
      <c r="A113" s="26"/>
      <c r="B113" s="26"/>
      <c r="C113" s="27" t="s">
        <v>508</v>
      </c>
      <c r="D113" s="26"/>
      <c r="E113" s="26"/>
      <c r="F113" s="26"/>
      <c r="G113" s="318">
        <f>'Calculations- All Data'!F117</f>
        <v>41</v>
      </c>
      <c r="H113" s="26" t="s">
        <v>547</v>
      </c>
      <c r="I113" s="26"/>
      <c r="J113" s="26"/>
      <c r="K113" s="26"/>
      <c r="L113" s="26"/>
      <c r="M113" s="26"/>
    </row>
    <row r="114" spans="1:13" ht="13.5" thickBot="1" x14ac:dyDescent="0.25">
      <c r="A114" s="26"/>
      <c r="B114" s="26"/>
      <c r="C114" s="27" t="s">
        <v>509</v>
      </c>
      <c r="D114" s="26"/>
      <c r="E114" s="26"/>
      <c r="F114" s="324"/>
      <c r="G114" s="318">
        <f>'Calculations- All Data'!F118</f>
        <v>41</v>
      </c>
      <c r="H114" s="40" t="s">
        <v>547</v>
      </c>
      <c r="I114" s="40"/>
      <c r="J114" s="26"/>
      <c r="K114" s="26"/>
      <c r="L114" s="26"/>
      <c r="M114" s="26"/>
    </row>
    <row r="115" spans="1:13" ht="13.5" thickBot="1" x14ac:dyDescent="0.25">
      <c r="A115" s="26"/>
      <c r="B115" s="26"/>
      <c r="C115" s="320" t="s">
        <v>254</v>
      </c>
      <c r="D115" s="26"/>
      <c r="E115" s="26"/>
      <c r="F115" s="324"/>
      <c r="G115" s="395" t="str">
        <f>'Calculations- All Data'!F119</f>
        <v>No</v>
      </c>
      <c r="H115" s="40"/>
      <c r="I115" s="40"/>
      <c r="J115" s="26"/>
      <c r="K115" s="26"/>
      <c r="L115" s="26"/>
      <c r="M115" s="26"/>
    </row>
    <row r="116" spans="1:13" ht="13.5" thickBot="1" x14ac:dyDescent="0.25">
      <c r="A116" s="26"/>
      <c r="B116" s="26"/>
      <c r="C116" s="27" t="s">
        <v>255</v>
      </c>
      <c r="D116" s="26"/>
      <c r="E116" s="26"/>
      <c r="F116" s="324"/>
      <c r="G116" s="395" t="str">
        <f>'Calculations- All Data'!F120</f>
        <v>Yes</v>
      </c>
      <c r="H116" s="40"/>
      <c r="I116" s="40"/>
      <c r="J116" s="26"/>
      <c r="K116" s="26"/>
      <c r="L116" s="26"/>
      <c r="M116" s="26"/>
    </row>
    <row r="117" spans="1:13" s="310" customFormat="1" x14ac:dyDescent="0.2">
      <c r="A117" s="27"/>
      <c r="B117" s="39"/>
      <c r="C117" s="267"/>
      <c r="D117" s="27"/>
      <c r="E117" s="27"/>
      <c r="F117" s="43"/>
      <c r="G117" s="320"/>
      <c r="H117" s="192"/>
      <c r="I117" s="193"/>
      <c r="J117" s="193"/>
      <c r="K117" s="193"/>
      <c r="L117" s="27"/>
      <c r="M117" s="27"/>
    </row>
    <row r="118" spans="1:13" x14ac:dyDescent="0.2">
      <c r="A118" s="26"/>
      <c r="B118" s="39" t="s">
        <v>512</v>
      </c>
      <c r="C118" s="39"/>
      <c r="D118" s="26"/>
      <c r="E118" s="26"/>
      <c r="F118" s="42"/>
      <c r="G118" s="40"/>
      <c r="H118" s="192"/>
      <c r="I118" s="193"/>
      <c r="J118" s="193"/>
      <c r="K118" s="193"/>
      <c r="L118" s="26"/>
      <c r="M118" s="26"/>
    </row>
    <row r="119" spans="1:13" ht="14.25" x14ac:dyDescent="0.2">
      <c r="A119" s="26"/>
      <c r="B119" s="39"/>
      <c r="C119" s="27" t="s">
        <v>349</v>
      </c>
      <c r="D119" s="26"/>
      <c r="E119" s="26"/>
      <c r="F119" s="325"/>
      <c r="G119" s="397">
        <f>'Calculations- All Data'!F124</f>
        <v>0</v>
      </c>
      <c r="H119" s="40" t="s">
        <v>547</v>
      </c>
      <c r="I119" s="193"/>
      <c r="J119" s="193"/>
      <c r="K119" s="193"/>
      <c r="L119" s="26"/>
      <c r="M119" s="26"/>
    </row>
    <row r="120" spans="1:13" x14ac:dyDescent="0.2">
      <c r="A120" s="26"/>
      <c r="B120" s="26"/>
      <c r="C120" s="27" t="s">
        <v>591</v>
      </c>
      <c r="D120" s="26"/>
      <c r="E120" s="26"/>
      <c r="F120" s="46"/>
      <c r="G120" s="400">
        <f>'Calculations- All Data'!F125</f>
        <v>0</v>
      </c>
      <c r="H120" s="26" t="s">
        <v>611</v>
      </c>
      <c r="I120" s="193"/>
      <c r="J120" s="193"/>
      <c r="K120" s="193"/>
      <c r="L120" s="26"/>
      <c r="M120" s="26"/>
    </row>
    <row r="121" spans="1:13" ht="13.5" thickBot="1" x14ac:dyDescent="0.25">
      <c r="A121" s="26"/>
      <c r="B121" s="26"/>
      <c r="C121" s="27" t="s">
        <v>600</v>
      </c>
      <c r="D121" s="26"/>
      <c r="E121" s="136"/>
      <c r="F121" s="324" t="s">
        <v>593</v>
      </c>
      <c r="G121" s="318">
        <f>'Calculations- All Data'!F48</f>
        <v>0.45</v>
      </c>
      <c r="H121" s="26"/>
      <c r="I121" s="193"/>
      <c r="J121" s="193"/>
      <c r="K121" s="193"/>
      <c r="L121" s="26"/>
      <c r="M121" s="26"/>
    </row>
    <row r="122" spans="1:13" ht="14.25" customHeight="1" thickBot="1" x14ac:dyDescent="0.25">
      <c r="A122" s="26"/>
      <c r="B122" s="26"/>
      <c r="C122" s="321" t="s">
        <v>350</v>
      </c>
      <c r="D122" s="322"/>
      <c r="E122" s="323"/>
      <c r="F122" s="324" t="s">
        <v>594</v>
      </c>
      <c r="G122" s="401">
        <f>'Calculations- All Data'!F126</f>
        <v>0</v>
      </c>
      <c r="H122" s="26" t="s">
        <v>298</v>
      </c>
      <c r="I122" s="193"/>
      <c r="J122" s="193"/>
      <c r="K122" s="193"/>
      <c r="L122" s="26"/>
      <c r="M122" s="26"/>
    </row>
    <row r="123" spans="1:13" x14ac:dyDescent="0.2">
      <c r="A123" s="26"/>
      <c r="B123" s="39"/>
      <c r="C123" s="26"/>
      <c r="D123" s="26"/>
      <c r="E123" s="26"/>
      <c r="F123" s="324"/>
      <c r="G123" s="44"/>
      <c r="H123" s="26"/>
      <c r="I123" s="193"/>
      <c r="J123" s="193"/>
      <c r="K123" s="193"/>
      <c r="L123" s="26"/>
      <c r="M123" s="26"/>
    </row>
    <row r="124" spans="1:13" s="2" customFormat="1" ht="13.5" thickBot="1" x14ac:dyDescent="0.25">
      <c r="A124" s="26"/>
      <c r="B124" s="39" t="s">
        <v>530</v>
      </c>
      <c r="C124" s="26"/>
      <c r="D124" s="26"/>
      <c r="E124" s="26"/>
      <c r="F124" s="324"/>
      <c r="G124" s="40"/>
      <c r="H124" s="40"/>
      <c r="I124" s="40"/>
      <c r="J124" s="26"/>
      <c r="K124" s="26"/>
      <c r="L124" s="26"/>
      <c r="M124" s="26"/>
    </row>
    <row r="125" spans="1:13" ht="15" customHeight="1" thickBot="1" x14ac:dyDescent="0.25">
      <c r="A125" s="26"/>
      <c r="B125" s="26"/>
      <c r="C125" s="27" t="s">
        <v>355</v>
      </c>
      <c r="D125" s="26"/>
      <c r="E125" s="26"/>
      <c r="F125" s="324"/>
      <c r="G125" s="395">
        <f>'Calculations- All Data'!F129</f>
        <v>41</v>
      </c>
      <c r="H125" s="40" t="s">
        <v>547</v>
      </c>
      <c r="I125" s="193"/>
      <c r="J125" s="193"/>
      <c r="K125" s="193"/>
      <c r="L125" s="26"/>
      <c r="M125" s="26"/>
    </row>
    <row r="126" spans="1:13" s="2" customFormat="1" ht="13.5" customHeight="1" x14ac:dyDescent="0.2">
      <c r="A126" s="26"/>
      <c r="B126" s="26"/>
      <c r="C126" s="27" t="s">
        <v>353</v>
      </c>
      <c r="D126" s="26"/>
      <c r="E126" s="26"/>
      <c r="F126" s="324" t="s">
        <v>595</v>
      </c>
      <c r="G126" s="247">
        <f>'Calculations- All Data'!F130</f>
        <v>5.7</v>
      </c>
      <c r="H126" s="40" t="s">
        <v>547</v>
      </c>
      <c r="I126" s="40"/>
      <c r="J126" s="26"/>
      <c r="K126" s="26"/>
      <c r="L126" s="26"/>
      <c r="M126" s="26"/>
    </row>
    <row r="127" spans="1:13" x14ac:dyDescent="0.2">
      <c r="A127" s="26"/>
      <c r="B127" s="27"/>
      <c r="C127" s="41"/>
      <c r="D127" s="26"/>
      <c r="E127" s="26"/>
      <c r="F127" s="324"/>
      <c r="G127" s="275"/>
      <c r="H127" s="40"/>
      <c r="I127" s="193"/>
      <c r="J127" s="193"/>
      <c r="K127" s="193"/>
      <c r="L127" s="26"/>
      <c r="M127" s="26"/>
    </row>
    <row r="128" spans="1:13" ht="13.5" customHeight="1" x14ac:dyDescent="0.2">
      <c r="A128" s="26"/>
      <c r="B128" s="26"/>
      <c r="C128" s="40" t="s">
        <v>354</v>
      </c>
      <c r="D128" s="40"/>
      <c r="E128" s="40"/>
      <c r="F128" s="324" t="s">
        <v>594</v>
      </c>
      <c r="G128" s="397">
        <f>'Calculations- All Data'!F132</f>
        <v>35.299999999999997</v>
      </c>
      <c r="H128" s="40" t="s">
        <v>547</v>
      </c>
      <c r="I128" s="193"/>
      <c r="J128" s="193"/>
      <c r="K128" s="193"/>
      <c r="L128" s="26"/>
      <c r="M128" s="26"/>
    </row>
    <row r="129" spans="1:13" x14ac:dyDescent="0.2">
      <c r="A129" s="26"/>
      <c r="B129" s="26"/>
      <c r="C129" s="320" t="s">
        <v>599</v>
      </c>
      <c r="D129" s="136"/>
      <c r="E129" s="324"/>
      <c r="F129" s="324" t="s">
        <v>593</v>
      </c>
      <c r="G129" s="318">
        <f>'Calculations- All Data'!F48</f>
        <v>0.45</v>
      </c>
      <c r="H129" s="26"/>
      <c r="I129" s="193"/>
      <c r="J129" s="193"/>
      <c r="K129" s="193"/>
      <c r="L129" s="26"/>
      <c r="M129" s="26"/>
    </row>
    <row r="130" spans="1:13" x14ac:dyDescent="0.2">
      <c r="A130" s="26"/>
      <c r="B130" s="26"/>
      <c r="C130" s="320" t="s">
        <v>746</v>
      </c>
      <c r="D130" s="136"/>
      <c r="E130" s="324"/>
      <c r="F130" s="324" t="s">
        <v>594</v>
      </c>
      <c r="G130" s="318">
        <f>'Calculations- All Data'!F133</f>
        <v>15.885</v>
      </c>
      <c r="H130" s="26" t="s">
        <v>547</v>
      </c>
      <c r="I130" s="193"/>
      <c r="J130" s="193"/>
      <c r="K130" s="193"/>
      <c r="L130" s="26"/>
      <c r="M130" s="26"/>
    </row>
    <row r="131" spans="1:13" ht="12.75" customHeight="1" x14ac:dyDescent="0.2">
      <c r="A131" s="109"/>
      <c r="B131" s="26"/>
      <c r="C131" s="320" t="s">
        <v>1</v>
      </c>
      <c r="D131" s="40"/>
      <c r="E131" s="40"/>
      <c r="F131" s="324" t="s">
        <v>595</v>
      </c>
      <c r="G131" s="248">
        <f>'Calculations- All Data'!F134</f>
        <v>0</v>
      </c>
      <c r="H131" s="26" t="s">
        <v>2</v>
      </c>
      <c r="I131" s="26"/>
      <c r="J131" s="26"/>
      <c r="K131" s="26"/>
      <c r="L131" s="26"/>
      <c r="M131" s="26"/>
    </row>
    <row r="132" spans="1:13" ht="12.75" customHeight="1" thickBot="1" x14ac:dyDescent="0.25">
      <c r="A132" s="109"/>
      <c r="B132" s="26"/>
      <c r="C132" s="41" t="s">
        <v>596</v>
      </c>
      <c r="D132" s="41"/>
      <c r="E132" s="41"/>
      <c r="F132" s="324" t="s">
        <v>595</v>
      </c>
      <c r="G132" s="332">
        <f>'Calculations- All Data'!F135</f>
        <v>0</v>
      </c>
      <c r="H132" s="26" t="s">
        <v>547</v>
      </c>
      <c r="I132" s="26"/>
      <c r="J132" s="26"/>
      <c r="K132" s="26"/>
      <c r="L132" s="26"/>
      <c r="M132" s="26"/>
    </row>
    <row r="133" spans="1:13" ht="12.75" customHeight="1" thickBot="1" x14ac:dyDescent="0.25">
      <c r="A133" s="109"/>
      <c r="B133" s="26"/>
      <c r="C133" s="267" t="s">
        <v>610</v>
      </c>
      <c r="D133" s="267"/>
      <c r="E133" s="267"/>
      <c r="F133" s="324" t="s">
        <v>594</v>
      </c>
      <c r="G133" s="395">
        <f>'Calculations- All Data'!F137</f>
        <v>15.885</v>
      </c>
      <c r="H133" s="26" t="s">
        <v>547</v>
      </c>
      <c r="I133" s="26"/>
      <c r="J133" s="372"/>
      <c r="K133" s="26"/>
      <c r="L133" s="26"/>
      <c r="M133" s="26"/>
    </row>
    <row r="134" spans="1:13" ht="13.5" thickBot="1" x14ac:dyDescent="0.25">
      <c r="A134" s="109"/>
      <c r="B134" s="26"/>
      <c r="C134" s="267" t="s">
        <v>610</v>
      </c>
      <c r="D134" s="267"/>
      <c r="E134" s="267"/>
      <c r="F134" s="324" t="s">
        <v>594</v>
      </c>
      <c r="G134" s="395">
        <f>'Calculations- All Data'!F136</f>
        <v>1871.2529999999999</v>
      </c>
      <c r="H134" s="41" t="s">
        <v>298</v>
      </c>
      <c r="I134" s="26"/>
      <c r="J134" s="26"/>
      <c r="K134" s="47"/>
      <c r="L134" s="47"/>
      <c r="M134" s="47"/>
    </row>
    <row r="135" spans="1:13" x14ac:dyDescent="0.2">
      <c r="A135" s="26"/>
      <c r="B135" s="39"/>
      <c r="C135" s="41"/>
      <c r="D135" s="26"/>
      <c r="E135" s="26"/>
      <c r="F135" s="275"/>
      <c r="G135" s="40"/>
      <c r="H135" s="192"/>
      <c r="I135" s="193"/>
      <c r="J135" s="193"/>
      <c r="K135" s="193"/>
      <c r="L135" s="26"/>
      <c r="M135" s="26"/>
    </row>
    <row r="136" spans="1:13" x14ac:dyDescent="0.2">
      <c r="A136" s="26"/>
      <c r="B136" s="149" t="s">
        <v>347</v>
      </c>
      <c r="C136" s="99"/>
      <c r="D136" s="99"/>
      <c r="E136" s="99"/>
      <c r="F136" s="99"/>
      <c r="G136" s="99"/>
      <c r="H136" s="99"/>
      <c r="I136" s="99"/>
      <c r="J136" s="99"/>
      <c r="K136" s="99"/>
      <c r="L136" s="99"/>
      <c r="M136" s="99"/>
    </row>
    <row r="137" spans="1:13" ht="12.75" customHeight="1" x14ac:dyDescent="0.2">
      <c r="A137" s="26"/>
      <c r="B137" s="454" t="s">
        <v>358</v>
      </c>
      <c r="C137" s="480"/>
      <c r="D137" s="480"/>
      <c r="E137" s="480"/>
      <c r="F137" s="480"/>
      <c r="G137" s="480"/>
      <c r="H137" s="480"/>
      <c r="I137" s="480"/>
      <c r="J137" s="480"/>
      <c r="K137" s="480"/>
      <c r="L137" s="480"/>
      <c r="M137" s="480"/>
    </row>
    <row r="138" spans="1:13" x14ac:dyDescent="0.2">
      <c r="A138" s="26"/>
      <c r="B138" s="480"/>
      <c r="C138" s="480"/>
      <c r="D138" s="480"/>
      <c r="E138" s="480"/>
      <c r="F138" s="480"/>
      <c r="G138" s="480"/>
      <c r="H138" s="480"/>
      <c r="I138" s="480"/>
      <c r="J138" s="480"/>
      <c r="K138" s="480"/>
      <c r="L138" s="480"/>
      <c r="M138" s="480"/>
    </row>
    <row r="139" spans="1:13" ht="12.75" customHeight="1" x14ac:dyDescent="0.2">
      <c r="A139" s="26"/>
      <c r="B139" s="475" t="s">
        <v>351</v>
      </c>
      <c r="C139" s="475"/>
      <c r="D139" s="475"/>
      <c r="E139" s="475"/>
      <c r="F139" s="475"/>
      <c r="G139" s="475"/>
      <c r="H139" s="475"/>
      <c r="I139" s="475"/>
      <c r="J139" s="475"/>
      <c r="K139" s="475"/>
      <c r="L139" s="475"/>
      <c r="M139" s="475"/>
    </row>
    <row r="140" spans="1:13" x14ac:dyDescent="0.2">
      <c r="A140" s="26"/>
      <c r="B140" s="447"/>
      <c r="C140" s="447"/>
      <c r="D140" s="447"/>
      <c r="E140" s="447"/>
      <c r="F140" s="447"/>
      <c r="G140" s="447"/>
      <c r="H140" s="447"/>
      <c r="I140" s="447"/>
      <c r="J140" s="447"/>
      <c r="K140" s="447"/>
      <c r="L140" s="447"/>
      <c r="M140" s="447"/>
    </row>
    <row r="141" spans="1:13" ht="12.75" customHeight="1" x14ac:dyDescent="0.2">
      <c r="A141" s="26"/>
      <c r="B141" s="486" t="s">
        <v>356</v>
      </c>
      <c r="C141" s="486"/>
      <c r="D141" s="486"/>
      <c r="E141" s="486"/>
      <c r="F141" s="486"/>
      <c r="G141" s="486"/>
      <c r="H141" s="486"/>
      <c r="I141" s="486"/>
      <c r="J141" s="486"/>
      <c r="K141" s="486"/>
      <c r="L141" s="486"/>
      <c r="M141" s="486"/>
    </row>
    <row r="142" spans="1:13" x14ac:dyDescent="0.2">
      <c r="A142" s="26"/>
      <c r="B142" s="149" t="s">
        <v>352</v>
      </c>
      <c r="C142" s="26"/>
      <c r="D142" s="26"/>
      <c r="E142" s="26"/>
      <c r="F142" s="42"/>
      <c r="G142" s="40"/>
      <c r="H142" s="40"/>
      <c r="I142" s="40"/>
      <c r="J142" s="26"/>
      <c r="K142" s="26"/>
      <c r="L142" s="26"/>
      <c r="M142" s="26"/>
    </row>
    <row r="143" spans="1:13" ht="24" customHeight="1" x14ac:dyDescent="0.2">
      <c r="A143" s="26"/>
      <c r="B143" s="475" t="s">
        <v>871</v>
      </c>
      <c r="C143" s="447"/>
      <c r="D143" s="447"/>
      <c r="E143" s="447"/>
      <c r="F143" s="447"/>
      <c r="G143" s="447"/>
      <c r="H143" s="447"/>
      <c r="I143" s="447"/>
      <c r="J143" s="447"/>
      <c r="K143" s="447"/>
      <c r="L143" s="447"/>
      <c r="M143" s="447"/>
    </row>
    <row r="144" spans="1:13" s="2" customFormat="1" x14ac:dyDescent="0.2">
      <c r="B144" s="387"/>
      <c r="F144" s="45"/>
      <c r="G144" s="3"/>
      <c r="H144" s="3"/>
      <c r="I144" s="3"/>
    </row>
    <row r="145" spans="1:13" ht="37.5" customHeight="1" x14ac:dyDescent="0.2">
      <c r="A145" s="470" t="s">
        <v>672</v>
      </c>
      <c r="B145" s="447"/>
      <c r="C145" s="447"/>
      <c r="D145" s="447"/>
      <c r="E145" s="447"/>
      <c r="F145" s="447"/>
      <c r="G145" s="447"/>
      <c r="H145" s="447"/>
      <c r="I145" s="447"/>
      <c r="J145" s="447"/>
      <c r="K145" s="447"/>
      <c r="L145" s="447"/>
      <c r="M145" s="447"/>
    </row>
    <row r="146" spans="1:13" ht="17.25" x14ac:dyDescent="0.25">
      <c r="A146" s="98" t="s">
        <v>7</v>
      </c>
      <c r="B146" s="26"/>
      <c r="C146" s="26"/>
      <c r="D146" s="26"/>
      <c r="E146" s="26"/>
      <c r="F146" s="26"/>
      <c r="G146" s="26"/>
      <c r="H146" s="26"/>
      <c r="I146" s="26"/>
      <c r="J146" s="26"/>
      <c r="K146" s="26"/>
      <c r="L146" s="26"/>
      <c r="M146" s="26"/>
    </row>
    <row r="147" spans="1:13" x14ac:dyDescent="0.2">
      <c r="A147" s="109"/>
      <c r="B147" s="27"/>
      <c r="C147" s="26"/>
      <c r="D147" s="26"/>
      <c r="E147" s="26"/>
      <c r="F147" s="133"/>
      <c r="G147" s="41"/>
      <c r="H147" s="51"/>
      <c r="I147" s="26"/>
      <c r="J147" s="26"/>
      <c r="K147" s="47"/>
      <c r="L147" s="47"/>
      <c r="M147" s="47"/>
    </row>
    <row r="148" spans="1:13" s="97" customFormat="1" ht="22.5" customHeight="1" x14ac:dyDescent="0.2">
      <c r="A148" s="99"/>
      <c r="B148" s="251" t="s">
        <v>538</v>
      </c>
      <c r="C148" s="99"/>
      <c r="D148" s="99"/>
      <c r="E148" s="263"/>
      <c r="F148" s="471" t="s">
        <v>342</v>
      </c>
      <c r="G148" s="473"/>
      <c r="H148" s="473"/>
      <c r="I148" s="473"/>
      <c r="J148" s="473"/>
      <c r="K148" s="255"/>
      <c r="L148" s="99"/>
      <c r="M148" s="99"/>
    </row>
    <row r="149" spans="1:13" s="97" customFormat="1" ht="22.5" customHeight="1" x14ac:dyDescent="0.2">
      <c r="A149" s="205"/>
      <c r="B149" s="99"/>
      <c r="C149" s="99"/>
      <c r="D149" s="99"/>
      <c r="E149" s="263" t="s">
        <v>425</v>
      </c>
      <c r="F149" s="471" t="s">
        <v>857</v>
      </c>
      <c r="G149" s="473"/>
      <c r="H149" s="473"/>
      <c r="I149" s="473"/>
      <c r="J149" s="473"/>
      <c r="K149" s="256"/>
      <c r="L149" s="99"/>
      <c r="M149" s="99"/>
    </row>
    <row r="150" spans="1:13" s="97" customFormat="1" ht="22.5" customHeight="1" x14ac:dyDescent="0.2">
      <c r="A150" s="205"/>
      <c r="B150" s="99"/>
      <c r="C150" s="99"/>
      <c r="D150" s="99"/>
      <c r="E150" s="263" t="s">
        <v>425</v>
      </c>
      <c r="F150" s="471" t="s">
        <v>518</v>
      </c>
      <c r="G150" s="473"/>
      <c r="H150" s="473"/>
      <c r="I150" s="473"/>
      <c r="J150" s="473"/>
      <c r="K150" s="256"/>
      <c r="L150" s="99"/>
      <c r="M150" s="99"/>
    </row>
    <row r="151" spans="1:13" s="97" customFormat="1" ht="22.5" customHeight="1" x14ac:dyDescent="0.2">
      <c r="A151" s="205"/>
      <c r="B151" s="99"/>
      <c r="C151" s="99"/>
      <c r="D151" s="99"/>
      <c r="E151" s="263" t="s">
        <v>425</v>
      </c>
      <c r="F151" s="471"/>
      <c r="G151" s="473"/>
      <c r="H151" s="473"/>
      <c r="I151" s="473"/>
      <c r="J151" s="473"/>
      <c r="K151" s="256"/>
      <c r="L151" s="99"/>
      <c r="M151" s="99"/>
    </row>
    <row r="152" spans="1:13" s="97" customFormat="1" ht="12.75" customHeight="1" x14ac:dyDescent="0.2">
      <c r="A152" s="205"/>
      <c r="B152" s="99"/>
      <c r="C152" s="99"/>
      <c r="D152" s="99"/>
      <c r="E152" s="263"/>
      <c r="F152" s="261"/>
      <c r="G152" s="262"/>
      <c r="H152" s="262"/>
      <c r="I152" s="262"/>
      <c r="J152" s="262"/>
      <c r="K152" s="179"/>
      <c r="L152" s="99"/>
      <c r="M152" s="99"/>
    </row>
    <row r="153" spans="1:13" s="97" customFormat="1" ht="12.75" customHeight="1" x14ac:dyDescent="0.2">
      <c r="A153" s="205"/>
      <c r="B153" s="99"/>
      <c r="C153" s="99"/>
      <c r="D153" s="40" t="s">
        <v>618</v>
      </c>
      <c r="E153" s="263"/>
      <c r="F153" s="277">
        <v>117.8</v>
      </c>
      <c r="G153" s="262" t="s">
        <v>520</v>
      </c>
      <c r="H153" s="262"/>
      <c r="I153" s="262"/>
      <c r="J153" s="262"/>
      <c r="K153" s="179"/>
      <c r="L153" s="99"/>
      <c r="M153" s="99"/>
    </row>
    <row r="154" spans="1:13" x14ac:dyDescent="0.2">
      <c r="A154" s="26"/>
      <c r="B154" s="26"/>
      <c r="C154" s="26"/>
      <c r="D154" s="267" t="s">
        <v>540</v>
      </c>
      <c r="E154" s="26"/>
      <c r="F154" s="42"/>
      <c r="G154" s="42"/>
      <c r="H154" s="42"/>
      <c r="I154" s="42"/>
      <c r="J154" s="42"/>
      <c r="K154" s="42"/>
      <c r="L154" s="26"/>
      <c r="M154" s="26"/>
    </row>
    <row r="155" spans="1:13" ht="12.75" customHeight="1" x14ac:dyDescent="0.2">
      <c r="A155" s="26"/>
      <c r="B155" s="26"/>
      <c r="C155" s="26"/>
      <c r="D155" s="41" t="s">
        <v>535</v>
      </c>
      <c r="E155" s="26"/>
      <c r="F155" s="471" t="s">
        <v>312</v>
      </c>
      <c r="G155" s="472"/>
      <c r="H155" s="472"/>
      <c r="I155" s="472"/>
      <c r="J155" s="472"/>
      <c r="K155" s="185"/>
      <c r="L155" s="26"/>
      <c r="M155" s="26"/>
    </row>
    <row r="156" spans="1:13" s="97" customFormat="1" ht="12.75" customHeight="1" x14ac:dyDescent="0.2">
      <c r="A156" s="205"/>
      <c r="B156" s="99"/>
      <c r="C156" s="99"/>
      <c r="D156" s="99"/>
      <c r="E156" s="263"/>
      <c r="F156" s="264"/>
      <c r="G156" s="265"/>
      <c r="H156" s="265"/>
      <c r="I156" s="265"/>
      <c r="J156" s="265"/>
      <c r="K156" s="179"/>
      <c r="L156" s="99"/>
      <c r="M156" s="99"/>
    </row>
    <row r="157" spans="1:13" s="97" customFormat="1" ht="22.5" customHeight="1" x14ac:dyDescent="0.2">
      <c r="A157" s="205"/>
      <c r="B157" s="251" t="s">
        <v>539</v>
      </c>
      <c r="C157" s="99"/>
      <c r="D157" s="99"/>
      <c r="E157" s="263"/>
      <c r="F157" s="471"/>
      <c r="G157" s="473"/>
      <c r="H157" s="473"/>
      <c r="I157" s="473"/>
      <c r="J157" s="485"/>
      <c r="K157" s="256"/>
      <c r="L157" s="99"/>
      <c r="M157" s="99"/>
    </row>
    <row r="158" spans="1:13" s="97" customFormat="1" ht="22.5" customHeight="1" x14ac:dyDescent="0.2">
      <c r="A158" s="205"/>
      <c r="B158" s="492" t="s">
        <v>425</v>
      </c>
      <c r="C158" s="492"/>
      <c r="D158" s="492"/>
      <c r="E158" s="493"/>
      <c r="F158" s="494"/>
      <c r="G158" s="495"/>
      <c r="H158" s="495"/>
      <c r="I158" s="495"/>
      <c r="J158" s="495"/>
      <c r="K158" s="255"/>
      <c r="L158" s="99"/>
      <c r="M158" s="99"/>
    </row>
    <row r="159" spans="1:13" s="97" customFormat="1" ht="12.75" customHeight="1" x14ac:dyDescent="0.2">
      <c r="A159" s="205"/>
      <c r="B159" s="99"/>
      <c r="C159" s="99"/>
      <c r="D159" s="99"/>
      <c r="E159" s="206"/>
      <c r="F159" s="481"/>
      <c r="G159" s="482"/>
      <c r="H159" s="482"/>
      <c r="I159" s="482"/>
      <c r="J159" s="482"/>
      <c r="K159" s="179"/>
      <c r="L159" s="99"/>
      <c r="M159" s="99"/>
    </row>
    <row r="160" spans="1:13" s="97" customFormat="1" ht="12.75" customHeight="1" x14ac:dyDescent="0.2">
      <c r="A160" s="205"/>
      <c r="B160" s="99"/>
      <c r="C160" s="99"/>
      <c r="D160" s="40" t="s">
        <v>620</v>
      </c>
      <c r="E160" s="206"/>
      <c r="F160" s="261"/>
      <c r="G160" s="262"/>
      <c r="H160" s="262"/>
      <c r="I160" s="262"/>
      <c r="J160" s="262"/>
      <c r="K160" s="179"/>
      <c r="L160" s="99"/>
      <c r="M160" s="99"/>
    </row>
    <row r="161" spans="1:13" s="97" customFormat="1" ht="12.75" customHeight="1" x14ac:dyDescent="0.2">
      <c r="A161" s="205"/>
      <c r="B161" s="99"/>
      <c r="C161" s="99"/>
      <c r="D161" s="40" t="s">
        <v>619</v>
      </c>
      <c r="E161" s="99"/>
      <c r="F161" s="277"/>
      <c r="G161" s="262" t="s">
        <v>520</v>
      </c>
      <c r="H161" s="262"/>
      <c r="I161" s="262"/>
      <c r="J161" s="262"/>
      <c r="K161" s="179"/>
      <c r="L161" s="99"/>
      <c r="M161" s="99"/>
    </row>
    <row r="162" spans="1:13" x14ac:dyDescent="0.2">
      <c r="A162" s="26"/>
      <c r="B162" s="26"/>
      <c r="C162" s="26"/>
      <c r="D162" s="267" t="s">
        <v>542</v>
      </c>
      <c r="E162" s="26"/>
      <c r="F162" s="266"/>
      <c r="G162" s="42"/>
      <c r="H162" s="42"/>
      <c r="I162" s="42"/>
      <c r="J162" s="42"/>
      <c r="K162" s="42"/>
      <c r="L162" s="26"/>
      <c r="M162" s="26"/>
    </row>
    <row r="163" spans="1:13" x14ac:dyDescent="0.2">
      <c r="A163" s="26"/>
      <c r="B163" s="26"/>
      <c r="C163" s="53"/>
      <c r="D163" s="26"/>
      <c r="E163" s="136" t="s">
        <v>397</v>
      </c>
      <c r="F163" s="155"/>
      <c r="G163" s="42" t="s">
        <v>396</v>
      </c>
      <c r="H163" s="42"/>
      <c r="I163" s="42"/>
      <c r="J163" s="42"/>
      <c r="K163" s="42"/>
      <c r="L163" s="26"/>
      <c r="M163" s="26"/>
    </row>
    <row r="164" spans="1:13" x14ac:dyDescent="0.2">
      <c r="A164" s="26"/>
      <c r="B164" s="26"/>
      <c r="C164" s="26"/>
      <c r="D164" s="26"/>
      <c r="E164" s="26"/>
      <c r="F164" s="142"/>
      <c r="G164" s="42"/>
      <c r="H164" s="42"/>
      <c r="I164" s="42"/>
      <c r="J164" s="42"/>
      <c r="K164" s="42"/>
      <c r="L164" s="26"/>
      <c r="M164" s="26"/>
    </row>
    <row r="165" spans="1:13" ht="13.5" thickBot="1" x14ac:dyDescent="0.25">
      <c r="A165" s="26"/>
      <c r="B165" s="26"/>
      <c r="C165" s="26"/>
      <c r="D165" s="26"/>
      <c r="E165" s="26"/>
      <c r="F165" s="42"/>
      <c r="G165" s="42"/>
      <c r="H165" s="42"/>
      <c r="I165" s="42"/>
      <c r="J165" s="42"/>
      <c r="K165" s="42"/>
      <c r="L165" s="26"/>
      <c r="M165" s="26"/>
    </row>
    <row r="166" spans="1:13" ht="13.5" thickBot="1" x14ac:dyDescent="0.25">
      <c r="A166" s="26"/>
      <c r="B166" s="39" t="s">
        <v>389</v>
      </c>
      <c r="C166" s="26"/>
      <c r="D166" s="26"/>
      <c r="E166" s="26"/>
      <c r="F166" s="371">
        <f>'Calculations- All Data'!F171</f>
        <v>1230.65921395893</v>
      </c>
      <c r="G166" s="26" t="s">
        <v>298</v>
      </c>
      <c r="H166" s="26"/>
      <c r="I166" s="26"/>
      <c r="J166" s="26"/>
      <c r="K166" s="26"/>
      <c r="L166" s="26"/>
      <c r="M166" s="26"/>
    </row>
    <row r="167" spans="1:13" x14ac:dyDescent="0.2">
      <c r="A167" s="26"/>
      <c r="B167" s="39"/>
      <c r="C167" s="26"/>
      <c r="D167" s="26"/>
      <c r="E167" s="26"/>
      <c r="F167" s="151"/>
      <c r="G167" s="26"/>
      <c r="H167" s="26"/>
      <c r="I167" s="26"/>
      <c r="J167" s="26"/>
      <c r="K167" s="26"/>
      <c r="L167" s="26"/>
      <c r="M167" s="26"/>
    </row>
    <row r="168" spans="1:13" ht="25.5" customHeight="1" x14ac:dyDescent="0.2">
      <c r="A168" s="26"/>
      <c r="B168" s="483" t="s">
        <v>566</v>
      </c>
      <c r="C168" s="484"/>
      <c r="D168" s="484"/>
      <c r="E168" s="484"/>
      <c r="F168" s="484"/>
      <c r="G168" s="484"/>
      <c r="H168" s="484"/>
      <c r="I168" s="484"/>
      <c r="J168" s="484"/>
      <c r="K168" s="484"/>
      <c r="L168" s="484"/>
      <c r="M168" s="484"/>
    </row>
    <row r="169" spans="1:13" ht="24" customHeight="1" x14ac:dyDescent="0.2">
      <c r="A169" s="26"/>
      <c r="B169" s="454" t="s">
        <v>747</v>
      </c>
      <c r="C169" s="447"/>
      <c r="D169" s="447"/>
      <c r="E169" s="447"/>
      <c r="F169" s="447"/>
      <c r="G169" s="447"/>
      <c r="H169" s="447"/>
      <c r="I169" s="447"/>
      <c r="J169" s="447"/>
      <c r="K169" s="447"/>
      <c r="L169" s="447"/>
      <c r="M169" s="447"/>
    </row>
    <row r="170" spans="1:13" ht="24" customHeight="1" x14ac:dyDescent="0.2">
      <c r="A170" s="26"/>
      <c r="B170" s="454" t="s">
        <v>745</v>
      </c>
      <c r="C170" s="447"/>
      <c r="D170" s="447"/>
      <c r="E170" s="447"/>
      <c r="F170" s="447"/>
      <c r="G170" s="447"/>
      <c r="H170" s="447"/>
      <c r="I170" s="447"/>
      <c r="J170" s="447"/>
      <c r="K170" s="447"/>
      <c r="L170" s="447"/>
      <c r="M170" s="447"/>
    </row>
    <row r="171" spans="1:13" s="2" customFormat="1" x14ac:dyDescent="0.2">
      <c r="B171" s="153"/>
      <c r="F171" s="388"/>
    </row>
    <row r="172" spans="1:13" s="2" customFormat="1" ht="36.75" customHeight="1" x14ac:dyDescent="0.2">
      <c r="A172" s="446" t="s">
        <v>673</v>
      </c>
      <c r="B172" s="446"/>
      <c r="C172" s="446"/>
      <c r="D172" s="446"/>
      <c r="E172" s="446"/>
      <c r="F172" s="446"/>
      <c r="G172" s="446"/>
      <c r="H172" s="446"/>
      <c r="I172" s="446"/>
      <c r="J172" s="446"/>
      <c r="K172" s="446"/>
      <c r="L172" s="446"/>
      <c r="M172" s="446"/>
    </row>
    <row r="173" spans="1:13" ht="15.75" thickBot="1" x14ac:dyDescent="0.3">
      <c r="A173" s="98" t="s">
        <v>552</v>
      </c>
      <c r="B173" s="26"/>
      <c r="C173" s="26"/>
      <c r="D173" s="26"/>
      <c r="E173" s="26"/>
      <c r="F173" s="26"/>
      <c r="G173" s="26"/>
      <c r="H173" s="26"/>
      <c r="I173" s="26"/>
      <c r="J173" s="26"/>
      <c r="K173" s="26"/>
      <c r="L173" s="26"/>
      <c r="M173" s="26"/>
    </row>
    <row r="174" spans="1:13" ht="12.75" customHeight="1" thickBot="1" x14ac:dyDescent="0.3">
      <c r="A174" s="98"/>
      <c r="B174" s="27" t="s">
        <v>560</v>
      </c>
      <c r="C174" s="26"/>
      <c r="D174" s="26"/>
      <c r="E174" s="26"/>
      <c r="F174" s="26"/>
      <c r="G174" s="371">
        <f>'Calculations- All Data'!F176</f>
        <v>1230.65921395893</v>
      </c>
      <c r="H174" s="26" t="s">
        <v>298</v>
      </c>
      <c r="I174" s="26"/>
      <c r="J174" s="26"/>
      <c r="K174" s="26"/>
      <c r="L174" s="26"/>
      <c r="M174" s="26"/>
    </row>
    <row r="175" spans="1:13" ht="14.25" customHeight="1" x14ac:dyDescent="0.25">
      <c r="A175" s="98"/>
      <c r="B175" s="27" t="s">
        <v>598</v>
      </c>
      <c r="C175" s="26"/>
      <c r="D175" s="26"/>
      <c r="E175" s="136"/>
      <c r="F175" s="136" t="s">
        <v>593</v>
      </c>
      <c r="G175" s="319">
        <f>'Calculations- All Data'!F47</f>
        <v>0.94099999999999995</v>
      </c>
      <c r="H175" s="26"/>
      <c r="I175" s="26"/>
      <c r="J175" s="26"/>
      <c r="K175" s="26"/>
      <c r="L175" s="26"/>
      <c r="M175" s="26"/>
    </row>
    <row r="176" spans="1:13" x14ac:dyDescent="0.2">
      <c r="A176" s="26"/>
      <c r="B176" s="39" t="s">
        <v>615</v>
      </c>
      <c r="C176" s="26"/>
      <c r="D176" s="26"/>
      <c r="E176" s="26"/>
      <c r="F176" s="136" t="s">
        <v>594</v>
      </c>
      <c r="G176" s="319">
        <f>'Calculations- All Data'!F178</f>
        <v>1158.050320335353</v>
      </c>
      <c r="H176" s="26" t="s">
        <v>298</v>
      </c>
      <c r="I176" s="26"/>
      <c r="J176" s="26"/>
      <c r="K176" s="26"/>
      <c r="L176" s="26"/>
      <c r="M176" s="26"/>
    </row>
    <row r="177" spans="1:13" ht="13.5" thickBot="1" x14ac:dyDescent="0.25">
      <c r="A177" s="26"/>
      <c r="B177" s="26" t="s">
        <v>613</v>
      </c>
      <c r="C177" s="26"/>
      <c r="D177" s="26"/>
      <c r="E177" s="26"/>
      <c r="F177" s="136" t="s">
        <v>593</v>
      </c>
      <c r="G177" s="290">
        <f>'Calculations- All Data'!F179</f>
        <v>0</v>
      </c>
      <c r="H177" s="26"/>
      <c r="I177" s="26"/>
      <c r="J177" s="26"/>
      <c r="K177" s="26"/>
      <c r="L177" s="26"/>
      <c r="M177" s="26"/>
    </row>
    <row r="178" spans="1:13" ht="13.5" thickBot="1" x14ac:dyDescent="0.25">
      <c r="A178" s="26"/>
      <c r="B178" s="39" t="s">
        <v>561</v>
      </c>
      <c r="C178" s="26"/>
      <c r="D178" s="26"/>
      <c r="E178" s="136"/>
      <c r="F178" s="136" t="s">
        <v>594</v>
      </c>
      <c r="G178" s="293">
        <f>'Calculations- All Data'!F181</f>
        <v>1158</v>
      </c>
      <c r="H178" s="26" t="s">
        <v>346</v>
      </c>
      <c r="I178" s="26"/>
      <c r="J178" s="26"/>
      <c r="K178" s="26"/>
      <c r="L178" s="26"/>
      <c r="M178" s="26"/>
    </row>
    <row r="179" spans="1:13" x14ac:dyDescent="0.2">
      <c r="A179" s="26"/>
      <c r="B179" s="26"/>
      <c r="C179" s="26"/>
      <c r="D179" s="26"/>
      <c r="E179" s="26"/>
      <c r="F179" s="136"/>
      <c r="G179" s="292"/>
      <c r="H179" s="26"/>
      <c r="I179" s="26"/>
      <c r="J179" s="26"/>
      <c r="K179" s="26"/>
      <c r="L179" s="26"/>
      <c r="M179" s="26"/>
    </row>
    <row r="180" spans="1:13" ht="15" thickBot="1" x14ac:dyDescent="0.25">
      <c r="A180" s="26"/>
      <c r="B180" s="26" t="s">
        <v>781</v>
      </c>
      <c r="C180" s="26"/>
      <c r="D180" s="26"/>
      <c r="E180" s="26"/>
      <c r="F180" s="136" t="s">
        <v>593</v>
      </c>
      <c r="G180" s="291">
        <f>'Calculations- All Data'!F183</f>
        <v>0.1</v>
      </c>
      <c r="H180" s="26"/>
      <c r="I180" s="26"/>
      <c r="J180" s="26"/>
      <c r="K180" s="26"/>
      <c r="L180" s="26"/>
      <c r="M180" s="26"/>
    </row>
    <row r="181" spans="1:13" ht="15.75" thickBot="1" x14ac:dyDescent="0.3">
      <c r="A181" s="26"/>
      <c r="B181" s="98" t="s">
        <v>612</v>
      </c>
      <c r="C181" s="26"/>
      <c r="D181" s="26"/>
      <c r="E181" s="26"/>
      <c r="F181" s="136" t="s">
        <v>594</v>
      </c>
      <c r="G181" s="135">
        <f>'Calculations- All Data'!F185</f>
        <v>1042</v>
      </c>
      <c r="H181" s="98" t="s">
        <v>346</v>
      </c>
      <c r="I181" s="26"/>
      <c r="J181" s="26"/>
      <c r="K181" s="26"/>
      <c r="L181" s="26"/>
      <c r="M181" s="26"/>
    </row>
    <row r="182" spans="1:13" ht="12.75" customHeight="1" x14ac:dyDescent="0.25">
      <c r="A182" s="26"/>
      <c r="B182" s="98"/>
      <c r="C182" s="26"/>
      <c r="D182" s="26"/>
      <c r="E182" s="26"/>
      <c r="F182" s="136"/>
      <c r="G182" s="246"/>
      <c r="H182" s="98"/>
      <c r="I182" s="26"/>
      <c r="J182" s="26"/>
      <c r="K182" s="26"/>
      <c r="L182" s="26"/>
      <c r="M182" s="26"/>
    </row>
    <row r="183" spans="1:13" ht="23.25" customHeight="1" x14ac:dyDescent="0.2">
      <c r="A183" s="26"/>
      <c r="B183" s="454" t="s">
        <v>597</v>
      </c>
      <c r="C183" s="480"/>
      <c r="D183" s="480"/>
      <c r="E183" s="480"/>
      <c r="F183" s="480"/>
      <c r="G183" s="480"/>
      <c r="H183" s="480"/>
      <c r="I183" s="480"/>
      <c r="J183" s="480"/>
      <c r="K183" s="480"/>
      <c r="L183" s="480"/>
      <c r="M183" s="480"/>
    </row>
    <row r="184" spans="1:13" ht="23.25" customHeight="1" x14ac:dyDescent="0.2">
      <c r="A184" s="26"/>
      <c r="B184" s="454" t="s">
        <v>515</v>
      </c>
      <c r="C184" s="480"/>
      <c r="D184" s="480"/>
      <c r="E184" s="480"/>
      <c r="F184" s="480"/>
      <c r="G184" s="480"/>
      <c r="H184" s="480"/>
      <c r="I184" s="480"/>
      <c r="J184" s="480"/>
      <c r="K184" s="480"/>
      <c r="L184" s="480"/>
      <c r="M184" s="480"/>
    </row>
    <row r="250" spans="1:13" ht="13.5" thickBot="1" x14ac:dyDescent="0.25">
      <c r="A250" s="245" t="s">
        <v>567</v>
      </c>
      <c r="B250" s="244"/>
      <c r="C250" s="244"/>
      <c r="D250" s="244"/>
      <c r="E250" s="244"/>
      <c r="F250" s="244"/>
      <c r="G250" s="244"/>
      <c r="H250" s="244"/>
      <c r="I250" s="244"/>
      <c r="J250" s="244"/>
      <c r="K250" s="244"/>
      <c r="L250" s="244"/>
      <c r="M250" s="244"/>
    </row>
    <row r="251" spans="1:13" ht="13.5" thickTop="1" x14ac:dyDescent="0.2">
      <c r="A251" s="83">
        <v>10</v>
      </c>
      <c r="B251" s="5" t="s">
        <v>27</v>
      </c>
      <c r="C251" s="5"/>
      <c r="D251" s="5"/>
      <c r="E251" s="5"/>
      <c r="F251" s="5"/>
      <c r="G251" s="5"/>
      <c r="H251" s="5"/>
      <c r="I251" s="5"/>
      <c r="J251" s="5"/>
    </row>
    <row r="252" spans="1:13" x14ac:dyDescent="0.2">
      <c r="A252" s="83">
        <v>20</v>
      </c>
      <c r="B252" s="5" t="s">
        <v>25</v>
      </c>
      <c r="C252" s="5"/>
      <c r="D252" s="5"/>
      <c r="E252" s="5"/>
      <c r="F252" s="5"/>
      <c r="G252" s="5"/>
      <c r="H252" s="5"/>
      <c r="I252" s="5"/>
      <c r="J252" s="5"/>
    </row>
    <row r="253" spans="1:13" x14ac:dyDescent="0.2">
      <c r="A253" s="83">
        <v>30</v>
      </c>
      <c r="B253" s="5" t="s">
        <v>26</v>
      </c>
      <c r="C253" s="5"/>
      <c r="D253" s="5"/>
      <c r="E253" s="5"/>
      <c r="F253" s="5"/>
      <c r="G253" s="5"/>
      <c r="H253" s="5"/>
      <c r="I253" s="5"/>
      <c r="J253" s="5"/>
    </row>
    <row r="254" spans="1:13" ht="14.25" x14ac:dyDescent="0.2">
      <c r="A254" s="84">
        <v>40</v>
      </c>
      <c r="B254" s="5" t="s">
        <v>8</v>
      </c>
      <c r="C254" s="5"/>
      <c r="D254" s="5"/>
      <c r="E254" s="5"/>
      <c r="F254" s="5"/>
      <c r="G254" s="5"/>
      <c r="H254" s="5"/>
      <c r="I254" s="5"/>
      <c r="J254" s="5"/>
    </row>
    <row r="255" spans="1:13" x14ac:dyDescent="0.2">
      <c r="A255" s="84">
        <v>50</v>
      </c>
      <c r="B255" s="5" t="s">
        <v>28</v>
      </c>
      <c r="C255" s="5"/>
      <c r="D255" s="5"/>
      <c r="E255" s="5"/>
      <c r="F255" s="5"/>
      <c r="G255" s="5"/>
      <c r="H255" s="5"/>
      <c r="I255" s="5"/>
      <c r="J255" s="5"/>
    </row>
    <row r="256" spans="1:13" x14ac:dyDescent="0.2">
      <c r="A256" s="84">
        <v>60</v>
      </c>
      <c r="B256" s="5"/>
      <c r="C256" s="5"/>
      <c r="D256" s="5"/>
      <c r="E256" s="5"/>
      <c r="F256" s="5"/>
      <c r="G256" s="5"/>
      <c r="H256" s="5"/>
      <c r="I256" s="5"/>
      <c r="J256" s="5"/>
    </row>
    <row r="257" spans="1:10" x14ac:dyDescent="0.2">
      <c r="A257" s="84">
        <v>70</v>
      </c>
      <c r="B257" s="4" t="s">
        <v>364</v>
      </c>
      <c r="C257" s="5"/>
      <c r="D257" s="5"/>
      <c r="E257" s="5"/>
      <c r="F257" s="5"/>
      <c r="G257" s="5"/>
      <c r="H257" s="5"/>
      <c r="I257" s="5"/>
      <c r="J257" s="5"/>
    </row>
    <row r="258" spans="1:10" x14ac:dyDescent="0.2">
      <c r="A258" s="84">
        <v>80</v>
      </c>
      <c r="B258" s="233" t="s">
        <v>274</v>
      </c>
      <c r="C258" s="5"/>
      <c r="D258" s="5"/>
      <c r="E258" s="5"/>
      <c r="F258" s="5"/>
      <c r="G258" s="5"/>
      <c r="H258" s="5"/>
      <c r="I258" s="5"/>
      <c r="J258" s="5"/>
    </row>
    <row r="259" spans="1:10" x14ac:dyDescent="0.2">
      <c r="A259" s="84">
        <v>90</v>
      </c>
      <c r="B259" s="5"/>
      <c r="C259" s="5"/>
      <c r="D259" s="5"/>
      <c r="E259" s="5"/>
      <c r="F259" s="5"/>
      <c r="G259" s="5"/>
      <c r="H259" s="5"/>
      <c r="I259" s="5"/>
      <c r="J259" s="5"/>
    </row>
    <row r="260" spans="1:10" x14ac:dyDescent="0.2">
      <c r="A260" s="84">
        <v>100</v>
      </c>
      <c r="B260" s="7" t="s">
        <v>62</v>
      </c>
      <c r="C260" s="5"/>
      <c r="D260" s="5" t="s">
        <v>110</v>
      </c>
      <c r="E260" s="5" t="s">
        <v>204</v>
      </c>
      <c r="F260" s="227" t="s">
        <v>453</v>
      </c>
      <c r="G260" s="5"/>
      <c r="H260" s="5"/>
      <c r="I260" s="5"/>
      <c r="J260" s="5"/>
    </row>
    <row r="261" spans="1:10" x14ac:dyDescent="0.2">
      <c r="A261" s="84">
        <v>110</v>
      </c>
      <c r="B261" s="7" t="s">
        <v>63</v>
      </c>
      <c r="C261" s="5"/>
      <c r="D261" s="5" t="s">
        <v>112</v>
      </c>
      <c r="E261" s="5" t="s">
        <v>205</v>
      </c>
      <c r="F261" s="160" t="s">
        <v>457</v>
      </c>
      <c r="G261" s="5"/>
      <c r="H261" s="5"/>
      <c r="I261" s="5"/>
      <c r="J261" s="5"/>
    </row>
    <row r="262" spans="1:10" x14ac:dyDescent="0.2">
      <c r="A262" s="84">
        <v>120</v>
      </c>
      <c r="B262" s="34" t="s">
        <v>779</v>
      </c>
      <c r="C262" s="5"/>
      <c r="D262" s="5" t="s">
        <v>231</v>
      </c>
      <c r="E262" s="5" t="s">
        <v>206</v>
      </c>
      <c r="F262" s="160" t="s">
        <v>455</v>
      </c>
      <c r="G262" s="5"/>
      <c r="H262" s="5"/>
      <c r="I262" s="5"/>
      <c r="J262" s="5"/>
    </row>
    <row r="263" spans="1:10" x14ac:dyDescent="0.2">
      <c r="A263" s="84">
        <v>140</v>
      </c>
      <c r="B263" s="7" t="s">
        <v>778</v>
      </c>
      <c r="C263" s="5"/>
      <c r="D263" s="5" t="s">
        <v>111</v>
      </c>
      <c r="E263" s="5" t="s">
        <v>207</v>
      </c>
      <c r="F263" s="160" t="s">
        <v>456</v>
      </c>
      <c r="G263" s="5"/>
      <c r="H263" s="5"/>
      <c r="I263" s="5"/>
      <c r="J263" s="5"/>
    </row>
    <row r="264" spans="1:10" x14ac:dyDescent="0.2">
      <c r="A264" s="4">
        <v>160</v>
      </c>
      <c r="B264" s="7" t="s">
        <v>64</v>
      </c>
      <c r="C264" s="5"/>
      <c r="D264" s="5" t="s">
        <v>113</v>
      </c>
      <c r="E264" s="5" t="s">
        <v>208</v>
      </c>
      <c r="F264" s="160" t="s">
        <v>454</v>
      </c>
      <c r="G264" s="5"/>
      <c r="H264" s="5"/>
      <c r="I264" s="5"/>
      <c r="J264" s="5"/>
    </row>
    <row r="265" spans="1:10" x14ac:dyDescent="0.2">
      <c r="A265" s="4">
        <v>175</v>
      </c>
      <c r="B265" s="7" t="s">
        <v>65</v>
      </c>
      <c r="C265" s="5"/>
      <c r="D265" s="5" t="s">
        <v>232</v>
      </c>
      <c r="E265" s="5" t="s">
        <v>209</v>
      </c>
      <c r="F265" s="227" t="s">
        <v>451</v>
      </c>
      <c r="G265" s="5"/>
      <c r="H265" s="5"/>
      <c r="I265" s="5"/>
      <c r="J265" s="5"/>
    </row>
    <row r="266" spans="1:10" x14ac:dyDescent="0.2">
      <c r="A266" s="4">
        <v>180</v>
      </c>
      <c r="B266" s="7" t="s">
        <v>66</v>
      </c>
      <c r="C266" s="5"/>
      <c r="D266" s="5" t="s">
        <v>109</v>
      </c>
      <c r="E266" s="5" t="s">
        <v>210</v>
      </c>
      <c r="F266" s="160" t="s">
        <v>452</v>
      </c>
      <c r="G266" s="5"/>
      <c r="H266" s="5"/>
      <c r="I266" s="5"/>
      <c r="J266" s="5"/>
    </row>
    <row r="267" spans="1:10" x14ac:dyDescent="0.2">
      <c r="A267" s="4">
        <v>210</v>
      </c>
      <c r="B267" s="7" t="s">
        <v>67</v>
      </c>
      <c r="C267" s="5"/>
      <c r="D267" s="4" t="s">
        <v>296</v>
      </c>
      <c r="E267" s="5" t="s">
        <v>211</v>
      </c>
      <c r="F267" s="227" t="s">
        <v>411</v>
      </c>
      <c r="G267" s="5"/>
      <c r="H267" s="5"/>
      <c r="I267" s="5"/>
      <c r="J267" s="5"/>
    </row>
    <row r="268" spans="1:10" x14ac:dyDescent="0.2">
      <c r="A268" s="4">
        <v>450</v>
      </c>
      <c r="B268" s="7" t="s">
        <v>68</v>
      </c>
      <c r="C268" s="5"/>
      <c r="D268" s="32"/>
      <c r="E268" s="5" t="s">
        <v>212</v>
      </c>
      <c r="F268" s="227" t="s">
        <v>458</v>
      </c>
      <c r="G268" s="5"/>
      <c r="H268" s="5"/>
      <c r="I268" s="5"/>
      <c r="J268" s="5"/>
    </row>
    <row r="269" spans="1:10" x14ac:dyDescent="0.2">
      <c r="A269" s="4">
        <v>470</v>
      </c>
      <c r="B269" s="7" t="s">
        <v>69</v>
      </c>
      <c r="C269" s="5"/>
      <c r="D269" s="50" t="s">
        <v>414</v>
      </c>
      <c r="E269" s="5" t="s">
        <v>213</v>
      </c>
      <c r="F269" s="160" t="s">
        <v>459</v>
      </c>
      <c r="G269" s="5"/>
      <c r="H269" s="5"/>
      <c r="I269" s="5"/>
      <c r="J269" s="5"/>
    </row>
    <row r="270" spans="1:10" x14ac:dyDescent="0.2">
      <c r="A270" s="4">
        <v>700</v>
      </c>
      <c r="B270" s="7" t="s">
        <v>70</v>
      </c>
      <c r="C270" s="5"/>
      <c r="D270" s="50" t="s">
        <v>415</v>
      </c>
      <c r="E270" s="5" t="s">
        <v>214</v>
      </c>
      <c r="F270" s="160" t="s">
        <v>460</v>
      </c>
      <c r="G270" s="5"/>
      <c r="H270" s="5"/>
      <c r="I270" s="5"/>
      <c r="J270" s="5"/>
    </row>
    <row r="271" spans="1:10" x14ac:dyDescent="0.2">
      <c r="A271" s="4">
        <v>710</v>
      </c>
      <c r="B271" s="7" t="s">
        <v>71</v>
      </c>
      <c r="C271" s="5"/>
      <c r="D271" s="22" t="s">
        <v>416</v>
      </c>
      <c r="E271" s="5" t="s">
        <v>215</v>
      </c>
      <c r="F271" s="160" t="s">
        <v>461</v>
      </c>
      <c r="G271" s="5"/>
      <c r="H271" s="5"/>
      <c r="I271" s="5"/>
      <c r="J271" s="5"/>
    </row>
    <row r="272" spans="1:10" x14ac:dyDescent="0.2">
      <c r="A272" s="4">
        <v>720</v>
      </c>
      <c r="B272" s="7" t="s">
        <v>72</v>
      </c>
      <c r="C272" s="5"/>
      <c r="D272" s="5"/>
      <c r="E272" s="5" t="s">
        <v>216</v>
      </c>
      <c r="F272" s="227" t="s">
        <v>462</v>
      </c>
      <c r="G272" s="5"/>
      <c r="H272" s="5"/>
      <c r="I272" s="5"/>
      <c r="J272" s="5"/>
    </row>
    <row r="273" spans="1:10" x14ac:dyDescent="0.2">
      <c r="A273" s="4">
        <v>730</v>
      </c>
      <c r="B273" s="7" t="s">
        <v>73</v>
      </c>
      <c r="C273" s="5"/>
      <c r="D273" s="5"/>
      <c r="E273" s="5" t="s">
        <v>217</v>
      </c>
      <c r="F273" s="227" t="s">
        <v>463</v>
      </c>
      <c r="G273" s="5"/>
      <c r="H273" s="5"/>
      <c r="I273" s="5"/>
      <c r="J273" s="5"/>
    </row>
    <row r="274" spans="1:10" x14ac:dyDescent="0.2">
      <c r="A274" s="4">
        <v>740</v>
      </c>
      <c r="B274" s="7" t="s">
        <v>428</v>
      </c>
      <c r="C274" s="5"/>
      <c r="D274" s="5"/>
      <c r="E274" s="5" t="s">
        <v>218</v>
      </c>
      <c r="F274" s="227" t="s">
        <v>468</v>
      </c>
      <c r="G274" s="5"/>
      <c r="H274" s="5"/>
      <c r="I274" s="5"/>
      <c r="J274" s="5"/>
    </row>
    <row r="275" spans="1:10" x14ac:dyDescent="0.2">
      <c r="A275" s="4">
        <v>750</v>
      </c>
      <c r="B275" s="7" t="s">
        <v>429</v>
      </c>
      <c r="C275" s="5"/>
      <c r="D275" s="5"/>
      <c r="E275" s="5" t="s">
        <v>219</v>
      </c>
      <c r="F275" s="160" t="s">
        <v>464</v>
      </c>
      <c r="G275" s="5"/>
      <c r="H275" s="5"/>
      <c r="I275" s="5"/>
      <c r="J275" s="5"/>
    </row>
    <row r="276" spans="1:10" x14ac:dyDescent="0.2">
      <c r="A276" s="4">
        <v>800</v>
      </c>
      <c r="B276" s="7" t="s">
        <v>74</v>
      </c>
      <c r="C276" s="5"/>
      <c r="D276" s="5"/>
      <c r="E276" s="5" t="s">
        <v>220</v>
      </c>
      <c r="F276" s="160" t="s">
        <v>465</v>
      </c>
      <c r="G276" s="5"/>
      <c r="H276" s="5"/>
      <c r="I276" s="5"/>
      <c r="J276" s="5"/>
    </row>
    <row r="277" spans="1:10" x14ac:dyDescent="0.2">
      <c r="A277" s="5"/>
      <c r="B277" s="7" t="s">
        <v>75</v>
      </c>
      <c r="C277" s="5"/>
      <c r="D277" s="5"/>
      <c r="E277" s="5" t="s">
        <v>221</v>
      </c>
      <c r="F277" s="160" t="s">
        <v>466</v>
      </c>
      <c r="G277" s="5"/>
      <c r="H277" s="5"/>
      <c r="I277" s="5"/>
      <c r="J277" s="5"/>
    </row>
    <row r="278" spans="1:10" x14ac:dyDescent="0.2">
      <c r="A278" s="5"/>
      <c r="B278" s="7" t="s">
        <v>76</v>
      </c>
      <c r="C278" s="5"/>
      <c r="D278" s="5"/>
      <c r="E278" s="5" t="s">
        <v>222</v>
      </c>
      <c r="F278" s="160" t="s">
        <v>467</v>
      </c>
      <c r="G278" s="5"/>
      <c r="H278" s="5"/>
      <c r="I278" s="5"/>
      <c r="J278" s="5"/>
    </row>
    <row r="279" spans="1:10" x14ac:dyDescent="0.2">
      <c r="A279" s="5"/>
      <c r="B279" s="7" t="s">
        <v>77</v>
      </c>
      <c r="C279" s="5"/>
      <c r="D279" s="5"/>
      <c r="E279" s="5" t="s">
        <v>223</v>
      </c>
      <c r="F279" s="312" t="s">
        <v>868</v>
      </c>
      <c r="G279" s="5"/>
      <c r="H279" s="5"/>
      <c r="I279" s="5"/>
      <c r="J279" s="5"/>
    </row>
    <row r="280" spans="1:10" x14ac:dyDescent="0.2">
      <c r="A280" s="5"/>
      <c r="B280" s="7" t="s">
        <v>430</v>
      </c>
      <c r="C280" s="5"/>
      <c r="D280" s="227" t="s">
        <v>749</v>
      </c>
      <c r="E280" s="5" t="s">
        <v>224</v>
      </c>
      <c r="F280" s="312" t="s">
        <v>869</v>
      </c>
      <c r="G280" s="5"/>
      <c r="H280" s="5"/>
      <c r="I280" s="5"/>
      <c r="J280" s="5"/>
    </row>
    <row r="281" spans="1:10" x14ac:dyDescent="0.2">
      <c r="A281" s="5"/>
      <c r="B281" s="7" t="s">
        <v>78</v>
      </c>
      <c r="C281" s="5"/>
      <c r="D281" s="227" t="s">
        <v>748</v>
      </c>
      <c r="E281" s="5" t="s">
        <v>225</v>
      </c>
      <c r="F281" s="5"/>
      <c r="G281" s="5"/>
      <c r="H281" s="5"/>
      <c r="I281" s="5"/>
      <c r="J281" s="5"/>
    </row>
    <row r="282" spans="1:10" x14ac:dyDescent="0.2">
      <c r="A282" s="5"/>
      <c r="B282" s="7" t="s">
        <v>79</v>
      </c>
      <c r="C282" s="5"/>
      <c r="D282" s="227" t="s">
        <v>750</v>
      </c>
      <c r="E282" s="5" t="s">
        <v>226</v>
      </c>
      <c r="F282" s="5"/>
      <c r="G282" s="5"/>
      <c r="H282" s="5"/>
      <c r="I282" s="5"/>
      <c r="J282" s="5"/>
    </row>
    <row r="283" spans="1:10" x14ac:dyDescent="0.2">
      <c r="A283" s="5"/>
      <c r="B283" s="7" t="s">
        <v>80</v>
      </c>
      <c r="C283" s="5"/>
      <c r="D283" s="160"/>
      <c r="E283" s="5" t="s">
        <v>227</v>
      </c>
      <c r="F283" s="5"/>
      <c r="G283" s="5"/>
      <c r="H283" s="5"/>
      <c r="I283" s="5"/>
      <c r="J283" s="5"/>
    </row>
    <row r="284" spans="1:10" x14ac:dyDescent="0.2">
      <c r="A284" s="5"/>
      <c r="B284" s="7" t="s">
        <v>105</v>
      </c>
      <c r="C284" s="5"/>
      <c r="D284" s="5"/>
      <c r="E284" s="5" t="s">
        <v>116</v>
      </c>
      <c r="F284" s="5"/>
      <c r="G284" s="5"/>
      <c r="H284" s="5"/>
      <c r="I284" s="5"/>
      <c r="J284" s="5"/>
    </row>
    <row r="285" spans="1:10" x14ac:dyDescent="0.2">
      <c r="A285" s="5"/>
      <c r="B285" s="34" t="s">
        <v>35</v>
      </c>
      <c r="C285" s="5"/>
      <c r="D285" s="5"/>
      <c r="E285" s="5" t="s">
        <v>117</v>
      </c>
      <c r="F285" s="5"/>
      <c r="G285" s="5"/>
      <c r="H285" s="5"/>
      <c r="I285" s="5"/>
      <c r="J285" s="5"/>
    </row>
    <row r="286" spans="1:10" x14ac:dyDescent="0.2">
      <c r="A286" s="5"/>
      <c r="B286" s="7" t="s">
        <v>431</v>
      </c>
      <c r="C286" s="5"/>
      <c r="D286" s="5"/>
      <c r="E286" s="5" t="s">
        <v>118</v>
      </c>
      <c r="F286" s="5"/>
      <c r="G286" s="5"/>
      <c r="H286" s="5"/>
      <c r="I286" s="5"/>
      <c r="J286" s="5"/>
    </row>
    <row r="287" spans="1:10" x14ac:dyDescent="0.2">
      <c r="A287" s="5"/>
      <c r="B287" s="7" t="s">
        <v>81</v>
      </c>
      <c r="C287" s="5"/>
      <c r="D287" s="5"/>
      <c r="E287" s="5" t="s">
        <v>119</v>
      </c>
      <c r="F287" s="5"/>
      <c r="G287" s="5"/>
      <c r="H287" s="5"/>
      <c r="I287" s="5"/>
      <c r="J287" s="5"/>
    </row>
    <row r="288" spans="1:10" x14ac:dyDescent="0.2">
      <c r="A288" s="5"/>
      <c r="B288" s="7" t="s">
        <v>82</v>
      </c>
      <c r="C288" s="5"/>
      <c r="D288" s="5"/>
      <c r="E288" s="5" t="s">
        <v>120</v>
      </c>
      <c r="F288" s="5"/>
      <c r="G288" s="5"/>
      <c r="H288" s="5"/>
      <c r="I288" s="5"/>
      <c r="J288" s="5"/>
    </row>
    <row r="289" spans="1:10" x14ac:dyDescent="0.2">
      <c r="A289" s="5"/>
      <c r="B289" s="7" t="s">
        <v>83</v>
      </c>
      <c r="C289" s="5"/>
      <c r="D289" s="5"/>
      <c r="E289" s="5" t="s">
        <v>121</v>
      </c>
      <c r="F289" s="5"/>
      <c r="G289" s="5"/>
      <c r="H289" s="5"/>
      <c r="I289" s="5"/>
      <c r="J289" s="5"/>
    </row>
    <row r="290" spans="1:10" x14ac:dyDescent="0.2">
      <c r="A290" s="5"/>
      <c r="B290" s="7" t="s">
        <v>36</v>
      </c>
      <c r="C290" s="5"/>
      <c r="D290" s="5"/>
      <c r="E290" s="5" t="s">
        <v>122</v>
      </c>
      <c r="F290" s="5"/>
      <c r="G290" s="5"/>
      <c r="H290" s="5"/>
      <c r="I290" s="5"/>
      <c r="J290" s="5"/>
    </row>
    <row r="291" spans="1:10" x14ac:dyDescent="0.2">
      <c r="A291" s="5"/>
      <c r="B291" s="7" t="s">
        <v>37</v>
      </c>
      <c r="C291" s="5"/>
      <c r="D291" s="5"/>
      <c r="E291" s="5" t="s">
        <v>123</v>
      </c>
      <c r="F291" s="5"/>
      <c r="G291" s="5"/>
      <c r="H291" s="5"/>
      <c r="I291" s="5"/>
      <c r="J291" s="5"/>
    </row>
    <row r="292" spans="1:10" x14ac:dyDescent="0.2">
      <c r="A292" s="5"/>
      <c r="B292" s="58" t="s">
        <v>441</v>
      </c>
      <c r="C292" s="5"/>
      <c r="D292" s="5"/>
      <c r="E292" s="5" t="s">
        <v>124</v>
      </c>
      <c r="F292" s="5"/>
      <c r="G292" s="5"/>
      <c r="H292" s="5"/>
      <c r="I292" s="5"/>
      <c r="J292" s="5"/>
    </row>
    <row r="293" spans="1:10" x14ac:dyDescent="0.2">
      <c r="A293" s="5"/>
      <c r="B293" s="11" t="s">
        <v>432</v>
      </c>
      <c r="C293" s="5"/>
      <c r="D293" s="5"/>
      <c r="E293" s="5" t="s">
        <v>125</v>
      </c>
      <c r="F293" s="5"/>
      <c r="G293" s="5"/>
      <c r="H293" s="5"/>
      <c r="I293" s="5"/>
      <c r="J293" s="5"/>
    </row>
    <row r="294" spans="1:10" x14ac:dyDescent="0.2">
      <c r="A294" s="5"/>
      <c r="B294" s="11" t="s">
        <v>433</v>
      </c>
      <c r="C294" s="5"/>
      <c r="D294" s="5"/>
      <c r="E294" s="5" t="s">
        <v>126</v>
      </c>
      <c r="F294" s="5"/>
      <c r="G294" s="5"/>
      <c r="H294" s="5"/>
      <c r="I294" s="5"/>
      <c r="J294" s="5"/>
    </row>
    <row r="295" spans="1:10" x14ac:dyDescent="0.2">
      <c r="A295" s="5"/>
      <c r="B295" s="31" t="s">
        <v>104</v>
      </c>
      <c r="C295" s="5"/>
      <c r="D295" s="5"/>
      <c r="E295" s="5" t="s">
        <v>127</v>
      </c>
      <c r="F295" s="5"/>
      <c r="G295" s="5"/>
      <c r="H295" s="5"/>
      <c r="I295" s="5"/>
      <c r="J295" s="5"/>
    </row>
    <row r="296" spans="1:10" x14ac:dyDescent="0.2">
      <c r="A296" s="5"/>
      <c r="B296" s="31" t="s">
        <v>38</v>
      </c>
      <c r="C296" s="5"/>
      <c r="D296" s="5"/>
      <c r="E296" s="5" t="s">
        <v>128</v>
      </c>
      <c r="F296" s="5"/>
      <c r="G296" s="5"/>
      <c r="H296" s="5"/>
      <c r="I296" s="5"/>
      <c r="J296" s="5"/>
    </row>
    <row r="297" spans="1:10" x14ac:dyDescent="0.2">
      <c r="A297" s="5"/>
      <c r="B297" s="31" t="s">
        <v>39</v>
      </c>
      <c r="C297" s="5"/>
      <c r="D297" s="5"/>
      <c r="E297" s="5" t="s">
        <v>129</v>
      </c>
      <c r="F297" s="5"/>
      <c r="G297" s="5"/>
      <c r="H297" s="5"/>
      <c r="I297" s="5"/>
      <c r="J297" s="5"/>
    </row>
    <row r="298" spans="1:10" x14ac:dyDescent="0.2">
      <c r="A298" s="5"/>
      <c r="B298" s="7" t="s">
        <v>40</v>
      </c>
      <c r="C298" s="5"/>
      <c r="D298" s="5"/>
      <c r="E298" s="5" t="s">
        <v>130</v>
      </c>
      <c r="F298" s="5"/>
      <c r="G298" s="5"/>
      <c r="H298" s="5"/>
      <c r="I298" s="5"/>
      <c r="J298" s="5"/>
    </row>
    <row r="299" spans="1:10" x14ac:dyDescent="0.2">
      <c r="A299" s="5"/>
      <c r="B299" s="7" t="s">
        <v>84</v>
      </c>
      <c r="C299" s="5"/>
      <c r="D299" s="5"/>
      <c r="E299" s="5" t="s">
        <v>131</v>
      </c>
      <c r="F299" s="5"/>
      <c r="G299" s="5"/>
      <c r="H299" s="5"/>
      <c r="I299" s="5"/>
      <c r="J299" s="5"/>
    </row>
    <row r="300" spans="1:10" x14ac:dyDescent="0.2">
      <c r="A300" s="5"/>
      <c r="B300" s="34" t="s">
        <v>41</v>
      </c>
      <c r="C300" s="5"/>
      <c r="D300" s="5"/>
      <c r="E300" s="5" t="s">
        <v>132</v>
      </c>
      <c r="F300" s="5"/>
      <c r="G300" s="5"/>
      <c r="H300" s="5"/>
      <c r="I300" s="5"/>
      <c r="J300" s="5"/>
    </row>
    <row r="301" spans="1:10" x14ac:dyDescent="0.2">
      <c r="A301" s="5"/>
      <c r="B301" s="34" t="s">
        <v>42</v>
      </c>
      <c r="C301" s="5"/>
      <c r="D301" s="5"/>
      <c r="E301" s="5" t="s">
        <v>133</v>
      </c>
      <c r="F301" s="5"/>
      <c r="G301" s="5"/>
      <c r="H301" s="5"/>
      <c r="I301" s="5"/>
      <c r="J301" s="5"/>
    </row>
    <row r="302" spans="1:10" x14ac:dyDescent="0.2">
      <c r="A302" s="5"/>
      <c r="B302" s="7" t="s">
        <v>434</v>
      </c>
      <c r="C302" s="5"/>
      <c r="D302" s="5"/>
      <c r="E302" s="5" t="s">
        <v>134</v>
      </c>
      <c r="F302" s="5"/>
      <c r="G302" s="5"/>
      <c r="H302" s="5"/>
      <c r="I302" s="5"/>
      <c r="J302" s="5"/>
    </row>
    <row r="303" spans="1:10" x14ac:dyDescent="0.2">
      <c r="A303" s="5"/>
      <c r="B303" s="7" t="s">
        <v>85</v>
      </c>
      <c r="C303" s="5"/>
      <c r="D303" s="5"/>
      <c r="E303" s="5" t="s">
        <v>135</v>
      </c>
      <c r="F303" s="5"/>
      <c r="G303" s="5"/>
      <c r="H303" s="5"/>
      <c r="I303" s="5"/>
      <c r="J303" s="5"/>
    </row>
    <row r="304" spans="1:10" x14ac:dyDescent="0.2">
      <c r="A304" s="5"/>
      <c r="B304" s="7" t="s">
        <v>86</v>
      </c>
      <c r="C304" s="5"/>
      <c r="D304" s="5"/>
      <c r="E304" s="5" t="s">
        <v>136</v>
      </c>
      <c r="F304" s="5"/>
      <c r="G304" s="5"/>
      <c r="H304" s="5"/>
      <c r="I304" s="5"/>
      <c r="J304" s="5"/>
    </row>
    <row r="305" spans="1:10" x14ac:dyDescent="0.2">
      <c r="A305" s="5"/>
      <c r="B305" s="7" t="s">
        <v>435</v>
      </c>
      <c r="C305" s="5"/>
      <c r="D305" s="5"/>
      <c r="E305" s="5" t="s">
        <v>137</v>
      </c>
      <c r="F305" s="5"/>
      <c r="G305" s="5"/>
      <c r="H305" s="5"/>
      <c r="I305" s="5"/>
      <c r="J305" s="5"/>
    </row>
    <row r="306" spans="1:10" x14ac:dyDescent="0.2">
      <c r="A306" s="5"/>
      <c r="B306" s="34" t="s">
        <v>43</v>
      </c>
      <c r="C306" s="5"/>
      <c r="D306" s="5"/>
      <c r="E306" s="5" t="s">
        <v>138</v>
      </c>
      <c r="F306" s="5"/>
      <c r="G306" s="5"/>
      <c r="H306" s="5"/>
      <c r="I306" s="5"/>
      <c r="J306" s="5"/>
    </row>
    <row r="307" spans="1:10" x14ac:dyDescent="0.2">
      <c r="A307" s="5"/>
      <c r="B307" s="34" t="s">
        <v>44</v>
      </c>
      <c r="C307" s="5"/>
      <c r="D307" s="5"/>
      <c r="E307" s="5" t="s">
        <v>139</v>
      </c>
      <c r="F307" s="5"/>
      <c r="G307" s="5"/>
      <c r="H307" s="5"/>
      <c r="I307" s="5"/>
      <c r="J307" s="5"/>
    </row>
    <row r="308" spans="1:10" x14ac:dyDescent="0.2">
      <c r="A308" s="5"/>
      <c r="B308" s="34" t="s">
        <v>45</v>
      </c>
      <c r="C308" s="5"/>
      <c r="D308" s="5"/>
      <c r="E308" s="5" t="s">
        <v>140</v>
      </c>
      <c r="F308" s="5"/>
      <c r="G308" s="5"/>
      <c r="H308" s="5"/>
      <c r="I308" s="5"/>
      <c r="J308" s="5"/>
    </row>
    <row r="309" spans="1:10" x14ac:dyDescent="0.2">
      <c r="A309" s="5"/>
      <c r="B309" s="34" t="s">
        <v>46</v>
      </c>
      <c r="C309" s="5"/>
      <c r="D309" s="5"/>
      <c r="E309" s="5" t="s">
        <v>141</v>
      </c>
      <c r="F309" s="5"/>
      <c r="G309" s="5"/>
      <c r="H309" s="5"/>
      <c r="I309" s="5"/>
      <c r="J309" s="5"/>
    </row>
    <row r="310" spans="1:10" x14ac:dyDescent="0.2">
      <c r="A310" s="5"/>
      <c r="B310" s="34" t="s">
        <v>47</v>
      </c>
      <c r="C310" s="5"/>
      <c r="D310" s="5"/>
      <c r="E310" s="5" t="s">
        <v>142</v>
      </c>
      <c r="F310" s="5"/>
      <c r="G310" s="5"/>
      <c r="H310" s="5"/>
      <c r="I310" s="5"/>
      <c r="J310" s="5"/>
    </row>
    <row r="311" spans="1:10" x14ac:dyDescent="0.2">
      <c r="A311" s="5"/>
      <c r="B311" s="34" t="s">
        <v>48</v>
      </c>
      <c r="C311" s="5"/>
      <c r="D311" s="5"/>
      <c r="E311" s="5" t="s">
        <v>143</v>
      </c>
      <c r="F311" s="5"/>
      <c r="G311" s="5"/>
      <c r="H311" s="5"/>
      <c r="I311" s="5"/>
      <c r="J311" s="5"/>
    </row>
    <row r="312" spans="1:10" x14ac:dyDescent="0.2">
      <c r="A312" s="5"/>
      <c r="B312" s="34" t="s">
        <v>780</v>
      </c>
      <c r="C312" s="5"/>
      <c r="D312" s="5"/>
      <c r="E312" s="5" t="s">
        <v>144</v>
      </c>
      <c r="F312" s="5"/>
      <c r="G312" s="5"/>
      <c r="H312" s="5"/>
      <c r="I312" s="5"/>
      <c r="J312" s="5"/>
    </row>
    <row r="313" spans="1:10" x14ac:dyDescent="0.2">
      <c r="A313" s="5"/>
      <c r="B313" s="34" t="s">
        <v>49</v>
      </c>
      <c r="C313" s="5"/>
      <c r="D313" s="5"/>
      <c r="E313" s="5" t="s">
        <v>145</v>
      </c>
      <c r="F313" s="5"/>
      <c r="G313" s="5"/>
      <c r="H313" s="5"/>
      <c r="I313" s="5"/>
      <c r="J313" s="5"/>
    </row>
    <row r="314" spans="1:10" x14ac:dyDescent="0.2">
      <c r="A314" s="5"/>
      <c r="B314" s="7" t="s">
        <v>87</v>
      </c>
      <c r="C314" s="5"/>
      <c r="D314" s="5"/>
      <c r="E314" s="5" t="s">
        <v>146</v>
      </c>
      <c r="F314" s="5"/>
      <c r="G314" s="5"/>
      <c r="H314" s="5"/>
      <c r="I314" s="5"/>
      <c r="J314" s="5"/>
    </row>
    <row r="315" spans="1:10" x14ac:dyDescent="0.2">
      <c r="A315" s="5"/>
      <c r="B315" s="7" t="s">
        <v>88</v>
      </c>
      <c r="C315" s="5"/>
      <c r="D315" s="5"/>
      <c r="E315" s="5" t="s">
        <v>147</v>
      </c>
      <c r="F315" s="5"/>
      <c r="G315" s="5"/>
      <c r="H315" s="5"/>
      <c r="I315" s="5"/>
      <c r="J315" s="5"/>
    </row>
    <row r="316" spans="1:10" x14ac:dyDescent="0.2">
      <c r="A316" s="5"/>
      <c r="B316" s="7" t="s">
        <v>89</v>
      </c>
      <c r="C316" s="5"/>
      <c r="D316" s="5"/>
      <c r="E316" s="5" t="s">
        <v>148</v>
      </c>
      <c r="F316" s="5"/>
      <c r="G316" s="5"/>
      <c r="H316" s="5"/>
      <c r="I316" s="5"/>
      <c r="J316" s="5"/>
    </row>
    <row r="317" spans="1:10" x14ac:dyDescent="0.2">
      <c r="A317" s="5"/>
      <c r="B317" s="7" t="s">
        <v>90</v>
      </c>
      <c r="C317" s="5"/>
      <c r="D317" s="5"/>
      <c r="E317" s="5" t="s">
        <v>149</v>
      </c>
      <c r="F317" s="5"/>
      <c r="G317" s="5"/>
      <c r="H317" s="5"/>
      <c r="I317" s="5"/>
      <c r="J317" s="5"/>
    </row>
    <row r="318" spans="1:10" x14ac:dyDescent="0.2">
      <c r="A318" s="5"/>
      <c r="B318" s="7" t="s">
        <v>91</v>
      </c>
      <c r="C318" s="5"/>
      <c r="D318" s="5"/>
      <c r="E318" s="5" t="s">
        <v>150</v>
      </c>
      <c r="F318" s="5"/>
      <c r="G318" s="5"/>
      <c r="H318" s="5"/>
      <c r="I318" s="5"/>
      <c r="J318" s="5"/>
    </row>
    <row r="319" spans="1:10" x14ac:dyDescent="0.2">
      <c r="A319" s="5"/>
      <c r="B319" s="7" t="s">
        <v>92</v>
      </c>
      <c r="C319" s="5"/>
      <c r="D319" s="5"/>
      <c r="E319" s="5" t="s">
        <v>151</v>
      </c>
      <c r="F319" s="5"/>
      <c r="G319" s="5"/>
      <c r="H319" s="5"/>
      <c r="I319" s="5"/>
      <c r="J319" s="5"/>
    </row>
    <row r="320" spans="1:10" x14ac:dyDescent="0.2">
      <c r="A320" s="5"/>
      <c r="B320" s="7" t="s">
        <v>93</v>
      </c>
      <c r="C320" s="5"/>
      <c r="D320" s="5"/>
      <c r="E320" s="5" t="s">
        <v>152</v>
      </c>
      <c r="F320" s="5"/>
      <c r="G320" s="5"/>
      <c r="H320" s="5"/>
      <c r="I320" s="5"/>
      <c r="J320" s="5"/>
    </row>
    <row r="321" spans="1:10" x14ac:dyDescent="0.2">
      <c r="A321" s="5"/>
      <c r="B321" s="34" t="s">
        <v>50</v>
      </c>
      <c r="C321" s="5"/>
      <c r="D321" s="5"/>
      <c r="E321" s="5" t="s">
        <v>153</v>
      </c>
      <c r="F321" s="5"/>
      <c r="G321" s="5"/>
      <c r="H321" s="5"/>
      <c r="I321" s="5"/>
      <c r="J321" s="5"/>
    </row>
    <row r="322" spans="1:10" x14ac:dyDescent="0.2">
      <c r="A322" s="5"/>
      <c r="B322" s="34" t="s">
        <v>51</v>
      </c>
      <c r="C322" s="5"/>
      <c r="D322" s="5"/>
      <c r="E322" s="5" t="s">
        <v>154</v>
      </c>
      <c r="F322" s="5"/>
      <c r="G322" s="5"/>
      <c r="H322" s="5"/>
      <c r="I322" s="5"/>
      <c r="J322" s="5"/>
    </row>
    <row r="323" spans="1:10" x14ac:dyDescent="0.2">
      <c r="A323" s="5"/>
      <c r="B323" s="34" t="s">
        <v>52</v>
      </c>
      <c r="C323" s="5"/>
      <c r="D323" s="5"/>
      <c r="E323" s="5" t="s">
        <v>155</v>
      </c>
      <c r="F323" s="5"/>
      <c r="G323" s="5"/>
      <c r="H323" s="5"/>
      <c r="I323" s="5"/>
      <c r="J323" s="5"/>
    </row>
    <row r="324" spans="1:10" x14ac:dyDescent="0.2">
      <c r="A324" s="5"/>
      <c r="B324" s="34" t="s">
        <v>94</v>
      </c>
      <c r="C324" s="5"/>
      <c r="D324" s="5"/>
      <c r="E324" s="5" t="s">
        <v>156</v>
      </c>
      <c r="F324" s="5"/>
      <c r="G324" s="5"/>
      <c r="H324" s="5"/>
      <c r="I324" s="5"/>
      <c r="J324" s="5"/>
    </row>
    <row r="325" spans="1:10" x14ac:dyDescent="0.2">
      <c r="A325" s="5"/>
      <c r="B325" s="34" t="s">
        <v>95</v>
      </c>
      <c r="C325" s="5"/>
      <c r="D325" s="5"/>
      <c r="E325" s="5" t="s">
        <v>157</v>
      </c>
      <c r="F325" s="5"/>
      <c r="G325" s="5"/>
      <c r="H325" s="5"/>
      <c r="I325" s="5"/>
      <c r="J325" s="5"/>
    </row>
    <row r="326" spans="1:10" x14ac:dyDescent="0.2">
      <c r="A326" s="5"/>
      <c r="B326" s="34" t="s">
        <v>96</v>
      </c>
      <c r="C326" s="5"/>
      <c r="D326" s="5"/>
      <c r="E326" s="5" t="s">
        <v>158</v>
      </c>
      <c r="F326" s="5"/>
      <c r="G326" s="5"/>
      <c r="H326" s="5"/>
      <c r="I326" s="5"/>
      <c r="J326" s="5"/>
    </row>
    <row r="327" spans="1:10" x14ac:dyDescent="0.2">
      <c r="A327" s="5"/>
      <c r="B327" s="34" t="s">
        <v>97</v>
      </c>
      <c r="C327" s="5"/>
      <c r="D327" s="5"/>
      <c r="E327" s="5" t="s">
        <v>159</v>
      </c>
      <c r="F327" s="5"/>
      <c r="G327" s="5"/>
      <c r="H327" s="5"/>
      <c r="I327" s="5"/>
      <c r="J327" s="5"/>
    </row>
    <row r="328" spans="1:10" x14ac:dyDescent="0.2">
      <c r="A328" s="5"/>
      <c r="B328" s="7" t="s">
        <v>98</v>
      </c>
      <c r="C328" s="5"/>
      <c r="D328" s="5"/>
      <c r="E328" s="5" t="s">
        <v>160</v>
      </c>
      <c r="F328" s="5"/>
      <c r="G328" s="5"/>
      <c r="H328" s="5"/>
      <c r="I328" s="5"/>
      <c r="J328" s="5"/>
    </row>
    <row r="329" spans="1:10" x14ac:dyDescent="0.2">
      <c r="A329" s="5"/>
      <c r="B329" s="34" t="s">
        <v>53</v>
      </c>
      <c r="C329" s="5"/>
      <c r="D329" s="5"/>
      <c r="E329" s="5" t="s">
        <v>161</v>
      </c>
      <c r="F329" s="5"/>
      <c r="G329" s="5"/>
      <c r="H329" s="5"/>
      <c r="I329" s="5"/>
      <c r="J329" s="5"/>
    </row>
    <row r="330" spans="1:10" x14ac:dyDescent="0.2">
      <c r="A330" s="5"/>
      <c r="B330" s="7" t="s">
        <v>54</v>
      </c>
      <c r="C330" s="5"/>
      <c r="D330" s="5"/>
      <c r="E330" s="5" t="s">
        <v>162</v>
      </c>
      <c r="F330" s="5"/>
      <c r="G330" s="5"/>
      <c r="H330" s="5"/>
      <c r="I330" s="5"/>
      <c r="J330" s="5"/>
    </row>
    <row r="331" spans="1:10" x14ac:dyDescent="0.2">
      <c r="A331" s="5"/>
      <c r="B331" s="7" t="s">
        <v>55</v>
      </c>
      <c r="C331" s="5"/>
      <c r="D331" s="5"/>
      <c r="E331" s="5" t="s">
        <v>163</v>
      </c>
      <c r="F331" s="5"/>
      <c r="G331" s="5"/>
      <c r="H331" s="5"/>
      <c r="I331" s="5"/>
      <c r="J331" s="5"/>
    </row>
    <row r="332" spans="1:10" x14ac:dyDescent="0.2">
      <c r="A332" s="5"/>
      <c r="B332" s="7" t="s">
        <v>56</v>
      </c>
      <c r="C332" s="5"/>
      <c r="D332" s="5"/>
      <c r="E332" s="5" t="s">
        <v>164</v>
      </c>
      <c r="F332" s="5"/>
      <c r="G332" s="5"/>
      <c r="H332" s="5"/>
      <c r="I332" s="5"/>
      <c r="J332" s="5"/>
    </row>
    <row r="333" spans="1:10" x14ac:dyDescent="0.2">
      <c r="A333" s="5"/>
      <c r="B333" s="8" t="s">
        <v>436</v>
      </c>
      <c r="C333" s="5"/>
      <c r="D333" s="5"/>
      <c r="E333" s="5" t="s">
        <v>165</v>
      </c>
      <c r="F333" s="5"/>
      <c r="G333" s="5"/>
      <c r="H333" s="5"/>
      <c r="I333" s="5"/>
      <c r="J333" s="5"/>
    </row>
    <row r="334" spans="1:10" x14ac:dyDescent="0.2">
      <c r="A334" s="5"/>
      <c r="B334" s="12"/>
      <c r="C334" s="5"/>
      <c r="D334" s="5"/>
      <c r="E334" s="5" t="s">
        <v>166</v>
      </c>
      <c r="F334" s="5"/>
      <c r="G334" s="5"/>
      <c r="H334" s="5"/>
      <c r="I334" s="5"/>
      <c r="J334" s="5"/>
    </row>
    <row r="335" spans="1:10" x14ac:dyDescent="0.2">
      <c r="A335" s="5"/>
      <c r="B335" s="12"/>
      <c r="C335" s="5"/>
      <c r="D335" s="5"/>
      <c r="E335" s="5" t="s">
        <v>167</v>
      </c>
      <c r="F335" s="5"/>
      <c r="G335" s="5"/>
      <c r="H335" s="5"/>
      <c r="I335" s="5"/>
      <c r="J335" s="5"/>
    </row>
    <row r="336" spans="1:10" x14ac:dyDescent="0.2">
      <c r="A336" s="5"/>
      <c r="B336" s="12"/>
      <c r="C336" s="5"/>
      <c r="D336" s="5"/>
      <c r="E336" s="5" t="s">
        <v>168</v>
      </c>
      <c r="F336" s="5"/>
      <c r="G336" s="5"/>
      <c r="H336" s="5"/>
      <c r="I336" s="5"/>
      <c r="J336" s="5"/>
    </row>
    <row r="337" spans="1:10" x14ac:dyDescent="0.2">
      <c r="A337" s="5"/>
      <c r="B337" s="12"/>
      <c r="C337" s="5"/>
      <c r="D337" s="5"/>
      <c r="E337" s="5" t="s">
        <v>169</v>
      </c>
      <c r="F337" s="5"/>
      <c r="G337" s="5"/>
      <c r="H337" s="5"/>
      <c r="I337" s="5"/>
      <c r="J337" s="5"/>
    </row>
    <row r="338" spans="1:10" x14ac:dyDescent="0.2">
      <c r="A338" s="5"/>
      <c r="B338" s="12"/>
      <c r="C338" s="5"/>
      <c r="D338" s="5"/>
      <c r="E338" s="5" t="s">
        <v>170</v>
      </c>
      <c r="F338" s="5"/>
      <c r="G338" s="5"/>
      <c r="H338" s="5"/>
      <c r="I338" s="5"/>
      <c r="J338" s="5"/>
    </row>
    <row r="339" spans="1:10" x14ac:dyDescent="0.2">
      <c r="A339" s="5"/>
      <c r="B339" s="12"/>
      <c r="C339" s="5"/>
      <c r="D339" s="5"/>
      <c r="E339" s="5" t="s">
        <v>171</v>
      </c>
      <c r="F339" s="5"/>
      <c r="G339" s="5"/>
      <c r="H339" s="5"/>
      <c r="I339" s="5"/>
      <c r="J339" s="5"/>
    </row>
    <row r="340" spans="1:10" x14ac:dyDescent="0.2">
      <c r="A340" s="5"/>
      <c r="B340" s="12"/>
      <c r="C340" s="5"/>
      <c r="D340" s="5"/>
      <c r="E340" s="5" t="s">
        <v>172</v>
      </c>
      <c r="F340" s="5"/>
      <c r="G340" s="5"/>
      <c r="H340" s="5"/>
      <c r="I340" s="5"/>
      <c r="J340" s="5"/>
    </row>
    <row r="341" spans="1:10" x14ac:dyDescent="0.2">
      <c r="A341" s="5"/>
      <c r="B341" s="12"/>
      <c r="C341" s="5"/>
      <c r="D341" s="5"/>
      <c r="E341" s="5" t="s">
        <v>173</v>
      </c>
      <c r="F341" s="5"/>
      <c r="G341" s="5"/>
      <c r="H341" s="5"/>
      <c r="I341" s="5"/>
      <c r="J341" s="5"/>
    </row>
    <row r="342" spans="1:10" x14ac:dyDescent="0.2">
      <c r="A342" s="5"/>
      <c r="B342" s="12"/>
      <c r="C342" s="5"/>
      <c r="D342" s="5"/>
      <c r="E342" s="5" t="s">
        <v>174</v>
      </c>
      <c r="F342" s="5"/>
      <c r="G342" s="5"/>
      <c r="H342" s="5"/>
      <c r="I342" s="5"/>
      <c r="J342" s="5"/>
    </row>
    <row r="343" spans="1:10" x14ac:dyDescent="0.2">
      <c r="A343" s="5"/>
      <c r="C343" s="5"/>
      <c r="D343" s="5"/>
      <c r="E343" s="5" t="s">
        <v>175</v>
      </c>
      <c r="F343" s="5"/>
      <c r="G343" s="5"/>
      <c r="H343" s="5"/>
      <c r="I343" s="5"/>
      <c r="J343" s="5"/>
    </row>
    <row r="344" spans="1:10" x14ac:dyDescent="0.2">
      <c r="A344" s="5"/>
      <c r="C344" s="5"/>
      <c r="D344" s="5"/>
      <c r="E344" s="5" t="s">
        <v>176</v>
      </c>
      <c r="F344" s="5"/>
      <c r="G344" s="5"/>
      <c r="H344" s="5"/>
      <c r="I344" s="5"/>
      <c r="J344" s="5"/>
    </row>
    <row r="345" spans="1:10" x14ac:dyDescent="0.2">
      <c r="A345" s="5"/>
      <c r="C345" s="5"/>
      <c r="D345" s="5"/>
      <c r="E345" s="5" t="s">
        <v>177</v>
      </c>
      <c r="F345" s="5"/>
      <c r="G345" s="5"/>
      <c r="H345" s="5"/>
      <c r="I345" s="5"/>
      <c r="J345" s="5"/>
    </row>
    <row r="346" spans="1:10" x14ac:dyDescent="0.2">
      <c r="A346" s="5"/>
      <c r="C346" s="5"/>
      <c r="D346" s="5"/>
      <c r="E346" s="5" t="s">
        <v>178</v>
      </c>
      <c r="F346" s="5"/>
      <c r="G346" s="5"/>
      <c r="H346" s="5"/>
      <c r="I346" s="5"/>
      <c r="J346" s="5"/>
    </row>
    <row r="347" spans="1:10" x14ac:dyDescent="0.2">
      <c r="A347" s="5"/>
      <c r="C347" s="5"/>
      <c r="D347" s="5"/>
      <c r="E347" s="5" t="s">
        <v>179</v>
      </c>
      <c r="F347" s="5"/>
      <c r="G347" s="5"/>
      <c r="H347" s="5"/>
      <c r="I347" s="5"/>
      <c r="J347" s="5"/>
    </row>
    <row r="348" spans="1:10" x14ac:dyDescent="0.2">
      <c r="A348" s="5"/>
      <c r="C348" s="5"/>
      <c r="D348" s="5"/>
      <c r="E348" s="5" t="s">
        <v>180</v>
      </c>
      <c r="F348" s="5"/>
      <c r="G348" s="5"/>
      <c r="H348" s="5"/>
      <c r="I348" s="5"/>
      <c r="J348" s="5"/>
    </row>
    <row r="349" spans="1:10" x14ac:dyDescent="0.2">
      <c r="A349" s="5"/>
      <c r="C349" s="5"/>
      <c r="D349" s="5"/>
      <c r="E349" s="5" t="s">
        <v>181</v>
      </c>
      <c r="F349" s="5"/>
      <c r="G349" s="5"/>
      <c r="H349" s="5"/>
      <c r="I349" s="5"/>
      <c r="J349" s="5"/>
    </row>
    <row r="350" spans="1:10" x14ac:dyDescent="0.2">
      <c r="A350" s="5"/>
      <c r="B350" s="32"/>
      <c r="C350" s="5"/>
      <c r="D350" s="5"/>
      <c r="E350" s="5" t="s">
        <v>182</v>
      </c>
      <c r="F350" s="5"/>
      <c r="G350" s="5"/>
      <c r="H350" s="5"/>
      <c r="I350" s="5"/>
      <c r="J350" s="5"/>
    </row>
    <row r="351" spans="1:10" x14ac:dyDescent="0.2">
      <c r="A351" s="5"/>
      <c r="B351" s="32"/>
      <c r="C351" s="5"/>
      <c r="D351" s="5"/>
      <c r="E351" s="5" t="s">
        <v>183</v>
      </c>
      <c r="F351" s="5"/>
      <c r="G351" s="5"/>
      <c r="H351" s="5"/>
      <c r="I351" s="5"/>
      <c r="J351" s="5"/>
    </row>
    <row r="352" spans="1:10" x14ac:dyDescent="0.2">
      <c r="A352" s="5"/>
      <c r="B352" s="32"/>
      <c r="C352" s="5"/>
      <c r="D352" s="5"/>
      <c r="E352" s="5" t="s">
        <v>184</v>
      </c>
      <c r="F352" s="5"/>
      <c r="G352" s="5"/>
      <c r="H352" s="5"/>
      <c r="I352" s="5"/>
      <c r="J352" s="5"/>
    </row>
    <row r="353" spans="1:10" x14ac:dyDescent="0.2">
      <c r="A353" s="5"/>
      <c r="B353" s="32"/>
      <c r="C353" s="5"/>
      <c r="D353" s="5"/>
      <c r="E353" s="5" t="s">
        <v>185</v>
      </c>
      <c r="F353" s="5"/>
      <c r="G353" s="5"/>
      <c r="H353" s="5"/>
      <c r="I353" s="5"/>
      <c r="J353" s="5"/>
    </row>
    <row r="354" spans="1:10" x14ac:dyDescent="0.2">
      <c r="A354" s="5"/>
      <c r="B354" s="32"/>
      <c r="C354" s="5"/>
      <c r="D354" s="5"/>
      <c r="E354" s="5" t="s">
        <v>186</v>
      </c>
      <c r="F354" s="5"/>
      <c r="G354" s="5"/>
      <c r="H354" s="5"/>
      <c r="I354" s="5"/>
      <c r="J354" s="5"/>
    </row>
    <row r="355" spans="1:10" x14ac:dyDescent="0.2">
      <c r="A355" s="5"/>
      <c r="B355" s="32"/>
      <c r="C355" s="5"/>
      <c r="D355" s="5"/>
      <c r="E355" s="5" t="s">
        <v>187</v>
      </c>
      <c r="F355" s="5"/>
      <c r="G355" s="5"/>
      <c r="H355" s="5"/>
      <c r="I355" s="5"/>
      <c r="J355" s="5"/>
    </row>
    <row r="356" spans="1:10" x14ac:dyDescent="0.2">
      <c r="A356" s="5"/>
      <c r="B356" s="32"/>
      <c r="C356" s="5"/>
      <c r="D356" s="5"/>
      <c r="E356" s="5" t="s">
        <v>188</v>
      </c>
      <c r="F356" s="5"/>
      <c r="G356" s="5"/>
      <c r="H356" s="5"/>
      <c r="I356" s="5"/>
      <c r="J356" s="5"/>
    </row>
    <row r="357" spans="1:10" x14ac:dyDescent="0.2">
      <c r="A357" s="5"/>
      <c r="B357" s="32"/>
      <c r="C357" s="5"/>
      <c r="D357" s="5"/>
      <c r="E357" s="5" t="s">
        <v>189</v>
      </c>
      <c r="F357" s="5"/>
      <c r="G357" s="5"/>
      <c r="H357" s="5"/>
      <c r="I357" s="5"/>
      <c r="J357" s="5"/>
    </row>
    <row r="358" spans="1:10" x14ac:dyDescent="0.2">
      <c r="A358" s="5"/>
      <c r="B358" s="32"/>
      <c r="C358" s="5"/>
      <c r="D358" s="5"/>
      <c r="E358" s="5" t="s">
        <v>190</v>
      </c>
      <c r="F358" s="5"/>
      <c r="G358" s="5"/>
      <c r="H358" s="5"/>
      <c r="I358" s="5"/>
      <c r="J358" s="5"/>
    </row>
    <row r="359" spans="1:10" x14ac:dyDescent="0.2">
      <c r="A359" s="5"/>
      <c r="B359" s="32"/>
      <c r="C359" s="5"/>
      <c r="D359" s="5"/>
      <c r="E359" s="5" t="s">
        <v>191</v>
      </c>
      <c r="F359" s="5"/>
      <c r="G359" s="5"/>
      <c r="H359" s="5"/>
      <c r="I359" s="5"/>
      <c r="J359" s="5"/>
    </row>
    <row r="360" spans="1:10" x14ac:dyDescent="0.2">
      <c r="A360" s="5"/>
      <c r="B360" s="32"/>
      <c r="C360" s="5"/>
      <c r="D360" s="5"/>
      <c r="E360" s="5" t="s">
        <v>192</v>
      </c>
      <c r="F360" s="5"/>
      <c r="G360" s="5"/>
      <c r="H360" s="5"/>
      <c r="I360" s="5"/>
      <c r="J360" s="5"/>
    </row>
    <row r="361" spans="1:10" x14ac:dyDescent="0.2">
      <c r="A361" s="5"/>
      <c r="B361" s="32"/>
      <c r="C361" s="5"/>
      <c r="D361" s="5"/>
      <c r="E361" s="5" t="s">
        <v>193</v>
      </c>
      <c r="F361" s="5"/>
      <c r="G361" s="5"/>
      <c r="H361" s="5"/>
      <c r="I361" s="5"/>
      <c r="J361" s="5"/>
    </row>
    <row r="362" spans="1:10" x14ac:dyDescent="0.2">
      <c r="A362" s="5"/>
      <c r="B362" s="32"/>
      <c r="C362" s="5"/>
      <c r="D362" s="5"/>
      <c r="E362" s="5" t="s">
        <v>194</v>
      </c>
      <c r="F362" s="5"/>
      <c r="G362" s="5"/>
      <c r="H362" s="5"/>
      <c r="I362" s="5"/>
      <c r="J362" s="5"/>
    </row>
    <row r="363" spans="1:10" x14ac:dyDescent="0.2">
      <c r="A363" s="5"/>
      <c r="B363" s="32"/>
      <c r="C363" s="5"/>
      <c r="D363" s="5"/>
      <c r="E363" s="5" t="s">
        <v>195</v>
      </c>
      <c r="F363" s="5"/>
      <c r="G363" s="5"/>
      <c r="H363" s="5"/>
      <c r="I363" s="5"/>
      <c r="J363" s="5"/>
    </row>
    <row r="364" spans="1:10" x14ac:dyDescent="0.2">
      <c r="A364" s="5"/>
      <c r="B364" s="32"/>
      <c r="C364" s="5"/>
      <c r="D364" s="5"/>
      <c r="E364" s="5" t="s">
        <v>196</v>
      </c>
      <c r="F364" s="5"/>
      <c r="G364" s="5"/>
      <c r="H364" s="5"/>
      <c r="I364" s="5"/>
      <c r="J364" s="5"/>
    </row>
    <row r="365" spans="1:10" x14ac:dyDescent="0.2">
      <c r="A365" s="5"/>
      <c r="B365" s="32"/>
      <c r="C365" s="5"/>
      <c r="D365" s="5"/>
      <c r="E365" s="5" t="s">
        <v>197</v>
      </c>
      <c r="F365" s="5"/>
      <c r="G365" s="5"/>
      <c r="H365" s="5"/>
      <c r="I365" s="5"/>
      <c r="J365" s="5"/>
    </row>
    <row r="366" spans="1:10" x14ac:dyDescent="0.2">
      <c r="A366" s="5"/>
      <c r="B366" s="5"/>
      <c r="C366" s="5"/>
      <c r="D366" s="5"/>
      <c r="E366" s="5" t="s">
        <v>198</v>
      </c>
      <c r="F366" s="5"/>
      <c r="G366" s="5"/>
      <c r="H366" s="5"/>
      <c r="I366" s="5"/>
      <c r="J366" s="5"/>
    </row>
    <row r="367" spans="1:10" x14ac:dyDescent="0.2">
      <c r="A367" s="5"/>
      <c r="B367" s="227" t="s">
        <v>406</v>
      </c>
      <c r="C367" s="5"/>
      <c r="D367" s="5"/>
      <c r="E367" s="5" t="s">
        <v>199</v>
      </c>
      <c r="F367" s="5"/>
      <c r="G367" s="5"/>
      <c r="H367" s="5"/>
      <c r="I367" s="5"/>
      <c r="J367" s="5"/>
    </row>
    <row r="368" spans="1:10" x14ac:dyDescent="0.2">
      <c r="A368" s="5"/>
      <c r="B368" s="227" t="s">
        <v>407</v>
      </c>
      <c r="C368" s="5"/>
      <c r="D368" s="5"/>
      <c r="E368" s="5" t="s">
        <v>200</v>
      </c>
      <c r="F368" s="5"/>
      <c r="G368" s="5"/>
      <c r="H368" s="5"/>
      <c r="I368" s="5"/>
      <c r="J368" s="5"/>
    </row>
    <row r="369" spans="1:10" x14ac:dyDescent="0.2">
      <c r="A369" s="5"/>
      <c r="B369" s="227" t="s">
        <v>487</v>
      </c>
      <c r="C369" s="5"/>
      <c r="D369" s="5"/>
      <c r="E369" s="5" t="s">
        <v>201</v>
      </c>
      <c r="F369" s="5"/>
      <c r="G369" s="5"/>
      <c r="H369" s="5"/>
      <c r="I369" s="5"/>
      <c r="J369" s="5"/>
    </row>
    <row r="370" spans="1:10" x14ac:dyDescent="0.2">
      <c r="A370" s="5"/>
      <c r="B370" s="227" t="s">
        <v>488</v>
      </c>
      <c r="C370" s="5"/>
      <c r="D370" s="5"/>
      <c r="E370" s="5" t="s">
        <v>202</v>
      </c>
      <c r="F370" s="5"/>
      <c r="G370" s="5"/>
      <c r="H370" s="5"/>
      <c r="I370" s="5"/>
      <c r="J370" s="5"/>
    </row>
    <row r="371" spans="1:10" x14ac:dyDescent="0.2">
      <c r="A371" s="5"/>
      <c r="B371" s="160" t="s">
        <v>489</v>
      </c>
      <c r="C371" s="5"/>
      <c r="D371" s="5"/>
      <c r="E371" s="5" t="s">
        <v>203</v>
      </c>
      <c r="F371" s="5"/>
      <c r="G371" s="5"/>
      <c r="H371" s="5"/>
      <c r="I371" s="5"/>
      <c r="J371" s="5"/>
    </row>
    <row r="372" spans="1:10" x14ac:dyDescent="0.2">
      <c r="A372" s="5"/>
      <c r="B372" s="160" t="s">
        <v>408</v>
      </c>
      <c r="C372" s="5"/>
      <c r="D372" s="5"/>
      <c r="E372" s="5"/>
      <c r="F372" s="5"/>
      <c r="G372" s="5"/>
      <c r="H372" s="5"/>
      <c r="I372" s="5"/>
      <c r="J372" s="5"/>
    </row>
    <row r="373" spans="1:10" x14ac:dyDescent="0.2">
      <c r="A373" s="5"/>
      <c r="B373" s="227" t="s">
        <v>409</v>
      </c>
      <c r="C373" s="5"/>
      <c r="D373" s="5"/>
      <c r="E373" s="5"/>
      <c r="F373" s="5"/>
      <c r="G373" s="5"/>
      <c r="H373" s="5"/>
      <c r="I373" s="5"/>
      <c r="J373" s="5"/>
    </row>
    <row r="374" spans="1:10" x14ac:dyDescent="0.2">
      <c r="A374" s="5"/>
      <c r="B374" s="227" t="s">
        <v>490</v>
      </c>
      <c r="C374" s="5"/>
      <c r="D374" s="5"/>
      <c r="E374" s="5"/>
      <c r="F374" s="5"/>
      <c r="G374" s="5"/>
      <c r="H374" s="5"/>
      <c r="I374" s="5"/>
      <c r="J374" s="5"/>
    </row>
    <row r="375" spans="1:10" x14ac:dyDescent="0.2">
      <c r="A375" s="5"/>
      <c r="B375" s="160" t="s">
        <v>489</v>
      </c>
      <c r="C375" s="5"/>
      <c r="D375" s="5"/>
      <c r="E375" s="5"/>
      <c r="F375" s="5"/>
      <c r="G375" s="5"/>
      <c r="H375" s="5"/>
      <c r="I375" s="5"/>
      <c r="J375" s="5"/>
    </row>
    <row r="376" spans="1:10" x14ac:dyDescent="0.2">
      <c r="A376" s="5"/>
      <c r="B376" s="160" t="s">
        <v>408</v>
      </c>
      <c r="C376" s="5"/>
      <c r="D376" s="5"/>
      <c r="E376" s="5"/>
      <c r="F376" s="5"/>
      <c r="G376" s="5"/>
      <c r="H376" s="5"/>
      <c r="I376" s="5"/>
      <c r="J376" s="5"/>
    </row>
    <row r="377" spans="1:10" x14ac:dyDescent="0.2">
      <c r="A377" s="5"/>
      <c r="B377" s="160" t="s">
        <v>410</v>
      </c>
      <c r="C377" s="5"/>
      <c r="D377" s="5"/>
      <c r="E377" s="5"/>
      <c r="F377" s="5"/>
      <c r="G377" s="5"/>
      <c r="H377" s="5"/>
      <c r="I377" s="5"/>
      <c r="J377" s="5"/>
    </row>
    <row r="378" spans="1:10" x14ac:dyDescent="0.2">
      <c r="A378" s="5"/>
      <c r="B378" s="160" t="s">
        <v>413</v>
      </c>
      <c r="C378" s="5"/>
      <c r="D378" s="5"/>
      <c r="E378" s="5"/>
      <c r="F378" s="5"/>
      <c r="G378" s="5"/>
      <c r="H378" s="5"/>
      <c r="I378" s="5"/>
      <c r="J378" s="5"/>
    </row>
    <row r="379" spans="1:10" x14ac:dyDescent="0.2">
      <c r="A379" s="5"/>
      <c r="B379" s="5"/>
      <c r="C379" s="5"/>
      <c r="D379" s="5"/>
      <c r="E379" s="5"/>
      <c r="F379" s="5"/>
      <c r="G379" s="5"/>
      <c r="H379" s="5"/>
      <c r="I379" s="5"/>
      <c r="J379" s="5"/>
    </row>
    <row r="380" spans="1:10" x14ac:dyDescent="0.2">
      <c r="A380" s="5"/>
      <c r="B380" s="5"/>
      <c r="C380" s="5"/>
      <c r="D380" s="5"/>
      <c r="E380" s="5"/>
      <c r="F380" s="5"/>
      <c r="G380" s="5"/>
      <c r="H380" s="5"/>
      <c r="I380" s="5"/>
      <c r="J380" s="5"/>
    </row>
    <row r="381" spans="1:10" x14ac:dyDescent="0.2">
      <c r="A381" s="5"/>
      <c r="B381" s="5"/>
      <c r="C381" s="5"/>
      <c r="D381" s="5"/>
      <c r="E381" s="5"/>
      <c r="F381" s="5"/>
      <c r="G381" s="5"/>
      <c r="H381" s="5"/>
      <c r="I381" s="5"/>
      <c r="J381" s="5"/>
    </row>
    <row r="382" spans="1:10" x14ac:dyDescent="0.2">
      <c r="A382" s="5"/>
      <c r="B382" s="5"/>
      <c r="C382" s="5"/>
      <c r="D382" s="5"/>
      <c r="E382" s="5"/>
      <c r="F382" s="5"/>
      <c r="G382" s="5"/>
      <c r="H382" s="5"/>
      <c r="I382" s="5"/>
      <c r="J382" s="5"/>
    </row>
    <row r="383" spans="1:10" x14ac:dyDescent="0.2">
      <c r="A383" s="5"/>
      <c r="B383" s="5"/>
      <c r="C383" s="5"/>
      <c r="D383" s="5"/>
      <c r="E383" s="5"/>
      <c r="F383" s="5"/>
      <c r="G383" s="5"/>
      <c r="H383" s="5"/>
      <c r="I383" s="5"/>
      <c r="J383" s="5"/>
    </row>
    <row r="384" spans="1:10" x14ac:dyDescent="0.2">
      <c r="A384" s="5"/>
      <c r="B384" s="5"/>
      <c r="C384" s="5"/>
      <c r="D384" s="5"/>
      <c r="E384" s="5"/>
      <c r="F384" s="5"/>
      <c r="G384" s="5"/>
      <c r="H384" s="5"/>
      <c r="I384" s="5"/>
      <c r="J384" s="5"/>
    </row>
    <row r="385" spans="1:10" x14ac:dyDescent="0.2">
      <c r="A385" s="5"/>
      <c r="B385" s="50"/>
      <c r="C385" s="5"/>
      <c r="D385" s="5"/>
      <c r="E385" s="5"/>
      <c r="F385" s="5"/>
      <c r="G385" s="5"/>
      <c r="H385" s="5"/>
      <c r="I385" s="5"/>
      <c r="J385" s="5"/>
    </row>
    <row r="386" spans="1:10" x14ac:dyDescent="0.2">
      <c r="A386" s="5"/>
      <c r="B386" s="22"/>
      <c r="C386" s="5"/>
      <c r="D386" s="5"/>
      <c r="E386" s="5"/>
      <c r="F386" s="5"/>
      <c r="G386" s="5"/>
      <c r="H386" s="5"/>
      <c r="I386" s="5"/>
      <c r="J386" s="5"/>
    </row>
    <row r="387" spans="1:10" x14ac:dyDescent="0.2">
      <c r="A387" s="5"/>
      <c r="B387" s="22"/>
      <c r="C387" s="5"/>
      <c r="D387" s="5"/>
      <c r="E387" s="5"/>
      <c r="F387" s="5"/>
      <c r="G387" s="5"/>
      <c r="H387" s="5"/>
      <c r="I387" s="5"/>
      <c r="J387" s="5"/>
    </row>
    <row r="388" spans="1:10" x14ac:dyDescent="0.2">
      <c r="A388" s="5"/>
      <c r="B388" s="5"/>
      <c r="C388" s="5"/>
      <c r="D388" s="5"/>
      <c r="E388" s="5"/>
      <c r="F388" s="5"/>
      <c r="G388" s="5"/>
      <c r="H388" s="5"/>
      <c r="I388" s="5"/>
      <c r="J388" s="5"/>
    </row>
    <row r="389" spans="1:10" x14ac:dyDescent="0.2">
      <c r="A389" s="5"/>
      <c r="B389" s="5"/>
      <c r="C389" s="5"/>
      <c r="D389" s="5"/>
      <c r="E389" s="5"/>
      <c r="F389" s="5"/>
      <c r="G389" s="5"/>
      <c r="H389" s="5"/>
      <c r="I389" s="5"/>
      <c r="J389" s="5"/>
    </row>
    <row r="390" spans="1:10" x14ac:dyDescent="0.2">
      <c r="A390" s="5"/>
      <c r="B390" s="5"/>
      <c r="C390" s="5"/>
      <c r="D390" s="5"/>
      <c r="E390" s="5"/>
      <c r="F390" s="5"/>
      <c r="G390" s="5"/>
      <c r="H390" s="5"/>
      <c r="I390" s="5"/>
      <c r="J390" s="5"/>
    </row>
    <row r="391" spans="1:10" x14ac:dyDescent="0.2">
      <c r="A391" s="5"/>
      <c r="B391" s="5"/>
      <c r="C391" s="5"/>
      <c r="D391" s="5"/>
      <c r="E391" s="5"/>
      <c r="F391" s="5"/>
      <c r="G391" s="5"/>
      <c r="H391" s="5"/>
      <c r="I391" s="5"/>
      <c r="J391" s="5"/>
    </row>
    <row r="392" spans="1:10" x14ac:dyDescent="0.2">
      <c r="A392" s="5"/>
      <c r="B392" s="5"/>
      <c r="C392" s="5"/>
      <c r="D392" s="5"/>
      <c r="E392" s="5"/>
      <c r="F392" s="5"/>
      <c r="G392" s="5"/>
      <c r="H392" s="5"/>
      <c r="I392" s="5"/>
      <c r="J392" s="5"/>
    </row>
    <row r="393" spans="1:10" x14ac:dyDescent="0.2">
      <c r="A393" s="5"/>
      <c r="B393" s="5"/>
      <c r="C393" s="5"/>
      <c r="D393" s="5"/>
      <c r="E393" s="5"/>
      <c r="F393" s="5"/>
      <c r="G393" s="5"/>
      <c r="H393" s="5"/>
      <c r="I393" s="5"/>
      <c r="J393" s="5"/>
    </row>
    <row r="394" spans="1:10" x14ac:dyDescent="0.2">
      <c r="A394" s="5"/>
      <c r="B394" s="5"/>
      <c r="C394" s="5"/>
      <c r="D394" s="5"/>
      <c r="E394" s="5"/>
      <c r="F394" s="5"/>
      <c r="G394" s="5"/>
      <c r="H394" s="5"/>
      <c r="I394" s="5"/>
      <c r="J394" s="5"/>
    </row>
    <row r="395" spans="1:10" x14ac:dyDescent="0.2">
      <c r="A395" s="5"/>
      <c r="B395" s="5"/>
      <c r="C395" s="5"/>
      <c r="D395" s="5"/>
      <c r="E395" s="5"/>
      <c r="F395" s="5"/>
      <c r="G395" s="5"/>
      <c r="H395" s="5"/>
      <c r="I395" s="5"/>
      <c r="J395" s="5"/>
    </row>
    <row r="396" spans="1:10" x14ac:dyDescent="0.2">
      <c r="A396" s="5"/>
      <c r="B396" s="5"/>
      <c r="C396" s="5"/>
      <c r="D396" s="5"/>
      <c r="E396" s="5"/>
      <c r="F396" s="5"/>
      <c r="G396" s="5"/>
      <c r="H396" s="5"/>
      <c r="I396" s="5"/>
      <c r="J396" s="5"/>
    </row>
    <row r="397" spans="1:10" x14ac:dyDescent="0.2">
      <c r="A397" s="5"/>
      <c r="B397" s="5"/>
      <c r="C397" s="5"/>
      <c r="D397" s="5"/>
      <c r="E397" s="5"/>
      <c r="F397" s="5"/>
      <c r="G397" s="5"/>
      <c r="H397" s="5"/>
      <c r="I397" s="5"/>
      <c r="J397" s="5"/>
    </row>
    <row r="398" spans="1:10" x14ac:dyDescent="0.2">
      <c r="A398" s="5"/>
      <c r="B398" s="5"/>
      <c r="C398" s="5"/>
      <c r="D398" s="5"/>
      <c r="E398" s="5"/>
      <c r="F398" s="5"/>
      <c r="G398" s="5"/>
      <c r="H398" s="5"/>
      <c r="I398" s="5"/>
      <c r="J398" s="5"/>
    </row>
    <row r="399" spans="1:10" x14ac:dyDescent="0.2">
      <c r="A399" s="5"/>
      <c r="B399" s="5"/>
      <c r="C399" s="5"/>
      <c r="D399" s="5"/>
      <c r="E399" s="5"/>
      <c r="F399" s="5"/>
      <c r="G399" s="5"/>
      <c r="H399" s="5"/>
      <c r="I399" s="5"/>
      <c r="J399" s="5"/>
    </row>
    <row r="400" spans="1:10" x14ac:dyDescent="0.2">
      <c r="A400" s="5"/>
      <c r="B400" s="243" t="s">
        <v>301</v>
      </c>
      <c r="C400" s="5"/>
      <c r="D400" s="5"/>
      <c r="E400" s="5"/>
      <c r="F400" s="5"/>
      <c r="G400" s="5"/>
      <c r="H400" s="5"/>
      <c r="I400" s="5"/>
      <c r="J400" s="5"/>
    </row>
    <row r="401" spans="1:10" x14ac:dyDescent="0.2">
      <c r="A401" s="5"/>
      <c r="B401" s="243" t="s">
        <v>302</v>
      </c>
      <c r="C401" s="5"/>
      <c r="D401" s="5"/>
      <c r="E401" s="5"/>
      <c r="F401" s="5"/>
      <c r="G401" s="5"/>
      <c r="H401" s="5"/>
      <c r="I401" s="5"/>
      <c r="J401" s="5"/>
    </row>
    <row r="402" spans="1:10" x14ac:dyDescent="0.2">
      <c r="A402" s="5"/>
      <c r="B402" s="243" t="s">
        <v>303</v>
      </c>
      <c r="C402" s="5"/>
      <c r="D402" s="5"/>
      <c r="E402" s="5"/>
      <c r="F402" s="5"/>
      <c r="G402" s="5"/>
      <c r="H402" s="5"/>
      <c r="I402" s="5"/>
      <c r="J402" s="5"/>
    </row>
    <row r="403" spans="1:10" x14ac:dyDescent="0.2">
      <c r="A403" s="5"/>
      <c r="B403" s="243" t="s">
        <v>304</v>
      </c>
      <c r="C403" s="5"/>
      <c r="D403" s="5"/>
      <c r="E403" s="5"/>
      <c r="F403" s="5"/>
      <c r="G403" s="5"/>
      <c r="H403" s="5"/>
      <c r="I403" s="5"/>
      <c r="J403" s="5"/>
    </row>
    <row r="404" spans="1:10" x14ac:dyDescent="0.2">
      <c r="A404" s="5"/>
      <c r="B404" s="243" t="s">
        <v>305</v>
      </c>
      <c r="C404" s="5"/>
      <c r="D404" s="5"/>
      <c r="E404" s="5"/>
      <c r="F404" s="5"/>
      <c r="G404" s="5"/>
      <c r="H404" s="5"/>
      <c r="I404" s="5"/>
      <c r="J404" s="5"/>
    </row>
    <row r="405" spans="1:10" x14ac:dyDescent="0.2">
      <c r="A405" s="5"/>
      <c r="B405" s="243" t="s">
        <v>306</v>
      </c>
      <c r="C405" s="5"/>
      <c r="D405" s="5"/>
      <c r="E405" s="5"/>
      <c r="F405" s="5"/>
      <c r="G405" s="5"/>
      <c r="H405" s="5"/>
      <c r="I405" s="5"/>
      <c r="J405" s="5"/>
    </row>
    <row r="406" spans="1:10" x14ac:dyDescent="0.2">
      <c r="A406" s="5"/>
      <c r="B406" s="243" t="s">
        <v>307</v>
      </c>
      <c r="C406" s="5"/>
      <c r="D406" s="5"/>
      <c r="E406" s="5"/>
      <c r="F406" s="5"/>
      <c r="G406" s="5"/>
      <c r="H406" s="5"/>
      <c r="I406" s="5"/>
      <c r="J406" s="5"/>
    </row>
    <row r="407" spans="1:10" x14ac:dyDescent="0.2">
      <c r="A407" s="5"/>
      <c r="B407" s="243" t="s">
        <v>308</v>
      </c>
      <c r="C407" s="5"/>
      <c r="D407" s="5"/>
      <c r="E407" s="5"/>
      <c r="F407" s="5"/>
      <c r="G407" s="5"/>
      <c r="H407" s="5"/>
      <c r="I407" s="5"/>
      <c r="J407" s="5"/>
    </row>
    <row r="408" spans="1:10" x14ac:dyDescent="0.2">
      <c r="A408" s="5"/>
      <c r="B408" s="243" t="s">
        <v>309</v>
      </c>
      <c r="C408" s="5"/>
      <c r="D408" s="5"/>
      <c r="E408" s="5"/>
      <c r="F408" s="5"/>
      <c r="G408" s="5"/>
      <c r="H408" s="5"/>
      <c r="I408" s="5"/>
      <c r="J408" s="5"/>
    </row>
    <row r="409" spans="1:10" x14ac:dyDescent="0.2">
      <c r="A409" s="5"/>
      <c r="B409" s="243" t="s">
        <v>310</v>
      </c>
      <c r="C409" s="5"/>
      <c r="D409" s="5"/>
      <c r="E409" s="5"/>
      <c r="F409" s="5"/>
      <c r="G409" s="5"/>
      <c r="H409" s="5"/>
      <c r="I409" s="5"/>
      <c r="J409" s="5"/>
    </row>
    <row r="410" spans="1:10" x14ac:dyDescent="0.2">
      <c r="A410" s="5"/>
      <c r="B410" s="5"/>
      <c r="C410" s="5"/>
      <c r="D410" s="5"/>
      <c r="E410" s="5"/>
      <c r="F410" s="5"/>
      <c r="G410" s="5"/>
      <c r="H410" s="5"/>
      <c r="I410" s="5"/>
      <c r="J410" s="5"/>
    </row>
    <row r="411" spans="1:10" x14ac:dyDescent="0.2">
      <c r="A411" s="5"/>
      <c r="B411" s="243" t="s">
        <v>312</v>
      </c>
      <c r="C411" s="5"/>
      <c r="D411" s="5"/>
      <c r="E411" s="5"/>
      <c r="F411" s="5"/>
      <c r="G411" s="5"/>
      <c r="H411" s="5"/>
      <c r="I411" s="5"/>
      <c r="J411" s="5"/>
    </row>
    <row r="412" spans="1:10" x14ac:dyDescent="0.2">
      <c r="A412" s="5"/>
      <c r="B412" s="243" t="s">
        <v>590</v>
      </c>
      <c r="C412" s="5"/>
      <c r="D412" s="5"/>
      <c r="E412" s="5"/>
      <c r="F412" s="5"/>
      <c r="G412" s="5"/>
      <c r="H412" s="5"/>
      <c r="I412" s="5"/>
      <c r="J412" s="5"/>
    </row>
    <row r="413" spans="1:10" x14ac:dyDescent="0.2">
      <c r="A413" s="5"/>
      <c r="B413" s="5"/>
      <c r="C413" s="5"/>
      <c r="D413" s="5"/>
      <c r="E413" s="5"/>
      <c r="F413" s="5"/>
      <c r="G413" s="5"/>
      <c r="H413" s="5"/>
      <c r="I413" s="5"/>
      <c r="J413" s="5"/>
    </row>
    <row r="414" spans="1:10" x14ac:dyDescent="0.2">
      <c r="A414" s="5"/>
      <c r="B414" s="346" t="s">
        <v>576</v>
      </c>
      <c r="C414" s="5"/>
      <c r="D414" s="5"/>
      <c r="E414" s="5"/>
      <c r="F414" s="5"/>
      <c r="G414" s="5"/>
      <c r="H414" s="5"/>
      <c r="I414" s="5"/>
      <c r="J414" s="5"/>
    </row>
    <row r="415" spans="1:10" x14ac:dyDescent="0.2">
      <c r="A415" s="5"/>
      <c r="B415" s="346" t="s">
        <v>342</v>
      </c>
      <c r="C415" s="5"/>
      <c r="D415" s="5"/>
      <c r="E415" s="5"/>
      <c r="F415" s="5"/>
      <c r="G415" s="5"/>
      <c r="H415" s="5"/>
      <c r="I415" s="5"/>
      <c r="J415" s="5"/>
    </row>
    <row r="416" spans="1:10" ht="14.25" x14ac:dyDescent="0.2">
      <c r="A416" s="5"/>
      <c r="B416" s="232" t="s">
        <v>858</v>
      </c>
      <c r="C416" s="5"/>
      <c r="D416" s="5"/>
      <c r="E416" s="5"/>
      <c r="F416" s="5"/>
      <c r="G416" s="5"/>
      <c r="H416" s="5"/>
      <c r="I416" s="5"/>
      <c r="J416" s="5"/>
    </row>
    <row r="417" spans="1:11" x14ac:dyDescent="0.2">
      <c r="A417" s="5"/>
      <c r="B417" s="232" t="s">
        <v>518</v>
      </c>
      <c r="C417" s="5"/>
      <c r="D417" s="5"/>
      <c r="E417" s="5"/>
      <c r="F417" s="5"/>
      <c r="G417" s="5"/>
      <c r="H417" s="5"/>
      <c r="I417" s="5"/>
      <c r="J417" s="5"/>
    </row>
    <row r="418" spans="1:11" x14ac:dyDescent="0.2">
      <c r="A418" s="5"/>
      <c r="B418" s="232" t="s">
        <v>519</v>
      </c>
      <c r="C418" s="5"/>
      <c r="D418" s="5"/>
      <c r="E418" s="5"/>
      <c r="F418" s="5"/>
      <c r="G418" s="5"/>
      <c r="H418" s="5"/>
      <c r="I418" s="5"/>
      <c r="J418" s="5"/>
    </row>
    <row r="419" spans="1:11" x14ac:dyDescent="0.2">
      <c r="A419" s="5"/>
      <c r="B419" s="232" t="s">
        <v>326</v>
      </c>
      <c r="C419" s="5"/>
      <c r="D419" s="5"/>
      <c r="E419" s="5"/>
      <c r="F419" s="5"/>
      <c r="G419" s="5"/>
      <c r="H419" s="5"/>
      <c r="I419" s="5"/>
      <c r="J419" s="5"/>
    </row>
    <row r="420" spans="1:11" x14ac:dyDescent="0.2">
      <c r="A420" s="5"/>
      <c r="B420" s="232" t="s">
        <v>313</v>
      </c>
      <c r="C420" s="5"/>
      <c r="D420" s="5"/>
      <c r="E420" s="5"/>
      <c r="F420" s="5"/>
      <c r="G420" s="5"/>
      <c r="H420" s="5"/>
      <c r="I420" s="5"/>
      <c r="J420" s="5"/>
    </row>
    <row r="421" spans="1:11" x14ac:dyDescent="0.2">
      <c r="A421" s="5"/>
      <c r="B421" s="232" t="s">
        <v>314</v>
      </c>
      <c r="C421" s="5"/>
      <c r="D421" s="5"/>
      <c r="E421" s="5"/>
      <c r="F421" s="5"/>
      <c r="G421" s="5"/>
      <c r="H421" s="5"/>
      <c r="I421" s="5"/>
      <c r="J421" s="5"/>
    </row>
    <row r="422" spans="1:11" x14ac:dyDescent="0.2">
      <c r="B422" s="232" t="s">
        <v>319</v>
      </c>
    </row>
    <row r="423" spans="1:11" x14ac:dyDescent="0.2">
      <c r="B423" s="232" t="s">
        <v>324</v>
      </c>
      <c r="K423" s="32"/>
    </row>
    <row r="424" spans="1:11" x14ac:dyDescent="0.2">
      <c r="B424" s="346" t="s">
        <v>637</v>
      </c>
      <c r="K424" s="32"/>
    </row>
    <row r="425" spans="1:11" x14ac:dyDescent="0.2">
      <c r="B425" s="346" t="s">
        <v>638</v>
      </c>
      <c r="K425" s="32"/>
    </row>
    <row r="426" spans="1:11" x14ac:dyDescent="0.2">
      <c r="B426" s="232" t="s">
        <v>392</v>
      </c>
      <c r="K426" s="32"/>
    </row>
    <row r="427" spans="1:11" x14ac:dyDescent="0.2">
      <c r="B427" s="50" t="s">
        <v>296</v>
      </c>
      <c r="K427" s="32"/>
    </row>
    <row r="428" spans="1:11" x14ac:dyDescent="0.2">
      <c r="K428" s="32"/>
    </row>
    <row r="429" spans="1:11" x14ac:dyDescent="0.2">
      <c r="K429" s="32"/>
    </row>
    <row r="430" spans="1:11" x14ac:dyDescent="0.2">
      <c r="K430" s="32"/>
    </row>
    <row r="431" spans="1:11" x14ac:dyDescent="0.2">
      <c r="A431" s="5"/>
      <c r="C431" s="5"/>
      <c r="D431" s="5"/>
      <c r="E431" s="5"/>
      <c r="F431" s="5"/>
      <c r="G431" s="5"/>
      <c r="H431" s="5"/>
      <c r="I431" s="5"/>
      <c r="J431" s="5"/>
      <c r="K431" s="5"/>
    </row>
    <row r="432" spans="1:11" x14ac:dyDescent="0.2">
      <c r="A432" s="5"/>
      <c r="B432" s="231"/>
      <c r="C432" s="5"/>
      <c r="D432" s="5"/>
      <c r="E432" s="5"/>
      <c r="F432" s="5"/>
      <c r="G432" s="5"/>
      <c r="H432" s="5"/>
      <c r="I432" s="5"/>
      <c r="J432" s="5"/>
      <c r="K432" s="32"/>
    </row>
    <row r="433" spans="1:11" x14ac:dyDescent="0.2">
      <c r="A433" s="5"/>
      <c r="C433" s="5"/>
      <c r="D433" s="5"/>
      <c r="E433" s="5"/>
      <c r="F433" s="5"/>
      <c r="G433" s="5"/>
      <c r="H433" s="5"/>
      <c r="I433" s="5"/>
      <c r="J433" s="5"/>
      <c r="K433" s="32"/>
    </row>
    <row r="434" spans="1:11" x14ac:dyDescent="0.2">
      <c r="A434" s="5"/>
      <c r="C434" s="5"/>
      <c r="D434" s="5"/>
      <c r="E434" s="5"/>
      <c r="F434" s="5"/>
      <c r="G434" s="5"/>
      <c r="H434" s="5"/>
      <c r="I434" s="5"/>
      <c r="J434" s="5"/>
      <c r="K434" s="32"/>
    </row>
    <row r="435" spans="1:11" x14ac:dyDescent="0.2">
      <c r="A435" s="5"/>
      <c r="C435" s="5"/>
      <c r="D435" s="5"/>
      <c r="E435" s="5"/>
      <c r="F435" s="5"/>
      <c r="G435" s="5"/>
      <c r="H435" s="5"/>
      <c r="I435" s="5"/>
      <c r="J435" s="5"/>
      <c r="K435" s="32"/>
    </row>
    <row r="436" spans="1:11" x14ac:dyDescent="0.2">
      <c r="A436" s="5"/>
      <c r="C436" s="5"/>
      <c r="D436" s="5"/>
      <c r="E436" s="5"/>
      <c r="F436" s="5"/>
      <c r="G436" s="5"/>
      <c r="H436" s="5"/>
      <c r="I436" s="5"/>
      <c r="J436" s="5"/>
      <c r="K436" s="32"/>
    </row>
    <row r="437" spans="1:11" x14ac:dyDescent="0.2">
      <c r="A437" s="5"/>
      <c r="C437" s="5"/>
      <c r="D437" s="5"/>
      <c r="E437" s="5"/>
      <c r="F437" s="5"/>
      <c r="G437" s="5"/>
      <c r="H437" s="5"/>
      <c r="I437" s="5"/>
      <c r="J437" s="5"/>
      <c r="K437" s="32"/>
    </row>
    <row r="438" spans="1:11" x14ac:dyDescent="0.2">
      <c r="A438" s="5"/>
      <c r="C438" s="5"/>
      <c r="D438" s="5"/>
      <c r="E438" s="5"/>
      <c r="F438" s="5"/>
      <c r="G438" s="5"/>
      <c r="H438" s="5"/>
      <c r="I438" s="5"/>
      <c r="J438" s="5"/>
      <c r="K438" s="32"/>
    </row>
    <row r="439" spans="1:11" x14ac:dyDescent="0.2">
      <c r="A439" s="5"/>
      <c r="B439" s="232"/>
      <c r="C439" s="5"/>
      <c r="D439" s="5"/>
      <c r="E439" s="5"/>
      <c r="F439" s="5"/>
      <c r="G439" s="5"/>
      <c r="H439" s="5"/>
      <c r="I439" s="5"/>
      <c r="J439" s="5"/>
    </row>
    <row r="440" spans="1:11" x14ac:dyDescent="0.2">
      <c r="B440" s="50"/>
    </row>
    <row r="441" spans="1:11" x14ac:dyDescent="0.2">
      <c r="B441" s="232"/>
    </row>
    <row r="442" spans="1:11" x14ac:dyDescent="0.2">
      <c r="B442" s="232"/>
    </row>
    <row r="444" spans="1:11" x14ac:dyDescent="0.2">
      <c r="B444" s="231"/>
    </row>
    <row r="445" spans="1:11" x14ac:dyDescent="0.2">
      <c r="B445" s="231" t="s">
        <v>385</v>
      </c>
    </row>
    <row r="446" spans="1:11" x14ac:dyDescent="0.2">
      <c r="B446" s="231" t="s">
        <v>388</v>
      </c>
    </row>
    <row r="447" spans="1:11" x14ac:dyDescent="0.2">
      <c r="B447" s="232" t="s">
        <v>394</v>
      </c>
    </row>
    <row r="448" spans="1:11" x14ac:dyDescent="0.2">
      <c r="B448" s="232" t="s">
        <v>395</v>
      </c>
    </row>
    <row r="449" spans="2:2" x14ac:dyDescent="0.2">
      <c r="B449" s="231" t="s">
        <v>318</v>
      </c>
    </row>
    <row r="450" spans="2:2" x14ac:dyDescent="0.2">
      <c r="B450" s="50" t="s">
        <v>296</v>
      </c>
    </row>
  </sheetData>
  <sheetProtection sheet="1"/>
  <mergeCells count="69">
    <mergeCell ref="B183:M183"/>
    <mergeCell ref="B184:M184"/>
    <mergeCell ref="B170:M170"/>
    <mergeCell ref="F157:J157"/>
    <mergeCell ref="B158:E158"/>
    <mergeCell ref="F158:J158"/>
    <mergeCell ref="A172:M172"/>
    <mergeCell ref="A3:M3"/>
    <mergeCell ref="A4:M4"/>
    <mergeCell ref="B169:M169"/>
    <mergeCell ref="F159:J159"/>
    <mergeCell ref="B168:M168"/>
    <mergeCell ref="B143:M143"/>
    <mergeCell ref="D93:L93"/>
    <mergeCell ref="B141:M141"/>
    <mergeCell ref="F149:J149"/>
    <mergeCell ref="B19:K20"/>
    <mergeCell ref="L19:L20"/>
    <mergeCell ref="B21:D21"/>
    <mergeCell ref="F22:I22"/>
    <mergeCell ref="B39:E39"/>
    <mergeCell ref="F150:J150"/>
    <mergeCell ref="B137:M138"/>
    <mergeCell ref="A145:M145"/>
    <mergeCell ref="B38:E38"/>
    <mergeCell ref="G38:L38"/>
    <mergeCell ref="G41:L41"/>
    <mergeCell ref="F155:J155"/>
    <mergeCell ref="F148:J148"/>
    <mergeCell ref="F102:I102"/>
    <mergeCell ref="B139:M140"/>
    <mergeCell ref="A109:M109"/>
    <mergeCell ref="F151:J151"/>
    <mergeCell ref="F101:I101"/>
    <mergeCell ref="F47:H47"/>
    <mergeCell ref="J47:L47"/>
    <mergeCell ref="F100:J100"/>
    <mergeCell ref="J65:L65"/>
    <mergeCell ref="J75:L75"/>
    <mergeCell ref="F6:I6"/>
    <mergeCell ref="F10:I10"/>
    <mergeCell ref="F11:K11"/>
    <mergeCell ref="F12:I12"/>
    <mergeCell ref="F7:K7"/>
    <mergeCell ref="F13:I13"/>
    <mergeCell ref="A46:M46"/>
    <mergeCell ref="F28:I28"/>
    <mergeCell ref="B40:E40"/>
    <mergeCell ref="B42:E42"/>
    <mergeCell ref="F23:L23"/>
    <mergeCell ref="B31:M32"/>
    <mergeCell ref="B26:L26"/>
    <mergeCell ref="B33:M35"/>
    <mergeCell ref="J80:L80"/>
    <mergeCell ref="F54:H54"/>
    <mergeCell ref="F55:H55"/>
    <mergeCell ref="J76:L76"/>
    <mergeCell ref="J59:L59"/>
    <mergeCell ref="J64:L64"/>
    <mergeCell ref="F69:H69"/>
    <mergeCell ref="J69:L69"/>
    <mergeCell ref="F76:H76"/>
    <mergeCell ref="F75:H75"/>
    <mergeCell ref="F80:H80"/>
    <mergeCell ref="F65:H65"/>
    <mergeCell ref="F59:H59"/>
    <mergeCell ref="F64:H64"/>
    <mergeCell ref="J54:L54"/>
    <mergeCell ref="J55:L55"/>
  </mergeCells>
  <phoneticPr fontId="2" type="noConversion"/>
  <dataValidations count="16">
    <dataValidation type="list" allowBlank="1" showInputMessage="1" showErrorMessage="1" sqref="F59:H59 F80:H80 J80:L80 J69:L69 F69:H69 J59:L59">
      <formula1>IF(F54=$D$269, $B$367:$B$372, IF(F54=$D$270, $B$373:$B$376, $B$377:$B$378))</formula1>
    </dataValidation>
    <dataValidation type="list" allowBlank="1" showInputMessage="1" showErrorMessage="1" sqref="F77 F66 J66 J56 F56 J77 B21:D21">
      <formula1>"Yes, No"</formula1>
    </dataValidation>
    <dataValidation type="list" allowBlank="1" showInputMessage="1" showErrorMessage="1" sqref="F28:I28">
      <formula1>"Riparian Forest Buffer, Riparian Grass Buffer"</formula1>
    </dataValidation>
    <dataValidation type="list" allowBlank="1" showInputMessage="1" showErrorMessage="1" sqref="F22:I22">
      <formula1>"PaDEP, County Conservation District, Other Authorized Agent"</formula1>
    </dataValidation>
    <dataValidation type="list" allowBlank="1" showInputMessage="1" showErrorMessage="1" sqref="G41:L41">
      <formula1>"Conventional Till, Conservation Till, Continuous No-Till"</formula1>
    </dataValidation>
    <dataValidation type="list" allowBlank="1" showInputMessage="1" showErrorMessage="1" sqref="F157:J158">
      <formula1>$B$445:$B$450</formula1>
    </dataValidation>
    <dataValidation type="list" allowBlank="1" showInputMessage="1" showErrorMessage="1" sqref="F155">
      <formula1>$B$411:$B$412</formula1>
    </dataValidation>
    <dataValidation type="list" allowBlank="1" showInputMessage="1" showErrorMessage="1" sqref="F148:J151">
      <formula1>$B$414:$B$427</formula1>
    </dataValidation>
    <dataValidation type="list" allowBlank="1" showInputMessage="1" showErrorMessage="1" sqref="F75 F54:H54 J64:L64 J54:L54 F64 J75:L75">
      <formula1>$D$269:$D$271</formula1>
    </dataValidation>
    <dataValidation type="list" allowBlank="1" showInputMessage="1" showErrorMessage="1" sqref="F101">
      <formula1>$D$260:$D$267</formula1>
    </dataValidation>
    <dataValidation type="list" allowBlank="1" showInputMessage="1" showErrorMessage="1" sqref="F102:I102">
      <formula1>$E$260:$E$371</formula1>
    </dataValidation>
    <dataValidation type="list" allowBlank="1" showInputMessage="1" showErrorMessage="1" sqref="F100:J100">
      <formula1>$D$280:$D$282</formula1>
    </dataValidation>
    <dataValidation type="list" allowBlank="1" showInputMessage="1" showErrorMessage="1" sqref="G42">
      <formula1>$A$251:$A$276</formula1>
    </dataValidation>
    <dataValidation type="list" allowBlank="1" showInputMessage="1" showErrorMessage="1" sqref="G38:L38">
      <formula1>$B$260:$B$333</formula1>
    </dataValidation>
    <dataValidation type="list" allowBlank="1" showErrorMessage="1" promptTitle="Select" sqref="B26:L26">
      <formula1>$B$251:$B$255</formula1>
    </dataValidation>
    <dataValidation type="list" allowBlank="1" showInputMessage="1" showErrorMessage="1" sqref="F55:H55 J55:L55 F65:H65 J65:L65 F76:H76 J76:L76">
      <formula1>$F$260:$F$280</formula1>
    </dataValidation>
  </dataValidations>
  <pageMargins left="1" right="1" top="1" bottom="1" header="0.5" footer="0.5"/>
  <pageSetup scale="90" orientation="landscape" r:id="rId1"/>
  <headerFooter alignWithMargins="0"/>
  <rowBreaks count="7" manualBreakCount="7">
    <brk id="16" max="16383" man="1"/>
    <brk id="45" max="16383" man="1"/>
    <brk id="107" max="16383" man="1"/>
    <brk id="144" max="16383" man="1"/>
    <brk id="170" max="16383" man="1"/>
    <brk id="185" max="16383" man="1"/>
    <brk id="249"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387" r:id="rId4" name="Option Button 363">
              <controlPr defaultSize="0" autoFill="0" autoLine="0" autoPict="0">
                <anchor moveWithCells="1">
                  <from>
                    <xdr:col>1</xdr:col>
                    <xdr:colOff>95250</xdr:colOff>
                    <xdr:row>87</xdr:row>
                    <xdr:rowOff>133350</xdr:rowOff>
                  </from>
                  <to>
                    <xdr:col>3</xdr:col>
                    <xdr:colOff>771525</xdr:colOff>
                    <xdr:row>89</xdr:row>
                    <xdr:rowOff>9525</xdr:rowOff>
                  </to>
                </anchor>
              </controlPr>
            </control>
          </mc:Choice>
        </mc:AlternateContent>
        <mc:AlternateContent xmlns:mc="http://schemas.openxmlformats.org/markup-compatibility/2006">
          <mc:Choice Requires="x14">
            <control shapeId="1388" r:id="rId5" name="Option Button 364">
              <controlPr defaultSize="0" autoFill="0" autoLine="0" autoPict="0">
                <anchor moveWithCells="1">
                  <from>
                    <xdr:col>1</xdr:col>
                    <xdr:colOff>95250</xdr:colOff>
                    <xdr:row>88</xdr:row>
                    <xdr:rowOff>133350</xdr:rowOff>
                  </from>
                  <to>
                    <xdr:col>4</xdr:col>
                    <xdr:colOff>209550</xdr:colOff>
                    <xdr:row>90</xdr:row>
                    <xdr:rowOff>28575</xdr:rowOff>
                  </to>
                </anchor>
              </controlPr>
            </control>
          </mc:Choice>
        </mc:AlternateContent>
        <mc:AlternateContent xmlns:mc="http://schemas.openxmlformats.org/markup-compatibility/2006">
          <mc:Choice Requires="x14">
            <control shapeId="1389" r:id="rId6" name="Option Button 365">
              <controlPr defaultSize="0" autoFill="0" autoLine="0" autoPict="0">
                <anchor moveWithCells="1">
                  <from>
                    <xdr:col>1</xdr:col>
                    <xdr:colOff>95250</xdr:colOff>
                    <xdr:row>89</xdr:row>
                    <xdr:rowOff>142875</xdr:rowOff>
                  </from>
                  <to>
                    <xdr:col>4</xdr:col>
                    <xdr:colOff>1552575</xdr:colOff>
                    <xdr:row>91</xdr:row>
                    <xdr:rowOff>38100</xdr:rowOff>
                  </to>
                </anchor>
              </controlPr>
            </control>
          </mc:Choice>
        </mc:AlternateContent>
        <mc:AlternateContent xmlns:mc="http://schemas.openxmlformats.org/markup-compatibility/2006">
          <mc:Choice Requires="x14">
            <control shapeId="1411" r:id="rId7" name="Option Button 387">
              <controlPr defaultSize="0" autoFill="0" autoLine="0" autoPict="0">
                <anchor moveWithCells="1">
                  <from>
                    <xdr:col>1</xdr:col>
                    <xdr:colOff>95250</xdr:colOff>
                    <xdr:row>90</xdr:row>
                    <xdr:rowOff>142875</xdr:rowOff>
                  </from>
                  <to>
                    <xdr:col>4</xdr:col>
                    <xdr:colOff>209550</xdr:colOff>
                    <xdr:row>92</xdr:row>
                    <xdr:rowOff>38100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dimension ref="A1:O361"/>
  <sheetViews>
    <sheetView zoomScaleNormal="100" workbookViewId="0">
      <selection activeCell="G136" sqref="G136"/>
    </sheetView>
  </sheetViews>
  <sheetFormatPr defaultRowHeight="12.75" x14ac:dyDescent="0.2"/>
  <cols>
    <col min="1" max="1" width="3.28515625" customWidth="1"/>
    <col min="2" max="2" width="3" customWidth="1"/>
    <col min="3" max="3" width="3.140625" customWidth="1"/>
    <col min="4" max="4" width="15.7109375" customWidth="1"/>
    <col min="5" max="5" width="29.140625" customWidth="1"/>
    <col min="6" max="6" width="12.140625" customWidth="1"/>
    <col min="7" max="7" width="8.7109375" customWidth="1"/>
    <col min="8" max="8" width="6.42578125" customWidth="1"/>
    <col min="9" max="9" width="5.42578125" customWidth="1"/>
    <col min="10" max="10" width="23" customWidth="1"/>
    <col min="11" max="11" width="25.28515625" customWidth="1"/>
    <col min="12" max="12" width="9.5703125" customWidth="1"/>
    <col min="13" max="13" width="7.28515625" customWidth="1"/>
  </cols>
  <sheetData>
    <row r="1" spans="1:13" ht="36" customHeight="1" x14ac:dyDescent="0.2">
      <c r="A1" s="551" t="s">
        <v>360</v>
      </c>
      <c r="B1" s="551"/>
      <c r="C1" s="551"/>
      <c r="D1" s="551"/>
      <c r="E1" s="551"/>
      <c r="F1" s="551"/>
      <c r="G1" s="551"/>
      <c r="H1" s="551"/>
      <c r="I1" s="551"/>
      <c r="J1" s="551"/>
      <c r="K1" s="551"/>
      <c r="L1" s="551"/>
      <c r="M1" s="551"/>
    </row>
    <row r="2" spans="1:13" x14ac:dyDescent="0.2">
      <c r="D2" s="286" t="s">
        <v>579</v>
      </c>
      <c r="E2" s="287" t="s">
        <v>555</v>
      </c>
      <c r="F2" s="288" t="s">
        <v>554</v>
      </c>
      <c r="G2" s="288"/>
      <c r="H2" s="289" t="s">
        <v>553</v>
      </c>
      <c r="I2" s="289"/>
      <c r="J2" s="289"/>
      <c r="K2" s="285"/>
    </row>
    <row r="3" spans="1:13" x14ac:dyDescent="0.2">
      <c r="A3" s="317"/>
      <c r="B3" s="317"/>
      <c r="C3" s="317"/>
      <c r="D3" s="317"/>
      <c r="E3" s="317"/>
      <c r="F3" s="317"/>
      <c r="G3" s="317"/>
      <c r="H3" s="317"/>
      <c r="I3" s="317"/>
      <c r="J3" s="317"/>
      <c r="K3" s="317"/>
      <c r="L3" s="317"/>
      <c r="M3" s="317"/>
    </row>
    <row r="4" spans="1:13" x14ac:dyDescent="0.2">
      <c r="A4" s="317"/>
      <c r="B4" s="317"/>
      <c r="C4" s="317"/>
      <c r="D4" s="317" t="s">
        <v>398</v>
      </c>
      <c r="E4" s="317"/>
      <c r="F4" s="513">
        <f>'CREDIT CALCULATION FORM'!F6:I6</f>
        <v>42402</v>
      </c>
      <c r="G4" s="514"/>
      <c r="H4" s="514"/>
      <c r="I4" s="515"/>
      <c r="J4" s="317"/>
      <c r="K4" s="317"/>
      <c r="L4" s="317"/>
      <c r="M4" s="317"/>
    </row>
    <row r="5" spans="1:13" x14ac:dyDescent="0.2">
      <c r="A5" s="317"/>
      <c r="B5" s="317"/>
      <c r="C5" s="317"/>
      <c r="D5" s="317" t="s">
        <v>578</v>
      </c>
      <c r="E5" s="317"/>
      <c r="F5" s="516" t="str">
        <f>'CREDIT CALCULATION FORM'!F7:K7</f>
        <v>JRT Farms T 555 F 1 &amp; 2</v>
      </c>
      <c r="G5" s="517"/>
      <c r="H5" s="517"/>
      <c r="I5" s="517"/>
      <c r="J5" s="518"/>
      <c r="K5" s="519"/>
      <c r="L5" s="317"/>
      <c r="M5" s="317"/>
    </row>
    <row r="6" spans="1:13" x14ac:dyDescent="0.2">
      <c r="A6" s="317"/>
      <c r="B6" s="317"/>
      <c r="C6" s="317"/>
      <c r="D6" s="317"/>
      <c r="E6" s="317"/>
      <c r="F6" s="317"/>
      <c r="G6" s="317"/>
      <c r="H6" s="317"/>
      <c r="I6" s="317"/>
      <c r="J6" s="317"/>
      <c r="K6" s="317"/>
      <c r="L6" s="317"/>
      <c r="M6" s="317"/>
    </row>
    <row r="7" spans="1:13" ht="15" x14ac:dyDescent="0.25">
      <c r="A7" s="112" t="s">
        <v>608</v>
      </c>
      <c r="B7" s="110"/>
      <c r="C7" s="110"/>
      <c r="D7" s="110"/>
      <c r="E7" s="110"/>
      <c r="F7" s="110"/>
      <c r="G7" s="110"/>
      <c r="H7" s="110"/>
      <c r="I7" s="110"/>
      <c r="J7" s="110"/>
      <c r="K7" s="110"/>
      <c r="L7" s="110"/>
      <c r="M7" s="110"/>
    </row>
    <row r="8" spans="1:13" x14ac:dyDescent="0.2">
      <c r="A8" s="116"/>
      <c r="B8" s="110"/>
      <c r="C8" s="110"/>
      <c r="D8" s="110" t="s">
        <v>399</v>
      </c>
      <c r="E8" s="110"/>
      <c r="F8" s="520" t="str">
        <f>'CREDIT CALCULATION FORM'!F10:I10</f>
        <v>Rod Morehart</v>
      </c>
      <c r="G8" s="521"/>
      <c r="H8" s="521"/>
      <c r="I8" s="522"/>
      <c r="J8" s="110"/>
      <c r="K8" s="110"/>
      <c r="L8" s="110"/>
      <c r="M8" s="110"/>
    </row>
    <row r="9" spans="1:13" x14ac:dyDescent="0.2">
      <c r="A9" s="116"/>
      <c r="B9" s="110"/>
      <c r="C9" s="110"/>
      <c r="D9" s="110" t="s">
        <v>400</v>
      </c>
      <c r="E9" s="110"/>
      <c r="F9" s="523" t="str">
        <f>'CREDIT CALCULATION FORM'!F11:K11</f>
        <v>Lycoming County Conservation District</v>
      </c>
      <c r="G9" s="523"/>
      <c r="H9" s="523"/>
      <c r="I9" s="523"/>
      <c r="J9" s="524"/>
      <c r="K9" s="524"/>
      <c r="L9" s="110"/>
      <c r="M9" s="110"/>
    </row>
    <row r="10" spans="1:13" x14ac:dyDescent="0.2">
      <c r="A10" s="116"/>
      <c r="B10" s="110"/>
      <c r="C10" s="110"/>
      <c r="D10" s="110" t="s">
        <v>401</v>
      </c>
      <c r="E10" s="110"/>
      <c r="F10" s="523" t="str">
        <f>'CREDIT CALCULATION FORM'!F12:I12</f>
        <v>570-329-1619</v>
      </c>
      <c r="G10" s="523"/>
      <c r="H10" s="523"/>
      <c r="I10" s="523"/>
      <c r="J10" s="159"/>
      <c r="K10" s="159"/>
      <c r="L10" s="110"/>
      <c r="M10" s="110"/>
    </row>
    <row r="11" spans="1:13" x14ac:dyDescent="0.2">
      <c r="A11" s="116"/>
      <c r="B11" s="110"/>
      <c r="C11" s="110"/>
      <c r="D11" s="110" t="s">
        <v>558</v>
      </c>
      <c r="E11" s="110"/>
      <c r="F11" s="525" t="str">
        <f>'CREDIT CALCULATION FORM'!F13:I13</f>
        <v>rmorehart@lyco.org</v>
      </c>
      <c r="G11" s="526"/>
      <c r="H11" s="526"/>
      <c r="I11" s="527"/>
      <c r="J11" s="159"/>
      <c r="K11" s="159"/>
      <c r="L11" s="110"/>
      <c r="M11" s="110"/>
    </row>
    <row r="12" spans="1:13" ht="12.75" customHeight="1" x14ac:dyDescent="0.2">
      <c r="A12" s="116"/>
      <c r="B12" s="110"/>
      <c r="C12" s="110"/>
      <c r="D12" s="110"/>
      <c r="E12" s="110"/>
      <c r="F12" s="110"/>
      <c r="G12" s="110"/>
      <c r="H12" s="110"/>
      <c r="I12" s="110"/>
      <c r="J12" s="110"/>
      <c r="K12" s="110"/>
      <c r="L12" s="110"/>
      <c r="M12" s="110"/>
    </row>
    <row r="13" spans="1:13" x14ac:dyDescent="0.2">
      <c r="A13" s="157"/>
      <c r="B13" s="158"/>
      <c r="C13" s="110"/>
      <c r="D13" s="110"/>
      <c r="E13" s="110"/>
      <c r="F13" s="110"/>
      <c r="G13" s="110"/>
      <c r="H13" s="110"/>
      <c r="I13" s="110"/>
      <c r="J13" s="110"/>
      <c r="K13" s="110"/>
      <c r="L13" s="110"/>
      <c r="M13" s="110"/>
    </row>
    <row r="15" spans="1:13" x14ac:dyDescent="0.2">
      <c r="A15" s="110"/>
      <c r="B15" s="110"/>
      <c r="C15" s="110"/>
      <c r="D15" s="110"/>
      <c r="E15" s="110"/>
      <c r="F15" s="110"/>
      <c r="G15" s="110"/>
      <c r="H15" s="110"/>
      <c r="I15" s="110"/>
      <c r="J15" s="110"/>
      <c r="K15" s="110"/>
      <c r="L15" s="110"/>
      <c r="M15" s="110"/>
    </row>
    <row r="16" spans="1:13" ht="15" x14ac:dyDescent="0.25">
      <c r="A16" s="111" t="s">
        <v>18</v>
      </c>
      <c r="B16" s="112" t="s">
        <v>22</v>
      </c>
      <c r="C16" s="110"/>
      <c r="D16" s="110"/>
      <c r="E16" s="110"/>
      <c r="F16" s="110"/>
      <c r="G16" s="110"/>
      <c r="H16" s="110"/>
      <c r="I16" s="110"/>
      <c r="J16" s="110"/>
      <c r="K16" s="110"/>
      <c r="L16" s="110"/>
      <c r="M16" s="110"/>
    </row>
    <row r="17" spans="1:13" x14ac:dyDescent="0.2">
      <c r="A17" s="113" t="s">
        <v>17</v>
      </c>
      <c r="B17" s="529" t="s">
        <v>491</v>
      </c>
      <c r="C17" s="529"/>
      <c r="D17" s="529"/>
      <c r="E17" s="529"/>
      <c r="F17" s="529"/>
      <c r="G17" s="529"/>
      <c r="H17" s="529"/>
      <c r="I17" s="529"/>
      <c r="J17" s="529"/>
      <c r="K17" s="529"/>
      <c r="L17" s="496"/>
      <c r="M17" s="110"/>
    </row>
    <row r="18" spans="1:13" x14ac:dyDescent="0.2">
      <c r="A18" s="116"/>
      <c r="B18" s="529"/>
      <c r="C18" s="529"/>
      <c r="D18" s="529"/>
      <c r="E18" s="529"/>
      <c r="F18" s="529"/>
      <c r="G18" s="529"/>
      <c r="H18" s="529"/>
      <c r="I18" s="529"/>
      <c r="J18" s="529"/>
      <c r="K18" s="529"/>
      <c r="L18" s="496"/>
      <c r="M18" s="110"/>
    </row>
    <row r="19" spans="1:13" x14ac:dyDescent="0.2">
      <c r="A19" s="116"/>
      <c r="B19" s="532" t="str">
        <f>'CREDIT CALCULATION FORM'!B21</f>
        <v>Yes</v>
      </c>
      <c r="C19" s="533"/>
      <c r="D19" s="534"/>
      <c r="E19" s="114"/>
      <c r="F19" s="114"/>
      <c r="G19" s="114"/>
      <c r="H19" s="114"/>
      <c r="I19" s="114"/>
      <c r="J19" s="114"/>
      <c r="K19" s="114"/>
      <c r="L19" s="115"/>
      <c r="M19" s="110"/>
    </row>
    <row r="20" spans="1:13" x14ac:dyDescent="0.2">
      <c r="A20" s="113" t="s">
        <v>19</v>
      </c>
      <c r="B20" s="117" t="s">
        <v>21</v>
      </c>
      <c r="C20" s="110"/>
      <c r="D20" s="114"/>
      <c r="E20" s="117"/>
      <c r="F20" s="555" t="str">
        <f>'CREDIT CALCULATION FORM'!F22</f>
        <v>County Conservation District</v>
      </c>
      <c r="G20" s="556"/>
      <c r="H20" s="556"/>
      <c r="I20" s="557"/>
      <c r="J20" s="115"/>
      <c r="K20" s="114"/>
      <c r="L20" s="110"/>
      <c r="M20" s="110"/>
    </row>
    <row r="21" spans="1:13" x14ac:dyDescent="0.2">
      <c r="A21" s="118"/>
      <c r="B21" s="119"/>
      <c r="C21" s="110" t="s">
        <v>20</v>
      </c>
      <c r="D21" s="110"/>
      <c r="E21" s="120"/>
      <c r="F21" s="532">
        <f>'CREDIT CALCULATION FORM'!F23</f>
        <v>0</v>
      </c>
      <c r="G21" s="533"/>
      <c r="H21" s="533"/>
      <c r="I21" s="533"/>
      <c r="J21" s="533"/>
      <c r="K21" s="533"/>
      <c r="L21" s="534"/>
      <c r="M21" s="110"/>
    </row>
    <row r="22" spans="1:13" x14ac:dyDescent="0.2">
      <c r="A22" s="118"/>
      <c r="B22" s="119"/>
      <c r="C22" s="110"/>
      <c r="D22" s="110"/>
      <c r="E22" s="110"/>
      <c r="F22" s="110"/>
      <c r="G22" s="110"/>
      <c r="H22" s="110"/>
      <c r="I22" s="110"/>
      <c r="J22" s="110"/>
      <c r="K22" s="110"/>
      <c r="L22" s="110"/>
      <c r="M22" s="110"/>
    </row>
    <row r="23" spans="1:13" ht="15" x14ac:dyDescent="0.25">
      <c r="A23" s="111" t="s">
        <v>23</v>
      </c>
      <c r="B23" s="112" t="s">
        <v>24</v>
      </c>
      <c r="C23" s="110"/>
      <c r="D23" s="110"/>
      <c r="E23" s="110"/>
      <c r="F23" s="110"/>
      <c r="G23" s="110"/>
      <c r="H23" s="110"/>
      <c r="I23" s="110"/>
      <c r="J23" s="110"/>
      <c r="K23" s="110"/>
      <c r="L23" s="110"/>
      <c r="M23" s="110"/>
    </row>
    <row r="24" spans="1:13" x14ac:dyDescent="0.2">
      <c r="A24" s="111"/>
      <c r="B24" s="121" t="s">
        <v>363</v>
      </c>
      <c r="C24" s="110"/>
      <c r="D24" s="110"/>
      <c r="E24" s="110"/>
      <c r="F24" s="110"/>
      <c r="G24" s="110"/>
      <c r="H24" s="110"/>
      <c r="I24" s="110"/>
      <c r="J24" s="110"/>
      <c r="K24" s="110"/>
      <c r="L24" s="110"/>
      <c r="M24" s="110"/>
    </row>
    <row r="25" spans="1:13" x14ac:dyDescent="0.2">
      <c r="A25" s="111"/>
      <c r="B25" s="535" t="str">
        <f>'CREDIT CALCULATION FORM'!B26</f>
        <v>Farm uses no manure application and applies commercial fertilizer at or below the Penn State recommended agronomic rates</v>
      </c>
      <c r="C25" s="536"/>
      <c r="D25" s="536"/>
      <c r="E25" s="536"/>
      <c r="F25" s="536"/>
      <c r="G25" s="536"/>
      <c r="H25" s="536"/>
      <c r="I25" s="536"/>
      <c r="J25" s="536"/>
      <c r="K25" s="537"/>
      <c r="L25" s="538"/>
      <c r="M25" s="110"/>
    </row>
    <row r="26" spans="1:13" x14ac:dyDescent="0.2">
      <c r="A26" s="116"/>
      <c r="B26" s="144" t="s">
        <v>11</v>
      </c>
      <c r="C26" s="140"/>
      <c r="D26" s="140"/>
      <c r="E26" s="140"/>
      <c r="F26" s="140"/>
      <c r="G26" s="140"/>
      <c r="H26" s="140"/>
      <c r="I26" s="140"/>
      <c r="J26" s="140"/>
      <c r="K26" s="140"/>
      <c r="L26" s="140"/>
      <c r="M26" s="110"/>
    </row>
    <row r="27" spans="1:13" x14ac:dyDescent="0.2">
      <c r="A27" s="116"/>
      <c r="B27" s="122"/>
      <c r="C27" s="122" t="s">
        <v>384</v>
      </c>
      <c r="D27" s="122"/>
      <c r="E27" s="122"/>
      <c r="F27" s="500">
        <f>'CREDIT CALCULATION FORM'!F28</f>
        <v>0</v>
      </c>
      <c r="G27" s="508"/>
      <c r="H27" s="508"/>
      <c r="I27" s="509"/>
      <c r="J27" s="122"/>
      <c r="K27" s="122"/>
      <c r="L27" s="122"/>
      <c r="M27" s="110"/>
    </row>
    <row r="28" spans="1:13" x14ac:dyDescent="0.2">
      <c r="A28" s="116"/>
      <c r="B28" s="122"/>
      <c r="C28" s="122" t="s">
        <v>864</v>
      </c>
      <c r="D28" s="122"/>
      <c r="E28" s="122"/>
      <c r="F28" s="101">
        <f>'CREDIT CALCULATION FORM'!F29</f>
        <v>0</v>
      </c>
      <c r="G28" s="194" t="s">
        <v>520</v>
      </c>
      <c r="H28" s="194"/>
      <c r="I28" s="194"/>
      <c r="J28" s="122"/>
      <c r="K28" s="122"/>
      <c r="L28" s="122"/>
      <c r="M28" s="110"/>
    </row>
    <row r="29" spans="1:13" x14ac:dyDescent="0.2">
      <c r="A29" s="116"/>
      <c r="B29" s="122"/>
      <c r="C29" s="122" t="s">
        <v>860</v>
      </c>
      <c r="D29" s="122"/>
      <c r="E29" s="122"/>
      <c r="F29" s="506" t="str">
        <f>CONCATENATE(F46,F27)</f>
        <v>700</v>
      </c>
      <c r="G29" s="530"/>
      <c r="H29" s="530"/>
      <c r="I29" s="531"/>
      <c r="J29" s="122"/>
      <c r="K29" s="122"/>
      <c r="L29" s="122"/>
      <c r="M29" s="110"/>
    </row>
    <row r="30" spans="1:13" x14ac:dyDescent="0.2">
      <c r="A30" s="116"/>
      <c r="B30" s="122"/>
      <c r="C30" s="359" t="s">
        <v>862</v>
      </c>
      <c r="D30" s="122"/>
      <c r="E30" s="122"/>
      <c r="F30" s="368" t="e">
        <f>VLOOKUP(F29,'BMPs and Bay Model Data'!C65:D142,2,FALSE)</f>
        <v>#N/A</v>
      </c>
      <c r="G30" s="140"/>
      <c r="H30" s="140"/>
      <c r="I30" s="140"/>
      <c r="J30" s="122"/>
      <c r="K30" s="122"/>
      <c r="L30" s="122"/>
      <c r="M30" s="110"/>
    </row>
    <row r="31" spans="1:13" x14ac:dyDescent="0.2">
      <c r="A31" s="116"/>
      <c r="B31" s="122"/>
      <c r="C31" s="122" t="s">
        <v>861</v>
      </c>
      <c r="D31" s="122"/>
      <c r="E31" s="122"/>
      <c r="F31" s="553" t="e">
        <f>CONCATENATE(F46,VLOOKUP(CONCATENATE(F27,F45), 'BMPs and Bay Model Data'!D148:E166, 2, FALSE))</f>
        <v>#N/A</v>
      </c>
      <c r="G31" s="530"/>
      <c r="H31" s="530"/>
      <c r="I31" s="531"/>
      <c r="J31" s="122"/>
      <c r="K31" s="122"/>
      <c r="L31" s="122"/>
      <c r="M31" s="110"/>
    </row>
    <row r="32" spans="1:13" x14ac:dyDescent="0.2">
      <c r="A32" s="116"/>
      <c r="B32" s="122"/>
      <c r="C32" s="359" t="s">
        <v>863</v>
      </c>
      <c r="D32" s="122"/>
      <c r="E32" s="122"/>
      <c r="F32" s="146" t="b">
        <f>IF(OR(F27="Riparian Forest Buffer", F27="Riparian Grass Buffer"), VLOOKUP(F31, 'BMPs and Bay Model Data'!A170:B273, 2, FALSE))</f>
        <v>0</v>
      </c>
      <c r="G32" s="122"/>
      <c r="H32" s="122"/>
      <c r="I32" s="122"/>
      <c r="J32" s="122"/>
      <c r="K32" s="122"/>
      <c r="L32" s="122"/>
      <c r="M32" s="110"/>
    </row>
    <row r="33" spans="1:13" x14ac:dyDescent="0.2">
      <c r="A33" s="116"/>
      <c r="B33" s="496"/>
      <c r="C33" s="496"/>
      <c r="D33" s="496"/>
      <c r="E33" s="496"/>
      <c r="F33" s="499"/>
      <c r="G33" s="496"/>
      <c r="H33" s="496"/>
      <c r="I33" s="496"/>
      <c r="J33" s="496"/>
      <c r="K33" s="496"/>
      <c r="L33" s="496"/>
      <c r="M33" s="110"/>
    </row>
    <row r="34" spans="1:13" x14ac:dyDescent="0.2">
      <c r="A34" s="116"/>
      <c r="B34" s="528" t="s">
        <v>507</v>
      </c>
      <c r="C34" s="529"/>
      <c r="D34" s="529"/>
      <c r="E34" s="529"/>
      <c r="F34" s="529"/>
      <c r="G34" s="529"/>
      <c r="H34" s="529"/>
      <c r="I34" s="529"/>
      <c r="J34" s="529"/>
      <c r="K34" s="529"/>
      <c r="L34" s="529"/>
      <c r="M34" s="529"/>
    </row>
    <row r="35" spans="1:13" x14ac:dyDescent="0.2">
      <c r="A35" s="116"/>
      <c r="B35" s="529"/>
      <c r="C35" s="529"/>
      <c r="D35" s="529"/>
      <c r="E35" s="529"/>
      <c r="F35" s="529"/>
      <c r="G35" s="529"/>
      <c r="H35" s="529"/>
      <c r="I35" s="529"/>
      <c r="J35" s="529"/>
      <c r="K35" s="529"/>
      <c r="L35" s="529"/>
      <c r="M35" s="529"/>
    </row>
    <row r="36" spans="1:13" ht="26.25" customHeight="1" x14ac:dyDescent="0.2">
      <c r="A36" s="116"/>
      <c r="B36" s="528" t="s">
        <v>362</v>
      </c>
      <c r="C36" s="447"/>
      <c r="D36" s="447"/>
      <c r="E36" s="447"/>
      <c r="F36" s="447"/>
      <c r="G36" s="447"/>
      <c r="H36" s="447"/>
      <c r="I36" s="447"/>
      <c r="J36" s="447"/>
      <c r="K36" s="447"/>
      <c r="L36" s="447"/>
      <c r="M36" s="447"/>
    </row>
    <row r="37" spans="1:13" x14ac:dyDescent="0.2">
      <c r="A37" s="116"/>
      <c r="B37" s="117"/>
      <c r="C37" s="117"/>
      <c r="D37" s="117"/>
      <c r="E37" s="117"/>
      <c r="F37" s="117"/>
      <c r="G37" s="117"/>
      <c r="H37" s="117"/>
      <c r="I37" s="117"/>
      <c r="J37" s="117"/>
      <c r="K37" s="117"/>
      <c r="L37" s="117"/>
      <c r="M37" s="117"/>
    </row>
    <row r="38" spans="1:13" x14ac:dyDescent="0.2">
      <c r="A38" s="1"/>
    </row>
    <row r="39" spans="1:13" x14ac:dyDescent="0.2">
      <c r="A39" s="111" t="s">
        <v>29</v>
      </c>
      <c r="B39" s="116" t="s">
        <v>294</v>
      </c>
      <c r="C39" s="110"/>
      <c r="D39" s="110"/>
      <c r="E39" s="110"/>
      <c r="F39" s="110"/>
      <c r="G39" s="110"/>
      <c r="H39" s="110"/>
      <c r="I39" s="110"/>
      <c r="J39" s="110"/>
      <c r="K39" s="110"/>
      <c r="L39" s="110"/>
      <c r="M39" s="110"/>
    </row>
    <row r="40" spans="1:13" x14ac:dyDescent="0.2">
      <c r="A40" s="110"/>
      <c r="B40" s="507" t="s">
        <v>30</v>
      </c>
      <c r="C40" s="507"/>
      <c r="D40" s="507"/>
      <c r="E40" s="507"/>
      <c r="F40" s="510" t="str">
        <f>'CREDIT CALCULATION FORM'!G38</f>
        <v xml:space="preserve">Corn-Sweet, for ears with husk (immature) </v>
      </c>
      <c r="G40" s="511"/>
      <c r="H40" s="511"/>
      <c r="I40" s="511"/>
      <c r="J40" s="511"/>
      <c r="K40" s="512"/>
      <c r="L40" s="128"/>
      <c r="M40" s="110"/>
    </row>
    <row r="41" spans="1:13" x14ac:dyDescent="0.2">
      <c r="A41" s="110"/>
      <c r="B41" s="122"/>
      <c r="C41" s="122" t="s">
        <v>445</v>
      </c>
      <c r="D41" s="122"/>
      <c r="E41" s="122"/>
      <c r="F41" s="394" t="str">
        <f>VLOOKUP(F40, 'Data Tables'!A4:B78, 2, FALSE)</f>
        <v>acre</v>
      </c>
      <c r="G41" s="407"/>
      <c r="H41" s="408"/>
      <c r="I41" s="408"/>
      <c r="J41" s="408"/>
      <c r="K41" s="408"/>
      <c r="L41" s="128"/>
      <c r="M41" s="110"/>
    </row>
    <row r="42" spans="1:13" x14ac:dyDescent="0.2">
      <c r="A42" s="110"/>
      <c r="B42" s="122"/>
      <c r="C42" s="122" t="s">
        <v>446</v>
      </c>
      <c r="D42" s="122"/>
      <c r="E42" s="122"/>
      <c r="F42" s="409">
        <f>IF(F41="yield", VLOOKUP(F40, 'Data Tables'!A4:G78, 7, FALSE), VLOOKUP(F40, 'Data Tables'!A4:H78, 8, FALSE))</f>
        <v>50</v>
      </c>
      <c r="G42" s="141" t="str">
        <f>IF(F41="yield", "lbs N/unit of yield", "lbs N/ac")</f>
        <v>lbs N/ac</v>
      </c>
      <c r="H42" s="141"/>
      <c r="I42" s="141"/>
      <c r="J42" s="141"/>
      <c r="K42" s="141"/>
      <c r="L42" s="128"/>
      <c r="M42" s="110"/>
    </row>
    <row r="43" spans="1:13" x14ac:dyDescent="0.2">
      <c r="A43" s="110"/>
      <c r="B43" s="507" t="s">
        <v>31</v>
      </c>
      <c r="C43" s="507"/>
      <c r="D43" s="507"/>
      <c r="E43" s="507"/>
      <c r="F43" s="147">
        <f>'CREDIT CALCULATION FORM'!G39</f>
        <v>117.8</v>
      </c>
      <c r="G43" s="122"/>
      <c r="H43" s="122"/>
      <c r="I43" s="122"/>
      <c r="J43" s="120"/>
      <c r="K43" s="120"/>
      <c r="L43" s="110"/>
      <c r="M43" s="110"/>
    </row>
    <row r="44" spans="1:13" x14ac:dyDescent="0.2">
      <c r="A44" s="110"/>
      <c r="B44" s="507" t="s">
        <v>32</v>
      </c>
      <c r="C44" s="507"/>
      <c r="D44" s="507"/>
      <c r="E44" s="507"/>
      <c r="F44" s="215">
        <f>'CREDIT CALCULATION FORM'!G40</f>
        <v>1000</v>
      </c>
      <c r="G44" s="126" t="str">
        <f>CONCATENATE(VLOOKUP(F40, 'Data Tables'!A4:C78, 3, FALSE), B220)</f>
        <v>lb of fruit per acre</v>
      </c>
      <c r="H44" s="110"/>
      <c r="I44" s="122"/>
      <c r="J44" s="120" t="s">
        <v>859</v>
      </c>
      <c r="K44" s="356" t="s">
        <v>852</v>
      </c>
      <c r="L44" s="365" t="s">
        <v>853</v>
      </c>
      <c r="M44" s="110"/>
    </row>
    <row r="45" spans="1:13" x14ac:dyDescent="0.2">
      <c r="A45" s="110"/>
      <c r="B45" s="122" t="s">
        <v>621</v>
      </c>
      <c r="C45" s="122"/>
      <c r="D45" s="122"/>
      <c r="E45" s="122"/>
      <c r="F45" s="500" t="str">
        <f>'CREDIT CALCULATION FORM'!G41</f>
        <v>Conventional Till</v>
      </c>
      <c r="G45" s="501"/>
      <c r="H45" s="501"/>
      <c r="I45" s="189"/>
      <c r="J45" s="102" t="str">
        <f>IF(OR(F45="Conservation Till", F45="Continuous No-Till"),CONCATENATE(F46, "high till to low till"), "0")</f>
        <v>0</v>
      </c>
      <c r="K45" s="363" t="str">
        <f>IF(J45="0", "0", VLOOKUP(J45, 'BMPs and Bay Model Data'!A326:B351, 2, FALSE))</f>
        <v>0</v>
      </c>
      <c r="L45" s="367">
        <f>IF(F45="Continuous No-Till", VLOOKUP(CONCATENATE(F45,F49),'BMPs and Bay Model Data'!C50:D51, 2, FALSE), 0)</f>
        <v>0</v>
      </c>
      <c r="M45" s="110"/>
    </row>
    <row r="46" spans="1:13" x14ac:dyDescent="0.2">
      <c r="A46" s="123"/>
      <c r="B46" s="554" t="s">
        <v>267</v>
      </c>
      <c r="C46" s="507"/>
      <c r="D46" s="507"/>
      <c r="E46" s="507"/>
      <c r="F46" s="331">
        <f>'CREDIT CALCULATION FORM'!G42</f>
        <v>70</v>
      </c>
      <c r="G46" s="127"/>
      <c r="H46" s="120"/>
      <c r="I46" s="120"/>
      <c r="J46" s="120"/>
      <c r="K46" s="120"/>
      <c r="L46" s="110"/>
      <c r="M46" s="110"/>
    </row>
    <row r="47" spans="1:13" x14ac:dyDescent="0.2">
      <c r="A47" s="123"/>
      <c r="B47" s="125"/>
      <c r="C47" s="507" t="s">
        <v>606</v>
      </c>
      <c r="D47" s="507"/>
      <c r="E47" s="507"/>
      <c r="F47" s="103">
        <f>VLOOKUP(F46,'BMPs and Bay Model Data'!A4:D30, 4, FALSE)</f>
        <v>0.94099999999999995</v>
      </c>
      <c r="G47" s="120"/>
      <c r="H47" s="120"/>
      <c r="I47" s="120"/>
      <c r="J47" s="120"/>
      <c r="K47" s="120"/>
      <c r="L47" s="110"/>
      <c r="M47" s="110"/>
    </row>
    <row r="48" spans="1:13" x14ac:dyDescent="0.2">
      <c r="A48" s="123"/>
      <c r="B48" s="125"/>
      <c r="C48" s="507" t="s">
        <v>607</v>
      </c>
      <c r="D48" s="507"/>
      <c r="E48" s="507"/>
      <c r="F48" s="103">
        <f>VLOOKUP(F46, 'BMPs and Bay Model Data'!A4:E30, 5, FALSE)</f>
        <v>0.45</v>
      </c>
      <c r="G48" s="127"/>
      <c r="H48" s="120"/>
      <c r="I48" s="120"/>
      <c r="J48" s="120"/>
      <c r="K48" s="120"/>
      <c r="L48" s="110"/>
      <c r="M48" s="110"/>
    </row>
    <row r="49" spans="1:13" x14ac:dyDescent="0.2">
      <c r="A49" s="110"/>
      <c r="B49" s="110"/>
      <c r="C49" s="110" t="s">
        <v>751</v>
      </c>
      <c r="D49" s="110"/>
      <c r="E49" s="110"/>
      <c r="F49" s="506" t="str">
        <f>CONCATENATE(VLOOKUP(F46, 'BMPs and Bay Model Data'!A5:C30, 3, FALSE), " Fall Line")</f>
        <v>Above Fall Line</v>
      </c>
      <c r="G49" s="530"/>
      <c r="H49" s="530"/>
      <c r="I49" s="531"/>
      <c r="J49" s="122"/>
      <c r="K49" s="122"/>
      <c r="L49" s="110"/>
      <c r="M49" s="110"/>
    </row>
    <row r="50" spans="1:13" x14ac:dyDescent="0.2">
      <c r="A50" s="123"/>
      <c r="B50" s="125"/>
      <c r="C50" s="122"/>
      <c r="D50" s="122"/>
      <c r="E50" s="122"/>
      <c r="F50" s="120"/>
      <c r="G50" s="120"/>
      <c r="H50" s="120"/>
      <c r="I50" s="120"/>
      <c r="J50" s="120"/>
      <c r="K50" s="120"/>
      <c r="L50" s="110"/>
      <c r="M50" s="110"/>
    </row>
    <row r="51" spans="1:13" x14ac:dyDescent="0.2">
      <c r="F51" s="3"/>
      <c r="G51" s="3"/>
      <c r="H51" s="3"/>
      <c r="I51" s="3"/>
    </row>
    <row r="52" spans="1:13" x14ac:dyDescent="0.2">
      <c r="A52" s="116" t="s">
        <v>12</v>
      </c>
      <c r="B52" s="110"/>
      <c r="C52" s="110"/>
      <c r="D52" s="110"/>
      <c r="E52" s="110"/>
      <c r="F52" s="117"/>
      <c r="G52" s="117"/>
      <c r="H52" s="117"/>
      <c r="I52" s="117"/>
      <c r="J52" s="110"/>
      <c r="K52" s="110"/>
      <c r="L52" s="110"/>
      <c r="M52" s="110"/>
    </row>
    <row r="53" spans="1:13" x14ac:dyDescent="0.2">
      <c r="A53" s="116"/>
      <c r="B53" s="110"/>
      <c r="C53" s="110"/>
      <c r="D53" s="110"/>
      <c r="E53" s="110"/>
      <c r="F53" s="117"/>
      <c r="G53" s="117"/>
      <c r="H53" s="117"/>
      <c r="I53" s="117"/>
      <c r="J53" s="110"/>
      <c r="K53" s="110"/>
      <c r="L53" s="110"/>
      <c r="M53" s="110"/>
    </row>
    <row r="54" spans="1:13" ht="15" x14ac:dyDescent="0.25">
      <c r="A54" s="116"/>
      <c r="B54" s="110"/>
      <c r="C54" s="110"/>
      <c r="D54" s="110"/>
      <c r="E54" s="110"/>
      <c r="F54" s="112" t="s">
        <v>13</v>
      </c>
      <c r="G54" s="112"/>
      <c r="H54" s="112"/>
      <c r="I54" s="190"/>
      <c r="J54" s="112" t="s">
        <v>14</v>
      </c>
      <c r="K54" s="110"/>
      <c r="L54" s="110"/>
      <c r="M54" s="110"/>
    </row>
    <row r="55" spans="1:13" x14ac:dyDescent="0.2">
      <c r="A55" s="116" t="s">
        <v>417</v>
      </c>
      <c r="B55" s="110"/>
      <c r="C55" s="119"/>
      <c r="D55" s="110"/>
      <c r="E55" s="110"/>
      <c r="F55" s="117"/>
      <c r="G55" s="117"/>
      <c r="H55" s="117"/>
      <c r="I55" s="117"/>
      <c r="J55" s="110"/>
      <c r="K55" s="110"/>
      <c r="L55" s="110"/>
      <c r="M55" s="110"/>
    </row>
    <row r="56" spans="1:13" x14ac:dyDescent="0.2">
      <c r="A56" s="110"/>
      <c r="B56" s="110" t="s">
        <v>293</v>
      </c>
      <c r="C56" s="110"/>
      <c r="D56" s="110"/>
      <c r="E56" s="110"/>
      <c r="F56" s="101">
        <f>'CREDIT CALCULATION FORM'!F50</f>
        <v>41</v>
      </c>
      <c r="G56" s="117" t="s">
        <v>268</v>
      </c>
      <c r="H56" s="117"/>
      <c r="I56" s="117"/>
      <c r="J56" s="101">
        <f>'CREDIT CALCULATION FORM'!J50</f>
        <v>41</v>
      </c>
      <c r="K56" s="117" t="s">
        <v>268</v>
      </c>
      <c r="L56" s="117"/>
      <c r="M56" s="110"/>
    </row>
    <row r="57" spans="1:13" x14ac:dyDescent="0.2">
      <c r="A57" s="110"/>
      <c r="B57" s="131" t="s">
        <v>502</v>
      </c>
      <c r="C57" s="119"/>
      <c r="D57" s="116"/>
      <c r="E57" s="110"/>
      <c r="F57" s="247">
        <f>F56</f>
        <v>41</v>
      </c>
      <c r="G57" s="119" t="s">
        <v>268</v>
      </c>
      <c r="H57" s="117"/>
      <c r="I57" s="117"/>
      <c r="J57" s="247">
        <f>J56</f>
        <v>41</v>
      </c>
      <c r="K57" s="119" t="s">
        <v>268</v>
      </c>
      <c r="L57" s="117"/>
      <c r="M57" s="110"/>
    </row>
    <row r="58" spans="1:13" x14ac:dyDescent="0.2">
      <c r="A58" s="110"/>
      <c r="B58" s="110"/>
      <c r="C58" s="119"/>
      <c r="D58" s="110"/>
      <c r="E58" s="110"/>
      <c r="F58" s="117"/>
      <c r="G58" s="117"/>
      <c r="H58" s="117"/>
      <c r="I58" s="117"/>
      <c r="J58" s="110"/>
      <c r="K58" s="110"/>
      <c r="L58" s="110"/>
      <c r="M58" s="110"/>
    </row>
    <row r="59" spans="1:13" x14ac:dyDescent="0.2">
      <c r="A59" s="116" t="s">
        <v>421</v>
      </c>
      <c r="B59" s="110"/>
      <c r="C59" s="119"/>
      <c r="D59" s="110"/>
      <c r="E59" s="110"/>
      <c r="F59" s="117"/>
      <c r="G59" s="117"/>
      <c r="H59" s="117"/>
      <c r="I59" s="117"/>
      <c r="J59" s="110"/>
      <c r="K59" s="110"/>
      <c r="L59" s="110"/>
      <c r="M59" s="110"/>
    </row>
    <row r="60" spans="1:13" x14ac:dyDescent="0.2">
      <c r="A60" s="113" t="s">
        <v>374</v>
      </c>
      <c r="B60" s="110" t="s">
        <v>404</v>
      </c>
      <c r="C60" s="110"/>
      <c r="D60" s="110"/>
      <c r="E60" s="110"/>
      <c r="F60" s="500">
        <f>'CREDIT CALCULATION FORM'!F54:I54</f>
        <v>0</v>
      </c>
      <c r="G60" s="501"/>
      <c r="H60" s="501"/>
      <c r="I60" s="189"/>
      <c r="J60" s="500">
        <f>'CREDIT CALCULATION FORM'!J54:M54</f>
        <v>0</v>
      </c>
      <c r="K60" s="508"/>
      <c r="L60" s="509"/>
      <c r="M60" s="110"/>
    </row>
    <row r="61" spans="1:13" x14ac:dyDescent="0.2">
      <c r="A61" s="110"/>
      <c r="B61" s="117"/>
      <c r="C61" s="119" t="s">
        <v>115</v>
      </c>
      <c r="D61" s="110"/>
      <c r="E61" s="110"/>
      <c r="F61" s="503">
        <f>'CREDIT CALCULATION FORM'!F55:I55</f>
        <v>0</v>
      </c>
      <c r="G61" s="504"/>
      <c r="H61" s="504"/>
      <c r="I61" s="189"/>
      <c r="J61" s="503">
        <f>'CREDIT CALCULATION FORM'!J55:M55</f>
        <v>0</v>
      </c>
      <c r="K61" s="504"/>
      <c r="L61" s="505"/>
      <c r="M61" s="110"/>
    </row>
    <row r="62" spans="1:13" x14ac:dyDescent="0.2">
      <c r="A62" s="110"/>
      <c r="B62" s="117"/>
      <c r="C62" s="119" t="s">
        <v>275</v>
      </c>
      <c r="D62" s="110"/>
      <c r="E62" s="110"/>
      <c r="F62" s="101">
        <f>'CREDIT CALCULATION FORM'!F56</f>
        <v>0</v>
      </c>
      <c r="G62" s="119"/>
      <c r="H62" s="117"/>
      <c r="I62" s="117"/>
      <c r="J62" s="101">
        <f>'CREDIT CALCULATION FORM'!J56</f>
        <v>0</v>
      </c>
      <c r="K62" s="119"/>
      <c r="L62" s="117"/>
      <c r="M62" s="110"/>
    </row>
    <row r="63" spans="1:13" x14ac:dyDescent="0.2">
      <c r="A63" s="110"/>
      <c r="B63" s="117"/>
      <c r="C63" s="119" t="s">
        <v>273</v>
      </c>
      <c r="D63" s="110"/>
      <c r="E63" s="110"/>
      <c r="F63" s="101">
        <f>'CREDIT CALCULATION FORM'!F57</f>
        <v>0</v>
      </c>
      <c r="G63" s="117">
        <f>'CREDIT CALCULATION FORM'!G57</f>
        <v>0</v>
      </c>
      <c r="H63" s="110"/>
      <c r="I63" s="117"/>
      <c r="J63" s="101">
        <f>'CREDIT CALCULATION FORM'!J57</f>
        <v>0</v>
      </c>
      <c r="K63" s="117">
        <f>'CREDIT CALCULATION FORM'!K57</f>
        <v>0</v>
      </c>
      <c r="L63" s="110"/>
      <c r="M63" s="110"/>
    </row>
    <row r="64" spans="1:13" x14ac:dyDescent="0.2">
      <c r="A64" s="110"/>
      <c r="B64" s="117"/>
      <c r="C64" s="119" t="s">
        <v>276</v>
      </c>
      <c r="D64" s="110"/>
      <c r="E64" s="110"/>
      <c r="F64" s="103">
        <f>VLOOKUP(F61, 'Data Tables'!$A$249:$B$270, 2, FALSE)</f>
        <v>0</v>
      </c>
      <c r="G64" s="117">
        <f>'CREDIT CALCULATION FORM'!G57</f>
        <v>0</v>
      </c>
      <c r="H64" s="117"/>
      <c r="I64" s="110"/>
      <c r="J64" s="103">
        <f>VLOOKUP(J61, 'Data Tables'!$A$249:$B$270, 2, FALSE)</f>
        <v>0</v>
      </c>
      <c r="K64" s="117">
        <f>'CREDIT CALCULATION FORM'!K57</f>
        <v>0</v>
      </c>
      <c r="L64" s="117"/>
      <c r="M64" s="110"/>
    </row>
    <row r="65" spans="1:13" x14ac:dyDescent="0.2">
      <c r="A65" s="110"/>
      <c r="B65" s="117"/>
      <c r="C65" s="119" t="s">
        <v>16</v>
      </c>
      <c r="D65" s="110"/>
      <c r="E65" s="110"/>
      <c r="F65" s="101">
        <f>'CREDIT CALCULATION FORM'!F58</f>
        <v>0</v>
      </c>
      <c r="G65" s="117">
        <f>'CREDIT CALCULATION FORM'!G58</f>
        <v>0</v>
      </c>
      <c r="H65" s="117"/>
      <c r="I65" s="117"/>
      <c r="J65" s="101">
        <f>'CREDIT CALCULATION FORM'!J58</f>
        <v>0</v>
      </c>
      <c r="K65" s="117">
        <f>'CREDIT CALCULATION FORM'!K58</f>
        <v>0</v>
      </c>
      <c r="L65" s="117"/>
      <c r="M65" s="110"/>
    </row>
    <row r="66" spans="1:13" x14ac:dyDescent="0.2">
      <c r="A66" s="110"/>
      <c r="B66" s="117"/>
      <c r="C66" s="119"/>
      <c r="D66" s="110" t="str">
        <f>IF(F60="Late fall or winter", "Time when manure will be utilized:", "Days until incorporation:")</f>
        <v>Days until incorporation:</v>
      </c>
      <c r="E66" s="110"/>
      <c r="F66" s="500">
        <f>'CREDIT CALCULATION FORM'!F59:I59</f>
        <v>0</v>
      </c>
      <c r="G66" s="501"/>
      <c r="H66" s="501"/>
      <c r="I66" s="189"/>
      <c r="J66" s="500">
        <f>'CREDIT CALCULATION FORM'!J59:M59</f>
        <v>0</v>
      </c>
      <c r="K66" s="501"/>
      <c r="L66" s="502"/>
      <c r="M66" s="110"/>
    </row>
    <row r="67" spans="1:13" x14ac:dyDescent="0.2">
      <c r="A67" s="110"/>
      <c r="B67" s="117"/>
      <c r="C67" s="119"/>
      <c r="D67" s="110" t="s">
        <v>291</v>
      </c>
      <c r="E67" s="110"/>
      <c r="F67" s="506" t="str">
        <f>CONCATENATE(F60, F66)</f>
        <v>00</v>
      </c>
      <c r="G67" s="501"/>
      <c r="H67" s="501"/>
      <c r="I67" s="189"/>
      <c r="J67" s="506" t="str">
        <f>CONCATENATE(J60, J66)</f>
        <v>00</v>
      </c>
      <c r="K67" s="501"/>
      <c r="L67" s="502"/>
      <c r="M67" s="110"/>
    </row>
    <row r="68" spans="1:13" x14ac:dyDescent="0.2">
      <c r="A68" s="110"/>
      <c r="B68" s="117"/>
      <c r="C68" s="119"/>
      <c r="D68" s="110" t="s">
        <v>292</v>
      </c>
      <c r="E68" s="110"/>
      <c r="F68" s="102">
        <f>IF(OR(F61=$E$220, F61=$E$221, F61=$E$222, F61=$E$223, F61=$E$224, F61=$E$225, F61=$E$226, F61=$E$227), VLOOKUP(F67,'Data Tables'!$A$292:$B$306, 2, FALSE), IF(OR(F61=$E$228, F61=$E$229, F61=$E$230, F61=$E$231, F61=$E$232), VLOOKUP(F67, 'Data Tables'!$A$308:$B$322, 2, FALSE), IF(OR(F61=$E$233, F61=$E$234, F61=$E$235, F61=$E$236, F61=$E$237, F61=$E$238), VLOOKUP(F67, 'Data Tables'!$A$276:$B$290, 2, FALSE), VLOOKUP(F67, 'Data Tables'!$A$276:$B$323, 2, FALSE))))</f>
        <v>0</v>
      </c>
      <c r="G68" s="117"/>
      <c r="H68" s="117"/>
      <c r="I68" s="117"/>
      <c r="J68" s="102">
        <f>IF(OR(J61=$E$220, J61=$E$221, J61=$E$222, J61=$E$223, J61=$E$224, J61=$E$225, J61=$E$226, J61=$E$227), VLOOKUP(J67,'Data Tables'!$A$292:$B$306, 2, FALSE), IF(OR(J61=$E$228, J61=$E$229, J61=$E$230, J61=$E$231, J61=$E$232), VLOOKUP(J67, 'Data Tables'!$A$308:$B$322, 2, FALSE), IF(OR(J61=$E$233, J61=$E$234, J61=$E$235, J61=$E$236, J61=$E$237, J61=$E$238), VLOOKUP(J67, 'Data Tables'!$A$276:$B$290, 2, FALSE), VLOOKUP(J67, 'Data Tables'!$A$276:$B$323, 2, FALSE))))</f>
        <v>0</v>
      </c>
      <c r="K68" s="117"/>
      <c r="L68" s="117"/>
      <c r="M68" s="110"/>
    </row>
    <row r="69" spans="1:13" x14ac:dyDescent="0.2">
      <c r="A69" s="110"/>
      <c r="B69" s="110" t="s">
        <v>503</v>
      </c>
      <c r="C69" s="119"/>
      <c r="D69" s="110"/>
      <c r="E69" s="110"/>
      <c r="F69" s="247">
        <f>IF(F62="Yes", F65*F63, F65*F64)</f>
        <v>0</v>
      </c>
      <c r="G69" s="117" t="s">
        <v>268</v>
      </c>
      <c r="H69" s="117"/>
      <c r="I69" s="117"/>
      <c r="J69" s="247">
        <f>IF(J62="Yes", J65*J63, J65*J64)</f>
        <v>0</v>
      </c>
      <c r="K69" s="117" t="s">
        <v>268</v>
      </c>
      <c r="L69" s="117"/>
      <c r="M69" s="110"/>
    </row>
    <row r="70" spans="1:13" x14ac:dyDescent="0.2">
      <c r="A70" s="110"/>
      <c r="B70" s="131" t="s">
        <v>501</v>
      </c>
      <c r="C70" s="119"/>
      <c r="D70" s="116"/>
      <c r="E70" s="110"/>
      <c r="F70" s="247">
        <f>F68*F69</f>
        <v>0</v>
      </c>
      <c r="G70" s="119" t="s">
        <v>268</v>
      </c>
      <c r="H70" s="117"/>
      <c r="I70" s="117"/>
      <c r="J70" s="247">
        <f>J68*J69</f>
        <v>0</v>
      </c>
      <c r="K70" s="119" t="s">
        <v>268</v>
      </c>
      <c r="L70" s="117"/>
      <c r="M70" s="110"/>
    </row>
    <row r="71" spans="1:13" x14ac:dyDescent="0.2">
      <c r="A71" s="110"/>
      <c r="B71" s="110"/>
      <c r="C71" s="119"/>
      <c r="D71" s="110"/>
      <c r="E71" s="110"/>
      <c r="F71" s="117"/>
      <c r="G71" s="117"/>
      <c r="H71" s="117"/>
      <c r="I71" s="117"/>
      <c r="J71" s="110"/>
      <c r="K71" s="110"/>
      <c r="L71" s="110"/>
      <c r="M71" s="110"/>
    </row>
    <row r="72" spans="1:13" x14ac:dyDescent="0.2">
      <c r="A72" s="116" t="s">
        <v>423</v>
      </c>
      <c r="B72" s="110"/>
      <c r="C72" s="119"/>
      <c r="D72" s="110"/>
      <c r="E72" s="110"/>
      <c r="F72" s="117"/>
      <c r="G72" s="117"/>
      <c r="H72" s="117"/>
      <c r="I72" s="117"/>
      <c r="J72" s="110"/>
      <c r="K72" s="110"/>
      <c r="L72" s="110"/>
      <c r="M72" s="110"/>
    </row>
    <row r="73" spans="1:13" x14ac:dyDescent="0.2">
      <c r="A73" s="113" t="s">
        <v>374</v>
      </c>
      <c r="B73" s="110" t="s">
        <v>404</v>
      </c>
      <c r="C73" s="110"/>
      <c r="D73" s="110"/>
      <c r="E73" s="110"/>
      <c r="F73" s="500">
        <f>'CREDIT CALCULATION FORM'!F64:I64</f>
        <v>0</v>
      </c>
      <c r="G73" s="501"/>
      <c r="H73" s="501"/>
      <c r="I73" s="189"/>
      <c r="J73" s="500">
        <f>'CREDIT CALCULATION FORM'!J64:M64</f>
        <v>0</v>
      </c>
      <c r="K73" s="508"/>
      <c r="L73" s="509"/>
      <c r="M73" s="110"/>
    </row>
    <row r="74" spans="1:13" x14ac:dyDescent="0.2">
      <c r="A74" s="110"/>
      <c r="B74" s="117"/>
      <c r="C74" s="119" t="s">
        <v>115</v>
      </c>
      <c r="D74" s="110"/>
      <c r="E74" s="110"/>
      <c r="F74" s="503">
        <f>'CREDIT CALCULATION FORM'!F65</f>
        <v>0</v>
      </c>
      <c r="G74" s="504"/>
      <c r="H74" s="504"/>
      <c r="I74" s="189"/>
      <c r="J74" s="503">
        <f>'CREDIT CALCULATION FORM'!J65</f>
        <v>0</v>
      </c>
      <c r="K74" s="504"/>
      <c r="L74" s="505"/>
      <c r="M74" s="110"/>
    </row>
    <row r="75" spans="1:13" x14ac:dyDescent="0.2">
      <c r="A75" s="110"/>
      <c r="B75" s="117"/>
      <c r="C75" s="119" t="s">
        <v>275</v>
      </c>
      <c r="D75" s="110"/>
      <c r="E75" s="110"/>
      <c r="F75" s="101">
        <f>'CREDIT CALCULATION FORM'!F66</f>
        <v>0</v>
      </c>
      <c r="G75" s="119"/>
      <c r="H75" s="117"/>
      <c r="I75" s="117"/>
      <c r="J75" s="101">
        <f>'CREDIT CALCULATION FORM'!J66</f>
        <v>0</v>
      </c>
      <c r="K75" s="119"/>
      <c r="L75" s="117"/>
      <c r="M75" s="110"/>
    </row>
    <row r="76" spans="1:13" x14ac:dyDescent="0.2">
      <c r="A76" s="110"/>
      <c r="B76" s="117"/>
      <c r="C76" s="119" t="s">
        <v>273</v>
      </c>
      <c r="D76" s="110"/>
      <c r="E76" s="110"/>
      <c r="F76" s="101">
        <f>'CREDIT CALCULATION FORM'!F67</f>
        <v>0</v>
      </c>
      <c r="G76" s="117">
        <f>'CREDIT CALCULATION FORM'!G67</f>
        <v>0</v>
      </c>
      <c r="H76" s="110"/>
      <c r="I76" s="117"/>
      <c r="J76" s="101">
        <f>'CREDIT CALCULATION FORM'!J67</f>
        <v>0</v>
      </c>
      <c r="K76" s="117">
        <f>'CREDIT CALCULATION FORM'!K67</f>
        <v>0</v>
      </c>
      <c r="L76" s="110"/>
      <c r="M76" s="110"/>
    </row>
    <row r="77" spans="1:13" x14ac:dyDescent="0.2">
      <c r="A77" s="110"/>
      <c r="B77" s="117"/>
      <c r="C77" s="119" t="s">
        <v>276</v>
      </c>
      <c r="D77" s="110"/>
      <c r="E77" s="110"/>
      <c r="F77" s="103">
        <f>VLOOKUP(F74, 'Data Tables'!$A$249:$B$270, 2, FALSE)</f>
        <v>0</v>
      </c>
      <c r="G77" s="117">
        <f>'CREDIT CALCULATION FORM'!G67</f>
        <v>0</v>
      </c>
      <c r="H77" s="117"/>
      <c r="I77" s="110"/>
      <c r="J77" s="103">
        <f>VLOOKUP(J74, 'Data Tables'!$A$249:$B$270, 2, FALSE)</f>
        <v>0</v>
      </c>
      <c r="K77" s="117">
        <f>'CREDIT CALCULATION FORM'!K67</f>
        <v>0</v>
      </c>
      <c r="L77" s="117"/>
      <c r="M77" s="110"/>
    </row>
    <row r="78" spans="1:13" x14ac:dyDescent="0.2">
      <c r="A78" s="110"/>
      <c r="B78" s="117"/>
      <c r="C78" s="119" t="s">
        <v>16</v>
      </c>
      <c r="D78" s="110"/>
      <c r="E78" s="110"/>
      <c r="F78" s="101">
        <f>'CREDIT CALCULATION FORM'!F68</f>
        <v>0</v>
      </c>
      <c r="G78" s="117">
        <f>'CREDIT CALCULATION FORM'!G68</f>
        <v>0</v>
      </c>
      <c r="H78" s="117"/>
      <c r="I78" s="117"/>
      <c r="J78" s="101">
        <f>'CREDIT CALCULATION FORM'!J68</f>
        <v>0</v>
      </c>
      <c r="K78" s="117">
        <f>'CREDIT CALCULATION FORM'!K68</f>
        <v>0</v>
      </c>
      <c r="L78" s="117"/>
      <c r="M78" s="110"/>
    </row>
    <row r="79" spans="1:13" x14ac:dyDescent="0.2">
      <c r="A79" s="110"/>
      <c r="B79" s="117"/>
      <c r="C79" s="119"/>
      <c r="D79" s="110" t="str">
        <f>IF(F73="Late fall or winter", "Time when manure will be utilized:", "Days until incorporation:")</f>
        <v>Days until incorporation:</v>
      </c>
      <c r="E79" s="110"/>
      <c r="F79" s="500">
        <f>'CREDIT CALCULATION FORM'!F69</f>
        <v>0</v>
      </c>
      <c r="G79" s="501"/>
      <c r="H79" s="501"/>
      <c r="I79" s="189"/>
      <c r="J79" s="500">
        <f>'CREDIT CALCULATION FORM'!J69</f>
        <v>0</v>
      </c>
      <c r="K79" s="501"/>
      <c r="L79" s="502"/>
      <c r="M79" s="110"/>
    </row>
    <row r="80" spans="1:13" x14ac:dyDescent="0.2">
      <c r="A80" s="110"/>
      <c r="B80" s="117"/>
      <c r="C80" s="119"/>
      <c r="D80" s="110" t="s">
        <v>291</v>
      </c>
      <c r="E80" s="110"/>
      <c r="F80" s="506" t="str">
        <f>CONCATENATE(F73, F79)</f>
        <v>00</v>
      </c>
      <c r="G80" s="501"/>
      <c r="H80" s="501"/>
      <c r="I80" s="189"/>
      <c r="J80" s="506" t="str">
        <f>CONCATENATE(J73, J79)</f>
        <v>00</v>
      </c>
      <c r="K80" s="501"/>
      <c r="L80" s="502"/>
      <c r="M80" s="110"/>
    </row>
    <row r="81" spans="1:13" x14ac:dyDescent="0.2">
      <c r="A81" s="110"/>
      <c r="B81" s="117"/>
      <c r="C81" s="119"/>
      <c r="D81" s="110" t="s">
        <v>292</v>
      </c>
      <c r="E81" s="110"/>
      <c r="F81" s="102">
        <f>IF(OR(F74=$E$239, F74=$E$240, F74=$E$220, F74=$E$221, F74=$E$222, F74=$E$223, F74=$E$224, F74=$E$225, F74=$E$226), VLOOKUP(F80,'Data Tables'!$A$292:$B$306, 2, FALSE), IF(OR(F74=$E$228, F74=$E$229, F74=$E$230, F74=$E$231, F74=$E$232), VLOOKUP(F80, 'Data Tables'!$A$308:$B$322, 2, FALSE), IF(OR(F74=$E$233, F74=$E$234, F74=$E$235, F74=$E$236, F74=$E$237, F74=$E$238), VLOOKUP(F80, 'Data Tables'!$A$276:$B$290, 2, FALSE), VLOOKUP(F80, 'Data Tables'!$A$276:$B$323, 2, FALSE))))</f>
        <v>0</v>
      </c>
      <c r="G81" s="117"/>
      <c r="H81" s="117"/>
      <c r="I81" s="117"/>
      <c r="J81" s="102">
        <f>IF(OR(J74=$E$239, J74=$E$240, J74=$E$220, J74=$E$221, J74=$E$222, J74=$E$223, J74=$E$224, J74=$E$225, J74=$E$226), VLOOKUP(J80,'Data Tables'!$A$292:$B$306, 2, FALSE), IF(OR(J74=$E$228, J74=$E$229, J74=$E$230, J74=$E$231, J74=$E$232), VLOOKUP(J80, 'Data Tables'!$A$308:$B$322, 2, FALSE), IF(OR(J74=$E$233, J74=$E$234, J74=$E$235, J74=$E$236, J74=$E$237, J74=$E$238), VLOOKUP(J80, 'Data Tables'!$A$276:$B$290, 2, FALSE), VLOOKUP(J80, 'Data Tables'!$A$276:$B$323, 2, FALSE))))</f>
        <v>0</v>
      </c>
      <c r="K81" s="117"/>
      <c r="L81" s="117"/>
      <c r="M81" s="110"/>
    </row>
    <row r="82" spans="1:13" x14ac:dyDescent="0.2">
      <c r="A82" s="110"/>
      <c r="B82" s="110" t="s">
        <v>504</v>
      </c>
      <c r="C82" s="119"/>
      <c r="D82" s="110"/>
      <c r="E82" s="110"/>
      <c r="F82" s="247">
        <f>IF(F75="Yes", F78*F76, F78*F77)</f>
        <v>0</v>
      </c>
      <c r="G82" s="117" t="s">
        <v>268</v>
      </c>
      <c r="H82" s="117"/>
      <c r="I82" s="117"/>
      <c r="J82" s="247">
        <f>IF(J75="Yes", J78*J76, J78*J77)</f>
        <v>0</v>
      </c>
      <c r="K82" s="117" t="s">
        <v>268</v>
      </c>
      <c r="L82" s="117"/>
      <c r="M82" s="110"/>
    </row>
    <row r="83" spans="1:13" x14ac:dyDescent="0.2">
      <c r="A83" s="110"/>
      <c r="B83" s="131" t="s">
        <v>500</v>
      </c>
      <c r="C83" s="119"/>
      <c r="D83" s="116"/>
      <c r="E83" s="110"/>
      <c r="F83" s="247">
        <f>F81*F82</f>
        <v>0</v>
      </c>
      <c r="G83" s="119" t="s">
        <v>268</v>
      </c>
      <c r="H83" s="117"/>
      <c r="I83" s="117"/>
      <c r="J83" s="247">
        <f>J81*J82</f>
        <v>0</v>
      </c>
      <c r="K83" s="119" t="s">
        <v>268</v>
      </c>
      <c r="L83" s="117"/>
      <c r="M83" s="110"/>
    </row>
    <row r="84" spans="1:13" x14ac:dyDescent="0.2">
      <c r="A84" s="110"/>
      <c r="B84" s="110"/>
      <c r="C84" s="119"/>
      <c r="D84" s="110"/>
      <c r="E84" s="110"/>
      <c r="F84" s="117"/>
      <c r="G84" s="117"/>
      <c r="H84" s="117"/>
      <c r="I84" s="117"/>
      <c r="J84" s="110"/>
      <c r="K84" s="110"/>
      <c r="L84" s="110"/>
      <c r="M84" s="110"/>
    </row>
    <row r="85" spans="1:13" x14ac:dyDescent="0.2">
      <c r="A85" s="116" t="s">
        <v>422</v>
      </c>
      <c r="B85" s="110"/>
      <c r="C85" s="119"/>
      <c r="D85" s="110"/>
      <c r="E85" s="110"/>
      <c r="F85" s="117"/>
      <c r="G85" s="117"/>
      <c r="H85" s="117"/>
      <c r="I85" s="117"/>
      <c r="J85" s="110"/>
      <c r="K85" s="110"/>
      <c r="L85" s="110"/>
      <c r="M85" s="110"/>
    </row>
    <row r="86" spans="1:13" x14ac:dyDescent="0.2">
      <c r="A86" s="113" t="s">
        <v>374</v>
      </c>
      <c r="B86" s="110" t="s">
        <v>404</v>
      </c>
      <c r="C86" s="110"/>
      <c r="D86" s="110"/>
      <c r="E86" s="110"/>
      <c r="F86" s="500">
        <f>'CREDIT CALCULATION FORM'!F75:I75</f>
        <v>0</v>
      </c>
      <c r="G86" s="501"/>
      <c r="H86" s="501"/>
      <c r="I86" s="189"/>
      <c r="J86" s="500">
        <f>'CREDIT CALCULATION FORM'!J75:M75</f>
        <v>0</v>
      </c>
      <c r="K86" s="508"/>
      <c r="L86" s="509"/>
      <c r="M86" s="110"/>
    </row>
    <row r="87" spans="1:13" x14ac:dyDescent="0.2">
      <c r="A87" s="110"/>
      <c r="B87" s="117"/>
      <c r="C87" s="119" t="s">
        <v>115</v>
      </c>
      <c r="D87" s="110"/>
      <c r="E87" s="110"/>
      <c r="F87" s="503">
        <f>'CREDIT CALCULATION FORM'!F76</f>
        <v>0</v>
      </c>
      <c r="G87" s="504"/>
      <c r="H87" s="504"/>
      <c r="I87" s="189"/>
      <c r="J87" s="503">
        <f>'CREDIT CALCULATION FORM'!J76</f>
        <v>0</v>
      </c>
      <c r="K87" s="504"/>
      <c r="L87" s="505"/>
      <c r="M87" s="110"/>
    </row>
    <row r="88" spans="1:13" x14ac:dyDescent="0.2">
      <c r="A88" s="110"/>
      <c r="B88" s="117"/>
      <c r="C88" s="119" t="s">
        <v>275</v>
      </c>
      <c r="D88" s="110"/>
      <c r="E88" s="110"/>
      <c r="F88" s="101">
        <f>'CREDIT CALCULATION FORM'!F77</f>
        <v>0</v>
      </c>
      <c r="G88" s="119"/>
      <c r="H88" s="117"/>
      <c r="I88" s="117"/>
      <c r="J88" s="101">
        <f>'CREDIT CALCULATION FORM'!J77</f>
        <v>0</v>
      </c>
      <c r="K88" s="119"/>
      <c r="L88" s="117"/>
      <c r="M88" s="110"/>
    </row>
    <row r="89" spans="1:13" x14ac:dyDescent="0.2">
      <c r="A89" s="110"/>
      <c r="B89" s="117"/>
      <c r="C89" s="119" t="s">
        <v>273</v>
      </c>
      <c r="D89" s="110"/>
      <c r="E89" s="110"/>
      <c r="F89" s="101">
        <f>'CREDIT CALCULATION FORM'!F78</f>
        <v>0</v>
      </c>
      <c r="G89" s="117">
        <f>'CREDIT CALCULATION FORM'!G78</f>
        <v>0</v>
      </c>
      <c r="H89" s="110"/>
      <c r="I89" s="117"/>
      <c r="J89" s="101">
        <f>'CREDIT CALCULATION FORM'!J78</f>
        <v>0</v>
      </c>
      <c r="K89" s="117">
        <f>'CREDIT CALCULATION FORM'!K78</f>
        <v>0</v>
      </c>
      <c r="L89" s="110"/>
      <c r="M89" s="110"/>
    </row>
    <row r="90" spans="1:13" s="2" customFormat="1" x14ac:dyDescent="0.2">
      <c r="A90" s="110"/>
      <c r="B90" s="117"/>
      <c r="C90" s="119" t="s">
        <v>276</v>
      </c>
      <c r="D90" s="110"/>
      <c r="E90" s="110"/>
      <c r="F90" s="103">
        <f>VLOOKUP(F87, 'Data Tables'!$A$249:$B$270, 2, FALSE)</f>
        <v>0</v>
      </c>
      <c r="G90" s="117">
        <f>'CREDIT CALCULATION FORM'!G78</f>
        <v>0</v>
      </c>
      <c r="H90" s="117"/>
      <c r="I90" s="110"/>
      <c r="J90" s="103">
        <f>VLOOKUP(J87, 'Data Tables'!$A$249:$B$270, 2, FALSE)</f>
        <v>0</v>
      </c>
      <c r="K90" s="117">
        <f>'CREDIT CALCULATION FORM'!K78</f>
        <v>0</v>
      </c>
      <c r="L90" s="117"/>
      <c r="M90" s="110"/>
    </row>
    <row r="91" spans="1:13" s="2" customFormat="1" x14ac:dyDescent="0.2">
      <c r="A91" s="110"/>
      <c r="B91" s="117"/>
      <c r="C91" s="119" t="s">
        <v>16</v>
      </c>
      <c r="D91" s="110"/>
      <c r="E91" s="110"/>
      <c r="F91" s="101">
        <f>'CREDIT CALCULATION FORM'!F79</f>
        <v>0</v>
      </c>
      <c r="G91" s="117">
        <f>'CREDIT CALCULATION FORM'!G79</f>
        <v>0</v>
      </c>
      <c r="H91" s="117"/>
      <c r="I91" s="117"/>
      <c r="J91" s="101">
        <f>'CREDIT CALCULATION FORM'!J79</f>
        <v>0</v>
      </c>
      <c r="K91" s="117">
        <f>'CREDIT CALCULATION FORM'!K79</f>
        <v>0</v>
      </c>
      <c r="L91" s="117"/>
      <c r="M91" s="110"/>
    </row>
    <row r="92" spans="1:13" x14ac:dyDescent="0.2">
      <c r="A92" s="110"/>
      <c r="B92" s="117"/>
      <c r="C92" s="119"/>
      <c r="D92" s="110" t="str">
        <f>IF(F86="Late fall or winter", "Time when manure will be utilized:", "Days until incorporation:")</f>
        <v>Days until incorporation:</v>
      </c>
      <c r="E92" s="110"/>
      <c r="F92" s="500">
        <f>'CREDIT CALCULATION FORM'!F80</f>
        <v>0</v>
      </c>
      <c r="G92" s="501"/>
      <c r="H92" s="501"/>
      <c r="I92" s="189"/>
      <c r="J92" s="500">
        <f>'CREDIT CALCULATION FORM'!J80</f>
        <v>0</v>
      </c>
      <c r="K92" s="501"/>
      <c r="L92" s="502"/>
      <c r="M92" s="110"/>
    </row>
    <row r="93" spans="1:13" x14ac:dyDescent="0.2">
      <c r="A93" s="110"/>
      <c r="B93" s="117"/>
      <c r="C93" s="119"/>
      <c r="D93" s="110" t="s">
        <v>291</v>
      </c>
      <c r="E93" s="110"/>
      <c r="F93" s="506" t="str">
        <f>CONCATENATE(F86, F92)</f>
        <v>00</v>
      </c>
      <c r="G93" s="501"/>
      <c r="H93" s="501"/>
      <c r="I93" s="189"/>
      <c r="J93" s="506" t="str">
        <f>CONCATENATE(J86, J92)</f>
        <v>00</v>
      </c>
      <c r="K93" s="501"/>
      <c r="L93" s="502"/>
      <c r="M93" s="110"/>
    </row>
    <row r="94" spans="1:13" x14ac:dyDescent="0.2">
      <c r="A94" s="110"/>
      <c r="B94" s="117"/>
      <c r="C94" s="119"/>
      <c r="D94" s="110" t="s">
        <v>292</v>
      </c>
      <c r="E94" s="110"/>
      <c r="F94" s="102">
        <f>IF(OR(F87=$E$239, F87=$E$240, F87=$E$220, F87=$E$221, F87=$E$222, F87=$E$223, F87=$E$224, F87=$E$225, F87=$E$226), VLOOKUP(F93,'Data Tables'!$A$292:$B$306, 2, FALSE), IF(OR(F87=$E$228, F87=$E$229, F87=$E$230, F87=$E$231, F87=$E$232), VLOOKUP(F93, 'Data Tables'!$A$308:$B$322, 2, FALSE), IF(OR(F87=$E$233, F87=$E$234, F87=$E$235, F87=$E$236, F87=$E$237, F87=$E$238), VLOOKUP(F93, 'Data Tables'!$A$276:$B$290, 2, FALSE), VLOOKUP(F93, 'Data Tables'!$A$276:$B$323, 2, FALSE))))</f>
        <v>0</v>
      </c>
      <c r="G94" s="117"/>
      <c r="H94" s="117"/>
      <c r="I94" s="117"/>
      <c r="J94" s="102">
        <f>IF(OR(J87=$E$239, J87=$E$240, J87=$E$220, J87=$E$221, J87=$E$222, J87=$E$223, J87=$E$224, J87=$E$225, J87=$E$226), VLOOKUP(J93,'Data Tables'!$A$292:$B$306, 2, FALSE), IF(OR(J87=$E$228, J87=$E$229, J87=$E$230, J87=$E$231, J87=$E$232), VLOOKUP(J93, 'Data Tables'!$A$308:$B$322, 2, FALSE), IF(OR(J87=$E$233, J87=$E$234, J87=$E$235, J87=$E$236, J87=$E$237, J87=$E$238), VLOOKUP(J93, 'Data Tables'!$A$276:$B$290, 2, FALSE), VLOOKUP(J93, 'Data Tables'!$A$276:$B$323, 2, FALSE))))</f>
        <v>0</v>
      </c>
      <c r="K94" s="117"/>
      <c r="L94" s="117"/>
      <c r="M94" s="110"/>
    </row>
    <row r="95" spans="1:13" x14ac:dyDescent="0.2">
      <c r="A95" s="110"/>
      <c r="B95" s="110" t="s">
        <v>505</v>
      </c>
      <c r="C95" s="119"/>
      <c r="D95" s="110"/>
      <c r="E95" s="110"/>
      <c r="F95" s="247">
        <f>IF(F88="Yes", F91*F89, F91*F90)</f>
        <v>0</v>
      </c>
      <c r="G95" s="117" t="s">
        <v>268</v>
      </c>
      <c r="H95" s="117"/>
      <c r="I95" s="117"/>
      <c r="J95" s="247">
        <f>IF(J88="Yes", J91*J89, J91*J90)</f>
        <v>0</v>
      </c>
      <c r="K95" s="117" t="s">
        <v>268</v>
      </c>
      <c r="L95" s="117"/>
      <c r="M95" s="110"/>
    </row>
    <row r="96" spans="1:13" x14ac:dyDescent="0.2">
      <c r="A96" s="110"/>
      <c r="B96" s="131" t="s">
        <v>499</v>
      </c>
      <c r="C96" s="119"/>
      <c r="D96" s="116"/>
      <c r="E96" s="110"/>
      <c r="F96" s="247">
        <f>F94*F95</f>
        <v>0</v>
      </c>
      <c r="G96" s="119" t="s">
        <v>268</v>
      </c>
      <c r="H96" s="117"/>
      <c r="I96" s="117"/>
      <c r="J96" s="247">
        <f>J94*J95</f>
        <v>0</v>
      </c>
      <c r="K96" s="119" t="s">
        <v>268</v>
      </c>
      <c r="L96" s="117"/>
      <c r="M96" s="110"/>
    </row>
    <row r="97" spans="1:13" ht="13.5" thickBot="1" x14ac:dyDescent="0.25">
      <c r="A97" s="110"/>
      <c r="B97" s="131"/>
      <c r="C97" s="119"/>
      <c r="D97" s="116"/>
      <c r="E97" s="110"/>
      <c r="F97" s="122"/>
      <c r="G97" s="119"/>
      <c r="H97" s="117"/>
      <c r="I97" s="117"/>
      <c r="J97" s="110"/>
      <c r="K97" s="110"/>
      <c r="L97" s="110"/>
      <c r="M97" s="110"/>
    </row>
    <row r="98" spans="1:13" ht="13.5" thickBot="1" x14ac:dyDescent="0.25">
      <c r="A98" s="110"/>
      <c r="B98" s="116" t="s">
        <v>510</v>
      </c>
      <c r="C98" s="119"/>
      <c r="D98" s="110"/>
      <c r="E98" s="110"/>
      <c r="F98" s="402">
        <f>SUM(F57, F69, F82, F95)</f>
        <v>41</v>
      </c>
      <c r="G98" s="119" t="s">
        <v>268</v>
      </c>
      <c r="H98" s="191" t="s">
        <v>14</v>
      </c>
      <c r="I98" s="117"/>
      <c r="J98" s="402">
        <f>IF(SUM(J57, J69, J82, J95)=0, F98, SUM(J57, J82, J69,J95))</f>
        <v>41</v>
      </c>
      <c r="K98" s="110" t="s">
        <v>268</v>
      </c>
      <c r="L98" s="110"/>
      <c r="M98" s="110"/>
    </row>
    <row r="99" spans="1:13" ht="13.5" thickBot="1" x14ac:dyDescent="0.25">
      <c r="A99" s="110"/>
      <c r="B99" s="116" t="s">
        <v>511</v>
      </c>
      <c r="C99" s="119"/>
      <c r="D99" s="110"/>
      <c r="E99" s="110"/>
      <c r="F99" s="402">
        <f>SUM(F96, F83, F70, F57)</f>
        <v>41</v>
      </c>
      <c r="G99" s="119" t="s">
        <v>268</v>
      </c>
      <c r="H99" s="191" t="s">
        <v>14</v>
      </c>
      <c r="I99" s="191"/>
      <c r="J99" s="402">
        <f>IF(SUM(J96, J83, J70, J57)=0, F99, SUM(J96, J83, J70, J57))</f>
        <v>41</v>
      </c>
      <c r="K99" s="110" t="s">
        <v>268</v>
      </c>
      <c r="L99" s="110"/>
      <c r="M99" s="110"/>
    </row>
    <row r="100" spans="1:13" x14ac:dyDescent="0.2">
      <c r="A100" s="110"/>
      <c r="B100" s="110"/>
      <c r="C100" s="119"/>
      <c r="D100" s="110"/>
      <c r="E100" s="110"/>
      <c r="F100" s="117"/>
      <c r="G100" s="117"/>
      <c r="H100" s="117"/>
      <c r="I100" s="117"/>
      <c r="J100" s="110"/>
      <c r="K100" s="110"/>
      <c r="L100" s="110"/>
      <c r="M100" s="110"/>
    </row>
    <row r="101" spans="1:13" x14ac:dyDescent="0.2">
      <c r="A101" s="2"/>
      <c r="B101" s="3"/>
      <c r="C101" s="17"/>
      <c r="D101" s="2"/>
      <c r="E101" s="2"/>
      <c r="F101" s="3"/>
      <c r="G101" s="3"/>
      <c r="H101" s="3"/>
      <c r="I101" s="3"/>
      <c r="J101" s="2"/>
      <c r="K101" s="2"/>
      <c r="L101" s="2"/>
      <c r="M101" s="2"/>
    </row>
    <row r="102" spans="1:13" s="2" customFormat="1" x14ac:dyDescent="0.2">
      <c r="A102" s="116" t="s">
        <v>295</v>
      </c>
      <c r="B102" s="117"/>
      <c r="C102" s="119"/>
      <c r="D102" s="110"/>
      <c r="E102" s="110"/>
      <c r="F102" s="117"/>
      <c r="G102" s="117"/>
      <c r="H102" s="117"/>
      <c r="I102" s="117"/>
      <c r="J102" s="110"/>
      <c r="K102" s="110"/>
      <c r="L102" s="110"/>
      <c r="M102" s="110"/>
    </row>
    <row r="103" spans="1:13" s="2" customFormat="1" x14ac:dyDescent="0.2">
      <c r="A103" s="110"/>
      <c r="B103" s="119" t="s">
        <v>380</v>
      </c>
      <c r="C103" s="110"/>
      <c r="D103" s="110"/>
      <c r="E103" s="110"/>
      <c r="F103" s="500" t="str">
        <f>'CREDIT CALCULATION FORM'!F100</f>
        <v>Rarely received manure in past (&lt;2 out of 5 yrs)</v>
      </c>
      <c r="G103" s="508"/>
      <c r="H103" s="508"/>
      <c r="I103" s="508"/>
      <c r="J103" s="509"/>
      <c r="K103" s="110"/>
      <c r="L103" s="110"/>
      <c r="M103" s="110"/>
    </row>
    <row r="104" spans="1:13" s="2" customFormat="1" x14ac:dyDescent="0.2">
      <c r="A104" s="110"/>
      <c r="B104" s="119"/>
      <c r="C104" s="110"/>
      <c r="D104" s="110" t="s">
        <v>381</v>
      </c>
      <c r="E104" s="110"/>
      <c r="F104" s="139">
        <f>VLOOKUP(F103, 'Data Tables'!A126:B129, 2, FALSE)</f>
        <v>0</v>
      </c>
      <c r="G104" s="119" t="s">
        <v>268</v>
      </c>
      <c r="H104" s="130"/>
      <c r="I104" s="117"/>
      <c r="J104" s="110"/>
      <c r="K104" s="110"/>
      <c r="L104" s="110"/>
      <c r="M104" s="110"/>
    </row>
    <row r="105" spans="1:13" x14ac:dyDescent="0.2">
      <c r="A105" s="110"/>
      <c r="B105" s="117" t="s">
        <v>297</v>
      </c>
      <c r="C105" s="110"/>
      <c r="D105" s="110"/>
      <c r="E105" s="110"/>
      <c r="F105" s="548" t="str">
        <f>'CREDIT CALCULATION FORM'!F101</f>
        <v>NONE</v>
      </c>
      <c r="G105" s="549"/>
      <c r="H105" s="549"/>
      <c r="I105" s="550"/>
      <c r="J105" s="110"/>
      <c r="K105" s="110"/>
      <c r="L105" s="110"/>
      <c r="M105" s="110"/>
    </row>
    <row r="106" spans="1:13" x14ac:dyDescent="0.2">
      <c r="A106" s="110"/>
      <c r="B106" s="117"/>
      <c r="C106" s="110" t="s">
        <v>447</v>
      </c>
      <c r="D106" s="110"/>
      <c r="E106" s="110"/>
      <c r="F106" s="474" t="str">
        <f>'CREDIT CALCULATION FORM'!F102</f>
        <v>Barbour</v>
      </c>
      <c r="G106" s="501"/>
      <c r="H106" s="501"/>
      <c r="I106" s="502"/>
      <c r="J106" s="110"/>
      <c r="K106" s="110"/>
      <c r="L106" s="110"/>
      <c r="M106" s="110"/>
    </row>
    <row r="107" spans="1:13" x14ac:dyDescent="0.2">
      <c r="A107" s="110"/>
      <c r="B107" s="117"/>
      <c r="C107" s="110" t="s">
        <v>448</v>
      </c>
      <c r="D107" s="110"/>
      <c r="E107" s="110"/>
      <c r="F107" s="218">
        <f>VLOOKUP(F106, 'Data Tables'!A133:B245, 2, FALSE)</f>
        <v>1</v>
      </c>
      <c r="G107" s="217"/>
      <c r="H107" s="217"/>
      <c r="I107" s="217"/>
      <c r="J107" s="110"/>
      <c r="K107" s="110"/>
      <c r="L107" s="110"/>
      <c r="M107" s="110"/>
    </row>
    <row r="108" spans="1:13" x14ac:dyDescent="0.2">
      <c r="A108" s="110"/>
      <c r="B108" s="117"/>
      <c r="C108" s="119" t="s">
        <v>373</v>
      </c>
      <c r="D108" s="110"/>
      <c r="E108" s="110"/>
      <c r="F108" s="215">
        <f>'CREDIT CALCULATION FORM'!F103</f>
        <v>0</v>
      </c>
      <c r="G108" s="119" t="s">
        <v>588</v>
      </c>
      <c r="H108" s="117"/>
      <c r="I108" s="117"/>
      <c r="J108" s="110"/>
      <c r="K108" s="110"/>
      <c r="L108" s="110"/>
      <c r="M108" s="110"/>
    </row>
    <row r="109" spans="1:13" x14ac:dyDescent="0.2">
      <c r="A109" s="110"/>
      <c r="B109" s="117"/>
      <c r="C109" s="119" t="s">
        <v>449</v>
      </c>
      <c r="D109" s="110"/>
      <c r="E109" s="110"/>
      <c r="F109" s="506" t="str">
        <f>CONCATENATE(F105, F107)</f>
        <v>NONE1</v>
      </c>
      <c r="G109" s="501"/>
      <c r="H109" s="501"/>
      <c r="I109" s="502"/>
      <c r="J109" s="110"/>
      <c r="K109" s="110"/>
      <c r="L109" s="110"/>
      <c r="M109" s="110"/>
    </row>
    <row r="110" spans="1:13" x14ac:dyDescent="0.2">
      <c r="A110" s="110"/>
      <c r="B110" s="117"/>
      <c r="C110" s="119"/>
      <c r="D110" s="110"/>
      <c r="E110" s="110"/>
      <c r="F110" s="141"/>
      <c r="G110" s="122"/>
      <c r="H110" s="122"/>
      <c r="I110" s="122"/>
      <c r="J110" s="110"/>
      <c r="K110" s="110"/>
      <c r="L110" s="110"/>
      <c r="M110" s="110"/>
    </row>
    <row r="111" spans="1:13" x14ac:dyDescent="0.2">
      <c r="A111" s="110"/>
      <c r="B111" s="110"/>
      <c r="C111" s="110"/>
      <c r="D111" s="116" t="s">
        <v>383</v>
      </c>
      <c r="E111" s="110"/>
      <c r="F111" s="247">
        <f>IF(F105=B336,F104+F108, IF(F105="NONE",F104, VLOOKUP(F109, 'Data Tables'!A84:B120, 2, FALSE)+F104))</f>
        <v>0</v>
      </c>
      <c r="G111" s="117" t="s">
        <v>268</v>
      </c>
      <c r="H111" s="130"/>
      <c r="I111" s="117"/>
      <c r="J111" s="110"/>
      <c r="K111" s="110"/>
      <c r="L111" s="110"/>
      <c r="M111" s="110"/>
    </row>
    <row r="112" spans="1:13" x14ac:dyDescent="0.2">
      <c r="A112" s="110"/>
      <c r="B112" s="110"/>
      <c r="C112" s="110"/>
      <c r="D112" s="116"/>
      <c r="E112" s="110"/>
      <c r="F112" s="122"/>
      <c r="G112" s="117"/>
      <c r="H112" s="130"/>
      <c r="I112" s="117"/>
      <c r="J112" s="110"/>
      <c r="K112" s="110"/>
      <c r="L112" s="110"/>
      <c r="M112" s="110"/>
    </row>
    <row r="113" spans="1:15" x14ac:dyDescent="0.2">
      <c r="A113" s="2"/>
      <c r="B113" s="2"/>
      <c r="C113" s="2"/>
      <c r="D113" s="153"/>
      <c r="E113" s="2"/>
      <c r="F113" s="45"/>
      <c r="G113" s="3"/>
      <c r="H113" s="18"/>
      <c r="I113" s="3"/>
      <c r="J113" s="2"/>
      <c r="K113" s="2"/>
      <c r="L113" s="2"/>
      <c r="M113" s="2"/>
    </row>
    <row r="114" spans="1:15" ht="15" x14ac:dyDescent="0.25">
      <c r="A114" s="112" t="s">
        <v>533</v>
      </c>
      <c r="B114" s="110"/>
      <c r="C114" s="110"/>
      <c r="D114" s="116"/>
      <c r="E114" s="110"/>
      <c r="F114" s="122"/>
      <c r="G114" s="117"/>
      <c r="H114" s="130"/>
      <c r="I114" s="117"/>
      <c r="J114" s="110"/>
      <c r="K114" s="110"/>
      <c r="L114" s="110"/>
      <c r="M114" s="110"/>
    </row>
    <row r="115" spans="1:15" x14ac:dyDescent="0.2">
      <c r="A115" s="110"/>
      <c r="B115" s="110"/>
      <c r="C115" s="110"/>
      <c r="D115" s="116"/>
      <c r="E115" s="110"/>
      <c r="F115" s="122"/>
      <c r="G115" s="117"/>
      <c r="H115" s="130"/>
      <c r="I115" s="117"/>
      <c r="J115" s="110"/>
      <c r="K115" s="110"/>
      <c r="L115" s="110"/>
      <c r="M115" s="110"/>
    </row>
    <row r="116" spans="1:15" x14ac:dyDescent="0.2">
      <c r="A116" s="110"/>
      <c r="B116" s="110"/>
      <c r="C116" s="124" t="s">
        <v>564</v>
      </c>
      <c r="D116" s="124"/>
      <c r="E116" s="124"/>
      <c r="F116" s="247">
        <f>IF(F41="yield", F42*F44, F42)</f>
        <v>50</v>
      </c>
      <c r="G116" s="124" t="s">
        <v>365</v>
      </c>
      <c r="H116" s="122"/>
      <c r="I116" s="122"/>
      <c r="J116" s="120"/>
      <c r="K116" s="120"/>
      <c r="L116" s="110"/>
      <c r="M116" s="110"/>
    </row>
    <row r="117" spans="1:15" x14ac:dyDescent="0.2">
      <c r="A117" s="110"/>
      <c r="B117" s="110"/>
      <c r="C117" s="278" t="s">
        <v>508</v>
      </c>
      <c r="D117" s="278"/>
      <c r="E117" s="278"/>
      <c r="F117" s="424">
        <f>F99+F111</f>
        <v>41</v>
      </c>
      <c r="G117" s="117" t="s">
        <v>268</v>
      </c>
      <c r="H117" s="117"/>
      <c r="I117" s="117"/>
      <c r="J117" s="110"/>
      <c r="K117" s="110"/>
      <c r="L117" s="110"/>
      <c r="M117" s="110"/>
    </row>
    <row r="118" spans="1:15" ht="12.75" customHeight="1" thickBot="1" x14ac:dyDescent="0.25">
      <c r="A118" s="110"/>
      <c r="B118" s="110"/>
      <c r="C118" s="278" t="s">
        <v>509</v>
      </c>
      <c r="D118" s="278"/>
      <c r="E118" s="278"/>
      <c r="F118" s="389">
        <f>F111+J99</f>
        <v>41</v>
      </c>
      <c r="G118" s="117" t="s">
        <v>268</v>
      </c>
      <c r="H118" s="117"/>
      <c r="I118" s="117"/>
      <c r="J118" s="110"/>
      <c r="K118" s="110"/>
      <c r="L118" s="110"/>
      <c r="M118" s="110"/>
      <c r="N118" s="22"/>
      <c r="O118" s="22"/>
    </row>
    <row r="119" spans="1:15" ht="12.75" customHeight="1" thickBot="1" x14ac:dyDescent="0.25">
      <c r="A119" s="110"/>
      <c r="B119" s="110"/>
      <c r="C119" s="278" t="s">
        <v>254</v>
      </c>
      <c r="D119" s="278"/>
      <c r="E119" s="278"/>
      <c r="F119" s="395" t="str">
        <f>IF((F118&gt;F116+0.4),"Yes", IF(F118=0, "0", "No"))</f>
        <v>No</v>
      </c>
      <c r="G119" s="117"/>
      <c r="H119" s="117"/>
      <c r="I119" s="117"/>
      <c r="J119" s="110"/>
      <c r="K119" s="110"/>
      <c r="L119" s="110"/>
      <c r="M119" s="110"/>
      <c r="N119" s="22"/>
      <c r="O119" s="22"/>
    </row>
    <row r="120" spans="1:15" ht="12.75" customHeight="1" thickBot="1" x14ac:dyDescent="0.25">
      <c r="A120" s="110"/>
      <c r="B120" s="110"/>
      <c r="C120" s="131" t="s">
        <v>255</v>
      </c>
      <c r="D120" s="278"/>
      <c r="E120" s="278"/>
      <c r="F120" s="395" t="str">
        <f>IF(F119="Yes","No", IF(F119="0", "0","Yes"))</f>
        <v>Yes</v>
      </c>
      <c r="G120" s="117"/>
      <c r="H120" s="117"/>
      <c r="I120" s="117"/>
      <c r="J120" s="110"/>
      <c r="K120" s="110"/>
      <c r="L120" s="110"/>
      <c r="M120" s="110"/>
      <c r="N120" s="22"/>
      <c r="O120" s="22"/>
    </row>
    <row r="121" spans="1:15" x14ac:dyDescent="0.2">
      <c r="A121" s="110"/>
      <c r="B121" s="110"/>
      <c r="C121" s="116"/>
      <c r="D121" s="110"/>
      <c r="E121" s="110"/>
      <c r="F121" s="122"/>
      <c r="G121" s="117"/>
      <c r="H121" s="117"/>
      <c r="I121" s="117"/>
      <c r="J121" s="110"/>
      <c r="K121" s="110"/>
      <c r="L121" s="110"/>
      <c r="M121" s="110"/>
    </row>
    <row r="122" spans="1:15" ht="12.75" customHeight="1" x14ac:dyDescent="0.2">
      <c r="A122" s="110"/>
      <c r="B122" s="116" t="s">
        <v>512</v>
      </c>
      <c r="C122" s="278"/>
      <c r="D122" s="278"/>
      <c r="E122" s="278"/>
      <c r="F122" s="425"/>
      <c r="G122" s="117"/>
      <c r="H122" s="117"/>
      <c r="I122" s="117"/>
      <c r="J122" s="110"/>
      <c r="K122" s="110"/>
      <c r="L122" s="110"/>
      <c r="M122" s="110"/>
      <c r="N122" s="22"/>
      <c r="O122" s="22"/>
    </row>
    <row r="123" spans="1:15" x14ac:dyDescent="0.2">
      <c r="A123" s="110"/>
      <c r="B123" s="110"/>
      <c r="C123" s="131" t="s">
        <v>513</v>
      </c>
      <c r="D123" s="110"/>
      <c r="E123" s="110"/>
      <c r="F123" s="364">
        <f>IF(F117&gt;F116,(F117-F116)*(1+(1-((F99+F111)/(F98+F111)))),0)</f>
        <v>0</v>
      </c>
      <c r="G123" s="117" t="s">
        <v>268</v>
      </c>
      <c r="H123" s="122"/>
      <c r="I123" s="122"/>
      <c r="J123" s="110"/>
      <c r="K123" s="110"/>
      <c r="L123" s="110"/>
      <c r="M123" s="110"/>
    </row>
    <row r="124" spans="1:15" x14ac:dyDescent="0.2">
      <c r="A124" s="110"/>
      <c r="B124" s="110"/>
      <c r="C124" s="131" t="s">
        <v>514</v>
      </c>
      <c r="D124" s="110"/>
      <c r="E124" s="110"/>
      <c r="F124" s="397">
        <f>IF(F118&gt;(F116+0.4),"0", IF(0&gt;(F98-J98-F123), "0", (F98-J98-F123)))</f>
        <v>0</v>
      </c>
      <c r="G124" s="117" t="s">
        <v>268</v>
      </c>
      <c r="H124" s="257"/>
      <c r="I124" s="122"/>
      <c r="J124" s="110"/>
      <c r="K124" s="110"/>
      <c r="L124" s="110"/>
      <c r="M124" s="110"/>
    </row>
    <row r="125" spans="1:15" ht="12.75" customHeight="1" thickBot="1" x14ac:dyDescent="0.25">
      <c r="A125" s="110"/>
      <c r="B125" s="110"/>
      <c r="C125" s="116" t="s">
        <v>570</v>
      </c>
      <c r="D125" s="110"/>
      <c r="E125" s="110"/>
      <c r="F125" s="248">
        <f>F124*F43</f>
        <v>0</v>
      </c>
      <c r="G125" s="110" t="s">
        <v>298</v>
      </c>
      <c r="H125" s="110"/>
      <c r="I125" s="129"/>
      <c r="J125" s="110"/>
      <c r="K125" s="110"/>
      <c r="L125" s="110"/>
      <c r="M125" s="110"/>
    </row>
    <row r="126" spans="1:15" ht="13.5" thickBot="1" x14ac:dyDescent="0.25">
      <c r="A126" s="110"/>
      <c r="B126" s="110"/>
      <c r="C126" s="116" t="s">
        <v>571</v>
      </c>
      <c r="D126" s="110"/>
      <c r="E126" s="110"/>
      <c r="F126" s="371">
        <f>F125*F48</f>
        <v>0</v>
      </c>
      <c r="G126" s="110" t="s">
        <v>298</v>
      </c>
      <c r="H126" s="110"/>
      <c r="I126" s="110"/>
      <c r="J126" s="110"/>
      <c r="K126" s="110"/>
      <c r="L126" s="110"/>
      <c r="M126" s="110"/>
    </row>
    <row r="127" spans="1:15" x14ac:dyDescent="0.2">
      <c r="A127" s="110"/>
      <c r="B127" s="116"/>
      <c r="C127" s="110"/>
      <c r="D127" s="110"/>
      <c r="E127" s="110"/>
      <c r="F127" s="120"/>
      <c r="G127" s="110"/>
      <c r="H127" s="110"/>
      <c r="I127" s="110"/>
      <c r="J127" s="110"/>
      <c r="K127" s="110"/>
      <c r="L127" s="110"/>
      <c r="M127" s="110"/>
    </row>
    <row r="128" spans="1:15" ht="13.5" thickBot="1" x14ac:dyDescent="0.25">
      <c r="A128" s="110"/>
      <c r="B128" s="116" t="s">
        <v>530</v>
      </c>
      <c r="C128" s="110"/>
      <c r="D128" s="110"/>
      <c r="E128" s="110"/>
      <c r="F128" s="117"/>
      <c r="G128" s="117"/>
      <c r="H128" s="130"/>
      <c r="I128" s="117"/>
      <c r="J128" s="110"/>
      <c r="K128" s="110"/>
      <c r="L128" s="110"/>
      <c r="M128" s="110"/>
    </row>
    <row r="129" spans="1:15" ht="13.5" thickBot="1" x14ac:dyDescent="0.25">
      <c r="A129" s="110"/>
      <c r="B129" s="124" t="s">
        <v>361</v>
      </c>
      <c r="C129" s="110"/>
      <c r="D129" s="124"/>
      <c r="E129" s="124"/>
      <c r="F129" s="402">
        <f>IF(F120="No", 0, F111+J98)</f>
        <v>41</v>
      </c>
      <c r="G129" s="124" t="s">
        <v>268</v>
      </c>
      <c r="H129" s="122"/>
      <c r="I129" s="122"/>
      <c r="J129" s="120"/>
      <c r="K129" s="120"/>
      <c r="L129" s="110"/>
      <c r="M129" s="110"/>
    </row>
    <row r="130" spans="1:15" x14ac:dyDescent="0.2">
      <c r="A130" s="110"/>
      <c r="B130" s="124" t="s">
        <v>563</v>
      </c>
      <c r="C130" s="110"/>
      <c r="D130" s="124"/>
      <c r="E130" s="124"/>
      <c r="F130" s="424">
        <f>VLOOKUP(F40, 'Data Tables'!A4:D78, 4, FALSE)*F44</f>
        <v>5.7</v>
      </c>
      <c r="G130" s="122" t="s">
        <v>268</v>
      </c>
      <c r="H130" s="122"/>
      <c r="I130" s="122"/>
      <c r="J130" s="120"/>
      <c r="K130" s="120"/>
      <c r="L130" s="110"/>
      <c r="M130" s="110"/>
    </row>
    <row r="131" spans="1:15" ht="12.75" customHeight="1" x14ac:dyDescent="0.2">
      <c r="A131" s="110"/>
      <c r="B131" s="110"/>
      <c r="C131" s="278"/>
      <c r="D131" s="278"/>
      <c r="E131" s="278"/>
      <c r="F131" s="254"/>
      <c r="G131" s="117"/>
      <c r="H131" s="117"/>
      <c r="I131" s="117"/>
      <c r="J131" s="110"/>
      <c r="K131" s="110"/>
      <c r="L131" s="110"/>
      <c r="M131" s="110"/>
      <c r="N131" s="22"/>
      <c r="O131" s="22"/>
    </row>
    <row r="132" spans="1:15" ht="12.75" customHeight="1" x14ac:dyDescent="0.2">
      <c r="A132" s="110"/>
      <c r="B132" s="278" t="s">
        <v>0</v>
      </c>
      <c r="C132" s="117"/>
      <c r="D132" s="117"/>
      <c r="E132" s="110"/>
      <c r="F132" s="370">
        <f>IF(F129=0, 0, IF((F129-F130)&lt;0, F129-F118,F129- F130))</f>
        <v>35.299999999999997</v>
      </c>
      <c r="G132" s="119" t="s">
        <v>268</v>
      </c>
      <c r="H132" s="129"/>
      <c r="I132" s="110"/>
      <c r="J132" s="110"/>
      <c r="K132" s="110"/>
      <c r="L132" s="110"/>
      <c r="M132" s="110"/>
    </row>
    <row r="133" spans="1:15" ht="12.75" customHeight="1" x14ac:dyDescent="0.2">
      <c r="A133" s="110"/>
      <c r="B133" s="278" t="s">
        <v>865</v>
      </c>
      <c r="C133" s="117"/>
      <c r="D133" s="117"/>
      <c r="E133" s="110"/>
      <c r="F133" s="248">
        <f>F132*F48</f>
        <v>15.885</v>
      </c>
      <c r="G133" s="119" t="s">
        <v>268</v>
      </c>
      <c r="H133" s="129"/>
      <c r="I133" s="110"/>
      <c r="J133" s="110"/>
      <c r="K133" s="110"/>
      <c r="L133" s="110"/>
      <c r="M133" s="110"/>
    </row>
    <row r="134" spans="1:15" ht="12.75" customHeight="1" x14ac:dyDescent="0.2">
      <c r="A134" s="110"/>
      <c r="B134" s="117" t="s">
        <v>624</v>
      </c>
      <c r="C134" s="117"/>
      <c r="D134" s="117"/>
      <c r="E134" s="110"/>
      <c r="F134" s="248">
        <f>F133-(F133*(1-K45)*(1-L45))</f>
        <v>0</v>
      </c>
      <c r="G134" s="110" t="s">
        <v>268</v>
      </c>
      <c r="H134" s="121"/>
      <c r="I134" s="110"/>
      <c r="J134" s="110"/>
      <c r="K134" s="110"/>
      <c r="L134" s="110"/>
      <c r="M134" s="110"/>
    </row>
    <row r="135" spans="1:15" ht="12.75" customHeight="1" thickBot="1" x14ac:dyDescent="0.25">
      <c r="A135" s="110"/>
      <c r="B135" s="117" t="s">
        <v>866</v>
      </c>
      <c r="C135" s="117"/>
      <c r="D135" s="117"/>
      <c r="E135" s="110"/>
      <c r="F135" s="370">
        <f>IF(B25=B217, (((F133-F134)*4*F30)/F43)+((F32*F28*(F133-F134))/F43), 0)</f>
        <v>0</v>
      </c>
      <c r="G135" s="110" t="s">
        <v>268</v>
      </c>
      <c r="H135" s="121"/>
      <c r="I135" s="110"/>
      <c r="J135" s="110"/>
      <c r="K135" s="110"/>
      <c r="L135" s="110"/>
      <c r="M135" s="110"/>
    </row>
    <row r="136" spans="1:15" ht="12.75" customHeight="1" thickBot="1" x14ac:dyDescent="0.25">
      <c r="A136" s="110"/>
      <c r="B136" s="278" t="s">
        <v>568</v>
      </c>
      <c r="C136" s="117"/>
      <c r="D136" s="117"/>
      <c r="E136" s="110"/>
      <c r="F136" s="371">
        <f>(F133-F134-F135)*F43</f>
        <v>1871.2529999999999</v>
      </c>
      <c r="G136" s="119" t="s">
        <v>298</v>
      </c>
      <c r="H136" s="129"/>
      <c r="I136" s="110"/>
      <c r="J136" s="110"/>
      <c r="K136" s="110"/>
      <c r="L136" s="110"/>
      <c r="M136" s="110"/>
    </row>
    <row r="137" spans="1:15" ht="12.75" customHeight="1" x14ac:dyDescent="0.2">
      <c r="A137" s="110"/>
      <c r="B137" s="131" t="s">
        <v>569</v>
      </c>
      <c r="C137" s="119"/>
      <c r="D137" s="110"/>
      <c r="E137" s="110"/>
      <c r="F137" s="403">
        <f>IF(F43=0, "0", F136/F43)</f>
        <v>15.885</v>
      </c>
      <c r="G137" s="117" t="s">
        <v>547</v>
      </c>
      <c r="H137" s="117"/>
      <c r="I137" s="117"/>
      <c r="J137" s="110"/>
      <c r="K137" s="110"/>
      <c r="L137" s="110"/>
      <c r="M137" s="110"/>
    </row>
    <row r="138" spans="1:15" ht="12.75" customHeight="1" x14ac:dyDescent="0.2">
      <c r="A138" s="110"/>
      <c r="B138" s="116"/>
      <c r="C138" s="110"/>
      <c r="D138" s="110"/>
      <c r="E138" s="110"/>
      <c r="F138" s="122"/>
      <c r="G138" s="117"/>
      <c r="H138" s="117"/>
      <c r="I138" s="117"/>
      <c r="J138" s="110"/>
      <c r="K138" s="110"/>
      <c r="L138" s="110"/>
      <c r="M138" s="110"/>
    </row>
    <row r="140" spans="1:15" ht="15" x14ac:dyDescent="0.25">
      <c r="A140" s="112" t="s">
        <v>534</v>
      </c>
      <c r="B140" s="110"/>
      <c r="C140" s="110"/>
      <c r="D140" s="110"/>
      <c r="E140" s="110"/>
      <c r="F140" s="110"/>
      <c r="G140" s="110"/>
      <c r="H140" s="110"/>
      <c r="I140" s="110"/>
      <c r="J140" s="110"/>
      <c r="K140" s="110"/>
      <c r="L140" s="110"/>
      <c r="M140" s="110"/>
    </row>
    <row r="141" spans="1:15" x14ac:dyDescent="0.2">
      <c r="A141" s="116"/>
      <c r="B141" s="110"/>
      <c r="C141" s="110"/>
      <c r="D141" s="110"/>
      <c r="E141" s="110"/>
      <c r="F141" s="110"/>
      <c r="G141" s="110"/>
      <c r="H141" s="110"/>
      <c r="I141" s="110"/>
      <c r="J141" s="110"/>
      <c r="K141" s="110"/>
      <c r="L141" s="110"/>
      <c r="M141" s="110"/>
    </row>
    <row r="142" spans="1:15" ht="12.75" customHeight="1" x14ac:dyDescent="0.2">
      <c r="A142" s="110"/>
      <c r="B142" s="496"/>
      <c r="C142" s="496"/>
      <c r="D142" s="496"/>
      <c r="E142" s="496"/>
      <c r="F142" s="110"/>
      <c r="G142" s="110"/>
      <c r="H142" s="110"/>
      <c r="I142" s="110"/>
      <c r="J142" s="110"/>
      <c r="K142" s="110"/>
      <c r="L142" s="110"/>
      <c r="M142" s="110"/>
    </row>
    <row r="143" spans="1:15" ht="12.75" customHeight="1" x14ac:dyDescent="0.2">
      <c r="A143" s="110"/>
      <c r="B143" s="115" t="s">
        <v>374</v>
      </c>
      <c r="C143" s="122" t="s">
        <v>536</v>
      </c>
      <c r="D143" s="110"/>
      <c r="E143" s="115"/>
      <c r="F143" s="110"/>
      <c r="G143" s="543" t="s">
        <v>855</v>
      </c>
      <c r="H143" s="544"/>
      <c r="I143" s="544"/>
      <c r="J143" s="544"/>
      <c r="K143" s="366" t="s">
        <v>854</v>
      </c>
      <c r="L143" s="110" t="s">
        <v>427</v>
      </c>
      <c r="M143" s="110"/>
    </row>
    <row r="144" spans="1:15" ht="12.75" customHeight="1" x14ac:dyDescent="0.2">
      <c r="A144" s="110"/>
      <c r="B144" s="110"/>
      <c r="C144" s="110"/>
      <c r="D144" s="110"/>
      <c r="E144" s="497" t="str">
        <f>'CREDIT CALCULATION FORM'!F148</f>
        <v>Conservation Till</v>
      </c>
      <c r="F144" s="545"/>
      <c r="G144" s="506" t="str">
        <f>IF(OR(E144=$E$245, E144=$E$246), CONCATENATE(E144, $F$151), IF(E144="Continuous No-Till*", CONCATENATE(E144, $F$49), IF(OR(E144=$E$249, E144=$E$250, E144=$E$251, E144=$E$252), CONCATENATE(E144, $F$45), E144)))</f>
        <v>Conservation TillConventional Till</v>
      </c>
      <c r="H144" s="501"/>
      <c r="I144" s="501"/>
      <c r="J144" s="502"/>
      <c r="K144" s="103" t="str">
        <f>IF(OR(E144=$E$249, E144=$E$250, E144=$E$251, E144=$E$252), CONCATENATE($F$46,VLOOKUP(G144, 'BMPs and Bay Model Data'!$D$148:$E$166, 2, FALSE)), 'Calculations- All Data'!G144)</f>
        <v>70high till to low till</v>
      </c>
      <c r="L144" s="272">
        <f>IF(OR(E144=$E$249, E144=$E$250, E144=$E$251, E144=$E$252), VLOOKUP(K144, 'BMPs and Bay Model Data'!$A$170:$B$351, 2, FALSE), VLOOKUP(K144, 'BMPs and Bay Model Data'!$C$36:$D$57, 2, FALSE))</f>
        <v>0.26773446039184157</v>
      </c>
      <c r="M144" s="110"/>
    </row>
    <row r="145" spans="1:13" ht="12.75" customHeight="1" x14ac:dyDescent="0.2">
      <c r="A145" s="110"/>
      <c r="B145" s="110"/>
      <c r="C145" s="110"/>
      <c r="D145" s="110"/>
      <c r="E145" s="497" t="str">
        <f>'CREDIT CALCULATION FORM'!F149</f>
        <v>Continuous No-Till*</v>
      </c>
      <c r="F145" s="498"/>
      <c r="G145" s="506" t="str">
        <f>IF(OR(E145=$E$245, E145=$E$246), CONCATENATE(E145, $F$151), IF(E145="Continuous No-Till*", CONCATENATE(E145, $F$49), IF(OR(E145=$E$249, E145=$E$250, E145=$E$251, E145=$E$252), CONCATENATE(E145, $F$45), E145)))</f>
        <v>Continuous No-Till*Above Fall Line</v>
      </c>
      <c r="H145" s="501"/>
      <c r="I145" s="501"/>
      <c r="J145" s="502"/>
      <c r="K145" s="103" t="str">
        <f>IF(OR(E145=$E$249, E145=$E$250, E145=$E$251, E145=$E$252), CONCATENATE($F$46,VLOOKUP(G145, 'BMPs and Bay Model Data'!$D$148:$E$166, 2, FALSE)), 'Calculations- All Data'!G145)</f>
        <v>Continuous No-Till*Above Fall Line</v>
      </c>
      <c r="L145" s="272">
        <f>IF(OR(E145=$E$249, E145=$E$250, E145=$E$251, E145=$E$252), VLOOKUP(K145, 'BMPs and Bay Model Data'!$A$170:$B$351, 2, FALSE), VLOOKUP(K145, 'BMPs and Bay Model Data'!$C$36:$D$57, 2, FALSE))</f>
        <v>0.15</v>
      </c>
      <c r="M145" s="110"/>
    </row>
    <row r="146" spans="1:13" ht="12.75" customHeight="1" x14ac:dyDescent="0.2">
      <c r="A146" s="110"/>
      <c r="B146" s="110"/>
      <c r="C146" s="110"/>
      <c r="D146" s="110"/>
      <c r="E146" s="497" t="str">
        <f>'CREDIT CALCULATION FORM'!F150</f>
        <v>Cereal Cover Crop</v>
      </c>
      <c r="F146" s="498"/>
      <c r="G146" s="506" t="str">
        <f>IF(OR(E146=$E$245, E146=$E$246), CONCATENATE(E146, $F$151), IF(E146="Continuous No-Till*", CONCATENATE(E146, $F$49), IF(OR(E146=$E$249, E146=$E$250, E146=$E$251, E146=$E$252), CONCATENATE(E146, $F$45), E146)))</f>
        <v>Cereal Cover CropEarly-Planting - Up to 7 days prior to published first frost date</v>
      </c>
      <c r="H146" s="501"/>
      <c r="I146" s="501"/>
      <c r="J146" s="502"/>
      <c r="K146" s="103" t="str">
        <f>IF(OR(E146=$E$249, E146=$E$250, E146=$E$251, E146=$E$252), CONCATENATE($F$46,VLOOKUP(G146, 'BMPs and Bay Model Data'!$D$148:$E$166, 2, FALSE)), 'Calculations- All Data'!G146)</f>
        <v>Cereal Cover CropEarly-Planting - Up to 7 days prior to published first frost date</v>
      </c>
      <c r="L146" s="272">
        <f>IF(OR(E146=$E$249, E146=$E$250, E146=$E$251, E146=$E$252), VLOOKUP(K146, 'BMPs and Bay Model Data'!$A$170:$B$351, 2, FALSE), VLOOKUP(K146, 'BMPs and Bay Model Data'!$C$36:$D$57, 2, FALSE))</f>
        <v>0.45</v>
      </c>
      <c r="M146" s="110"/>
    </row>
    <row r="147" spans="1:13" ht="12.75" customHeight="1" x14ac:dyDescent="0.2">
      <c r="A147" s="110"/>
      <c r="B147" s="110"/>
      <c r="C147" s="110"/>
      <c r="D147" s="110"/>
      <c r="E147" s="497">
        <f>'CREDIT CALCULATION FORM'!F151</f>
        <v>0</v>
      </c>
      <c r="F147" s="498"/>
      <c r="G147" s="506">
        <f>IF(OR(E147=$E$245, E147=$E$246), CONCATENATE(E147, $F$151), IF(E147="Continuous No-Till*", CONCATENATE(E147, $F$49), IF(OR(E147=$E$249, E147=$E$250, E147=$E$251, E147=$E$252), CONCATENATE(E147, $F$45), E147)))</f>
        <v>0</v>
      </c>
      <c r="H147" s="501"/>
      <c r="I147" s="501"/>
      <c r="J147" s="502"/>
      <c r="K147" s="103">
        <f>IF(OR(E147=$E$249, E147=$E$250, E147=$E$251, E147=$E$252), CONCATENATE($F$46,VLOOKUP(G147, 'BMPs and Bay Model Data'!$D$148:$E$166, 2, FALSE)), 'Calculations- All Data'!G147)</f>
        <v>0</v>
      </c>
      <c r="L147" s="272">
        <f>IF(OR(E147=$E$249, E147=$E$250, E147=$E$251, E147=$E$252), VLOOKUP(K147, 'BMPs and Bay Model Data'!$A$170:$B$351, 2, FALSE), VLOOKUP(K147, 'BMPs and Bay Model Data'!$C$36:$D$57, 2, FALSE))</f>
        <v>0</v>
      </c>
      <c r="M147" s="110"/>
    </row>
    <row r="148" spans="1:13" ht="22.5" customHeight="1" x14ac:dyDescent="0.2">
      <c r="A148" s="110"/>
      <c r="B148" s="110"/>
      <c r="C148" s="110"/>
      <c r="D148" s="110"/>
      <c r="E148" s="210"/>
      <c r="F148" s="210"/>
      <c r="G148" s="120"/>
      <c r="H148" s="122"/>
      <c r="I148" s="211"/>
      <c r="J148" s="254"/>
      <c r="K148" s="110"/>
      <c r="L148" s="120"/>
      <c r="M148" s="120"/>
    </row>
    <row r="149" spans="1:13" ht="12.75" customHeight="1" x14ac:dyDescent="0.2">
      <c r="A149" s="110"/>
      <c r="B149" s="110"/>
      <c r="C149" s="110"/>
      <c r="D149" s="117" t="s">
        <v>546</v>
      </c>
      <c r="E149" s="269"/>
      <c r="F149" s="277">
        <f>'CREDIT CALCULATION FORM'!F153</f>
        <v>117.8</v>
      </c>
      <c r="G149" s="268" t="s">
        <v>520</v>
      </c>
      <c r="H149" s="122"/>
      <c r="I149" s="211"/>
      <c r="J149" s="254"/>
      <c r="K149" s="254"/>
      <c r="L149" s="120"/>
      <c r="M149" s="120"/>
    </row>
    <row r="150" spans="1:13" ht="12.75" customHeight="1" x14ac:dyDescent="0.2">
      <c r="A150" s="110"/>
      <c r="B150" s="110"/>
      <c r="C150" s="110"/>
      <c r="D150" s="131" t="s">
        <v>540</v>
      </c>
      <c r="E150" s="110"/>
      <c r="F150" s="122"/>
      <c r="G150" s="122"/>
      <c r="H150" s="122"/>
      <c r="I150" s="122"/>
      <c r="J150" s="122"/>
      <c r="K150" s="122"/>
      <c r="L150" s="110"/>
      <c r="M150" s="110"/>
    </row>
    <row r="151" spans="1:13" x14ac:dyDescent="0.2">
      <c r="A151" s="110"/>
      <c r="B151" s="110"/>
      <c r="C151" s="110"/>
      <c r="D151" s="110" t="s">
        <v>521</v>
      </c>
      <c r="E151" s="110"/>
      <c r="F151" s="510" t="str">
        <f>'CREDIT CALCULATION FORM'!F155:K155</f>
        <v>Early-Planting - Up to 7 days prior to published first frost date</v>
      </c>
      <c r="G151" s="546"/>
      <c r="H151" s="546"/>
      <c r="I151" s="546"/>
      <c r="J151" s="547"/>
      <c r="K151" s="189"/>
      <c r="L151" s="110"/>
      <c r="M151" s="110"/>
    </row>
    <row r="152" spans="1:13" ht="13.5" thickBot="1" x14ac:dyDescent="0.25">
      <c r="A152" s="110"/>
      <c r="B152" s="110"/>
      <c r="C152" s="110"/>
      <c r="D152" s="110"/>
      <c r="E152" s="210"/>
      <c r="F152" s="210"/>
      <c r="G152" s="120"/>
      <c r="H152" s="122"/>
      <c r="I152" s="211"/>
      <c r="J152" s="254"/>
      <c r="K152" s="254"/>
      <c r="L152" s="120"/>
      <c r="M152" s="120"/>
    </row>
    <row r="153" spans="1:13" ht="13.5" thickBot="1" x14ac:dyDescent="0.25">
      <c r="A153" s="110"/>
      <c r="B153" s="110"/>
      <c r="C153" s="110"/>
      <c r="D153" s="141" t="s">
        <v>550</v>
      </c>
      <c r="E153" s="212"/>
      <c r="F153" s="279">
        <f>(F137-(F137*(1-L144)*(1-L145)*(1-L146)*(1-L147)))*F149</f>
        <v>1230.65921395893</v>
      </c>
      <c r="G153" s="120" t="s">
        <v>298</v>
      </c>
      <c r="H153" s="122"/>
      <c r="I153" s="211"/>
      <c r="J153" s="254"/>
      <c r="K153" s="254"/>
      <c r="L153" s="120"/>
      <c r="M153" s="120"/>
    </row>
    <row r="154" spans="1:13" x14ac:dyDescent="0.2">
      <c r="A154" s="110"/>
      <c r="B154" s="110"/>
      <c r="C154" s="110"/>
      <c r="D154" s="141" t="s">
        <v>548</v>
      </c>
      <c r="E154" s="212"/>
      <c r="F154" s="281">
        <f>IF(F43=0, "0", (F136-F153)/F43)</f>
        <v>5.4379778101958403</v>
      </c>
      <c r="G154" s="120" t="s">
        <v>547</v>
      </c>
      <c r="H154" s="122"/>
      <c r="I154" s="211"/>
      <c r="J154" s="254"/>
      <c r="K154" s="254"/>
      <c r="L154" s="120"/>
      <c r="M154" s="120"/>
    </row>
    <row r="155" spans="1:13" x14ac:dyDescent="0.2">
      <c r="A155" s="110"/>
      <c r="B155" s="110"/>
      <c r="C155" s="110"/>
      <c r="D155" s="110"/>
      <c r="E155" s="210"/>
      <c r="F155" s="210"/>
      <c r="G155" s="120"/>
      <c r="H155" s="122"/>
      <c r="I155" s="211"/>
      <c r="J155" s="254"/>
      <c r="K155" s="354" t="s">
        <v>847</v>
      </c>
      <c r="L155" s="356" t="s">
        <v>543</v>
      </c>
      <c r="M155" s="120"/>
    </row>
    <row r="156" spans="1:13" x14ac:dyDescent="0.2">
      <c r="A156" s="110"/>
      <c r="B156" s="110" t="s">
        <v>375</v>
      </c>
      <c r="C156" s="110" t="s">
        <v>537</v>
      </c>
      <c r="D156" s="110"/>
      <c r="E156" s="210"/>
      <c r="F156" s="362" t="s">
        <v>849</v>
      </c>
      <c r="G156" s="358"/>
      <c r="H156" s="552" t="s">
        <v>848</v>
      </c>
      <c r="I156" s="544"/>
      <c r="J156" s="544"/>
      <c r="K156" s="355" t="s">
        <v>846</v>
      </c>
      <c r="L156" s="357" t="s">
        <v>426</v>
      </c>
      <c r="M156" s="120"/>
    </row>
    <row r="157" spans="1:13" x14ac:dyDescent="0.2">
      <c r="A157" s="110"/>
      <c r="B157" s="110"/>
      <c r="C157" s="110"/>
      <c r="D157" s="110"/>
      <c r="E157" s="360">
        <f>'CREDIT CALCULATION FORM'!F157</f>
        <v>0</v>
      </c>
      <c r="F157" s="506">
        <f>IF(OR(E157=$E$242, E157=$E$243, E157=$E$244), CONCATENATE($F$46,E157), E157)</f>
        <v>0</v>
      </c>
      <c r="G157" s="502"/>
      <c r="H157" s="539">
        <f>IF(OR(E157=$E$242, E157=$E$243, E157=$E$244), CONCATENATE(E157,$F$45), E157)</f>
        <v>0</v>
      </c>
      <c r="I157" s="540"/>
      <c r="J157" s="361">
        <f>IF(OR(E157=$E$242, E157=$E$243, E157=$E$244), CONCATENATE($F$46,VLOOKUP(H157, 'BMPs and Bay Model Data'!$D$148:$E$166, 2, FALSE)), 0)</f>
        <v>0</v>
      </c>
      <c r="K157" s="146" t="str">
        <f>IF(OR(F157=$E$247, F157=$E$248, F157="NONE", F157=0), "0", VLOOKUP(F157,'BMPs and Bay Model Data'!$C$65:$D$142, 2, FALSE))</f>
        <v>0</v>
      </c>
      <c r="L157" s="229" t="str">
        <f>IF(OR(F157=$E$247, F157=$E$248), VLOOKUP(F157, 'BMPs and Bay Model Data'!$C$56:$D$57, 2, FALSE), "0")</f>
        <v>0</v>
      </c>
      <c r="M157" s="158" t="s">
        <v>544</v>
      </c>
    </row>
    <row r="158" spans="1:13" x14ac:dyDescent="0.2">
      <c r="A158" s="110"/>
      <c r="B158" s="110"/>
      <c r="C158" s="110"/>
      <c r="D158" s="110"/>
      <c r="E158" s="360">
        <f>'CREDIT CALCULATION FORM'!F158</f>
        <v>0</v>
      </c>
      <c r="F158" s="506">
        <f>IF(OR(E158=$E$242, E158=$E$243, E158=$E$244), CONCATENATE($F$46,E158), E158)</f>
        <v>0</v>
      </c>
      <c r="G158" s="502"/>
      <c r="H158" s="541">
        <f>IF(OR(E158=$E$242, E158=$E$243, E158=$E$244), CONCATENATE(E158,$F$45), E158)</f>
        <v>0</v>
      </c>
      <c r="I158" s="542"/>
      <c r="J158" s="103">
        <f>IF(OR(E158=$E$242, E158=$E$243, E158=$E$244), CONCATENATE($F$46,VLOOKUP(H158, 'BMPs and Bay Model Data'!$D$148:$E$166, 2, FALSE)), 0)</f>
        <v>0</v>
      </c>
      <c r="K158" s="146" t="str">
        <f>IF(OR(F158=$E$247, F158=$E$248, F158="NONE", F158=0), "0", VLOOKUP(F158,'BMPs and Bay Model Data'!$C$65:$D$142, 2, FALSE))</f>
        <v>0</v>
      </c>
      <c r="L158" s="391" t="str">
        <f>IF(OR(F158=$E$247, F158=$E$248), VLOOKUP(F158, 'BMPs and Bay Model Data'!$C$56:$D$57, 2, FALSE), "0")</f>
        <v>0</v>
      </c>
      <c r="M158" s="216" t="s">
        <v>544</v>
      </c>
    </row>
    <row r="159" spans="1:13" x14ac:dyDescent="0.2">
      <c r="A159" s="110"/>
      <c r="B159" s="110"/>
      <c r="C159" s="110"/>
      <c r="D159" s="110"/>
      <c r="E159" s="212"/>
      <c r="F159" s="115"/>
      <c r="G159" s="122"/>
      <c r="H159" s="211"/>
      <c r="I159" s="254"/>
      <c r="J159" s="122"/>
      <c r="K159" s="120"/>
      <c r="L159" s="120"/>
      <c r="M159" s="120"/>
    </row>
    <row r="160" spans="1:13" s="2" customFormat="1" x14ac:dyDescent="0.2">
      <c r="A160" s="110"/>
      <c r="B160" s="110"/>
      <c r="C160" s="110"/>
      <c r="D160" s="117" t="s">
        <v>541</v>
      </c>
      <c r="E160" s="270"/>
      <c r="F160" s="271"/>
      <c r="G160" s="268"/>
      <c r="H160" s="211"/>
      <c r="I160" s="254"/>
      <c r="J160" s="122"/>
      <c r="K160" s="120"/>
      <c r="L160" s="120"/>
      <c r="M160" s="120"/>
    </row>
    <row r="161" spans="1:13" x14ac:dyDescent="0.2">
      <c r="A161" s="110"/>
      <c r="B161" s="110"/>
      <c r="C161" s="110"/>
      <c r="D161" s="117" t="s">
        <v>851</v>
      </c>
      <c r="E161" s="114"/>
      <c r="F161" s="101">
        <f>'CREDIT CALCULATION FORM'!F161</f>
        <v>0</v>
      </c>
      <c r="G161" s="268" t="s">
        <v>520</v>
      </c>
      <c r="H161" s="257"/>
      <c r="I161" s="115"/>
      <c r="J161" s="122"/>
      <c r="K161" s="211"/>
      <c r="L161" s="209"/>
      <c r="M161" s="209"/>
    </row>
    <row r="162" spans="1:13" x14ac:dyDescent="0.2">
      <c r="A162" s="110"/>
      <c r="B162" s="110"/>
      <c r="C162" s="110"/>
      <c r="D162" s="117" t="s">
        <v>850</v>
      </c>
      <c r="E162" s="114"/>
      <c r="F162" s="404" t="str">
        <f>IF(OR(E157=$E$242,E157=$E$243,E157=$E$244),VLOOKUP(J157,'BMPs and Bay Model Data'!A170:B351,2,FALSE), IF(OR(E158=$E$242,E158=$E$243,E158=$E$244),VLOOKUP(J158,'BMPs and Bay Model Data'!A170:B351,2,FALSE), "0"))</f>
        <v>0</v>
      </c>
      <c r="G162" s="268"/>
      <c r="H162" s="257"/>
      <c r="I162" s="115"/>
      <c r="J162" s="122"/>
      <c r="K162" s="211"/>
      <c r="L162" s="209"/>
      <c r="M162" s="209"/>
    </row>
    <row r="163" spans="1:13" x14ac:dyDescent="0.2">
      <c r="A163" s="110"/>
      <c r="B163" s="110"/>
      <c r="C163" s="110"/>
      <c r="D163" s="117" t="s">
        <v>845</v>
      </c>
      <c r="E163" s="114"/>
      <c r="F163" s="364">
        <f>(F154*F161*F162)</f>
        <v>0</v>
      </c>
      <c r="G163" s="268"/>
      <c r="H163" s="257"/>
      <c r="I163" s="115"/>
      <c r="J163" s="122"/>
      <c r="K163" s="211"/>
      <c r="L163" s="209"/>
      <c r="M163" s="209"/>
    </row>
    <row r="164" spans="1:13" x14ac:dyDescent="0.2">
      <c r="A164" s="110"/>
      <c r="B164" s="110"/>
      <c r="C164" s="110"/>
      <c r="D164" s="131" t="s">
        <v>542</v>
      </c>
      <c r="E164" s="110"/>
      <c r="F164" s="194"/>
      <c r="G164" s="122"/>
      <c r="H164" s="122"/>
      <c r="I164" s="122"/>
      <c r="J164" s="122"/>
      <c r="K164" s="122"/>
      <c r="L164" s="110"/>
      <c r="M164" s="110"/>
    </row>
    <row r="165" spans="1:13" x14ac:dyDescent="0.2">
      <c r="A165" s="110"/>
      <c r="B165" s="110"/>
      <c r="C165" s="121"/>
      <c r="D165" s="110" t="s">
        <v>522</v>
      </c>
      <c r="E165" s="110"/>
      <c r="F165" s="147">
        <f>'CREDIT CALCULATION FORM'!F163</f>
        <v>0</v>
      </c>
      <c r="G165" s="122" t="s">
        <v>396</v>
      </c>
      <c r="H165" s="122"/>
      <c r="I165" s="122"/>
      <c r="J165" s="122"/>
      <c r="K165" s="122"/>
      <c r="L165" s="110"/>
      <c r="M165" s="110"/>
    </row>
    <row r="166" spans="1:13" x14ac:dyDescent="0.2">
      <c r="A166" s="110"/>
      <c r="B166" s="110"/>
      <c r="C166" s="121"/>
      <c r="D166" s="110" t="s">
        <v>545</v>
      </c>
      <c r="E166" s="110"/>
      <c r="F166" s="102">
        <f>IF(AND(OR(E157=E247, E157=E248), OR(E158=E247, E158=E248)), $F$165*0.023, $F$165*(SUM(L157, L158)))</f>
        <v>0</v>
      </c>
      <c r="G166" s="122" t="s">
        <v>298</v>
      </c>
      <c r="H166" s="122"/>
      <c r="I166" s="122"/>
      <c r="J166" s="122"/>
      <c r="K166" s="122"/>
      <c r="L166" s="110"/>
      <c r="M166" s="110"/>
    </row>
    <row r="167" spans="1:13" ht="13.5" thickBot="1" x14ac:dyDescent="0.25">
      <c r="A167" s="110"/>
      <c r="B167" s="110"/>
      <c r="C167" s="110"/>
      <c r="D167" s="110"/>
      <c r="E167" s="110"/>
      <c r="F167" s="122"/>
      <c r="G167" s="122"/>
      <c r="H167" s="122"/>
      <c r="I167" s="122"/>
      <c r="J167" s="122"/>
      <c r="K167" s="122"/>
      <c r="L167" s="110"/>
      <c r="M167" s="110"/>
    </row>
    <row r="168" spans="1:13" ht="13.5" thickBot="1" x14ac:dyDescent="0.25">
      <c r="A168" s="110"/>
      <c r="B168" s="110"/>
      <c r="C168" s="110"/>
      <c r="D168" s="110" t="s">
        <v>549</v>
      </c>
      <c r="E168" s="110"/>
      <c r="F168" s="280">
        <f>((F154-((F154)*(1-K157)*(1-K158)))*4)+F166+F163</f>
        <v>0</v>
      </c>
      <c r="G168" s="122" t="s">
        <v>298</v>
      </c>
      <c r="H168" s="122"/>
      <c r="I168" s="122"/>
      <c r="J168" s="122"/>
      <c r="K168" s="122"/>
      <c r="L168" s="110"/>
      <c r="M168" s="110"/>
    </row>
    <row r="169" spans="1:13" x14ac:dyDescent="0.2">
      <c r="A169" s="110"/>
      <c r="B169" s="110"/>
      <c r="C169" s="110"/>
      <c r="D169" s="110"/>
      <c r="E169" s="110"/>
      <c r="F169" s="122"/>
      <c r="G169" s="122"/>
      <c r="H169" s="122"/>
      <c r="I169" s="122"/>
      <c r="J169" s="122"/>
      <c r="K169" s="122"/>
      <c r="L169" s="110"/>
      <c r="M169" s="110"/>
    </row>
    <row r="170" spans="1:13" ht="13.5" thickBot="1" x14ac:dyDescent="0.25">
      <c r="A170" s="110"/>
      <c r="B170" s="110"/>
      <c r="C170" s="110"/>
      <c r="D170" s="110"/>
      <c r="E170" s="110"/>
      <c r="F170" s="122"/>
      <c r="G170" s="122"/>
      <c r="H170" s="122"/>
      <c r="I170" s="122"/>
      <c r="J170" s="122"/>
      <c r="K170" s="122"/>
      <c r="L170" s="110"/>
      <c r="M170" s="110"/>
    </row>
    <row r="171" spans="1:13" ht="13.5" thickBot="1" x14ac:dyDescent="0.25">
      <c r="A171" s="110"/>
      <c r="B171" s="116" t="s">
        <v>343</v>
      </c>
      <c r="C171" s="110"/>
      <c r="D171" s="110"/>
      <c r="E171" s="110"/>
      <c r="F171" s="371">
        <f>F153+F168</f>
        <v>1230.65921395893</v>
      </c>
      <c r="G171" s="110" t="s">
        <v>298</v>
      </c>
      <c r="H171" s="110"/>
      <c r="I171" s="110"/>
      <c r="J171" s="410"/>
      <c r="K171" s="110"/>
      <c r="L171" s="110"/>
      <c r="M171" s="110"/>
    </row>
    <row r="172" spans="1:13" x14ac:dyDescent="0.2">
      <c r="A172" s="110"/>
      <c r="B172" s="116"/>
      <c r="C172" s="110"/>
      <c r="D172" s="110"/>
      <c r="E172" s="110"/>
      <c r="F172" s="282"/>
      <c r="G172" s="110"/>
      <c r="H172" s="110"/>
      <c r="I172" s="110"/>
      <c r="J172" s="110"/>
      <c r="K172" s="110"/>
      <c r="L172" s="110"/>
      <c r="M172" s="110"/>
    </row>
    <row r="173" spans="1:13" x14ac:dyDescent="0.2">
      <c r="A173" s="2"/>
      <c r="B173" s="2"/>
      <c r="C173" s="2"/>
      <c r="D173" s="2"/>
      <c r="E173" s="2"/>
      <c r="F173" s="2"/>
      <c r="G173" s="2"/>
      <c r="H173" s="2"/>
      <c r="I173" s="2"/>
      <c r="J173" s="2"/>
      <c r="K173" s="2"/>
      <c r="L173" s="2"/>
      <c r="M173" s="2"/>
    </row>
    <row r="174" spans="1:13" x14ac:dyDescent="0.2">
      <c r="A174" s="116" t="s">
        <v>551</v>
      </c>
      <c r="B174" s="110"/>
      <c r="C174" s="110"/>
      <c r="D174" s="110"/>
      <c r="E174" s="110"/>
      <c r="F174" s="110"/>
      <c r="G174" s="110"/>
      <c r="H174" s="110"/>
      <c r="I174" s="110"/>
      <c r="J174" s="110"/>
      <c r="K174" s="110"/>
      <c r="L174" s="110"/>
      <c r="M174" s="110"/>
    </row>
    <row r="175" spans="1:13" ht="13.5" thickBot="1" x14ac:dyDescent="0.25">
      <c r="A175" s="116"/>
      <c r="B175" s="110"/>
      <c r="C175" s="110"/>
      <c r="D175" s="110"/>
      <c r="E175" s="110"/>
      <c r="F175" s="110"/>
      <c r="G175" s="110"/>
      <c r="H175" s="110"/>
      <c r="I175" s="110"/>
      <c r="J175" s="110"/>
      <c r="K175" s="110"/>
      <c r="L175" s="110"/>
      <c r="M175" s="110"/>
    </row>
    <row r="176" spans="1:13" ht="13.5" thickBot="1" x14ac:dyDescent="0.25">
      <c r="A176" s="116"/>
      <c r="B176" s="110" t="s">
        <v>560</v>
      </c>
      <c r="C176" s="110"/>
      <c r="D176" s="110"/>
      <c r="E176" s="110"/>
      <c r="F176" s="411">
        <f>SUM(F171+F126)</f>
        <v>1230.65921395893</v>
      </c>
      <c r="G176" s="110" t="s">
        <v>298</v>
      </c>
      <c r="H176" s="110"/>
      <c r="I176" s="110"/>
      <c r="J176" s="110"/>
      <c r="K176" s="110"/>
      <c r="L176" s="110"/>
      <c r="M176" s="110"/>
    </row>
    <row r="177" spans="1:13" x14ac:dyDescent="0.2">
      <c r="A177" s="116"/>
      <c r="B177" s="131" t="s">
        <v>609</v>
      </c>
      <c r="C177" s="110"/>
      <c r="D177" s="110"/>
      <c r="E177" s="110"/>
      <c r="F177" s="406">
        <f>F47</f>
        <v>0.94099999999999995</v>
      </c>
      <c r="G177" s="110"/>
      <c r="H177" s="110"/>
      <c r="I177" s="110"/>
      <c r="J177" s="110"/>
      <c r="K177" s="110"/>
      <c r="L177" s="110"/>
      <c r="M177" s="110"/>
    </row>
    <row r="178" spans="1:13" x14ac:dyDescent="0.2">
      <c r="A178" s="110"/>
      <c r="B178" s="116" t="s">
        <v>506</v>
      </c>
      <c r="C178" s="110"/>
      <c r="D178" s="110"/>
      <c r="E178" s="110"/>
      <c r="F178" s="412">
        <f>F176*F47</f>
        <v>1158.050320335353</v>
      </c>
      <c r="G178" s="110" t="s">
        <v>298</v>
      </c>
      <c r="H178" s="110"/>
      <c r="I178" s="110"/>
      <c r="J178" s="110"/>
      <c r="K178" s="110"/>
      <c r="L178" s="110"/>
      <c r="M178" s="110"/>
    </row>
    <row r="179" spans="1:13" ht="13.5" thickBot="1" x14ac:dyDescent="0.25">
      <c r="A179" s="110"/>
      <c r="B179" s="110" t="s">
        <v>516</v>
      </c>
      <c r="C179" s="110"/>
      <c r="D179" s="110"/>
      <c r="E179" s="110"/>
      <c r="F179" s="290">
        <f>IF(B25=B218,0.2, 0)</f>
        <v>0</v>
      </c>
      <c r="G179" s="110"/>
      <c r="H179" s="110"/>
      <c r="I179" s="110"/>
      <c r="J179" s="110"/>
      <c r="K179" s="110"/>
      <c r="L179" s="110"/>
      <c r="M179" s="110"/>
    </row>
    <row r="180" spans="1:13" ht="13.5" thickBot="1" x14ac:dyDescent="0.25">
      <c r="A180" s="110"/>
      <c r="B180" s="116" t="s">
        <v>561</v>
      </c>
      <c r="C180" s="110"/>
      <c r="D180" s="110"/>
      <c r="E180" s="110"/>
      <c r="F180" s="413">
        <f>F178*(1-F179)</f>
        <v>1158.050320335353</v>
      </c>
      <c r="G180" s="110" t="s">
        <v>585</v>
      </c>
      <c r="H180" s="110"/>
      <c r="I180" s="110"/>
      <c r="J180" s="110"/>
      <c r="K180" s="110"/>
      <c r="L180" s="110"/>
      <c r="M180" s="110"/>
    </row>
    <row r="181" spans="1:13" ht="13.5" thickBot="1" x14ac:dyDescent="0.25">
      <c r="A181" s="110"/>
      <c r="B181" s="116" t="s">
        <v>561</v>
      </c>
      <c r="C181" s="415"/>
      <c r="D181" s="415"/>
      <c r="E181" s="415"/>
      <c r="F181" s="416">
        <f>ROUND(F180, 0)</f>
        <v>1158</v>
      </c>
      <c r="G181" s="415" t="s">
        <v>584</v>
      </c>
      <c r="H181" s="110"/>
      <c r="I181" s="110"/>
      <c r="J181" s="110"/>
      <c r="K181" s="110"/>
      <c r="L181" s="110"/>
      <c r="M181" s="110"/>
    </row>
    <row r="182" spans="1:13" x14ac:dyDescent="0.2">
      <c r="A182" s="110"/>
      <c r="B182" s="131"/>
      <c r="C182" s="415"/>
      <c r="D182" s="415"/>
      <c r="E182" s="415"/>
      <c r="F182" s="417"/>
      <c r="G182" s="415"/>
      <c r="H182" s="110"/>
      <c r="I182" s="110"/>
      <c r="J182" s="110"/>
      <c r="K182" s="110"/>
      <c r="L182" s="110"/>
      <c r="M182" s="110"/>
    </row>
    <row r="183" spans="1:13" ht="13.5" thickBot="1" x14ac:dyDescent="0.25">
      <c r="A183" s="110"/>
      <c r="B183" s="131" t="s">
        <v>562</v>
      </c>
      <c r="C183" s="415"/>
      <c r="D183" s="415"/>
      <c r="E183" s="415"/>
      <c r="F183" s="418">
        <v>0.1</v>
      </c>
      <c r="G183" s="415"/>
      <c r="H183" s="110"/>
      <c r="I183" s="110"/>
      <c r="J183" s="110"/>
      <c r="K183" s="110"/>
      <c r="L183" s="110"/>
      <c r="M183" s="110"/>
    </row>
    <row r="184" spans="1:13" ht="15.75" thickBot="1" x14ac:dyDescent="0.3">
      <c r="A184" s="110"/>
      <c r="B184" s="112" t="s">
        <v>559</v>
      </c>
      <c r="C184" s="415"/>
      <c r="D184" s="415"/>
      <c r="E184" s="415"/>
      <c r="F184" s="419">
        <f>F181*(1-F183)</f>
        <v>1042.2</v>
      </c>
      <c r="G184" s="420" t="s">
        <v>585</v>
      </c>
      <c r="H184" s="110"/>
      <c r="I184" s="110"/>
      <c r="J184" s="110"/>
      <c r="K184" s="110"/>
      <c r="L184" s="110"/>
      <c r="M184" s="110"/>
    </row>
    <row r="185" spans="1:13" ht="15.75" thickBot="1" x14ac:dyDescent="0.3">
      <c r="A185" s="110"/>
      <c r="B185" s="112" t="s">
        <v>559</v>
      </c>
      <c r="C185" s="421"/>
      <c r="D185" s="421"/>
      <c r="E185" s="421"/>
      <c r="F185" s="414">
        <f>ROUND(F184, 0)</f>
        <v>1042</v>
      </c>
      <c r="G185" s="420" t="s">
        <v>584</v>
      </c>
      <c r="H185" s="110"/>
      <c r="I185" s="110"/>
      <c r="J185" s="110"/>
      <c r="K185" s="110"/>
      <c r="L185" s="110"/>
      <c r="M185" s="110"/>
    </row>
    <row r="186" spans="1:13" x14ac:dyDescent="0.2">
      <c r="A186" s="110"/>
      <c r="B186" s="110"/>
      <c r="C186" s="110"/>
      <c r="D186" s="110"/>
      <c r="E186" s="110"/>
      <c r="F186" s="110"/>
      <c r="G186" s="110"/>
      <c r="H186" s="110"/>
      <c r="I186" s="110"/>
      <c r="J186" s="110"/>
      <c r="K186" s="110"/>
      <c r="L186" s="110"/>
      <c r="M186" s="110"/>
    </row>
    <row r="214" spans="2:6" x14ac:dyDescent="0.2">
      <c r="B214" s="5" t="s">
        <v>27</v>
      </c>
      <c r="C214" s="5"/>
      <c r="E214" s="5"/>
      <c r="F214" s="5"/>
    </row>
    <row r="215" spans="2:6" x14ac:dyDescent="0.2">
      <c r="B215" s="5" t="s">
        <v>25</v>
      </c>
      <c r="C215" s="5"/>
      <c r="E215" s="5"/>
      <c r="F215" s="5"/>
    </row>
    <row r="216" spans="2:6" x14ac:dyDescent="0.2">
      <c r="B216" s="5" t="s">
        <v>26</v>
      </c>
      <c r="C216" s="5"/>
      <c r="E216" s="5"/>
      <c r="F216" s="5"/>
    </row>
    <row r="217" spans="2:6" x14ac:dyDescent="0.2">
      <c r="B217" s="5" t="s">
        <v>9</v>
      </c>
      <c r="C217" s="5"/>
      <c r="E217" s="5"/>
      <c r="F217" s="5"/>
    </row>
    <row r="218" spans="2:6" x14ac:dyDescent="0.2">
      <c r="B218" s="5" t="s">
        <v>28</v>
      </c>
      <c r="C218" s="5"/>
      <c r="E218" s="5"/>
      <c r="F218" s="5"/>
    </row>
    <row r="219" spans="2:6" x14ac:dyDescent="0.2">
      <c r="B219" s="5"/>
      <c r="C219" s="5"/>
      <c r="E219" s="5"/>
      <c r="F219" s="5"/>
    </row>
    <row r="220" spans="2:6" x14ac:dyDescent="0.2">
      <c r="B220" s="4" t="s">
        <v>364</v>
      </c>
      <c r="C220" s="5"/>
      <c r="E220" s="230" t="s">
        <v>453</v>
      </c>
      <c r="F220" s="5"/>
    </row>
    <row r="221" spans="2:6" x14ac:dyDescent="0.2">
      <c r="B221" s="233" t="s">
        <v>274</v>
      </c>
      <c r="C221" s="5"/>
      <c r="E221" s="12" t="s">
        <v>457</v>
      </c>
      <c r="F221" s="5"/>
    </row>
    <row r="222" spans="2:6" x14ac:dyDescent="0.2">
      <c r="B222" s="5"/>
      <c r="C222" s="5"/>
      <c r="E222" s="12" t="s">
        <v>455</v>
      </c>
      <c r="F222" s="5"/>
    </row>
    <row r="223" spans="2:6" x14ac:dyDescent="0.2">
      <c r="B223" s="32"/>
      <c r="C223" s="5" t="s">
        <v>204</v>
      </c>
      <c r="D223" s="5"/>
      <c r="E223" s="12" t="s">
        <v>456</v>
      </c>
      <c r="F223" s="5"/>
    </row>
    <row r="224" spans="2:6" x14ac:dyDescent="0.2">
      <c r="B224" s="32"/>
      <c r="C224" s="5" t="s">
        <v>205</v>
      </c>
      <c r="D224" s="5"/>
      <c r="E224" s="12" t="s">
        <v>454</v>
      </c>
      <c r="F224" s="5"/>
    </row>
    <row r="225" spans="2:6" x14ac:dyDescent="0.2">
      <c r="B225" s="32"/>
      <c r="C225" s="5" t="s">
        <v>206</v>
      </c>
      <c r="D225" s="5"/>
      <c r="E225" s="12" t="s">
        <v>451</v>
      </c>
      <c r="F225" s="5"/>
    </row>
    <row r="226" spans="2:6" x14ac:dyDescent="0.2">
      <c r="B226" s="32"/>
      <c r="C226" s="5" t="s">
        <v>207</v>
      </c>
      <c r="D226" s="5"/>
      <c r="E226" s="12" t="s">
        <v>452</v>
      </c>
      <c r="F226" s="5"/>
    </row>
    <row r="227" spans="2:6" x14ac:dyDescent="0.2">
      <c r="B227" s="32"/>
      <c r="C227" s="5" t="s">
        <v>208</v>
      </c>
      <c r="D227" s="5"/>
      <c r="E227" s="12" t="s">
        <v>411</v>
      </c>
      <c r="F227" s="5"/>
    </row>
    <row r="228" spans="2:6" x14ac:dyDescent="0.2">
      <c r="B228" s="32"/>
      <c r="C228" s="5" t="s">
        <v>209</v>
      </c>
      <c r="D228" s="5"/>
      <c r="E228" s="12" t="s">
        <v>458</v>
      </c>
      <c r="F228" s="5"/>
    </row>
    <row r="229" spans="2:6" x14ac:dyDescent="0.2">
      <c r="B229" s="32"/>
      <c r="C229" s="5" t="s">
        <v>210</v>
      </c>
      <c r="D229" s="5"/>
      <c r="E229" s="12" t="s">
        <v>459</v>
      </c>
      <c r="F229" s="5"/>
    </row>
    <row r="230" spans="2:6" x14ac:dyDescent="0.2">
      <c r="B230" s="32"/>
      <c r="C230" s="5" t="s">
        <v>211</v>
      </c>
      <c r="D230" s="5"/>
      <c r="E230" s="12" t="s">
        <v>460</v>
      </c>
      <c r="F230" s="5"/>
    </row>
    <row r="231" spans="2:6" x14ac:dyDescent="0.2">
      <c r="B231" s="32"/>
      <c r="C231" s="5" t="s">
        <v>212</v>
      </c>
      <c r="D231" s="5"/>
      <c r="E231" s="12" t="s">
        <v>461</v>
      </c>
      <c r="F231" s="5"/>
    </row>
    <row r="232" spans="2:6" x14ac:dyDescent="0.2">
      <c r="B232" s="32"/>
      <c r="C232" s="5" t="s">
        <v>213</v>
      </c>
      <c r="D232" s="5"/>
      <c r="E232" s="12" t="s">
        <v>462</v>
      </c>
      <c r="F232" s="5"/>
    </row>
    <row r="233" spans="2:6" x14ac:dyDescent="0.2">
      <c r="B233" s="32"/>
      <c r="C233" s="5" t="s">
        <v>214</v>
      </c>
      <c r="D233" s="5"/>
      <c r="E233" s="12" t="s">
        <v>463</v>
      </c>
      <c r="F233" s="5"/>
    </row>
    <row r="234" spans="2:6" x14ac:dyDescent="0.2">
      <c r="B234" s="32"/>
      <c r="C234" s="5" t="s">
        <v>215</v>
      </c>
      <c r="D234" s="5"/>
      <c r="E234" s="12" t="s">
        <v>468</v>
      </c>
      <c r="F234" s="5"/>
    </row>
    <row r="235" spans="2:6" x14ac:dyDescent="0.2">
      <c r="B235" s="32"/>
      <c r="C235" s="5" t="s">
        <v>216</v>
      </c>
      <c r="D235" s="5"/>
      <c r="E235" s="12" t="s">
        <v>464</v>
      </c>
      <c r="F235" s="5"/>
    </row>
    <row r="236" spans="2:6" x14ac:dyDescent="0.2">
      <c r="B236" s="32"/>
      <c r="C236" s="5" t="s">
        <v>217</v>
      </c>
      <c r="D236" s="5"/>
      <c r="E236" s="12" t="s">
        <v>465</v>
      </c>
      <c r="F236" s="5"/>
    </row>
    <row r="237" spans="2:6" x14ac:dyDescent="0.2">
      <c r="B237" s="32"/>
      <c r="C237" s="5" t="s">
        <v>218</v>
      </c>
      <c r="D237" s="5"/>
      <c r="E237" s="12" t="s">
        <v>466</v>
      </c>
      <c r="F237" s="5"/>
    </row>
    <row r="238" spans="2:6" x14ac:dyDescent="0.2">
      <c r="B238" s="32"/>
      <c r="C238" s="5" t="s">
        <v>219</v>
      </c>
      <c r="D238" s="5"/>
      <c r="E238" s="12" t="s">
        <v>467</v>
      </c>
      <c r="F238" s="5"/>
    </row>
    <row r="239" spans="2:6" x14ac:dyDescent="0.2">
      <c r="B239" s="32"/>
      <c r="C239" s="5" t="s">
        <v>220</v>
      </c>
      <c r="D239" s="5"/>
      <c r="E239" s="312" t="s">
        <v>868</v>
      </c>
      <c r="F239" s="5"/>
    </row>
    <row r="240" spans="2:6" x14ac:dyDescent="0.2">
      <c r="B240" s="32"/>
      <c r="C240" s="5" t="s">
        <v>221</v>
      </c>
      <c r="D240" s="5"/>
      <c r="E240" s="312" t="s">
        <v>869</v>
      </c>
      <c r="F240" s="5"/>
    </row>
    <row r="241" spans="2:6" x14ac:dyDescent="0.2">
      <c r="B241" s="32"/>
      <c r="C241" s="5" t="s">
        <v>222</v>
      </c>
      <c r="D241" s="5"/>
      <c r="F241" s="5"/>
    </row>
    <row r="242" spans="2:6" x14ac:dyDescent="0.2">
      <c r="B242" s="32"/>
      <c r="C242" s="5" t="s">
        <v>223</v>
      </c>
      <c r="D242" s="5"/>
      <c r="E242" s="390" t="s">
        <v>318</v>
      </c>
      <c r="F242" s="5"/>
    </row>
    <row r="243" spans="2:6" x14ac:dyDescent="0.2">
      <c r="B243" s="32"/>
      <c r="C243" s="5" t="s">
        <v>224</v>
      </c>
      <c r="D243" s="5"/>
      <c r="E243" s="390" t="s">
        <v>385</v>
      </c>
      <c r="F243" s="5"/>
    </row>
    <row r="244" spans="2:6" x14ac:dyDescent="0.2">
      <c r="B244" s="32"/>
      <c r="C244" s="5" t="s">
        <v>225</v>
      </c>
      <c r="D244" s="5"/>
      <c r="E244" s="390" t="s">
        <v>388</v>
      </c>
      <c r="F244" s="5"/>
    </row>
    <row r="245" spans="2:6" x14ac:dyDescent="0.2">
      <c r="B245" s="32"/>
      <c r="C245" s="5" t="s">
        <v>226</v>
      </c>
      <c r="D245" s="5"/>
      <c r="E245" s="232" t="s">
        <v>518</v>
      </c>
      <c r="F245" s="5"/>
    </row>
    <row r="246" spans="2:6" x14ac:dyDescent="0.2">
      <c r="B246" s="32"/>
      <c r="C246" s="5" t="s">
        <v>227</v>
      </c>
      <c r="D246" s="5"/>
      <c r="E246" s="232" t="s">
        <v>519</v>
      </c>
      <c r="F246" s="5"/>
    </row>
    <row r="247" spans="2:6" x14ac:dyDescent="0.2">
      <c r="B247" s="32"/>
      <c r="C247" s="5" t="s">
        <v>116</v>
      </c>
      <c r="D247" s="5"/>
      <c r="E247" s="232" t="s">
        <v>394</v>
      </c>
      <c r="F247" s="5"/>
    </row>
    <row r="248" spans="2:6" x14ac:dyDescent="0.2">
      <c r="B248" s="32"/>
      <c r="C248" s="5" t="s">
        <v>117</v>
      </c>
      <c r="D248" s="5"/>
      <c r="E248" s="232" t="s">
        <v>395</v>
      </c>
      <c r="F248" s="5"/>
    </row>
    <row r="249" spans="2:6" x14ac:dyDescent="0.2">
      <c r="B249" s="32"/>
      <c r="C249" s="5" t="s">
        <v>118</v>
      </c>
      <c r="D249" s="5"/>
      <c r="E249" s="346" t="s">
        <v>637</v>
      </c>
      <c r="F249" s="5"/>
    </row>
    <row r="250" spans="2:6" x14ac:dyDescent="0.2">
      <c r="B250" s="32"/>
      <c r="C250" s="5" t="s">
        <v>119</v>
      </c>
      <c r="D250" s="5"/>
      <c r="E250" s="346" t="s">
        <v>638</v>
      </c>
      <c r="F250" s="5"/>
    </row>
    <row r="251" spans="2:6" x14ac:dyDescent="0.2">
      <c r="B251" s="32"/>
      <c r="C251" s="5" t="s">
        <v>120</v>
      </c>
      <c r="D251" s="5"/>
      <c r="E251" s="346" t="s">
        <v>576</v>
      </c>
      <c r="F251" s="5"/>
    </row>
    <row r="252" spans="2:6" x14ac:dyDescent="0.2">
      <c r="B252" s="32"/>
      <c r="C252" s="5" t="s">
        <v>121</v>
      </c>
      <c r="D252" s="5"/>
      <c r="E252" s="346" t="s">
        <v>342</v>
      </c>
      <c r="F252" s="5"/>
    </row>
    <row r="253" spans="2:6" x14ac:dyDescent="0.2">
      <c r="B253" s="32"/>
      <c r="C253" s="5" t="s">
        <v>122</v>
      </c>
      <c r="D253" s="5"/>
      <c r="E253" s="32"/>
      <c r="F253" s="5"/>
    </row>
    <row r="254" spans="2:6" x14ac:dyDescent="0.2">
      <c r="B254" s="32"/>
      <c r="C254" s="5" t="s">
        <v>123</v>
      </c>
      <c r="D254" s="5"/>
      <c r="E254" s="32"/>
      <c r="F254" s="5"/>
    </row>
    <row r="255" spans="2:6" x14ac:dyDescent="0.2">
      <c r="B255" s="32"/>
      <c r="C255" s="5" t="s">
        <v>124</v>
      </c>
      <c r="D255" s="5"/>
      <c r="E255" s="32"/>
      <c r="F255" s="5"/>
    </row>
    <row r="256" spans="2:6" x14ac:dyDescent="0.2">
      <c r="B256" s="32"/>
      <c r="C256" s="5" t="s">
        <v>125</v>
      </c>
      <c r="D256" s="5"/>
      <c r="E256" s="12"/>
      <c r="F256" s="5"/>
    </row>
    <row r="257" spans="2:6" x14ac:dyDescent="0.2">
      <c r="B257" s="32"/>
      <c r="C257" s="5" t="s">
        <v>126</v>
      </c>
      <c r="D257" s="5"/>
      <c r="E257" s="12"/>
      <c r="F257" s="5"/>
    </row>
    <row r="258" spans="2:6" x14ac:dyDescent="0.2">
      <c r="B258" s="32"/>
      <c r="C258" s="5" t="s">
        <v>127</v>
      </c>
      <c r="D258" s="5"/>
      <c r="E258" s="32"/>
      <c r="F258" s="5"/>
    </row>
    <row r="259" spans="2:6" x14ac:dyDescent="0.2">
      <c r="B259" s="32"/>
      <c r="C259" s="5" t="s">
        <v>128</v>
      </c>
      <c r="D259" s="5"/>
      <c r="E259" s="32"/>
      <c r="F259" s="5"/>
    </row>
    <row r="260" spans="2:6" x14ac:dyDescent="0.2">
      <c r="B260" s="32"/>
      <c r="C260" s="5" t="s">
        <v>129</v>
      </c>
      <c r="D260" s="5"/>
      <c r="E260" s="32"/>
      <c r="F260" s="5"/>
    </row>
    <row r="261" spans="2:6" x14ac:dyDescent="0.2">
      <c r="B261" s="32"/>
      <c r="C261" s="5" t="s">
        <v>130</v>
      </c>
      <c r="D261" s="5"/>
      <c r="E261" s="32"/>
      <c r="F261" s="5"/>
    </row>
    <row r="262" spans="2:6" x14ac:dyDescent="0.2">
      <c r="B262" s="32"/>
      <c r="C262" s="5" t="s">
        <v>131</v>
      </c>
      <c r="D262" s="5"/>
      <c r="E262" s="32"/>
      <c r="F262" s="5"/>
    </row>
    <row r="263" spans="2:6" x14ac:dyDescent="0.2">
      <c r="B263" s="32"/>
      <c r="C263" s="5" t="s">
        <v>132</v>
      </c>
      <c r="E263" s="12"/>
    </row>
    <row r="264" spans="2:6" x14ac:dyDescent="0.2">
      <c r="B264" s="32"/>
      <c r="C264" s="5" t="s">
        <v>133</v>
      </c>
      <c r="E264" s="12"/>
    </row>
    <row r="265" spans="2:6" x14ac:dyDescent="0.2">
      <c r="B265" s="32"/>
      <c r="C265" s="5" t="s">
        <v>134</v>
      </c>
      <c r="E265" s="32"/>
    </row>
    <row r="266" spans="2:6" x14ac:dyDescent="0.2">
      <c r="B266" s="32"/>
      <c r="C266" s="5" t="s">
        <v>135</v>
      </c>
      <c r="E266" s="32"/>
    </row>
    <row r="267" spans="2:6" x14ac:dyDescent="0.2">
      <c r="B267" s="32"/>
      <c r="C267" s="5" t="s">
        <v>136</v>
      </c>
      <c r="E267" s="32"/>
    </row>
    <row r="268" spans="2:6" x14ac:dyDescent="0.2">
      <c r="B268" s="32"/>
      <c r="C268" s="5" t="s">
        <v>137</v>
      </c>
      <c r="E268" s="32"/>
    </row>
    <row r="269" spans="2:6" x14ac:dyDescent="0.2">
      <c r="B269" s="32"/>
      <c r="C269" s="5" t="s">
        <v>138</v>
      </c>
      <c r="E269" s="12"/>
    </row>
    <row r="270" spans="2:6" x14ac:dyDescent="0.2">
      <c r="B270" s="32"/>
      <c r="C270" s="5" t="s">
        <v>139</v>
      </c>
      <c r="E270" s="12"/>
    </row>
    <row r="271" spans="2:6" x14ac:dyDescent="0.2">
      <c r="B271" s="32"/>
      <c r="C271" s="5" t="s">
        <v>140</v>
      </c>
      <c r="E271" s="12"/>
    </row>
    <row r="272" spans="2:6" x14ac:dyDescent="0.2">
      <c r="B272" s="32"/>
      <c r="C272" s="5" t="s">
        <v>141</v>
      </c>
      <c r="E272" s="12"/>
    </row>
    <row r="273" spans="2:5" x14ac:dyDescent="0.2">
      <c r="B273" s="32"/>
      <c r="C273" s="5" t="s">
        <v>142</v>
      </c>
      <c r="E273" s="12"/>
    </row>
    <row r="274" spans="2:5" x14ac:dyDescent="0.2">
      <c r="B274" s="32"/>
      <c r="C274" s="5" t="s">
        <v>143</v>
      </c>
      <c r="E274" s="12"/>
    </row>
    <row r="275" spans="2:5" x14ac:dyDescent="0.2">
      <c r="B275" s="32"/>
      <c r="C275" s="5" t="s">
        <v>144</v>
      </c>
      <c r="E275" s="12"/>
    </row>
    <row r="276" spans="2:5" x14ac:dyDescent="0.2">
      <c r="B276" s="32"/>
      <c r="C276" s="5" t="s">
        <v>145</v>
      </c>
    </row>
    <row r="277" spans="2:5" x14ac:dyDescent="0.2">
      <c r="B277" s="32"/>
      <c r="C277" s="5" t="s">
        <v>146</v>
      </c>
    </row>
    <row r="278" spans="2:5" x14ac:dyDescent="0.2">
      <c r="B278" s="32"/>
      <c r="C278" s="5" t="s">
        <v>147</v>
      </c>
    </row>
    <row r="279" spans="2:5" x14ac:dyDescent="0.2">
      <c r="B279" s="32"/>
      <c r="C279" s="5" t="s">
        <v>148</v>
      </c>
    </row>
    <row r="280" spans="2:5" x14ac:dyDescent="0.2">
      <c r="B280" s="32"/>
      <c r="C280" s="5" t="s">
        <v>149</v>
      </c>
    </row>
    <row r="281" spans="2:5" x14ac:dyDescent="0.2">
      <c r="B281" s="32"/>
      <c r="C281" s="5" t="s">
        <v>150</v>
      </c>
    </row>
    <row r="282" spans="2:5" x14ac:dyDescent="0.2">
      <c r="B282" s="32"/>
      <c r="C282" s="5" t="s">
        <v>151</v>
      </c>
    </row>
    <row r="283" spans="2:5" x14ac:dyDescent="0.2">
      <c r="B283" s="32"/>
      <c r="C283" s="5" t="s">
        <v>152</v>
      </c>
    </row>
    <row r="284" spans="2:5" x14ac:dyDescent="0.2">
      <c r="B284" s="32"/>
      <c r="C284" s="5" t="s">
        <v>153</v>
      </c>
    </row>
    <row r="285" spans="2:5" x14ac:dyDescent="0.2">
      <c r="B285" s="32"/>
      <c r="C285" s="5" t="s">
        <v>154</v>
      </c>
    </row>
    <row r="286" spans="2:5" x14ac:dyDescent="0.2">
      <c r="B286" s="32"/>
      <c r="C286" s="5" t="s">
        <v>155</v>
      </c>
    </row>
    <row r="287" spans="2:5" x14ac:dyDescent="0.2">
      <c r="B287" s="32"/>
      <c r="C287" s="5" t="s">
        <v>156</v>
      </c>
    </row>
    <row r="288" spans="2:5" x14ac:dyDescent="0.2">
      <c r="B288" s="32"/>
      <c r="C288" s="5" t="s">
        <v>157</v>
      </c>
    </row>
    <row r="289" spans="2:3" x14ac:dyDescent="0.2">
      <c r="B289" s="32"/>
      <c r="C289" s="5" t="s">
        <v>158</v>
      </c>
    </row>
    <row r="290" spans="2:3" x14ac:dyDescent="0.2">
      <c r="B290" s="32"/>
      <c r="C290" s="5" t="s">
        <v>159</v>
      </c>
    </row>
    <row r="291" spans="2:3" x14ac:dyDescent="0.2">
      <c r="B291" s="32"/>
      <c r="C291" s="5" t="s">
        <v>160</v>
      </c>
    </row>
    <row r="292" spans="2:3" x14ac:dyDescent="0.2">
      <c r="B292" s="32"/>
      <c r="C292" s="5" t="s">
        <v>161</v>
      </c>
    </row>
    <row r="293" spans="2:3" x14ac:dyDescent="0.2">
      <c r="B293" s="32"/>
      <c r="C293" s="5" t="s">
        <v>162</v>
      </c>
    </row>
    <row r="294" spans="2:3" x14ac:dyDescent="0.2">
      <c r="B294" s="32"/>
      <c r="C294" s="5" t="s">
        <v>163</v>
      </c>
    </row>
    <row r="295" spans="2:3" x14ac:dyDescent="0.2">
      <c r="B295" s="32"/>
      <c r="C295" s="5" t="s">
        <v>164</v>
      </c>
    </row>
    <row r="296" spans="2:3" x14ac:dyDescent="0.2">
      <c r="B296" s="32"/>
      <c r="C296" s="5" t="s">
        <v>165</v>
      </c>
    </row>
    <row r="297" spans="2:3" x14ac:dyDescent="0.2">
      <c r="B297" s="32"/>
      <c r="C297" s="5" t="s">
        <v>166</v>
      </c>
    </row>
    <row r="298" spans="2:3" x14ac:dyDescent="0.2">
      <c r="B298" s="32"/>
      <c r="C298" s="5" t="s">
        <v>167</v>
      </c>
    </row>
    <row r="299" spans="2:3" x14ac:dyDescent="0.2">
      <c r="B299" s="32"/>
      <c r="C299" s="5" t="s">
        <v>168</v>
      </c>
    </row>
    <row r="300" spans="2:3" x14ac:dyDescent="0.2">
      <c r="B300" s="32"/>
      <c r="C300" s="5" t="s">
        <v>169</v>
      </c>
    </row>
    <row r="301" spans="2:3" x14ac:dyDescent="0.2">
      <c r="B301" s="32"/>
      <c r="C301" s="5" t="s">
        <v>170</v>
      </c>
    </row>
    <row r="302" spans="2:3" x14ac:dyDescent="0.2">
      <c r="B302" s="32"/>
      <c r="C302" s="5" t="s">
        <v>171</v>
      </c>
    </row>
    <row r="303" spans="2:3" x14ac:dyDescent="0.2">
      <c r="B303" s="32"/>
      <c r="C303" s="5" t="s">
        <v>172</v>
      </c>
    </row>
    <row r="304" spans="2:3" x14ac:dyDescent="0.2">
      <c r="B304" s="32"/>
      <c r="C304" s="5" t="s">
        <v>173</v>
      </c>
    </row>
    <row r="305" spans="2:3" x14ac:dyDescent="0.2">
      <c r="B305" s="32"/>
      <c r="C305" s="5" t="s">
        <v>174</v>
      </c>
    </row>
    <row r="306" spans="2:3" x14ac:dyDescent="0.2">
      <c r="B306" s="32"/>
      <c r="C306" s="5" t="s">
        <v>175</v>
      </c>
    </row>
    <row r="307" spans="2:3" x14ac:dyDescent="0.2">
      <c r="B307" s="32"/>
      <c r="C307" s="5" t="s">
        <v>176</v>
      </c>
    </row>
    <row r="308" spans="2:3" x14ac:dyDescent="0.2">
      <c r="B308" s="32"/>
      <c r="C308" s="5" t="s">
        <v>177</v>
      </c>
    </row>
    <row r="309" spans="2:3" x14ac:dyDescent="0.2">
      <c r="B309" s="32"/>
      <c r="C309" s="5" t="s">
        <v>178</v>
      </c>
    </row>
    <row r="310" spans="2:3" x14ac:dyDescent="0.2">
      <c r="B310" s="32"/>
      <c r="C310" s="5" t="s">
        <v>179</v>
      </c>
    </row>
    <row r="311" spans="2:3" x14ac:dyDescent="0.2">
      <c r="B311" s="32"/>
      <c r="C311" s="5" t="s">
        <v>180</v>
      </c>
    </row>
    <row r="312" spans="2:3" x14ac:dyDescent="0.2">
      <c r="B312" s="32"/>
      <c r="C312" s="5" t="s">
        <v>181</v>
      </c>
    </row>
    <row r="313" spans="2:3" x14ac:dyDescent="0.2">
      <c r="B313" s="32"/>
      <c r="C313" s="5" t="s">
        <v>182</v>
      </c>
    </row>
    <row r="314" spans="2:3" x14ac:dyDescent="0.2">
      <c r="B314" s="32"/>
      <c r="C314" s="5" t="s">
        <v>183</v>
      </c>
    </row>
    <row r="315" spans="2:3" x14ac:dyDescent="0.2">
      <c r="B315" s="32"/>
      <c r="C315" s="5" t="s">
        <v>184</v>
      </c>
    </row>
    <row r="316" spans="2:3" x14ac:dyDescent="0.2">
      <c r="B316" s="32"/>
      <c r="C316" s="5" t="s">
        <v>185</v>
      </c>
    </row>
    <row r="317" spans="2:3" x14ac:dyDescent="0.2">
      <c r="B317" s="32"/>
      <c r="C317" s="5" t="s">
        <v>186</v>
      </c>
    </row>
    <row r="318" spans="2:3" x14ac:dyDescent="0.2">
      <c r="B318" s="32"/>
      <c r="C318" s="5" t="s">
        <v>187</v>
      </c>
    </row>
    <row r="319" spans="2:3" x14ac:dyDescent="0.2">
      <c r="B319" s="32"/>
      <c r="C319" s="5" t="s">
        <v>188</v>
      </c>
    </row>
    <row r="320" spans="2:3" x14ac:dyDescent="0.2">
      <c r="B320" s="32"/>
      <c r="C320" s="5" t="s">
        <v>189</v>
      </c>
    </row>
    <row r="321" spans="2:3" x14ac:dyDescent="0.2">
      <c r="B321" s="32"/>
      <c r="C321" s="5" t="s">
        <v>190</v>
      </c>
    </row>
    <row r="322" spans="2:3" x14ac:dyDescent="0.2">
      <c r="B322" s="32"/>
      <c r="C322" s="5" t="s">
        <v>191</v>
      </c>
    </row>
    <row r="323" spans="2:3" x14ac:dyDescent="0.2">
      <c r="B323" s="32"/>
      <c r="C323" s="5" t="s">
        <v>192</v>
      </c>
    </row>
    <row r="324" spans="2:3" x14ac:dyDescent="0.2">
      <c r="B324" s="32"/>
      <c r="C324" s="5" t="s">
        <v>193</v>
      </c>
    </row>
    <row r="325" spans="2:3" x14ac:dyDescent="0.2">
      <c r="B325" s="32"/>
      <c r="C325" s="5" t="s">
        <v>194</v>
      </c>
    </row>
    <row r="326" spans="2:3" x14ac:dyDescent="0.2">
      <c r="B326" s="32"/>
      <c r="C326" s="5" t="s">
        <v>195</v>
      </c>
    </row>
    <row r="327" spans="2:3" x14ac:dyDescent="0.2">
      <c r="B327" s="32"/>
      <c r="C327" s="5" t="s">
        <v>196</v>
      </c>
    </row>
    <row r="328" spans="2:3" x14ac:dyDescent="0.2">
      <c r="B328" s="32"/>
      <c r="C328" s="5" t="s">
        <v>197</v>
      </c>
    </row>
    <row r="329" spans="2:3" x14ac:dyDescent="0.2">
      <c r="B329" s="5"/>
      <c r="C329" s="5" t="s">
        <v>198</v>
      </c>
    </row>
    <row r="330" spans="2:3" x14ac:dyDescent="0.2">
      <c r="B330" s="5" t="s">
        <v>110</v>
      </c>
      <c r="C330" s="5" t="s">
        <v>199</v>
      </c>
    </row>
    <row r="331" spans="2:3" x14ac:dyDescent="0.2">
      <c r="B331" s="5" t="s">
        <v>112</v>
      </c>
      <c r="C331" s="5" t="s">
        <v>200</v>
      </c>
    </row>
    <row r="332" spans="2:3" x14ac:dyDescent="0.2">
      <c r="B332" s="5" t="s">
        <v>231</v>
      </c>
      <c r="C332" s="5" t="s">
        <v>201</v>
      </c>
    </row>
    <row r="333" spans="2:3" x14ac:dyDescent="0.2">
      <c r="B333" s="5" t="s">
        <v>111</v>
      </c>
      <c r="C333" s="5" t="s">
        <v>202</v>
      </c>
    </row>
    <row r="334" spans="2:3" x14ac:dyDescent="0.2">
      <c r="B334" s="5" t="s">
        <v>113</v>
      </c>
      <c r="C334" s="5" t="s">
        <v>203</v>
      </c>
    </row>
    <row r="335" spans="2:3" x14ac:dyDescent="0.2">
      <c r="B335" s="5" t="s">
        <v>232</v>
      </c>
      <c r="C335" s="5"/>
    </row>
    <row r="336" spans="2:3" x14ac:dyDescent="0.2">
      <c r="B336" s="5" t="s">
        <v>109</v>
      </c>
      <c r="C336" s="83">
        <v>10</v>
      </c>
    </row>
    <row r="337" spans="2:3" x14ac:dyDescent="0.2">
      <c r="B337" s="4" t="s">
        <v>296</v>
      </c>
      <c r="C337" s="83">
        <v>20</v>
      </c>
    </row>
    <row r="338" spans="2:3" x14ac:dyDescent="0.2">
      <c r="C338" s="83">
        <v>30</v>
      </c>
    </row>
    <row r="339" spans="2:3" x14ac:dyDescent="0.2">
      <c r="B339" s="50" t="s">
        <v>270</v>
      </c>
      <c r="C339" s="84">
        <v>40</v>
      </c>
    </row>
    <row r="340" spans="2:3" x14ac:dyDescent="0.2">
      <c r="B340" s="45" t="s">
        <v>272</v>
      </c>
      <c r="C340" s="84">
        <v>50</v>
      </c>
    </row>
    <row r="341" spans="2:3" x14ac:dyDescent="0.2">
      <c r="B341" s="45" t="s">
        <v>271</v>
      </c>
      <c r="C341" s="84">
        <v>60</v>
      </c>
    </row>
    <row r="342" spans="2:3" x14ac:dyDescent="0.2">
      <c r="B342" s="50" t="s">
        <v>269</v>
      </c>
      <c r="C342" s="84">
        <v>70</v>
      </c>
    </row>
    <row r="343" spans="2:3" x14ac:dyDescent="0.2">
      <c r="B343" s="50" t="s">
        <v>345</v>
      </c>
      <c r="C343" s="84">
        <v>80</v>
      </c>
    </row>
    <row r="344" spans="2:3" x14ac:dyDescent="0.2">
      <c r="C344" s="84">
        <v>90</v>
      </c>
    </row>
    <row r="345" spans="2:3" x14ac:dyDescent="0.2">
      <c r="B345" s="50" t="s">
        <v>284</v>
      </c>
      <c r="C345" s="84">
        <v>100</v>
      </c>
    </row>
    <row r="346" spans="2:3" x14ac:dyDescent="0.2">
      <c r="B346" s="50" t="s">
        <v>285</v>
      </c>
      <c r="C346" s="84">
        <v>110</v>
      </c>
    </row>
    <row r="347" spans="2:3" x14ac:dyDescent="0.2">
      <c r="B347" s="50" t="s">
        <v>482</v>
      </c>
      <c r="C347" s="84">
        <v>120</v>
      </c>
    </row>
    <row r="348" spans="2:3" x14ac:dyDescent="0.2">
      <c r="B348" s="50" t="s">
        <v>483</v>
      </c>
      <c r="C348" s="84">
        <v>140</v>
      </c>
    </row>
    <row r="349" spans="2:3" x14ac:dyDescent="0.2">
      <c r="B349" s="22" t="s">
        <v>484</v>
      </c>
      <c r="C349" s="4">
        <v>160</v>
      </c>
    </row>
    <row r="350" spans="2:3" x14ac:dyDescent="0.2">
      <c r="B350" s="22" t="s">
        <v>286</v>
      </c>
      <c r="C350" s="4">
        <v>175</v>
      </c>
    </row>
    <row r="351" spans="2:3" x14ac:dyDescent="0.2">
      <c r="B351" s="50" t="s">
        <v>288</v>
      </c>
      <c r="C351" s="4">
        <v>180</v>
      </c>
    </row>
    <row r="352" spans="2:3" x14ac:dyDescent="0.2">
      <c r="B352" s="50" t="s">
        <v>485</v>
      </c>
      <c r="C352" s="4">
        <v>210</v>
      </c>
    </row>
    <row r="353" spans="2:3" x14ac:dyDescent="0.2">
      <c r="B353" s="22" t="s">
        <v>486</v>
      </c>
      <c r="C353" s="4">
        <v>450</v>
      </c>
    </row>
    <row r="354" spans="2:3" x14ac:dyDescent="0.2">
      <c r="B354" s="22" t="s">
        <v>287</v>
      </c>
      <c r="C354" s="4">
        <v>470</v>
      </c>
    </row>
    <row r="355" spans="2:3" x14ac:dyDescent="0.2">
      <c r="B355" s="22" t="s">
        <v>289</v>
      </c>
      <c r="C355" s="4">
        <v>700</v>
      </c>
    </row>
    <row r="356" spans="2:3" x14ac:dyDescent="0.2">
      <c r="B356" s="22" t="s">
        <v>290</v>
      </c>
      <c r="C356" s="4">
        <v>710</v>
      </c>
    </row>
    <row r="357" spans="2:3" x14ac:dyDescent="0.2">
      <c r="C357" s="4">
        <v>720</v>
      </c>
    </row>
    <row r="358" spans="2:3" x14ac:dyDescent="0.2">
      <c r="C358" s="4">
        <v>730</v>
      </c>
    </row>
    <row r="359" spans="2:3" x14ac:dyDescent="0.2">
      <c r="C359" s="4">
        <v>740</v>
      </c>
    </row>
    <row r="360" spans="2:3" x14ac:dyDescent="0.2">
      <c r="C360" s="4">
        <v>750</v>
      </c>
    </row>
    <row r="361" spans="2:3" x14ac:dyDescent="0.2">
      <c r="C361" s="4">
        <v>800</v>
      </c>
    </row>
  </sheetData>
  <sheetProtection sheet="1"/>
  <mergeCells count="72">
    <mergeCell ref="A1:M1"/>
    <mergeCell ref="B36:M36"/>
    <mergeCell ref="H156:J156"/>
    <mergeCell ref="F45:H45"/>
    <mergeCell ref="F31:I31"/>
    <mergeCell ref="B46:E46"/>
    <mergeCell ref="J60:L60"/>
    <mergeCell ref="F61:H61"/>
    <mergeCell ref="J61:L61"/>
    <mergeCell ref="F60:H60"/>
    <mergeCell ref="C47:E47"/>
    <mergeCell ref="B17:K18"/>
    <mergeCell ref="L17:L18"/>
    <mergeCell ref="B19:D19"/>
    <mergeCell ref="F20:I20"/>
    <mergeCell ref="F27:I27"/>
    <mergeCell ref="J93:L93"/>
    <mergeCell ref="F87:H87"/>
    <mergeCell ref="F80:H80"/>
    <mergeCell ref="F103:J103"/>
    <mergeCell ref="F74:H74"/>
    <mergeCell ref="F79:H79"/>
    <mergeCell ref="J86:L86"/>
    <mergeCell ref="J74:L74"/>
    <mergeCell ref="F109:I109"/>
    <mergeCell ref="F93:H93"/>
    <mergeCell ref="F86:H86"/>
    <mergeCell ref="F105:I105"/>
    <mergeCell ref="F92:H92"/>
    <mergeCell ref="F158:G158"/>
    <mergeCell ref="H157:I157"/>
    <mergeCell ref="H158:I158"/>
    <mergeCell ref="G143:J143"/>
    <mergeCell ref="G144:J144"/>
    <mergeCell ref="G145:J145"/>
    <mergeCell ref="G146:J146"/>
    <mergeCell ref="G147:J147"/>
    <mergeCell ref="E147:F147"/>
    <mergeCell ref="E144:F144"/>
    <mergeCell ref="F151:J151"/>
    <mergeCell ref="F157:G157"/>
    <mergeCell ref="F67:H67"/>
    <mergeCell ref="F73:H73"/>
    <mergeCell ref="F4:I4"/>
    <mergeCell ref="F5:K5"/>
    <mergeCell ref="F8:I8"/>
    <mergeCell ref="F9:K9"/>
    <mergeCell ref="F10:I10"/>
    <mergeCell ref="F11:I11"/>
    <mergeCell ref="B34:M35"/>
    <mergeCell ref="F49:I49"/>
    <mergeCell ref="F21:L21"/>
    <mergeCell ref="B25:L25"/>
    <mergeCell ref="F29:I29"/>
    <mergeCell ref="J66:L66"/>
    <mergeCell ref="F66:H66"/>
    <mergeCell ref="B142:E142"/>
    <mergeCell ref="E145:F145"/>
    <mergeCell ref="E146:F146"/>
    <mergeCell ref="B33:L33"/>
    <mergeCell ref="J79:L79"/>
    <mergeCell ref="J87:L87"/>
    <mergeCell ref="J92:L92"/>
    <mergeCell ref="J80:L80"/>
    <mergeCell ref="B44:E44"/>
    <mergeCell ref="C48:E48"/>
    <mergeCell ref="J67:L67"/>
    <mergeCell ref="J73:L73"/>
    <mergeCell ref="B43:E43"/>
    <mergeCell ref="B40:E40"/>
    <mergeCell ref="F40:K40"/>
    <mergeCell ref="F106:I106"/>
  </mergeCells>
  <phoneticPr fontId="2" type="noConversion"/>
  <pageMargins left="0.75" right="0.75" top="1" bottom="1" header="0.5" footer="0.5"/>
  <pageSetup orientation="landscape" r:id="rId1"/>
  <headerFooter alignWithMargins="0"/>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dimension ref="A2:N347"/>
  <sheetViews>
    <sheetView workbookViewId="0">
      <selection activeCell="C273" sqref="C273"/>
    </sheetView>
  </sheetViews>
  <sheetFormatPr defaultRowHeight="12.75" x14ac:dyDescent="0.2"/>
  <cols>
    <col min="1" max="1" width="34.5703125" customWidth="1"/>
    <col min="2" max="2" width="12.5703125" customWidth="1"/>
    <col min="3" max="3" width="12.85546875" customWidth="1"/>
    <col min="4" max="4" width="9" customWidth="1"/>
    <col min="5" max="5" width="11.5703125" customWidth="1"/>
    <col min="6" max="6" width="10.85546875" customWidth="1"/>
    <col min="7" max="7" width="19.85546875" customWidth="1"/>
    <col min="8" max="8" width="20.28515625" customWidth="1"/>
  </cols>
  <sheetData>
    <row r="2" spans="1:14" ht="15" x14ac:dyDescent="0.25">
      <c r="A2" s="558" t="s">
        <v>572</v>
      </c>
      <c r="B2" s="559"/>
      <c r="C2" s="559"/>
      <c r="D2" s="559"/>
      <c r="E2" s="501"/>
      <c r="F2" s="501"/>
      <c r="G2" s="501"/>
      <c r="H2" s="502"/>
    </row>
    <row r="3" spans="1:14" ht="38.25" customHeight="1" x14ac:dyDescent="0.2">
      <c r="A3" s="9" t="s">
        <v>33</v>
      </c>
      <c r="B3" s="10" t="s">
        <v>442</v>
      </c>
      <c r="C3" s="9" t="s">
        <v>106</v>
      </c>
      <c r="D3" s="295" t="s">
        <v>616</v>
      </c>
      <c r="E3" s="295" t="s">
        <v>617</v>
      </c>
      <c r="F3" s="295" t="s">
        <v>107</v>
      </c>
      <c r="G3" s="295" t="s">
        <v>439</v>
      </c>
      <c r="H3" s="295" t="s">
        <v>440</v>
      </c>
      <c r="K3" s="5"/>
      <c r="L3" s="5"/>
    </row>
    <row r="4" spans="1:14" s="314" customFormat="1" ht="12.75" customHeight="1" x14ac:dyDescent="0.2">
      <c r="A4" s="311">
        <v>0</v>
      </c>
      <c r="B4" s="312">
        <v>0</v>
      </c>
      <c r="C4" s="311">
        <v>0</v>
      </c>
      <c r="D4" s="313">
        <v>0</v>
      </c>
      <c r="E4" s="313">
        <v>0</v>
      </c>
      <c r="F4" s="313">
        <v>0</v>
      </c>
      <c r="G4" s="313">
        <v>0</v>
      </c>
      <c r="H4" s="313">
        <v>0</v>
      </c>
      <c r="K4" s="312"/>
      <c r="L4" s="312"/>
    </row>
    <row r="5" spans="1:14" x14ac:dyDescent="0.2">
      <c r="A5" s="7" t="s">
        <v>62</v>
      </c>
      <c r="B5" t="s">
        <v>444</v>
      </c>
      <c r="C5" s="7" t="s">
        <v>100</v>
      </c>
      <c r="D5" s="7">
        <v>4.4000000000000003E-3</v>
      </c>
      <c r="E5" s="7">
        <v>5.9999999999999995E-4</v>
      </c>
      <c r="F5" s="7"/>
      <c r="G5" s="7"/>
      <c r="H5" s="19">
        <v>75</v>
      </c>
      <c r="I5" s="11"/>
      <c r="J5" s="12"/>
      <c r="K5" s="12"/>
      <c r="L5" s="12"/>
      <c r="M5" s="12" t="s">
        <v>34</v>
      </c>
      <c r="N5" s="4"/>
    </row>
    <row r="6" spans="1:14" x14ac:dyDescent="0.2">
      <c r="A6" s="7" t="s">
        <v>63</v>
      </c>
      <c r="B6" t="s">
        <v>444</v>
      </c>
      <c r="C6" s="7" t="s">
        <v>100</v>
      </c>
      <c r="D6" s="7">
        <v>3.0000000000000001E-3</v>
      </c>
      <c r="E6" s="7">
        <v>5.0000000000000001E-4</v>
      </c>
      <c r="F6" s="7"/>
      <c r="G6" s="7"/>
      <c r="H6" s="19">
        <v>75</v>
      </c>
      <c r="I6" s="11"/>
      <c r="J6" s="12"/>
      <c r="K6" s="12"/>
      <c r="L6" s="12"/>
      <c r="M6" s="12" t="s">
        <v>34</v>
      </c>
      <c r="N6" s="4"/>
    </row>
    <row r="7" spans="1:14" s="2" customFormat="1" x14ac:dyDescent="0.2">
      <c r="A7" s="34" t="s">
        <v>779</v>
      </c>
      <c r="B7" s="2" t="s">
        <v>443</v>
      </c>
      <c r="C7" s="34" t="s">
        <v>59</v>
      </c>
      <c r="D7" s="34">
        <v>0.7087</v>
      </c>
      <c r="E7" s="34">
        <v>0.1777</v>
      </c>
      <c r="F7" s="34">
        <v>80</v>
      </c>
      <c r="G7" s="34">
        <v>0.8</v>
      </c>
      <c r="H7" s="214"/>
      <c r="I7" s="11"/>
      <c r="J7" s="12"/>
      <c r="K7" s="12"/>
      <c r="L7" s="12"/>
      <c r="M7" s="12"/>
      <c r="N7" s="4"/>
    </row>
    <row r="8" spans="1:14" x14ac:dyDescent="0.2">
      <c r="A8" s="7" t="s">
        <v>778</v>
      </c>
      <c r="B8" t="s">
        <v>443</v>
      </c>
      <c r="C8" s="7" t="s">
        <v>60</v>
      </c>
      <c r="D8" s="7">
        <v>0.43840000000000001</v>
      </c>
      <c r="E8" s="7">
        <v>6.1100000000000002E-2</v>
      </c>
      <c r="F8" s="7">
        <v>80</v>
      </c>
      <c r="G8" s="34">
        <v>0.8</v>
      </c>
      <c r="H8" s="19"/>
      <c r="I8" s="11"/>
      <c r="J8" s="12"/>
      <c r="K8" s="12"/>
      <c r="L8" s="12"/>
      <c r="M8" s="12" t="s">
        <v>34</v>
      </c>
      <c r="N8" s="4"/>
    </row>
    <row r="9" spans="1:14" x14ac:dyDescent="0.2">
      <c r="A9" s="7" t="s">
        <v>64</v>
      </c>
      <c r="B9" t="s">
        <v>444</v>
      </c>
      <c r="C9" s="7" t="s">
        <v>58</v>
      </c>
      <c r="D9" s="7">
        <v>3.7425000000000002</v>
      </c>
      <c r="E9" s="7">
        <v>0.47839999999999999</v>
      </c>
      <c r="F9" s="7"/>
      <c r="G9" s="7"/>
      <c r="H9" s="19">
        <v>35</v>
      </c>
      <c r="I9" s="11"/>
      <c r="J9" s="12"/>
      <c r="K9" s="12"/>
      <c r="L9" s="12"/>
      <c r="M9" s="12"/>
      <c r="N9" s="4"/>
    </row>
    <row r="10" spans="1:14" x14ac:dyDescent="0.2">
      <c r="A10" s="7" t="s">
        <v>65</v>
      </c>
      <c r="B10" t="s">
        <v>444</v>
      </c>
      <c r="C10" s="7" t="s">
        <v>99</v>
      </c>
      <c r="D10" s="7">
        <v>8.9999999999999993E-3</v>
      </c>
      <c r="E10" s="7">
        <v>1E-4</v>
      </c>
      <c r="F10" s="7"/>
      <c r="G10" s="7"/>
      <c r="H10" s="19">
        <v>35</v>
      </c>
      <c r="I10" s="11"/>
      <c r="J10" s="12"/>
      <c r="K10" s="12"/>
      <c r="L10" s="12"/>
      <c r="M10" s="12"/>
      <c r="N10" s="4"/>
    </row>
    <row r="11" spans="1:14" x14ac:dyDescent="0.2">
      <c r="A11" s="7" t="s">
        <v>66</v>
      </c>
      <c r="B11" t="s">
        <v>444</v>
      </c>
      <c r="C11" s="7" t="s">
        <v>58</v>
      </c>
      <c r="D11" s="7">
        <v>3.5571999999999999</v>
      </c>
      <c r="E11" s="7">
        <v>0.3957</v>
      </c>
      <c r="F11" s="7"/>
      <c r="G11" s="7"/>
      <c r="H11" s="19">
        <v>35</v>
      </c>
      <c r="I11" s="11"/>
      <c r="J11" s="12"/>
      <c r="K11" s="12"/>
      <c r="L11" s="12"/>
      <c r="M11" s="12" t="s">
        <v>34</v>
      </c>
      <c r="N11" s="4"/>
    </row>
    <row r="12" spans="1:14" x14ac:dyDescent="0.2">
      <c r="A12" s="7" t="s">
        <v>67</v>
      </c>
      <c r="B12" t="s">
        <v>444</v>
      </c>
      <c r="C12" s="7" t="s">
        <v>61</v>
      </c>
      <c r="D12" s="7">
        <v>0.8498</v>
      </c>
      <c r="E12" s="7">
        <v>0.1013</v>
      </c>
      <c r="F12" s="7"/>
      <c r="G12" s="7"/>
      <c r="H12" s="19">
        <v>35</v>
      </c>
      <c r="I12" s="11"/>
      <c r="J12" s="12"/>
      <c r="K12" s="12"/>
      <c r="L12" s="12"/>
      <c r="M12" s="12" t="s">
        <v>34</v>
      </c>
      <c r="N12" s="4"/>
    </row>
    <row r="13" spans="1:14" x14ac:dyDescent="0.2">
      <c r="A13" s="7" t="s">
        <v>68</v>
      </c>
      <c r="B13" t="s">
        <v>444</v>
      </c>
      <c r="C13" s="7" t="s">
        <v>99</v>
      </c>
      <c r="D13" s="7">
        <v>1.01E-2</v>
      </c>
      <c r="E13" s="7">
        <v>1.5E-3</v>
      </c>
      <c r="F13" s="7"/>
      <c r="G13" s="7"/>
      <c r="H13" s="19">
        <v>35</v>
      </c>
      <c r="I13" s="11"/>
      <c r="J13" s="12"/>
      <c r="K13" s="12"/>
      <c r="L13" s="12"/>
      <c r="M13" s="12" t="s">
        <v>34</v>
      </c>
      <c r="N13" s="4"/>
    </row>
    <row r="14" spans="1:14" x14ac:dyDescent="0.2">
      <c r="A14" s="7" t="s">
        <v>69</v>
      </c>
      <c r="B14" t="s">
        <v>444</v>
      </c>
      <c r="C14" s="7" t="s">
        <v>58</v>
      </c>
      <c r="D14" s="7">
        <v>3.2357999999999998</v>
      </c>
      <c r="E14" s="7">
        <v>0.36730000000000002</v>
      </c>
      <c r="F14" s="7"/>
      <c r="G14" s="7"/>
      <c r="H14" s="19">
        <v>35</v>
      </c>
      <c r="I14" s="11"/>
      <c r="J14" s="12"/>
      <c r="K14" s="12"/>
      <c r="L14" s="12"/>
      <c r="M14" s="12" t="s">
        <v>34</v>
      </c>
      <c r="N14" s="4"/>
    </row>
    <row r="15" spans="1:14" x14ac:dyDescent="0.2">
      <c r="A15" s="7" t="s">
        <v>70</v>
      </c>
      <c r="B15" t="s">
        <v>444</v>
      </c>
      <c r="C15" s="7" t="s">
        <v>57</v>
      </c>
      <c r="D15" s="7">
        <v>21.3476</v>
      </c>
      <c r="E15" s="7">
        <v>2.5459999999999998</v>
      </c>
      <c r="F15" s="7"/>
      <c r="G15" s="7"/>
      <c r="H15" s="19">
        <v>35</v>
      </c>
      <c r="I15" s="11"/>
      <c r="J15" s="12"/>
      <c r="K15" s="12"/>
      <c r="L15" s="12"/>
      <c r="M15" s="12" t="s">
        <v>34</v>
      </c>
      <c r="N15" s="4"/>
    </row>
    <row r="16" spans="1:14" x14ac:dyDescent="0.2">
      <c r="A16" s="7" t="s">
        <v>71</v>
      </c>
      <c r="B16" t="s">
        <v>444</v>
      </c>
      <c r="C16" s="7" t="s">
        <v>58</v>
      </c>
      <c r="D16" s="7">
        <v>3.6105</v>
      </c>
      <c r="E16" s="7">
        <v>0.54520000000000002</v>
      </c>
      <c r="F16" s="7"/>
      <c r="G16" s="7" t="s">
        <v>34</v>
      </c>
      <c r="H16" s="19">
        <v>35</v>
      </c>
      <c r="I16" s="11"/>
      <c r="J16" s="12"/>
      <c r="K16" s="12"/>
      <c r="L16" s="12"/>
      <c r="M16" s="12"/>
      <c r="N16" s="4"/>
    </row>
    <row r="17" spans="1:14" x14ac:dyDescent="0.2">
      <c r="A17" s="7" t="s">
        <v>72</v>
      </c>
      <c r="B17" t="s">
        <v>444</v>
      </c>
      <c r="C17" s="7" t="s">
        <v>61</v>
      </c>
      <c r="D17" s="7">
        <v>0.78249999999999997</v>
      </c>
      <c r="E17" s="7">
        <v>9.8400000000000001E-2</v>
      </c>
      <c r="F17" s="7"/>
      <c r="G17" s="7" t="s">
        <v>34</v>
      </c>
      <c r="H17" s="19">
        <v>35</v>
      </c>
      <c r="I17" s="11"/>
      <c r="J17" s="12"/>
      <c r="K17" s="12"/>
      <c r="L17" s="12"/>
      <c r="M17" s="12" t="s">
        <v>34</v>
      </c>
      <c r="N17" s="4"/>
    </row>
    <row r="18" spans="1:14" x14ac:dyDescent="0.2">
      <c r="A18" s="7" t="s">
        <v>73</v>
      </c>
      <c r="B18" t="s">
        <v>444</v>
      </c>
      <c r="C18" s="7" t="s">
        <v>58</v>
      </c>
      <c r="D18" s="7">
        <v>3.6</v>
      </c>
      <c r="E18" s="7"/>
      <c r="F18" s="7"/>
      <c r="G18" s="7"/>
      <c r="H18" s="19">
        <v>35</v>
      </c>
      <c r="K18" t="s">
        <v>34</v>
      </c>
    </row>
    <row r="19" spans="1:14" x14ac:dyDescent="0.2">
      <c r="A19" s="7" t="s">
        <v>428</v>
      </c>
      <c r="B19" t="s">
        <v>444</v>
      </c>
      <c r="C19" s="7" t="s">
        <v>99</v>
      </c>
      <c r="D19" s="7">
        <v>1.1000000000000001E-3</v>
      </c>
      <c r="E19" s="7">
        <v>1E-4</v>
      </c>
      <c r="F19" s="7"/>
      <c r="G19" s="7"/>
      <c r="H19" s="19">
        <v>35</v>
      </c>
    </row>
    <row r="20" spans="1:14" ht="12" customHeight="1" x14ac:dyDescent="0.2">
      <c r="A20" s="7" t="s">
        <v>429</v>
      </c>
      <c r="B20" t="s">
        <v>444</v>
      </c>
      <c r="C20" s="7" t="s">
        <v>100</v>
      </c>
      <c r="D20" s="7">
        <v>5.7999999999999996E-3</v>
      </c>
      <c r="E20" s="7">
        <v>8.0000000000000004E-4</v>
      </c>
      <c r="F20" s="7"/>
      <c r="G20" s="7"/>
      <c r="H20" s="19">
        <v>100</v>
      </c>
    </row>
    <row r="21" spans="1:14" x14ac:dyDescent="0.2">
      <c r="A21" s="7" t="s">
        <v>74</v>
      </c>
      <c r="B21" t="s">
        <v>444</v>
      </c>
      <c r="C21" s="7" t="s">
        <v>99</v>
      </c>
      <c r="D21" s="7">
        <v>6.7000000000000002E-3</v>
      </c>
      <c r="E21" s="7">
        <v>6.9999999999999999E-4</v>
      </c>
      <c r="F21" s="7"/>
      <c r="G21" s="7"/>
      <c r="H21" s="19">
        <v>100</v>
      </c>
    </row>
    <row r="22" spans="1:14" x14ac:dyDescent="0.2">
      <c r="A22" s="7" t="s">
        <v>75</v>
      </c>
      <c r="B22" t="s">
        <v>444</v>
      </c>
      <c r="C22" s="7" t="s">
        <v>101</v>
      </c>
      <c r="D22" s="7">
        <v>3.2000000000000002E-3</v>
      </c>
      <c r="E22" s="7">
        <v>2.9999999999999997E-4</v>
      </c>
      <c r="F22" s="7"/>
      <c r="G22" s="7"/>
      <c r="H22" s="19">
        <v>100</v>
      </c>
    </row>
    <row r="23" spans="1:14" x14ac:dyDescent="0.2">
      <c r="A23" s="7" t="s">
        <v>76</v>
      </c>
      <c r="B23" t="s">
        <v>444</v>
      </c>
      <c r="C23" s="7" t="s">
        <v>101</v>
      </c>
      <c r="D23" s="7">
        <v>2.5000000000000001E-3</v>
      </c>
      <c r="E23" s="7">
        <v>2.9999999999999997E-4</v>
      </c>
      <c r="F23" s="7"/>
      <c r="G23" s="7" t="s">
        <v>34</v>
      </c>
      <c r="H23" s="19">
        <v>100</v>
      </c>
    </row>
    <row r="24" spans="1:14" x14ac:dyDescent="0.2">
      <c r="A24" s="7" t="s">
        <v>77</v>
      </c>
      <c r="B24" t="s">
        <v>444</v>
      </c>
      <c r="C24" s="7" t="s">
        <v>102</v>
      </c>
      <c r="D24" s="7">
        <v>1.8E-3</v>
      </c>
      <c r="E24" s="7">
        <v>4.0000000000000002E-4</v>
      </c>
      <c r="F24" s="7"/>
      <c r="G24" s="7" t="s">
        <v>34</v>
      </c>
      <c r="H24" s="19">
        <v>75</v>
      </c>
    </row>
    <row r="25" spans="1:14" x14ac:dyDescent="0.2">
      <c r="A25" s="7" t="s">
        <v>430</v>
      </c>
      <c r="B25" t="s">
        <v>444</v>
      </c>
      <c r="C25" s="7" t="s">
        <v>99</v>
      </c>
      <c r="D25" s="7">
        <v>4.0000000000000001E-3</v>
      </c>
      <c r="E25" s="7">
        <v>5.9999999999999995E-4</v>
      </c>
      <c r="F25" s="7"/>
      <c r="G25" s="7"/>
      <c r="H25" s="19">
        <v>100</v>
      </c>
    </row>
    <row r="26" spans="1:14" x14ac:dyDescent="0.2">
      <c r="A26" s="7" t="s">
        <v>78</v>
      </c>
      <c r="B26" t="s">
        <v>444</v>
      </c>
      <c r="C26" s="7" t="s">
        <v>100</v>
      </c>
      <c r="D26" s="7">
        <v>1.2999999999999999E-3</v>
      </c>
      <c r="E26" s="7">
        <v>4.0000000000000002E-4</v>
      </c>
      <c r="F26" s="7"/>
      <c r="G26" s="7" t="s">
        <v>34</v>
      </c>
      <c r="H26" s="19">
        <v>100</v>
      </c>
    </row>
    <row r="27" spans="1:14" x14ac:dyDescent="0.2">
      <c r="A27" s="7" t="s">
        <v>79</v>
      </c>
      <c r="B27" t="s">
        <v>444</v>
      </c>
      <c r="C27" s="7" t="s">
        <v>101</v>
      </c>
      <c r="D27" s="7">
        <v>2.8999999999999998E-3</v>
      </c>
      <c r="E27" s="7">
        <v>5.0000000000000001E-4</v>
      </c>
      <c r="F27" s="7"/>
      <c r="G27" s="7"/>
      <c r="H27" s="19">
        <v>100</v>
      </c>
    </row>
    <row r="28" spans="1:14" x14ac:dyDescent="0.2">
      <c r="A28" s="7" t="s">
        <v>80</v>
      </c>
      <c r="B28" t="s">
        <v>444</v>
      </c>
      <c r="C28" s="7" t="s">
        <v>101</v>
      </c>
      <c r="D28" s="7">
        <v>4.4999999999999997E-3</v>
      </c>
      <c r="E28" s="7">
        <v>5.0000000000000001E-4</v>
      </c>
      <c r="F28" s="7"/>
      <c r="G28" s="7" t="s">
        <v>34</v>
      </c>
      <c r="H28" s="19">
        <v>100</v>
      </c>
    </row>
    <row r="29" spans="1:14" x14ac:dyDescent="0.2">
      <c r="A29" s="7" t="s">
        <v>105</v>
      </c>
      <c r="B29" t="s">
        <v>443</v>
      </c>
      <c r="C29" s="7" t="s">
        <v>59</v>
      </c>
      <c r="D29" s="7">
        <v>0.79290000000000005</v>
      </c>
      <c r="E29" s="7">
        <v>0.15140000000000001</v>
      </c>
      <c r="F29" s="7">
        <v>125</v>
      </c>
      <c r="G29" s="34">
        <v>1</v>
      </c>
      <c r="H29" s="19"/>
    </row>
    <row r="30" spans="1:14" s="2" customFormat="1" x14ac:dyDescent="0.2">
      <c r="A30" s="34" t="s">
        <v>35</v>
      </c>
      <c r="B30" s="2" t="s">
        <v>443</v>
      </c>
      <c r="C30" s="34" t="s">
        <v>57</v>
      </c>
      <c r="D30" s="34">
        <v>6.4756999999999998</v>
      </c>
      <c r="E30" s="34">
        <v>2.2644000000000002</v>
      </c>
      <c r="F30" s="34">
        <v>21</v>
      </c>
      <c r="G30" s="34">
        <v>7</v>
      </c>
      <c r="H30" s="214"/>
    </row>
    <row r="31" spans="1:14" x14ac:dyDescent="0.2">
      <c r="A31" s="7" t="s">
        <v>431</v>
      </c>
      <c r="B31" t="s">
        <v>444</v>
      </c>
      <c r="C31" s="7" t="s">
        <v>99</v>
      </c>
      <c r="D31" s="7">
        <v>5.7000000000000002E-3</v>
      </c>
      <c r="E31" s="7"/>
      <c r="F31" s="7"/>
      <c r="G31" s="7"/>
      <c r="H31" s="19">
        <v>50</v>
      </c>
    </row>
    <row r="32" spans="1:14" x14ac:dyDescent="0.2">
      <c r="A32" s="7" t="s">
        <v>81</v>
      </c>
      <c r="B32" t="s">
        <v>443</v>
      </c>
      <c r="C32" s="7" t="s">
        <v>103</v>
      </c>
      <c r="D32" s="7">
        <v>1.8200000000000001E-2</v>
      </c>
      <c r="E32" s="7">
        <v>3.5000000000000001E-3</v>
      </c>
      <c r="F32" s="7">
        <v>125</v>
      </c>
      <c r="G32" s="34">
        <v>1</v>
      </c>
      <c r="H32" s="19"/>
    </row>
    <row r="33" spans="1:8" x14ac:dyDescent="0.2">
      <c r="A33" s="7" t="s">
        <v>82</v>
      </c>
      <c r="B33" t="s">
        <v>444</v>
      </c>
      <c r="C33" s="7" t="s">
        <v>99</v>
      </c>
      <c r="D33" s="7">
        <v>1.1000000000000001E-3</v>
      </c>
      <c r="E33" s="7">
        <v>2.0000000000000001E-4</v>
      </c>
      <c r="F33" s="7"/>
      <c r="G33" s="7" t="s">
        <v>34</v>
      </c>
      <c r="H33" s="19">
        <v>75</v>
      </c>
    </row>
    <row r="34" spans="1:8" x14ac:dyDescent="0.2">
      <c r="A34" s="7" t="s">
        <v>83</v>
      </c>
      <c r="B34" t="s">
        <v>444</v>
      </c>
      <c r="C34" s="7" t="s">
        <v>99</v>
      </c>
      <c r="D34" s="7">
        <v>1.8E-3</v>
      </c>
      <c r="E34" s="7">
        <v>2.0000000000000001E-4</v>
      </c>
      <c r="F34" s="7"/>
      <c r="G34" s="7" t="s">
        <v>34</v>
      </c>
      <c r="H34" s="19">
        <v>75</v>
      </c>
    </row>
    <row r="35" spans="1:8" x14ac:dyDescent="0.2">
      <c r="A35" s="7" t="s">
        <v>36</v>
      </c>
      <c r="B35" t="s">
        <v>443</v>
      </c>
      <c r="C35" s="7" t="s">
        <v>57</v>
      </c>
      <c r="D35" s="7">
        <v>13.771599999999999</v>
      </c>
      <c r="E35" s="7">
        <v>1.4121999999999999</v>
      </c>
      <c r="F35" s="7">
        <v>4</v>
      </c>
      <c r="G35" s="34">
        <v>50</v>
      </c>
      <c r="H35" s="19"/>
    </row>
    <row r="36" spans="1:8" x14ac:dyDescent="0.2">
      <c r="A36" s="7" t="s">
        <v>37</v>
      </c>
      <c r="B36" t="s">
        <v>443</v>
      </c>
      <c r="C36" s="7" t="s">
        <v>57</v>
      </c>
      <c r="D36" s="7">
        <v>27.061599999999999</v>
      </c>
      <c r="E36" s="7">
        <v>3.9024000000000001</v>
      </c>
      <c r="F36" s="7">
        <v>4</v>
      </c>
      <c r="G36" s="34">
        <v>50</v>
      </c>
      <c r="H36" s="19"/>
    </row>
    <row r="37" spans="1:8" x14ac:dyDescent="0.2">
      <c r="A37" s="58" t="s">
        <v>441</v>
      </c>
      <c r="B37" s="13" t="s">
        <v>444</v>
      </c>
      <c r="C37" s="7" t="s">
        <v>101</v>
      </c>
      <c r="D37" s="7">
        <v>2E-3</v>
      </c>
      <c r="E37" s="7">
        <v>2.0000000000000001E-4</v>
      </c>
      <c r="F37" s="7"/>
      <c r="G37" s="34"/>
      <c r="H37" s="19">
        <v>35</v>
      </c>
    </row>
    <row r="38" spans="1:8" ht="12" customHeight="1" x14ac:dyDescent="0.2">
      <c r="A38" s="11" t="s">
        <v>432</v>
      </c>
      <c r="B38" s="13" t="s">
        <v>444</v>
      </c>
      <c r="C38" s="34" t="s">
        <v>99</v>
      </c>
      <c r="D38" s="34">
        <v>1.5E-3</v>
      </c>
      <c r="E38" s="34">
        <v>4.0000000000000002E-4</v>
      </c>
      <c r="F38" s="34"/>
      <c r="G38" s="34"/>
      <c r="H38" s="214">
        <v>75</v>
      </c>
    </row>
    <row r="39" spans="1:8" x14ac:dyDescent="0.2">
      <c r="A39" s="11" t="s">
        <v>433</v>
      </c>
      <c r="B39" s="13" t="s">
        <v>444</v>
      </c>
      <c r="C39" s="34" t="s">
        <v>99</v>
      </c>
      <c r="D39" s="34">
        <v>1.1000000000000001E-3</v>
      </c>
      <c r="E39" s="34">
        <v>2.0000000000000001E-4</v>
      </c>
      <c r="F39" s="34"/>
      <c r="G39" s="34"/>
      <c r="H39" s="214">
        <v>75</v>
      </c>
    </row>
    <row r="40" spans="1:8" x14ac:dyDescent="0.2">
      <c r="A40" s="31" t="s">
        <v>104</v>
      </c>
      <c r="B40" s="13" t="s">
        <v>444</v>
      </c>
      <c r="C40" s="7" t="s">
        <v>58</v>
      </c>
      <c r="D40" s="7">
        <v>0.10199999999999999</v>
      </c>
      <c r="E40" s="7">
        <v>1.03E-2</v>
      </c>
      <c r="F40" s="7"/>
      <c r="G40" s="7" t="s">
        <v>34</v>
      </c>
      <c r="H40" s="19">
        <v>35</v>
      </c>
    </row>
    <row r="41" spans="1:8" x14ac:dyDescent="0.2">
      <c r="A41" s="31" t="s">
        <v>38</v>
      </c>
      <c r="B41" t="s">
        <v>443</v>
      </c>
      <c r="C41" s="7" t="s">
        <v>59</v>
      </c>
      <c r="D41" s="7">
        <v>0.59840000000000004</v>
      </c>
      <c r="E41" s="7">
        <v>0.10920000000000001</v>
      </c>
      <c r="F41" s="7">
        <v>80</v>
      </c>
      <c r="G41" s="34">
        <v>0.8</v>
      </c>
      <c r="H41" s="19"/>
    </row>
    <row r="42" spans="1:8" x14ac:dyDescent="0.2">
      <c r="A42" s="31" t="s">
        <v>39</v>
      </c>
      <c r="B42" t="s">
        <v>443</v>
      </c>
      <c r="C42" s="7" t="s">
        <v>57</v>
      </c>
      <c r="D42" s="7">
        <v>8.9464000000000006</v>
      </c>
      <c r="E42" s="7">
        <v>1.0127999999999999</v>
      </c>
      <c r="F42" s="7">
        <v>6</v>
      </c>
      <c r="G42" s="34">
        <v>17</v>
      </c>
      <c r="H42" s="19"/>
    </row>
    <row r="43" spans="1:8" x14ac:dyDescent="0.2">
      <c r="A43" s="7" t="s">
        <v>40</v>
      </c>
      <c r="B43" t="s">
        <v>443</v>
      </c>
      <c r="C43" s="7" t="s">
        <v>60</v>
      </c>
      <c r="D43" s="7">
        <v>0.28060000000000002</v>
      </c>
      <c r="E43" s="7">
        <v>3.3799999999999997E-2</v>
      </c>
      <c r="F43" s="7">
        <v>80</v>
      </c>
      <c r="G43" s="34">
        <v>0.8</v>
      </c>
      <c r="H43" s="19"/>
    </row>
    <row r="44" spans="1:8" x14ac:dyDescent="0.2">
      <c r="A44" s="7" t="s">
        <v>84</v>
      </c>
      <c r="B44" t="s">
        <v>444</v>
      </c>
      <c r="C44" s="7" t="s">
        <v>99</v>
      </c>
      <c r="D44" s="7">
        <v>2.2000000000000001E-3</v>
      </c>
      <c r="E44" s="7">
        <v>2.9999999999999997E-4</v>
      </c>
      <c r="F44" s="7"/>
      <c r="G44" s="7" t="s">
        <v>34</v>
      </c>
      <c r="H44" s="19">
        <v>100</v>
      </c>
    </row>
    <row r="45" spans="1:8" x14ac:dyDescent="0.2">
      <c r="A45" s="34" t="s">
        <v>41</v>
      </c>
      <c r="B45" t="s">
        <v>443</v>
      </c>
      <c r="C45" s="34" t="s">
        <v>57</v>
      </c>
      <c r="D45" s="34">
        <v>12.252000000000001</v>
      </c>
      <c r="E45" s="34">
        <v>0.90549999999999997</v>
      </c>
      <c r="F45" s="34">
        <v>4</v>
      </c>
      <c r="G45" s="34">
        <v>40</v>
      </c>
      <c r="H45" s="214"/>
    </row>
    <row r="46" spans="1:8" x14ac:dyDescent="0.2">
      <c r="A46" s="34" t="s">
        <v>42</v>
      </c>
      <c r="B46" t="s">
        <v>443</v>
      </c>
      <c r="C46" s="34" t="s">
        <v>57</v>
      </c>
      <c r="D46" s="34">
        <v>30.5747</v>
      </c>
      <c r="E46" s="34">
        <v>4.5162000000000004</v>
      </c>
      <c r="F46" s="34">
        <v>4</v>
      </c>
      <c r="G46" s="34">
        <v>40</v>
      </c>
      <c r="H46" s="214"/>
    </row>
    <row r="47" spans="1:8" x14ac:dyDescent="0.2">
      <c r="A47" s="7" t="s">
        <v>434</v>
      </c>
      <c r="B47" t="s">
        <v>444</v>
      </c>
      <c r="C47" s="7" t="s">
        <v>99</v>
      </c>
      <c r="D47" s="7">
        <v>2.8999999999999998E-3</v>
      </c>
      <c r="E47" s="7">
        <v>2.9999999999999997E-4</v>
      </c>
      <c r="F47" s="7"/>
      <c r="G47" s="7"/>
      <c r="H47" s="19">
        <v>45</v>
      </c>
    </row>
    <row r="48" spans="1:8" x14ac:dyDescent="0.2">
      <c r="A48" s="7" t="s">
        <v>85</v>
      </c>
      <c r="B48" t="s">
        <v>444</v>
      </c>
      <c r="C48" s="7" t="s">
        <v>58</v>
      </c>
      <c r="D48" s="7">
        <v>0.36670000000000003</v>
      </c>
      <c r="E48" s="7">
        <v>5.6300000000000003E-2</v>
      </c>
      <c r="F48" s="7"/>
      <c r="G48" s="7" t="s">
        <v>34</v>
      </c>
      <c r="H48" s="19">
        <v>200</v>
      </c>
    </row>
    <row r="49" spans="1:8" x14ac:dyDescent="0.2">
      <c r="A49" s="7" t="s">
        <v>86</v>
      </c>
      <c r="B49" t="s">
        <v>444</v>
      </c>
      <c r="C49" s="7" t="s">
        <v>99</v>
      </c>
      <c r="D49" s="7">
        <v>2.3999999999999998E-3</v>
      </c>
      <c r="E49" s="7">
        <v>4.0000000000000002E-4</v>
      </c>
      <c r="F49" s="7"/>
      <c r="G49" s="7" t="s">
        <v>34</v>
      </c>
      <c r="H49" s="19">
        <v>75</v>
      </c>
    </row>
    <row r="50" spans="1:8" x14ac:dyDescent="0.2">
      <c r="A50" s="7" t="s">
        <v>435</v>
      </c>
      <c r="B50" t="s">
        <v>444</v>
      </c>
      <c r="C50" s="7" t="s">
        <v>99</v>
      </c>
      <c r="D50" s="7">
        <v>1.4E-3</v>
      </c>
      <c r="E50" s="7">
        <v>1E-4</v>
      </c>
      <c r="F50" s="7"/>
      <c r="G50" s="7"/>
      <c r="H50" s="19">
        <v>200</v>
      </c>
    </row>
    <row r="51" spans="1:8" s="2" customFormat="1" x14ac:dyDescent="0.2">
      <c r="A51" s="34" t="s">
        <v>43</v>
      </c>
      <c r="B51" s="2" t="s">
        <v>443</v>
      </c>
      <c r="C51" s="34" t="s">
        <v>59</v>
      </c>
      <c r="D51" s="34">
        <v>0.83860000000000001</v>
      </c>
      <c r="E51" s="34">
        <v>0.18729999999999999</v>
      </c>
      <c r="F51" s="34">
        <v>60</v>
      </c>
      <c r="G51" s="34">
        <v>1</v>
      </c>
      <c r="H51" s="214"/>
    </row>
    <row r="52" spans="1:8" s="2" customFormat="1" x14ac:dyDescent="0.2">
      <c r="A52" s="34" t="s">
        <v>44</v>
      </c>
      <c r="B52" s="2" t="s">
        <v>443</v>
      </c>
      <c r="C52" s="34" t="s">
        <v>57</v>
      </c>
      <c r="D52" s="34">
        <v>11.598100000000001</v>
      </c>
      <c r="E52" s="34">
        <v>1.5367999999999999</v>
      </c>
      <c r="F52" s="34">
        <v>6</v>
      </c>
      <c r="G52" s="34">
        <v>17</v>
      </c>
      <c r="H52" s="214"/>
    </row>
    <row r="53" spans="1:8" s="2" customFormat="1" x14ac:dyDescent="0.2">
      <c r="A53" s="34" t="s">
        <v>45</v>
      </c>
      <c r="B53" s="2" t="s">
        <v>443</v>
      </c>
      <c r="C53" s="34" t="s">
        <v>60</v>
      </c>
      <c r="D53" s="34">
        <v>0.39929999999999999</v>
      </c>
      <c r="E53" s="34">
        <v>7.46E-2</v>
      </c>
      <c r="F53" s="34">
        <v>60</v>
      </c>
      <c r="G53" s="34">
        <v>1</v>
      </c>
      <c r="H53" s="214"/>
    </row>
    <row r="54" spans="1:8" s="2" customFormat="1" x14ac:dyDescent="0.2">
      <c r="A54" s="34" t="s">
        <v>46</v>
      </c>
      <c r="B54" s="2" t="s">
        <v>443</v>
      </c>
      <c r="C54" s="34" t="s">
        <v>59</v>
      </c>
      <c r="D54" s="34">
        <v>0.67969999999999997</v>
      </c>
      <c r="E54" s="34">
        <v>0.16550000000000001</v>
      </c>
      <c r="F54" s="34">
        <v>125</v>
      </c>
      <c r="G54" s="34">
        <v>0.75</v>
      </c>
      <c r="H54" s="214"/>
    </row>
    <row r="55" spans="1:8" s="2" customFormat="1" x14ac:dyDescent="0.2">
      <c r="A55" s="34" t="s">
        <v>47</v>
      </c>
      <c r="B55" s="2" t="s">
        <v>443</v>
      </c>
      <c r="C55" s="34" t="s">
        <v>57</v>
      </c>
      <c r="D55" s="34">
        <v>6.3338000000000001</v>
      </c>
      <c r="E55" s="34">
        <v>1.1112</v>
      </c>
      <c r="F55" s="34">
        <v>21</v>
      </c>
      <c r="G55" s="34">
        <v>7</v>
      </c>
      <c r="H55" s="214"/>
    </row>
    <row r="56" spans="1:8" s="2" customFormat="1" x14ac:dyDescent="0.2">
      <c r="A56" s="34" t="s">
        <v>48</v>
      </c>
      <c r="B56" s="2" t="s">
        <v>443</v>
      </c>
      <c r="C56" s="34" t="s">
        <v>57</v>
      </c>
      <c r="D56" s="34">
        <v>5.7481999999999998</v>
      </c>
      <c r="E56" s="34">
        <v>1.1928000000000001</v>
      </c>
      <c r="F56" s="34">
        <v>21</v>
      </c>
      <c r="G56" s="34">
        <v>7</v>
      </c>
      <c r="H56" s="214"/>
    </row>
    <row r="57" spans="1:8" s="2" customFormat="1" x14ac:dyDescent="0.2">
      <c r="A57" s="34" t="s">
        <v>780</v>
      </c>
      <c r="B57" s="2" t="s">
        <v>443</v>
      </c>
      <c r="C57" s="34" t="s">
        <v>57</v>
      </c>
      <c r="D57" s="34">
        <v>5.28</v>
      </c>
      <c r="E57" s="34">
        <v>1.0004999999999999</v>
      </c>
      <c r="F57" s="34">
        <v>25</v>
      </c>
      <c r="G57" s="34">
        <v>7</v>
      </c>
      <c r="H57" s="214"/>
    </row>
    <row r="58" spans="1:8" s="2" customFormat="1" x14ac:dyDescent="0.2">
      <c r="A58" s="34" t="s">
        <v>49</v>
      </c>
      <c r="B58" s="2" t="s">
        <v>443</v>
      </c>
      <c r="C58" s="34" t="s">
        <v>57</v>
      </c>
      <c r="D58" s="34">
        <v>6.5519999999999996</v>
      </c>
      <c r="E58" s="34">
        <v>0.96599999999999997</v>
      </c>
      <c r="F58" s="34">
        <v>25</v>
      </c>
      <c r="G58" s="34">
        <v>7</v>
      </c>
      <c r="H58" s="214"/>
    </row>
    <row r="59" spans="1:8" x14ac:dyDescent="0.2">
      <c r="A59" s="7" t="s">
        <v>87</v>
      </c>
      <c r="B59" t="s">
        <v>444</v>
      </c>
      <c r="C59" s="7" t="s">
        <v>101</v>
      </c>
      <c r="D59" s="7">
        <v>4.8999999999999998E-3</v>
      </c>
      <c r="E59" s="7">
        <v>5.0000000000000001E-4</v>
      </c>
      <c r="F59" s="7"/>
      <c r="G59" s="7" t="s">
        <v>34</v>
      </c>
      <c r="H59" s="19">
        <v>100</v>
      </c>
    </row>
    <row r="60" spans="1:8" x14ac:dyDescent="0.2">
      <c r="A60" s="7" t="s">
        <v>88</v>
      </c>
      <c r="B60" t="s">
        <v>444</v>
      </c>
      <c r="C60" s="7" t="s">
        <v>99</v>
      </c>
      <c r="D60" s="7">
        <v>1.6000000000000001E-3</v>
      </c>
      <c r="E60" s="7">
        <v>2.9999999999999997E-4</v>
      </c>
      <c r="F60" s="7"/>
      <c r="G60" s="7" t="s">
        <v>34</v>
      </c>
      <c r="H60" s="19">
        <v>75</v>
      </c>
    </row>
    <row r="61" spans="1:8" x14ac:dyDescent="0.2">
      <c r="A61" s="7" t="s">
        <v>89</v>
      </c>
      <c r="B61" t="s">
        <v>444</v>
      </c>
      <c r="C61" s="7" t="s">
        <v>99</v>
      </c>
      <c r="D61" s="7">
        <v>1.2999999999999999E-3</v>
      </c>
      <c r="E61" s="7">
        <v>4.0000000000000002E-4</v>
      </c>
      <c r="F61" s="7"/>
      <c r="G61" s="7" t="s">
        <v>34</v>
      </c>
      <c r="H61" s="19">
        <v>75</v>
      </c>
    </row>
    <row r="62" spans="1:8" x14ac:dyDescent="0.2">
      <c r="A62" s="7" t="s">
        <v>90</v>
      </c>
      <c r="B62" t="s">
        <v>444</v>
      </c>
      <c r="C62" s="7" t="s">
        <v>99</v>
      </c>
      <c r="D62" s="7">
        <v>1.6000000000000001E-3</v>
      </c>
      <c r="E62" s="7">
        <v>2.9999999999999997E-4</v>
      </c>
      <c r="F62" s="7"/>
      <c r="G62" s="7" t="s">
        <v>34</v>
      </c>
      <c r="H62" s="19">
        <v>75</v>
      </c>
    </row>
    <row r="63" spans="1:8" x14ac:dyDescent="0.2">
      <c r="A63" s="7" t="s">
        <v>91</v>
      </c>
      <c r="B63" t="s">
        <v>444</v>
      </c>
      <c r="C63" s="7" t="s">
        <v>99</v>
      </c>
      <c r="D63" s="7">
        <v>1.9E-3</v>
      </c>
      <c r="E63" s="7">
        <v>2.9999999999999997E-4</v>
      </c>
      <c r="F63" s="7"/>
      <c r="G63" s="7" t="s">
        <v>34</v>
      </c>
      <c r="H63" s="19">
        <v>75</v>
      </c>
    </row>
    <row r="64" spans="1:8" x14ac:dyDescent="0.2">
      <c r="A64" s="7" t="s">
        <v>92</v>
      </c>
      <c r="B64" t="s">
        <v>444</v>
      </c>
      <c r="C64" s="7" t="s">
        <v>99</v>
      </c>
      <c r="D64" s="7">
        <v>1.1000000000000001E-3</v>
      </c>
      <c r="E64" s="7">
        <v>2.0000000000000001E-4</v>
      </c>
      <c r="F64" s="7"/>
      <c r="G64" s="7" t="s">
        <v>34</v>
      </c>
      <c r="H64" s="19">
        <v>40</v>
      </c>
    </row>
    <row r="65" spans="1:8" x14ac:dyDescent="0.2">
      <c r="A65" s="7" t="s">
        <v>93</v>
      </c>
      <c r="B65" t="s">
        <v>444</v>
      </c>
      <c r="C65" s="7" t="s">
        <v>102</v>
      </c>
      <c r="D65" s="7">
        <v>2.8E-3</v>
      </c>
      <c r="E65" s="7">
        <v>5.0000000000000001E-4</v>
      </c>
      <c r="F65" s="7"/>
      <c r="G65" s="7" t="s">
        <v>34</v>
      </c>
      <c r="H65" s="19">
        <v>75</v>
      </c>
    </row>
    <row r="66" spans="1:8" x14ac:dyDescent="0.2">
      <c r="A66" s="34" t="s">
        <v>50</v>
      </c>
      <c r="B66" t="s">
        <v>443</v>
      </c>
      <c r="C66" s="34" t="s">
        <v>57</v>
      </c>
      <c r="D66" s="34">
        <v>11.305</v>
      </c>
      <c r="E66" s="34">
        <v>2.0975999999999999</v>
      </c>
      <c r="F66" s="34">
        <v>4</v>
      </c>
      <c r="G66" s="34">
        <v>40</v>
      </c>
      <c r="H66" s="214"/>
    </row>
    <row r="67" spans="1:8" x14ac:dyDescent="0.2">
      <c r="A67" s="34" t="s">
        <v>51</v>
      </c>
      <c r="B67" t="s">
        <v>443</v>
      </c>
      <c r="C67" s="34" t="s">
        <v>57</v>
      </c>
      <c r="D67" s="34">
        <v>21.7347</v>
      </c>
      <c r="E67" s="34">
        <v>3.0314999999999999</v>
      </c>
      <c r="F67" s="34">
        <v>4</v>
      </c>
      <c r="G67" s="34">
        <v>40</v>
      </c>
      <c r="H67" s="214"/>
    </row>
    <row r="68" spans="1:8" x14ac:dyDescent="0.2">
      <c r="A68" s="34" t="s">
        <v>52</v>
      </c>
      <c r="B68" t="s">
        <v>443</v>
      </c>
      <c r="C68" s="34" t="s">
        <v>57</v>
      </c>
      <c r="D68" s="34">
        <v>11.3025</v>
      </c>
      <c r="E68" s="34">
        <v>1.9335</v>
      </c>
      <c r="F68" s="34">
        <v>4</v>
      </c>
      <c r="G68" s="34">
        <v>40</v>
      </c>
      <c r="H68" s="214"/>
    </row>
    <row r="69" spans="1:8" x14ac:dyDescent="0.2">
      <c r="A69" s="34" t="s">
        <v>94</v>
      </c>
      <c r="B69" t="s">
        <v>443</v>
      </c>
      <c r="C69" s="34" t="s">
        <v>57</v>
      </c>
      <c r="D69" s="34">
        <f>3*20</f>
        <v>60</v>
      </c>
      <c r="E69" s="34">
        <f>20*0.234</f>
        <v>4.6800000000000006</v>
      </c>
      <c r="F69" s="34">
        <v>1.25</v>
      </c>
      <c r="G69" s="34">
        <v>80</v>
      </c>
      <c r="H69" s="214"/>
    </row>
    <row r="70" spans="1:8" x14ac:dyDescent="0.2">
      <c r="A70" s="34" t="s">
        <v>95</v>
      </c>
      <c r="B70" t="s">
        <v>443</v>
      </c>
      <c r="C70" s="34" t="s">
        <v>57</v>
      </c>
      <c r="D70" s="34">
        <f>0.8278*20</f>
        <v>16.556000000000001</v>
      </c>
      <c r="E70" s="34">
        <f>20*0.0372</f>
        <v>0.74399999999999999</v>
      </c>
      <c r="F70" s="34">
        <v>1.25</v>
      </c>
      <c r="G70" s="34">
        <v>80</v>
      </c>
      <c r="H70" s="214"/>
    </row>
    <row r="71" spans="1:8" x14ac:dyDescent="0.2">
      <c r="A71" s="34" t="s">
        <v>96</v>
      </c>
      <c r="B71" t="s">
        <v>443</v>
      </c>
      <c r="C71" s="34" t="s">
        <v>57</v>
      </c>
      <c r="D71" s="34">
        <f>20*2.542</f>
        <v>50.839999999999996</v>
      </c>
      <c r="E71" s="34"/>
      <c r="F71" s="34">
        <v>1.25</v>
      </c>
      <c r="G71" s="34">
        <v>80</v>
      </c>
      <c r="H71" s="214"/>
    </row>
    <row r="72" spans="1:8" x14ac:dyDescent="0.2">
      <c r="A72" s="34" t="s">
        <v>97</v>
      </c>
      <c r="B72" t="s">
        <v>443</v>
      </c>
      <c r="C72" s="34" t="s">
        <v>57</v>
      </c>
      <c r="D72" s="34">
        <f>20*1.7064</f>
        <v>34.128</v>
      </c>
      <c r="E72" s="34">
        <f>20*0.218</f>
        <v>4.3600000000000003</v>
      </c>
      <c r="F72" s="34">
        <v>1.25</v>
      </c>
      <c r="G72" s="34">
        <v>80</v>
      </c>
      <c r="H72" s="214"/>
    </row>
    <row r="73" spans="1:8" x14ac:dyDescent="0.2">
      <c r="A73" s="7" t="s">
        <v>98</v>
      </c>
      <c r="B73" t="s">
        <v>444</v>
      </c>
      <c r="C73" s="7" t="s">
        <v>99</v>
      </c>
      <c r="D73" s="7">
        <v>1.5E-3</v>
      </c>
      <c r="E73" s="7">
        <v>2.9999999999999997E-4</v>
      </c>
      <c r="F73" s="7"/>
      <c r="G73" s="7" t="s">
        <v>34</v>
      </c>
      <c r="H73" s="19">
        <v>50</v>
      </c>
    </row>
    <row r="74" spans="1:8" x14ac:dyDescent="0.2">
      <c r="A74" s="34" t="s">
        <v>53</v>
      </c>
      <c r="B74" t="s">
        <v>443</v>
      </c>
      <c r="C74" s="34" t="s">
        <v>57</v>
      </c>
      <c r="D74" s="34">
        <v>12.3574</v>
      </c>
      <c r="E74" s="34">
        <v>1.6398999999999999</v>
      </c>
      <c r="F74" s="34">
        <v>6</v>
      </c>
      <c r="G74" s="34">
        <v>17</v>
      </c>
      <c r="H74" s="214"/>
    </row>
    <row r="75" spans="1:8" x14ac:dyDescent="0.2">
      <c r="A75" s="7" t="s">
        <v>54</v>
      </c>
      <c r="B75" t="s">
        <v>443</v>
      </c>
      <c r="C75" s="7" t="s">
        <v>59</v>
      </c>
      <c r="D75" s="7">
        <v>0.76459999999999995</v>
      </c>
      <c r="E75" s="7">
        <v>0.15090000000000001</v>
      </c>
      <c r="F75" s="7">
        <v>60</v>
      </c>
      <c r="G75" s="7">
        <v>1</v>
      </c>
      <c r="H75" s="19"/>
    </row>
    <row r="76" spans="1:8" x14ac:dyDescent="0.2">
      <c r="A76" s="7" t="s">
        <v>55</v>
      </c>
      <c r="B76" t="s">
        <v>443</v>
      </c>
      <c r="C76" s="7" t="s">
        <v>60</v>
      </c>
      <c r="D76" s="7">
        <v>0.34949999999999998</v>
      </c>
      <c r="E76" s="7"/>
      <c r="F76" s="7">
        <v>60</v>
      </c>
      <c r="G76" s="7">
        <v>1</v>
      </c>
      <c r="H76" s="19"/>
    </row>
    <row r="77" spans="1:8" x14ac:dyDescent="0.2">
      <c r="A77" s="7" t="s">
        <v>56</v>
      </c>
      <c r="B77" t="s">
        <v>443</v>
      </c>
      <c r="C77" s="7" t="s">
        <v>60</v>
      </c>
      <c r="D77" s="7">
        <v>0.53359999999999996</v>
      </c>
      <c r="E77" s="7">
        <v>5.3400000000000003E-2</v>
      </c>
      <c r="F77" s="7">
        <v>60</v>
      </c>
      <c r="G77" s="7">
        <v>1</v>
      </c>
      <c r="H77" s="19"/>
    </row>
    <row r="78" spans="1:8" x14ac:dyDescent="0.2">
      <c r="A78" s="8" t="s">
        <v>436</v>
      </c>
      <c r="B78" s="14" t="s">
        <v>444</v>
      </c>
      <c r="C78" s="8" t="s">
        <v>437</v>
      </c>
      <c r="D78" s="8">
        <v>2.8999999999999998E-3</v>
      </c>
      <c r="E78" s="8">
        <v>6.9999999999999999E-4</v>
      </c>
      <c r="F78" s="8"/>
      <c r="G78" s="8"/>
      <c r="H78" s="145">
        <v>75</v>
      </c>
    </row>
    <row r="79" spans="1:8" ht="12" customHeight="1" x14ac:dyDescent="0.2">
      <c r="A79" s="32"/>
      <c r="B79" s="32"/>
      <c r="C79" s="32"/>
      <c r="D79" s="32"/>
      <c r="E79" s="32"/>
      <c r="F79" s="32"/>
    </row>
    <row r="81" spans="1:7" ht="15.75" x14ac:dyDescent="0.25">
      <c r="A81" s="574" t="s">
        <v>114</v>
      </c>
      <c r="B81" s="501"/>
      <c r="C81" s="23"/>
      <c r="D81" s="22"/>
      <c r="E81" s="22"/>
      <c r="F81" s="22"/>
      <c r="G81" s="22"/>
    </row>
    <row r="82" spans="1:7" x14ac:dyDescent="0.2">
      <c r="A82" s="575" t="s">
        <v>233</v>
      </c>
      <c r="B82" s="577" t="s">
        <v>108</v>
      </c>
      <c r="C82" s="579"/>
      <c r="D82" s="16"/>
      <c r="E82" s="5"/>
      <c r="F82" s="5"/>
      <c r="G82" s="5"/>
    </row>
    <row r="83" spans="1:7" x14ac:dyDescent="0.2">
      <c r="A83" s="576"/>
      <c r="B83" s="578"/>
      <c r="C83" s="580"/>
      <c r="D83" s="22"/>
      <c r="E83" s="22"/>
      <c r="F83" s="22"/>
      <c r="G83" s="5"/>
    </row>
    <row r="84" spans="1:7" x14ac:dyDescent="0.2">
      <c r="A84" s="197" t="s">
        <v>424</v>
      </c>
      <c r="B84" s="196">
        <v>0</v>
      </c>
      <c r="C84" s="23"/>
      <c r="D84" s="22"/>
      <c r="E84" s="22"/>
      <c r="F84" s="22"/>
      <c r="G84" s="5"/>
    </row>
    <row r="85" spans="1:7" x14ac:dyDescent="0.2">
      <c r="A85" s="198" t="s">
        <v>580</v>
      </c>
      <c r="B85" s="196">
        <v>0</v>
      </c>
      <c r="C85" s="23"/>
      <c r="D85" s="22"/>
      <c r="E85" s="22"/>
      <c r="F85" s="22"/>
      <c r="G85" s="5"/>
    </row>
    <row r="86" spans="1:7" x14ac:dyDescent="0.2">
      <c r="A86" s="31" t="s">
        <v>235</v>
      </c>
      <c r="B86" s="32">
        <v>120</v>
      </c>
      <c r="C86" s="13"/>
      <c r="D86" s="5"/>
      <c r="E86" s="5"/>
      <c r="F86" s="5"/>
      <c r="G86" s="5"/>
    </row>
    <row r="87" spans="1:7" x14ac:dyDescent="0.2">
      <c r="A87" s="31" t="s">
        <v>236</v>
      </c>
      <c r="B87" s="32">
        <v>110</v>
      </c>
      <c r="C87" s="13"/>
      <c r="D87" s="5"/>
      <c r="E87" s="5"/>
      <c r="F87" s="5"/>
      <c r="G87" s="5"/>
    </row>
    <row r="88" spans="1:7" x14ac:dyDescent="0.2">
      <c r="A88" s="31" t="s">
        <v>237</v>
      </c>
      <c r="B88" s="32">
        <v>110</v>
      </c>
      <c r="C88" s="13"/>
      <c r="D88" s="5"/>
      <c r="E88" s="5"/>
      <c r="F88" s="5"/>
      <c r="G88" s="5"/>
    </row>
    <row r="89" spans="1:7" x14ac:dyDescent="0.2">
      <c r="A89" s="31" t="s">
        <v>238</v>
      </c>
      <c r="B89" s="12">
        <v>80</v>
      </c>
      <c r="C89" s="13"/>
      <c r="D89" s="5"/>
      <c r="E89" s="5"/>
      <c r="F89" s="5"/>
      <c r="G89" s="5"/>
    </row>
    <row r="90" spans="1:7" x14ac:dyDescent="0.2">
      <c r="A90" s="31" t="s">
        <v>239</v>
      </c>
      <c r="B90" s="12">
        <v>80</v>
      </c>
      <c r="C90" s="13"/>
      <c r="D90" s="5"/>
      <c r="E90" s="5"/>
      <c r="F90" s="5"/>
      <c r="G90" s="5"/>
    </row>
    <row r="91" spans="1:7" x14ac:dyDescent="0.2">
      <c r="A91" s="198" t="s">
        <v>581</v>
      </c>
      <c r="B91" s="12">
        <v>0</v>
      </c>
      <c r="C91" s="13"/>
      <c r="D91" s="5"/>
      <c r="E91" s="5"/>
      <c r="F91" s="5"/>
      <c r="G91" s="5"/>
    </row>
    <row r="92" spans="1:7" x14ac:dyDescent="0.2">
      <c r="A92" s="31" t="s">
        <v>240</v>
      </c>
      <c r="B92" s="32">
        <v>80</v>
      </c>
      <c r="C92" s="13"/>
      <c r="D92" s="5"/>
      <c r="E92" s="5"/>
      <c r="F92" s="5"/>
      <c r="G92" s="5"/>
    </row>
    <row r="93" spans="1:7" x14ac:dyDescent="0.2">
      <c r="A93" s="31" t="s">
        <v>241</v>
      </c>
      <c r="B93" s="12">
        <v>70</v>
      </c>
      <c r="C93" s="13"/>
      <c r="D93" s="5"/>
      <c r="E93" s="5"/>
      <c r="F93" s="5"/>
      <c r="G93" s="5"/>
    </row>
    <row r="94" spans="1:7" x14ac:dyDescent="0.2">
      <c r="A94" s="31" t="s">
        <v>242</v>
      </c>
      <c r="B94" s="12">
        <v>70</v>
      </c>
      <c r="C94" s="13"/>
      <c r="D94" s="5"/>
      <c r="E94" s="5"/>
      <c r="F94" s="5"/>
      <c r="G94" s="5"/>
    </row>
    <row r="95" spans="1:7" x14ac:dyDescent="0.2">
      <c r="A95" s="31" t="s">
        <v>243</v>
      </c>
      <c r="B95" s="12">
        <v>60</v>
      </c>
      <c r="C95" s="13"/>
      <c r="D95" s="5"/>
      <c r="E95" s="5"/>
      <c r="F95" s="5"/>
      <c r="G95" s="5"/>
    </row>
    <row r="96" spans="1:7" x14ac:dyDescent="0.2">
      <c r="A96" s="31" t="s">
        <v>244</v>
      </c>
      <c r="B96" s="12">
        <v>60</v>
      </c>
      <c r="C96" s="13"/>
      <c r="D96" s="5"/>
      <c r="E96" s="5"/>
      <c r="F96" s="5"/>
      <c r="G96" s="5"/>
    </row>
    <row r="97" spans="1:7" x14ac:dyDescent="0.2">
      <c r="A97" s="198" t="s">
        <v>582</v>
      </c>
      <c r="B97" s="12">
        <v>0</v>
      </c>
      <c r="C97" s="13"/>
      <c r="D97" s="5"/>
      <c r="E97" s="5"/>
      <c r="F97" s="5"/>
      <c r="G97" s="5"/>
    </row>
    <row r="98" spans="1:7" x14ac:dyDescent="0.2">
      <c r="A98" s="31" t="s">
        <v>245</v>
      </c>
      <c r="B98" s="32">
        <v>40</v>
      </c>
      <c r="C98" s="13"/>
      <c r="D98" s="5"/>
      <c r="E98" s="5"/>
      <c r="F98" s="5"/>
      <c r="G98" s="5"/>
    </row>
    <row r="99" spans="1:7" x14ac:dyDescent="0.2">
      <c r="A99" s="31" t="s">
        <v>246</v>
      </c>
      <c r="B99" s="12">
        <v>40</v>
      </c>
      <c r="C99" s="13"/>
      <c r="D99" s="5"/>
      <c r="E99" s="5"/>
      <c r="F99" s="5"/>
      <c r="G99" s="5"/>
    </row>
    <row r="100" spans="1:7" x14ac:dyDescent="0.2">
      <c r="A100" s="31" t="s">
        <v>247</v>
      </c>
      <c r="B100" s="12">
        <v>40</v>
      </c>
      <c r="C100" s="13"/>
      <c r="D100" s="5"/>
      <c r="E100" s="5"/>
      <c r="F100" s="5"/>
      <c r="G100" s="5"/>
    </row>
    <row r="101" spans="1:7" x14ac:dyDescent="0.2">
      <c r="A101" s="31" t="s">
        <v>248</v>
      </c>
      <c r="B101" s="12">
        <v>40</v>
      </c>
      <c r="C101" s="13"/>
      <c r="D101" s="5"/>
      <c r="E101" s="5"/>
      <c r="F101" s="5"/>
      <c r="G101" s="5"/>
    </row>
    <row r="102" spans="1:7" x14ac:dyDescent="0.2">
      <c r="A102" s="31" t="s">
        <v>249</v>
      </c>
      <c r="B102" s="12">
        <v>40</v>
      </c>
      <c r="C102" s="13"/>
      <c r="D102" s="5"/>
      <c r="E102" s="5"/>
      <c r="F102" s="5"/>
      <c r="G102" s="5"/>
    </row>
    <row r="103" spans="1:7" x14ac:dyDescent="0.2">
      <c r="A103" s="198" t="s">
        <v>583</v>
      </c>
      <c r="B103" s="12">
        <v>0</v>
      </c>
      <c r="C103" s="13"/>
      <c r="D103" s="5"/>
      <c r="E103" s="5"/>
      <c r="F103" s="5"/>
      <c r="G103" s="5"/>
    </row>
    <row r="104" spans="1:7" x14ac:dyDescent="0.2">
      <c r="A104" s="31" t="s">
        <v>250</v>
      </c>
      <c r="B104" s="32">
        <v>90</v>
      </c>
      <c r="C104" s="13"/>
      <c r="D104" s="5"/>
      <c r="E104" s="5"/>
      <c r="F104" s="5"/>
      <c r="G104" s="5"/>
    </row>
    <row r="105" spans="1:7" x14ac:dyDescent="0.2">
      <c r="A105" s="31" t="s">
        <v>251</v>
      </c>
      <c r="B105" s="12">
        <v>80</v>
      </c>
      <c r="C105" s="13"/>
      <c r="D105" s="5"/>
      <c r="E105" s="5"/>
      <c r="F105" s="5"/>
      <c r="G105" s="5"/>
    </row>
    <row r="106" spans="1:7" x14ac:dyDescent="0.2">
      <c r="A106" s="31" t="s">
        <v>252</v>
      </c>
      <c r="B106" s="12">
        <v>80</v>
      </c>
      <c r="C106" s="13"/>
      <c r="D106" s="5"/>
      <c r="E106" s="5"/>
      <c r="F106" s="5"/>
      <c r="G106" s="5"/>
    </row>
    <row r="107" spans="1:7" x14ac:dyDescent="0.2">
      <c r="A107" s="31" t="s">
        <v>253</v>
      </c>
      <c r="B107" s="12">
        <v>60</v>
      </c>
      <c r="C107" s="13"/>
      <c r="D107" s="5"/>
      <c r="E107" s="5"/>
      <c r="F107" s="5"/>
      <c r="G107" s="5"/>
    </row>
    <row r="108" spans="1:7" x14ac:dyDescent="0.2">
      <c r="A108" s="31" t="s">
        <v>256</v>
      </c>
      <c r="B108" s="12">
        <v>60</v>
      </c>
      <c r="C108" s="13"/>
      <c r="D108" s="5"/>
      <c r="E108" s="5"/>
      <c r="F108" s="5"/>
      <c r="G108" s="5"/>
    </row>
    <row r="109" spans="1:7" x14ac:dyDescent="0.2">
      <c r="A109" s="198" t="s">
        <v>586</v>
      </c>
      <c r="B109" s="12">
        <v>0</v>
      </c>
      <c r="C109" s="13"/>
      <c r="D109" s="5"/>
      <c r="E109" s="5"/>
      <c r="F109" s="5"/>
      <c r="G109" s="5"/>
    </row>
    <row r="110" spans="1:7" x14ac:dyDescent="0.2">
      <c r="A110" s="31" t="s">
        <v>257</v>
      </c>
      <c r="B110" s="32">
        <v>60</v>
      </c>
      <c r="C110" s="13"/>
      <c r="D110" s="5"/>
      <c r="E110" s="5"/>
      <c r="F110" s="5"/>
      <c r="G110" s="5"/>
    </row>
    <row r="111" spans="1:7" x14ac:dyDescent="0.2">
      <c r="A111" s="31" t="s">
        <v>258</v>
      </c>
      <c r="B111" s="12">
        <v>60</v>
      </c>
      <c r="C111" s="13"/>
      <c r="D111" s="5"/>
      <c r="E111" s="5"/>
      <c r="F111" s="5"/>
      <c r="G111" s="5"/>
    </row>
    <row r="112" spans="1:7" x14ac:dyDescent="0.2">
      <c r="A112" s="31" t="s">
        <v>259</v>
      </c>
      <c r="B112" s="12">
        <v>60</v>
      </c>
      <c r="C112" s="13"/>
      <c r="D112" s="5"/>
      <c r="E112" s="5"/>
      <c r="F112" s="5"/>
      <c r="G112" s="5"/>
    </row>
    <row r="113" spans="1:7" x14ac:dyDescent="0.2">
      <c r="A113" s="31" t="s">
        <v>260</v>
      </c>
      <c r="B113" s="12">
        <v>50</v>
      </c>
      <c r="C113" s="13"/>
      <c r="D113" s="5"/>
      <c r="E113" s="5"/>
      <c r="F113" s="5"/>
      <c r="G113" s="5"/>
    </row>
    <row r="114" spans="1:7" x14ac:dyDescent="0.2">
      <c r="A114" s="31" t="s">
        <v>261</v>
      </c>
      <c r="B114" s="12">
        <v>50</v>
      </c>
      <c r="C114" s="13"/>
      <c r="D114" s="5"/>
      <c r="E114" s="5"/>
      <c r="F114" s="5"/>
      <c r="G114" s="5"/>
    </row>
    <row r="115" spans="1:7" x14ac:dyDescent="0.2">
      <c r="A115" s="198" t="s">
        <v>587</v>
      </c>
      <c r="B115" s="12">
        <v>0</v>
      </c>
      <c r="C115" s="13"/>
      <c r="D115" s="5"/>
      <c r="E115" s="5"/>
      <c r="F115" s="5"/>
      <c r="G115" s="5"/>
    </row>
    <row r="116" spans="1:7" x14ac:dyDescent="0.2">
      <c r="A116" s="31" t="s">
        <v>262</v>
      </c>
      <c r="B116" s="32">
        <v>40</v>
      </c>
      <c r="C116" s="13"/>
      <c r="D116" s="5"/>
      <c r="E116" s="5"/>
      <c r="F116" s="5"/>
      <c r="G116" s="5"/>
    </row>
    <row r="117" spans="1:7" x14ac:dyDescent="0.2">
      <c r="A117" s="31" t="s">
        <v>263</v>
      </c>
      <c r="B117" s="12">
        <v>40</v>
      </c>
      <c r="C117" s="13"/>
      <c r="D117" s="5"/>
      <c r="E117" s="5"/>
      <c r="F117" s="5"/>
      <c r="G117" s="5"/>
    </row>
    <row r="118" spans="1:7" x14ac:dyDescent="0.2">
      <c r="A118" s="31" t="s">
        <v>264</v>
      </c>
      <c r="B118" s="12">
        <v>40</v>
      </c>
      <c r="C118" s="13"/>
      <c r="D118" s="5"/>
      <c r="E118" s="5"/>
      <c r="F118" s="5"/>
      <c r="G118" s="5"/>
    </row>
    <row r="119" spans="1:7" x14ac:dyDescent="0.2">
      <c r="A119" s="31" t="s">
        <v>265</v>
      </c>
      <c r="B119" s="12">
        <v>40</v>
      </c>
      <c r="C119" s="13"/>
      <c r="D119" s="5"/>
      <c r="E119" s="5"/>
      <c r="F119" s="5"/>
      <c r="G119" s="5"/>
    </row>
    <row r="120" spans="1:7" x14ac:dyDescent="0.2">
      <c r="A120" s="31" t="s">
        <v>266</v>
      </c>
      <c r="B120" s="12">
        <v>40</v>
      </c>
      <c r="C120" s="13"/>
      <c r="D120" s="5"/>
      <c r="E120" s="5"/>
      <c r="F120" s="5"/>
      <c r="G120" s="5"/>
    </row>
    <row r="121" spans="1:7" x14ac:dyDescent="0.2">
      <c r="A121" s="33" t="s">
        <v>109</v>
      </c>
      <c r="B121" s="294" t="s">
        <v>234</v>
      </c>
      <c r="C121" s="13"/>
      <c r="D121" s="5"/>
      <c r="E121" s="5"/>
      <c r="F121" s="5"/>
      <c r="G121" s="5"/>
    </row>
    <row r="122" spans="1:7" x14ac:dyDescent="0.2">
      <c r="A122" s="33"/>
      <c r="B122" s="138"/>
      <c r="C122" s="5"/>
      <c r="D122" s="5"/>
      <c r="E122" s="5"/>
      <c r="F122" s="5"/>
      <c r="G122" s="5"/>
    </row>
    <row r="123" spans="1:7" ht="15.75" x14ac:dyDescent="0.25">
      <c r="A123" s="574" t="s">
        <v>378</v>
      </c>
      <c r="B123" s="581"/>
      <c r="D123" s="379"/>
      <c r="E123" s="45"/>
      <c r="F123" s="378"/>
      <c r="G123" s="22"/>
    </row>
    <row r="124" spans="1:7" x14ac:dyDescent="0.2">
      <c r="A124" s="572" t="s">
        <v>379</v>
      </c>
      <c r="B124" s="567" t="s">
        <v>450</v>
      </c>
      <c r="D124" s="380"/>
      <c r="E124" s="381"/>
      <c r="F124" s="16"/>
      <c r="G124" s="5"/>
    </row>
    <row r="125" spans="1:7" x14ac:dyDescent="0.2">
      <c r="A125" s="573"/>
      <c r="B125" s="568"/>
      <c r="D125" s="45"/>
      <c r="E125" s="382"/>
      <c r="F125" s="22"/>
      <c r="G125" s="5"/>
    </row>
    <row r="126" spans="1:7" x14ac:dyDescent="0.2">
      <c r="A126" s="273">
        <v>0</v>
      </c>
      <c r="B126" s="274">
        <v>0</v>
      </c>
      <c r="D126" s="45"/>
      <c r="E126" s="382"/>
      <c r="F126" s="22"/>
      <c r="G126" s="5"/>
    </row>
    <row r="127" spans="1:7" x14ac:dyDescent="0.2">
      <c r="A127" s="35" t="s">
        <v>749</v>
      </c>
      <c r="B127" s="220">
        <v>0</v>
      </c>
      <c r="D127" s="227"/>
      <c r="E127" s="383"/>
      <c r="F127" s="22"/>
      <c r="G127" s="5"/>
    </row>
    <row r="128" spans="1:7" x14ac:dyDescent="0.2">
      <c r="A128" s="35" t="s">
        <v>748</v>
      </c>
      <c r="B128" s="220">
        <v>20</v>
      </c>
      <c r="D128" s="227"/>
      <c r="E128" s="383"/>
      <c r="F128" s="22"/>
      <c r="G128" s="5"/>
    </row>
    <row r="129" spans="1:7" x14ac:dyDescent="0.2">
      <c r="A129" s="219" t="s">
        <v>750</v>
      </c>
      <c r="B129" s="15">
        <v>35</v>
      </c>
      <c r="D129" s="227"/>
      <c r="E129" s="383"/>
      <c r="F129" s="22"/>
      <c r="G129" s="5"/>
    </row>
    <row r="130" spans="1:7" x14ac:dyDescent="0.2">
      <c r="D130" s="227"/>
      <c r="E130" s="383"/>
      <c r="F130" s="22"/>
      <c r="G130" s="5"/>
    </row>
    <row r="131" spans="1:7" ht="15" x14ac:dyDescent="0.25">
      <c r="A131" s="558" t="s">
        <v>229</v>
      </c>
      <c r="B131" s="571"/>
      <c r="D131" s="227"/>
      <c r="E131" s="383"/>
      <c r="F131" s="22"/>
      <c r="G131" s="5"/>
    </row>
    <row r="132" spans="1:7" ht="38.25" x14ac:dyDescent="0.2">
      <c r="A132" s="20" t="s">
        <v>228</v>
      </c>
      <c r="B132" s="21" t="s">
        <v>230</v>
      </c>
      <c r="D132" s="227"/>
      <c r="E132" s="383"/>
      <c r="F132" s="22"/>
      <c r="G132" s="5"/>
    </row>
    <row r="133" spans="1:7" x14ac:dyDescent="0.2">
      <c r="A133" s="195">
        <v>0</v>
      </c>
      <c r="B133" s="221">
        <v>0</v>
      </c>
      <c r="D133" s="227"/>
      <c r="E133" s="383"/>
      <c r="F133" s="22"/>
      <c r="G133" s="5"/>
    </row>
    <row r="134" spans="1:7" x14ac:dyDescent="0.2">
      <c r="A134" s="7" t="s">
        <v>204</v>
      </c>
      <c r="B134" s="7">
        <v>4</v>
      </c>
      <c r="D134" s="227"/>
      <c r="E134" s="383"/>
      <c r="F134" s="22"/>
      <c r="G134" s="5"/>
    </row>
    <row r="135" spans="1:7" x14ac:dyDescent="0.2">
      <c r="A135" s="7" t="s">
        <v>205</v>
      </c>
      <c r="B135" s="7">
        <v>3</v>
      </c>
      <c r="D135" s="227"/>
      <c r="E135" s="383"/>
      <c r="F135" s="22"/>
      <c r="G135" s="5"/>
    </row>
    <row r="136" spans="1:7" x14ac:dyDescent="0.2">
      <c r="A136" s="7" t="s">
        <v>206</v>
      </c>
      <c r="B136" s="7">
        <v>1</v>
      </c>
      <c r="D136" s="227"/>
      <c r="E136" s="383"/>
      <c r="F136" s="22"/>
      <c r="G136" s="5"/>
    </row>
    <row r="137" spans="1:7" x14ac:dyDescent="0.2">
      <c r="A137" s="7" t="s">
        <v>207</v>
      </c>
      <c r="B137" s="7">
        <v>1</v>
      </c>
      <c r="D137" s="227"/>
      <c r="E137" s="383"/>
      <c r="F137" s="22"/>
      <c r="G137" s="5"/>
    </row>
    <row r="138" spans="1:7" x14ac:dyDescent="0.2">
      <c r="A138" s="7" t="s">
        <v>208</v>
      </c>
      <c r="B138" s="7">
        <v>3</v>
      </c>
      <c r="D138" s="227"/>
      <c r="E138" s="383"/>
      <c r="F138" s="22"/>
      <c r="G138" s="5"/>
    </row>
    <row r="139" spans="1:7" x14ac:dyDescent="0.2">
      <c r="A139" s="7" t="s">
        <v>209</v>
      </c>
      <c r="B139" s="7">
        <v>4</v>
      </c>
      <c r="D139" s="227"/>
      <c r="E139" s="383"/>
      <c r="F139" s="22"/>
      <c r="G139" s="5"/>
    </row>
    <row r="140" spans="1:7" x14ac:dyDescent="0.2">
      <c r="A140" s="7" t="s">
        <v>210</v>
      </c>
      <c r="B140" s="7">
        <v>4</v>
      </c>
      <c r="D140" s="227"/>
      <c r="E140" s="383"/>
      <c r="F140" s="22"/>
      <c r="G140" s="5"/>
    </row>
    <row r="141" spans="1:7" x14ac:dyDescent="0.2">
      <c r="A141" s="7" t="s">
        <v>211</v>
      </c>
      <c r="B141" s="7">
        <v>4</v>
      </c>
      <c r="D141" s="227"/>
      <c r="E141" s="383"/>
      <c r="F141" s="22"/>
      <c r="G141" s="5"/>
    </row>
    <row r="142" spans="1:7" x14ac:dyDescent="0.2">
      <c r="A142" s="7" t="s">
        <v>212</v>
      </c>
      <c r="B142" s="7">
        <v>4</v>
      </c>
      <c r="D142" s="227"/>
      <c r="E142" s="383"/>
      <c r="F142" s="22"/>
      <c r="G142" s="5"/>
    </row>
    <row r="143" spans="1:7" x14ac:dyDescent="0.2">
      <c r="A143" s="7" t="s">
        <v>213</v>
      </c>
      <c r="B143" s="7">
        <v>1</v>
      </c>
      <c r="D143" s="227"/>
      <c r="E143" s="383"/>
      <c r="F143" s="22"/>
      <c r="G143" s="5"/>
    </row>
    <row r="144" spans="1:7" x14ac:dyDescent="0.2">
      <c r="A144" s="7" t="s">
        <v>214</v>
      </c>
      <c r="B144" s="7">
        <v>2</v>
      </c>
      <c r="D144" s="227"/>
      <c r="E144" s="383"/>
      <c r="F144" s="22"/>
      <c r="G144" s="5"/>
    </row>
    <row r="145" spans="1:7" x14ac:dyDescent="0.2">
      <c r="A145" s="7" t="s">
        <v>215</v>
      </c>
      <c r="B145" s="7">
        <v>2</v>
      </c>
      <c r="D145" s="227"/>
      <c r="E145" s="383"/>
      <c r="F145" s="22"/>
      <c r="G145" s="5"/>
    </row>
    <row r="146" spans="1:7" x14ac:dyDescent="0.2">
      <c r="A146" s="7" t="s">
        <v>216</v>
      </c>
      <c r="B146" s="7">
        <v>1</v>
      </c>
      <c r="D146" s="384"/>
      <c r="E146" s="383"/>
      <c r="F146" s="22"/>
      <c r="G146" s="5"/>
    </row>
    <row r="147" spans="1:7" x14ac:dyDescent="0.2">
      <c r="A147" s="7" t="s">
        <v>217</v>
      </c>
      <c r="B147" s="7">
        <v>3</v>
      </c>
    </row>
    <row r="148" spans="1:7" x14ac:dyDescent="0.2">
      <c r="A148" s="7" t="s">
        <v>218</v>
      </c>
      <c r="B148" s="7">
        <v>5</v>
      </c>
    </row>
    <row r="149" spans="1:7" ht="12.75" customHeight="1" x14ac:dyDescent="0.2">
      <c r="A149" s="7" t="s">
        <v>219</v>
      </c>
      <c r="B149" s="7">
        <v>1</v>
      </c>
    </row>
    <row r="150" spans="1:7" ht="12.75" customHeight="1" x14ac:dyDescent="0.2">
      <c r="A150" s="7" t="s">
        <v>220</v>
      </c>
      <c r="B150" s="7">
        <v>4</v>
      </c>
    </row>
    <row r="151" spans="1:7" x14ac:dyDescent="0.2">
      <c r="A151" s="7" t="s">
        <v>221</v>
      </c>
      <c r="B151" s="7">
        <v>4</v>
      </c>
    </row>
    <row r="152" spans="1:7" x14ac:dyDescent="0.2">
      <c r="A152" s="7" t="s">
        <v>222</v>
      </c>
      <c r="B152" s="7">
        <v>3</v>
      </c>
    </row>
    <row r="153" spans="1:7" x14ac:dyDescent="0.2">
      <c r="A153" s="7" t="s">
        <v>223</v>
      </c>
      <c r="B153" s="7">
        <v>2</v>
      </c>
    </row>
    <row r="154" spans="1:7" x14ac:dyDescent="0.2">
      <c r="A154" s="7" t="s">
        <v>224</v>
      </c>
      <c r="B154" s="7">
        <v>4</v>
      </c>
    </row>
    <row r="155" spans="1:7" x14ac:dyDescent="0.2">
      <c r="A155" s="7" t="s">
        <v>225</v>
      </c>
      <c r="B155" s="7">
        <v>2</v>
      </c>
    </row>
    <row r="156" spans="1:7" x14ac:dyDescent="0.2">
      <c r="A156" s="7" t="s">
        <v>226</v>
      </c>
      <c r="B156" s="7">
        <v>3</v>
      </c>
    </row>
    <row r="157" spans="1:7" x14ac:dyDescent="0.2">
      <c r="A157" s="7" t="s">
        <v>227</v>
      </c>
      <c r="B157" s="7">
        <v>1</v>
      </c>
    </row>
    <row r="158" spans="1:7" x14ac:dyDescent="0.2">
      <c r="A158" s="7" t="s">
        <v>116</v>
      </c>
      <c r="B158" s="7">
        <v>3</v>
      </c>
    </row>
    <row r="159" spans="1:7" x14ac:dyDescent="0.2">
      <c r="A159" s="7" t="s">
        <v>117</v>
      </c>
      <c r="B159" s="7">
        <v>3</v>
      </c>
    </row>
    <row r="160" spans="1:7" x14ac:dyDescent="0.2">
      <c r="A160" s="7" t="s">
        <v>118</v>
      </c>
      <c r="B160" s="7">
        <v>3</v>
      </c>
    </row>
    <row r="161" spans="1:2" x14ac:dyDescent="0.2">
      <c r="A161" s="7" t="s">
        <v>119</v>
      </c>
      <c r="B161" s="7">
        <v>4</v>
      </c>
    </row>
    <row r="162" spans="1:2" x14ac:dyDescent="0.2">
      <c r="A162" s="7" t="s">
        <v>120</v>
      </c>
      <c r="B162" s="7">
        <v>2</v>
      </c>
    </row>
    <row r="163" spans="1:2" x14ac:dyDescent="0.2">
      <c r="A163" s="7" t="s">
        <v>121</v>
      </c>
      <c r="B163" s="7">
        <v>1</v>
      </c>
    </row>
    <row r="164" spans="1:2" x14ac:dyDescent="0.2">
      <c r="A164" s="7" t="s">
        <v>122</v>
      </c>
      <c r="B164" s="7">
        <v>4</v>
      </c>
    </row>
    <row r="165" spans="1:2" x14ac:dyDescent="0.2">
      <c r="A165" s="7" t="s">
        <v>123</v>
      </c>
      <c r="B165" s="7">
        <v>3</v>
      </c>
    </row>
    <row r="166" spans="1:2" x14ac:dyDescent="0.2">
      <c r="A166" s="7" t="s">
        <v>124</v>
      </c>
      <c r="B166" s="7">
        <v>2</v>
      </c>
    </row>
    <row r="167" spans="1:2" x14ac:dyDescent="0.2">
      <c r="A167" s="7" t="s">
        <v>125</v>
      </c>
      <c r="B167" s="7">
        <v>3</v>
      </c>
    </row>
    <row r="168" spans="1:2" x14ac:dyDescent="0.2">
      <c r="A168" s="7" t="s">
        <v>126</v>
      </c>
      <c r="B168" s="7">
        <v>1</v>
      </c>
    </row>
    <row r="169" spans="1:2" x14ac:dyDescent="0.2">
      <c r="A169" s="7" t="s">
        <v>127</v>
      </c>
      <c r="B169" s="7">
        <v>2</v>
      </c>
    </row>
    <row r="170" spans="1:2" x14ac:dyDescent="0.2">
      <c r="A170" s="7" t="s">
        <v>128</v>
      </c>
      <c r="B170" s="7">
        <v>3</v>
      </c>
    </row>
    <row r="171" spans="1:2" x14ac:dyDescent="0.2">
      <c r="A171" s="7" t="s">
        <v>129</v>
      </c>
      <c r="B171" s="7">
        <v>4</v>
      </c>
    </row>
    <row r="172" spans="1:2" x14ac:dyDescent="0.2">
      <c r="A172" s="7" t="s">
        <v>130</v>
      </c>
      <c r="B172" s="7">
        <v>3</v>
      </c>
    </row>
    <row r="173" spans="1:2" x14ac:dyDescent="0.2">
      <c r="A173" s="7" t="s">
        <v>131</v>
      </c>
      <c r="B173" s="7">
        <v>3</v>
      </c>
    </row>
    <row r="174" spans="1:2" x14ac:dyDescent="0.2">
      <c r="A174" s="7" t="s">
        <v>132</v>
      </c>
      <c r="B174" s="7">
        <v>3</v>
      </c>
    </row>
    <row r="175" spans="1:2" x14ac:dyDescent="0.2">
      <c r="A175" s="7" t="s">
        <v>133</v>
      </c>
      <c r="B175" s="7">
        <v>1</v>
      </c>
    </row>
    <row r="176" spans="1:2" x14ac:dyDescent="0.2">
      <c r="A176" s="7" t="s">
        <v>134</v>
      </c>
      <c r="B176" s="7">
        <v>1</v>
      </c>
    </row>
    <row r="177" spans="1:2" x14ac:dyDescent="0.2">
      <c r="A177" s="7" t="s">
        <v>135</v>
      </c>
      <c r="B177" s="7">
        <v>2</v>
      </c>
    </row>
    <row r="178" spans="1:2" x14ac:dyDescent="0.2">
      <c r="A178" s="7" t="s">
        <v>136</v>
      </c>
      <c r="B178" s="7">
        <v>2</v>
      </c>
    </row>
    <row r="179" spans="1:2" x14ac:dyDescent="0.2">
      <c r="A179" s="7" t="s">
        <v>137</v>
      </c>
      <c r="B179" s="7">
        <v>2</v>
      </c>
    </row>
    <row r="180" spans="1:2" x14ac:dyDescent="0.2">
      <c r="A180" s="7" t="s">
        <v>138</v>
      </c>
      <c r="B180" s="7">
        <v>4</v>
      </c>
    </row>
    <row r="181" spans="1:2" x14ac:dyDescent="0.2">
      <c r="A181" s="7" t="s">
        <v>139</v>
      </c>
      <c r="B181" s="7">
        <v>3</v>
      </c>
    </row>
    <row r="182" spans="1:2" x14ac:dyDescent="0.2">
      <c r="A182" s="7" t="s">
        <v>140</v>
      </c>
      <c r="B182" s="7">
        <v>4</v>
      </c>
    </row>
    <row r="183" spans="1:2" x14ac:dyDescent="0.2">
      <c r="A183" s="7" t="s">
        <v>141</v>
      </c>
      <c r="B183" s="7">
        <v>4</v>
      </c>
    </row>
    <row r="184" spans="1:2" x14ac:dyDescent="0.2">
      <c r="A184" s="7" t="s">
        <v>142</v>
      </c>
      <c r="B184" s="7">
        <v>3</v>
      </c>
    </row>
    <row r="185" spans="1:2" x14ac:dyDescent="0.2">
      <c r="A185" s="7" t="s">
        <v>143</v>
      </c>
      <c r="B185" s="7">
        <v>1</v>
      </c>
    </row>
    <row r="186" spans="1:2" x14ac:dyDescent="0.2">
      <c r="A186" s="7" t="s">
        <v>144</v>
      </c>
      <c r="B186" s="7">
        <v>3</v>
      </c>
    </row>
    <row r="187" spans="1:2" x14ac:dyDescent="0.2">
      <c r="A187" s="7" t="s">
        <v>145</v>
      </c>
      <c r="B187" s="7">
        <v>3</v>
      </c>
    </row>
    <row r="188" spans="1:2" x14ac:dyDescent="0.2">
      <c r="A188" s="7" t="s">
        <v>146</v>
      </c>
      <c r="B188" s="7">
        <v>1</v>
      </c>
    </row>
    <row r="189" spans="1:2" x14ac:dyDescent="0.2">
      <c r="A189" s="7" t="s">
        <v>147</v>
      </c>
      <c r="B189" s="7">
        <v>2</v>
      </c>
    </row>
    <row r="190" spans="1:2" x14ac:dyDescent="0.2">
      <c r="A190" s="7" t="s">
        <v>148</v>
      </c>
      <c r="B190" s="7">
        <v>3</v>
      </c>
    </row>
    <row r="191" spans="1:2" x14ac:dyDescent="0.2">
      <c r="A191" s="7" t="s">
        <v>149</v>
      </c>
      <c r="B191" s="7">
        <v>2</v>
      </c>
    </row>
    <row r="192" spans="1:2" x14ac:dyDescent="0.2">
      <c r="A192" s="7" t="s">
        <v>150</v>
      </c>
      <c r="B192" s="7">
        <v>1</v>
      </c>
    </row>
    <row r="193" spans="1:2" x14ac:dyDescent="0.2">
      <c r="A193" s="7" t="s">
        <v>151</v>
      </c>
      <c r="B193" s="7">
        <v>4</v>
      </c>
    </row>
    <row r="194" spans="1:2" x14ac:dyDescent="0.2">
      <c r="A194" s="7" t="s">
        <v>152</v>
      </c>
      <c r="B194" s="7">
        <v>1</v>
      </c>
    </row>
    <row r="195" spans="1:2" x14ac:dyDescent="0.2">
      <c r="A195" s="7" t="s">
        <v>153</v>
      </c>
      <c r="B195" s="7">
        <v>1</v>
      </c>
    </row>
    <row r="196" spans="1:2" x14ac:dyDescent="0.2">
      <c r="A196" s="7" t="s">
        <v>154</v>
      </c>
      <c r="B196" s="7">
        <v>4</v>
      </c>
    </row>
    <row r="197" spans="1:2" x14ac:dyDescent="0.2">
      <c r="A197" s="7" t="s">
        <v>155</v>
      </c>
      <c r="B197" s="7">
        <v>3</v>
      </c>
    </row>
    <row r="198" spans="1:2" x14ac:dyDescent="0.2">
      <c r="A198" s="7" t="s">
        <v>156</v>
      </c>
      <c r="B198" s="7">
        <v>2</v>
      </c>
    </row>
    <row r="199" spans="1:2" x14ac:dyDescent="0.2">
      <c r="A199" s="7" t="s">
        <v>157</v>
      </c>
      <c r="B199" s="7">
        <v>2</v>
      </c>
    </row>
    <row r="200" spans="1:2" x14ac:dyDescent="0.2">
      <c r="A200" s="7" t="s">
        <v>158</v>
      </c>
      <c r="B200" s="7">
        <v>3</v>
      </c>
    </row>
    <row r="201" spans="1:2" x14ac:dyDescent="0.2">
      <c r="A201" s="7" t="s">
        <v>159</v>
      </c>
      <c r="B201" s="7">
        <v>2</v>
      </c>
    </row>
    <row r="202" spans="1:2" x14ac:dyDescent="0.2">
      <c r="A202" s="7" t="s">
        <v>160</v>
      </c>
      <c r="B202" s="7">
        <v>2</v>
      </c>
    </row>
    <row r="203" spans="1:2" x14ac:dyDescent="0.2">
      <c r="A203" s="7" t="s">
        <v>161</v>
      </c>
      <c r="B203" s="7">
        <v>4</v>
      </c>
    </row>
    <row r="204" spans="1:2" x14ac:dyDescent="0.2">
      <c r="A204" s="7" t="s">
        <v>162</v>
      </c>
      <c r="B204" s="7">
        <v>1</v>
      </c>
    </row>
    <row r="205" spans="1:2" x14ac:dyDescent="0.2">
      <c r="A205" s="7" t="s">
        <v>163</v>
      </c>
      <c r="B205" s="7">
        <v>2</v>
      </c>
    </row>
    <row r="206" spans="1:2" x14ac:dyDescent="0.2">
      <c r="A206" s="7" t="s">
        <v>164</v>
      </c>
      <c r="B206" s="7">
        <v>3</v>
      </c>
    </row>
    <row r="207" spans="1:2" x14ac:dyDescent="0.2">
      <c r="A207" s="7" t="s">
        <v>165</v>
      </c>
      <c r="B207" s="7">
        <v>2</v>
      </c>
    </row>
    <row r="208" spans="1:2" x14ac:dyDescent="0.2">
      <c r="A208" s="7" t="s">
        <v>166</v>
      </c>
      <c r="B208" s="7">
        <v>3</v>
      </c>
    </row>
    <row r="209" spans="1:2" x14ac:dyDescent="0.2">
      <c r="A209" s="7" t="s">
        <v>167</v>
      </c>
      <c r="B209" s="7">
        <v>2</v>
      </c>
    </row>
    <row r="210" spans="1:2" x14ac:dyDescent="0.2">
      <c r="A210" s="7" t="s">
        <v>168</v>
      </c>
      <c r="B210" s="7">
        <v>4</v>
      </c>
    </row>
    <row r="211" spans="1:2" x14ac:dyDescent="0.2">
      <c r="A211" s="7" t="s">
        <v>169</v>
      </c>
      <c r="B211" s="7">
        <v>2</v>
      </c>
    </row>
    <row r="212" spans="1:2" x14ac:dyDescent="0.2">
      <c r="A212" s="7" t="s">
        <v>170</v>
      </c>
      <c r="B212" s="7">
        <v>3</v>
      </c>
    </row>
    <row r="213" spans="1:2" x14ac:dyDescent="0.2">
      <c r="A213" s="7" t="s">
        <v>171</v>
      </c>
      <c r="B213" s="7">
        <v>4</v>
      </c>
    </row>
    <row r="214" spans="1:2" x14ac:dyDescent="0.2">
      <c r="A214" s="7" t="s">
        <v>172</v>
      </c>
      <c r="B214" s="7">
        <v>2</v>
      </c>
    </row>
    <row r="215" spans="1:2" x14ac:dyDescent="0.2">
      <c r="A215" s="7" t="s">
        <v>173</v>
      </c>
      <c r="B215" s="7">
        <v>1</v>
      </c>
    </row>
    <row r="216" spans="1:2" x14ac:dyDescent="0.2">
      <c r="A216" s="7" t="s">
        <v>174</v>
      </c>
      <c r="B216" s="7">
        <v>1</v>
      </c>
    </row>
    <row r="217" spans="1:2" x14ac:dyDescent="0.2">
      <c r="A217" s="7" t="s">
        <v>175</v>
      </c>
      <c r="B217" s="7">
        <v>4</v>
      </c>
    </row>
    <row r="218" spans="1:2" x14ac:dyDescent="0.2">
      <c r="A218" s="7" t="s">
        <v>176</v>
      </c>
      <c r="B218" s="7">
        <v>3</v>
      </c>
    </row>
    <row r="219" spans="1:2" x14ac:dyDescent="0.2">
      <c r="A219" s="7" t="s">
        <v>177</v>
      </c>
      <c r="B219" s="7">
        <v>3</v>
      </c>
    </row>
    <row r="220" spans="1:2" x14ac:dyDescent="0.2">
      <c r="A220" s="7" t="s">
        <v>178</v>
      </c>
      <c r="B220" s="7">
        <v>2</v>
      </c>
    </row>
    <row r="221" spans="1:2" x14ac:dyDescent="0.2">
      <c r="A221" s="7" t="s">
        <v>179</v>
      </c>
      <c r="B221" s="7">
        <v>4</v>
      </c>
    </row>
    <row r="222" spans="1:2" x14ac:dyDescent="0.2">
      <c r="A222" s="7" t="s">
        <v>180</v>
      </c>
      <c r="B222" s="7">
        <v>1</v>
      </c>
    </row>
    <row r="223" spans="1:2" x14ac:dyDescent="0.2">
      <c r="A223" s="7" t="s">
        <v>181</v>
      </c>
      <c r="B223" s="7">
        <v>3</v>
      </c>
    </row>
    <row r="224" spans="1:2" x14ac:dyDescent="0.2">
      <c r="A224" s="7" t="s">
        <v>182</v>
      </c>
      <c r="B224" s="7">
        <v>4</v>
      </c>
    </row>
    <row r="225" spans="1:2" x14ac:dyDescent="0.2">
      <c r="A225" s="7" t="s">
        <v>183</v>
      </c>
      <c r="B225" s="7">
        <v>1</v>
      </c>
    </row>
    <row r="226" spans="1:2" x14ac:dyDescent="0.2">
      <c r="A226" s="7" t="s">
        <v>184</v>
      </c>
      <c r="B226" s="7">
        <v>3</v>
      </c>
    </row>
    <row r="227" spans="1:2" x14ac:dyDescent="0.2">
      <c r="A227" s="7" t="s">
        <v>185</v>
      </c>
      <c r="B227" s="7">
        <v>4</v>
      </c>
    </row>
    <row r="228" spans="1:2" x14ac:dyDescent="0.2">
      <c r="A228" s="7" t="s">
        <v>186</v>
      </c>
      <c r="B228" s="7">
        <v>4</v>
      </c>
    </row>
    <row r="229" spans="1:2" x14ac:dyDescent="0.2">
      <c r="A229" s="7" t="s">
        <v>187</v>
      </c>
      <c r="B229" s="7">
        <v>4</v>
      </c>
    </row>
    <row r="230" spans="1:2" x14ac:dyDescent="0.2">
      <c r="A230" s="7" t="s">
        <v>188</v>
      </c>
      <c r="B230" s="7">
        <v>4</v>
      </c>
    </row>
    <row r="231" spans="1:2" x14ac:dyDescent="0.2">
      <c r="A231" s="7" t="s">
        <v>189</v>
      </c>
      <c r="B231" s="7">
        <v>2</v>
      </c>
    </row>
    <row r="232" spans="1:2" x14ac:dyDescent="0.2">
      <c r="A232" s="7" t="s">
        <v>190</v>
      </c>
      <c r="B232" s="7">
        <v>2</v>
      </c>
    </row>
    <row r="233" spans="1:2" x14ac:dyDescent="0.2">
      <c r="A233" s="7" t="s">
        <v>191</v>
      </c>
      <c r="B233" s="7">
        <v>4</v>
      </c>
    </row>
    <row r="234" spans="1:2" x14ac:dyDescent="0.2">
      <c r="A234" s="7" t="s">
        <v>192</v>
      </c>
      <c r="B234" s="7">
        <v>2</v>
      </c>
    </row>
    <row r="235" spans="1:2" x14ac:dyDescent="0.2">
      <c r="A235" s="7" t="s">
        <v>193</v>
      </c>
      <c r="B235" s="7">
        <v>4</v>
      </c>
    </row>
    <row r="236" spans="1:2" x14ac:dyDescent="0.2">
      <c r="A236" s="7" t="s">
        <v>194</v>
      </c>
      <c r="B236" s="7">
        <v>4</v>
      </c>
    </row>
    <row r="237" spans="1:2" x14ac:dyDescent="0.2">
      <c r="A237" s="7" t="s">
        <v>195</v>
      </c>
      <c r="B237" s="7">
        <v>1</v>
      </c>
    </row>
    <row r="238" spans="1:2" x14ac:dyDescent="0.2">
      <c r="A238" s="7" t="s">
        <v>196</v>
      </c>
      <c r="B238" s="7">
        <v>3</v>
      </c>
    </row>
    <row r="239" spans="1:2" x14ac:dyDescent="0.2">
      <c r="A239" s="7" t="s">
        <v>197</v>
      </c>
      <c r="B239" s="7">
        <v>4</v>
      </c>
    </row>
    <row r="240" spans="1:2" x14ac:dyDescent="0.2">
      <c r="A240" s="7" t="s">
        <v>198</v>
      </c>
      <c r="B240" s="7">
        <v>3</v>
      </c>
    </row>
    <row r="241" spans="1:5" x14ac:dyDescent="0.2">
      <c r="A241" s="7" t="s">
        <v>199</v>
      </c>
      <c r="B241" s="7">
        <v>2</v>
      </c>
    </row>
    <row r="242" spans="1:5" x14ac:dyDescent="0.2">
      <c r="A242" s="7" t="s">
        <v>200</v>
      </c>
      <c r="B242" s="7">
        <v>3</v>
      </c>
    </row>
    <row r="243" spans="1:5" x14ac:dyDescent="0.2">
      <c r="A243" s="7" t="s">
        <v>201</v>
      </c>
      <c r="B243" s="7">
        <v>1</v>
      </c>
    </row>
    <row r="244" spans="1:5" x14ac:dyDescent="0.2">
      <c r="A244" s="7" t="s">
        <v>202</v>
      </c>
      <c r="B244" s="7">
        <v>3</v>
      </c>
    </row>
    <row r="245" spans="1:5" x14ac:dyDescent="0.2">
      <c r="A245" s="8" t="s">
        <v>203</v>
      </c>
      <c r="B245" s="8">
        <v>3</v>
      </c>
    </row>
    <row r="247" spans="1:5" ht="15" x14ac:dyDescent="0.25">
      <c r="A247" s="558" t="s">
        <v>280</v>
      </c>
      <c r="B247" s="501"/>
      <c r="C247" s="501"/>
      <c r="D247" s="501"/>
      <c r="E247" s="502"/>
    </row>
    <row r="248" spans="1:5" x14ac:dyDescent="0.2">
      <c r="A248" s="28" t="s">
        <v>277</v>
      </c>
      <c r="B248" s="569" t="s">
        <v>278</v>
      </c>
      <c r="C248" s="570"/>
      <c r="D248" s="570"/>
      <c r="E248" s="228" t="s">
        <v>470</v>
      </c>
    </row>
    <row r="249" spans="1:5" x14ac:dyDescent="0.2">
      <c r="A249" s="223" t="s">
        <v>453</v>
      </c>
      <c r="B249" s="224">
        <v>28</v>
      </c>
      <c r="C249" s="566" t="s">
        <v>605</v>
      </c>
      <c r="D249" s="565"/>
      <c r="E249" s="6" t="s">
        <v>604</v>
      </c>
    </row>
    <row r="250" spans="1:5" x14ac:dyDescent="0.2">
      <c r="A250" s="31" t="s">
        <v>457</v>
      </c>
      <c r="B250" s="32">
        <v>10</v>
      </c>
      <c r="C250" s="562" t="s">
        <v>279</v>
      </c>
      <c r="D250" s="586"/>
      <c r="E250" s="7" t="s">
        <v>469</v>
      </c>
    </row>
    <row r="251" spans="1:5" x14ac:dyDescent="0.2">
      <c r="A251" s="31" t="s">
        <v>455</v>
      </c>
      <c r="B251" s="32">
        <v>9</v>
      </c>
      <c r="C251" s="562" t="s">
        <v>279</v>
      </c>
      <c r="D251" s="586"/>
      <c r="E251" s="7" t="s">
        <v>469</v>
      </c>
    </row>
    <row r="252" spans="1:5" x14ac:dyDescent="0.2">
      <c r="A252" s="33" t="s">
        <v>456</v>
      </c>
      <c r="B252" s="222">
        <v>7</v>
      </c>
      <c r="C252" s="584" t="s">
        <v>279</v>
      </c>
      <c r="D252" s="585"/>
      <c r="E252" s="8" t="s">
        <v>469</v>
      </c>
    </row>
    <row r="253" spans="1:5" x14ac:dyDescent="0.2">
      <c r="A253" s="58" t="s">
        <v>454</v>
      </c>
      <c r="B253" s="58">
        <v>36</v>
      </c>
      <c r="C253" s="566" t="s">
        <v>605</v>
      </c>
      <c r="D253" s="565"/>
      <c r="E253" s="405" t="s">
        <v>604</v>
      </c>
    </row>
    <row r="254" spans="1:5" x14ac:dyDescent="0.2">
      <c r="A254" s="104" t="s">
        <v>451</v>
      </c>
      <c r="B254" s="105">
        <v>11</v>
      </c>
      <c r="C254" s="564" t="s">
        <v>279</v>
      </c>
      <c r="D254" s="565"/>
      <c r="E254" s="7" t="s">
        <v>469</v>
      </c>
    </row>
    <row r="255" spans="1:5" x14ac:dyDescent="0.2">
      <c r="A255" s="33" t="s">
        <v>452</v>
      </c>
      <c r="B255" s="222">
        <v>14</v>
      </c>
      <c r="C255" s="584" t="s">
        <v>279</v>
      </c>
      <c r="D255" s="585"/>
      <c r="E255" s="8" t="s">
        <v>469</v>
      </c>
    </row>
    <row r="256" spans="1:5" x14ac:dyDescent="0.2">
      <c r="A256" s="225" t="s">
        <v>411</v>
      </c>
      <c r="B256" s="423">
        <v>12</v>
      </c>
      <c r="C256" s="160" t="s">
        <v>279</v>
      </c>
      <c r="D256" s="422"/>
      <c r="E256" s="7" t="s">
        <v>469</v>
      </c>
    </row>
    <row r="257" spans="1:5" x14ac:dyDescent="0.2">
      <c r="A257" s="11" t="s">
        <v>458</v>
      </c>
      <c r="B257" s="106">
        <v>30</v>
      </c>
      <c r="C257" s="566" t="s">
        <v>605</v>
      </c>
      <c r="D257" s="565"/>
      <c r="E257" s="6" t="s">
        <v>604</v>
      </c>
    </row>
    <row r="258" spans="1:5" x14ac:dyDescent="0.2">
      <c r="A258" s="32" t="s">
        <v>459</v>
      </c>
      <c r="B258" s="32">
        <v>25</v>
      </c>
      <c r="C258" s="562" t="s">
        <v>605</v>
      </c>
      <c r="D258" s="563"/>
      <c r="E258" s="7" t="s">
        <v>604</v>
      </c>
    </row>
    <row r="259" spans="1:5" x14ac:dyDescent="0.2">
      <c r="A259" s="32" t="s">
        <v>460</v>
      </c>
      <c r="B259" s="32">
        <v>40</v>
      </c>
      <c r="C259" s="562" t="s">
        <v>605</v>
      </c>
      <c r="D259" s="563"/>
      <c r="E259" s="7" t="s">
        <v>604</v>
      </c>
    </row>
    <row r="260" spans="1:5" x14ac:dyDescent="0.2">
      <c r="A260" s="32" t="s">
        <v>461</v>
      </c>
      <c r="B260" s="32">
        <v>50</v>
      </c>
      <c r="C260" s="562" t="s">
        <v>605</v>
      </c>
      <c r="D260" s="563"/>
      <c r="E260" s="7" t="s">
        <v>604</v>
      </c>
    </row>
    <row r="261" spans="1:5" x14ac:dyDescent="0.2">
      <c r="A261" s="12" t="s">
        <v>462</v>
      </c>
      <c r="B261" s="12">
        <v>40</v>
      </c>
      <c r="C261" s="562" t="s">
        <v>605</v>
      </c>
      <c r="D261" s="563"/>
      <c r="E261" s="7" t="s">
        <v>604</v>
      </c>
    </row>
    <row r="262" spans="1:5" x14ac:dyDescent="0.2">
      <c r="A262" s="11" t="s">
        <v>463</v>
      </c>
      <c r="B262" s="12">
        <v>37</v>
      </c>
      <c r="C262" s="562" t="s">
        <v>279</v>
      </c>
      <c r="D262" s="563"/>
      <c r="E262" s="7" t="s">
        <v>469</v>
      </c>
    </row>
    <row r="263" spans="1:5" x14ac:dyDescent="0.2">
      <c r="A263" s="12" t="s">
        <v>468</v>
      </c>
      <c r="B263" s="58">
        <v>43</v>
      </c>
      <c r="C263" s="562" t="s">
        <v>279</v>
      </c>
      <c r="D263" s="563"/>
      <c r="E263" s="7" t="s">
        <v>469</v>
      </c>
    </row>
    <row r="264" spans="1:5" x14ac:dyDescent="0.2">
      <c r="A264" s="58" t="s">
        <v>464</v>
      </c>
      <c r="B264" s="58">
        <v>79</v>
      </c>
      <c r="C264" s="562" t="s">
        <v>279</v>
      </c>
      <c r="D264" s="563"/>
      <c r="E264" s="7" t="s">
        <v>469</v>
      </c>
    </row>
    <row r="265" spans="1:5" x14ac:dyDescent="0.2">
      <c r="A265" s="58" t="s">
        <v>465</v>
      </c>
      <c r="B265" s="58">
        <v>66</v>
      </c>
      <c r="C265" s="562" t="s">
        <v>279</v>
      </c>
      <c r="D265" s="563"/>
      <c r="E265" s="7" t="s">
        <v>469</v>
      </c>
    </row>
    <row r="266" spans="1:5" x14ac:dyDescent="0.2">
      <c r="A266" s="58" t="s">
        <v>466</v>
      </c>
      <c r="B266" s="58">
        <v>52</v>
      </c>
      <c r="C266" s="562" t="s">
        <v>279</v>
      </c>
      <c r="D266" s="563"/>
      <c r="E266" s="7" t="s">
        <v>469</v>
      </c>
    </row>
    <row r="267" spans="1:5" x14ac:dyDescent="0.2">
      <c r="A267" s="58" t="s">
        <v>467</v>
      </c>
      <c r="B267" s="58">
        <v>73</v>
      </c>
      <c r="C267" s="562" t="s">
        <v>279</v>
      </c>
      <c r="D267" s="563"/>
      <c r="E267" s="7" t="s">
        <v>469</v>
      </c>
    </row>
    <row r="268" spans="1:5" x14ac:dyDescent="0.2">
      <c r="A268" s="428" t="s">
        <v>868</v>
      </c>
      <c r="B268" s="434">
        <v>0</v>
      </c>
      <c r="C268" s="430" t="s">
        <v>279</v>
      </c>
      <c r="D268" s="426"/>
      <c r="E268" s="432" t="s">
        <v>469</v>
      </c>
    </row>
    <row r="269" spans="1:5" x14ac:dyDescent="0.2">
      <c r="A269" s="429" t="s">
        <v>869</v>
      </c>
      <c r="B269" s="435">
        <v>0</v>
      </c>
      <c r="C269" s="431" t="s">
        <v>605</v>
      </c>
      <c r="D269" s="427"/>
      <c r="E269" s="433" t="s">
        <v>604</v>
      </c>
    </row>
    <row r="270" spans="1:5" x14ac:dyDescent="0.2">
      <c r="A270" s="225">
        <v>0</v>
      </c>
      <c r="B270" s="226">
        <v>0</v>
      </c>
      <c r="C270" s="582">
        <v>0</v>
      </c>
      <c r="D270" s="583"/>
      <c r="E270" s="145"/>
    </row>
    <row r="271" spans="1:5" x14ac:dyDescent="0.2">
      <c r="A271" s="58"/>
      <c r="B271" s="58"/>
      <c r="C271" s="58"/>
      <c r="D271" s="58"/>
    </row>
    <row r="272" spans="1:5" x14ac:dyDescent="0.2">
      <c r="A272" s="25"/>
      <c r="B272" s="24"/>
    </row>
    <row r="273" spans="1:5" ht="15" x14ac:dyDescent="0.25">
      <c r="A273" s="560" t="s">
        <v>281</v>
      </c>
      <c r="B273" s="561"/>
      <c r="D273" s="238"/>
      <c r="E273" s="22"/>
    </row>
    <row r="274" spans="1:5" x14ac:dyDescent="0.2">
      <c r="A274" s="29" t="s">
        <v>283</v>
      </c>
      <c r="B274" s="30" t="s">
        <v>282</v>
      </c>
      <c r="D274" s="234"/>
      <c r="E274" s="235"/>
    </row>
    <row r="275" spans="1:5" x14ac:dyDescent="0.2">
      <c r="A275" s="239" t="s">
        <v>497</v>
      </c>
      <c r="B275" s="182"/>
      <c r="D275" s="160"/>
      <c r="E275" s="24"/>
    </row>
    <row r="276" spans="1:5" x14ac:dyDescent="0.2">
      <c r="A276" s="240" t="s">
        <v>474</v>
      </c>
      <c r="B276" s="36">
        <v>0.75</v>
      </c>
      <c r="D276" s="227"/>
      <c r="E276" s="236"/>
    </row>
    <row r="277" spans="1:5" x14ac:dyDescent="0.2">
      <c r="A277" s="240" t="s">
        <v>475</v>
      </c>
      <c r="B277" s="36">
        <v>0.5</v>
      </c>
      <c r="D277" s="227"/>
      <c r="E277" s="236"/>
    </row>
    <row r="278" spans="1:5" x14ac:dyDescent="0.2">
      <c r="A278" s="240" t="s">
        <v>477</v>
      </c>
      <c r="B278" s="37">
        <v>0.45</v>
      </c>
      <c r="D278" s="227"/>
      <c r="E278" s="106"/>
    </row>
    <row r="279" spans="1:5" x14ac:dyDescent="0.2">
      <c r="A279" s="240" t="s">
        <v>478</v>
      </c>
      <c r="B279" s="37">
        <v>0.3</v>
      </c>
      <c r="D279" s="227"/>
      <c r="E279" s="106"/>
    </row>
    <row r="280" spans="1:5" x14ac:dyDescent="0.2">
      <c r="A280" s="241" t="s">
        <v>479</v>
      </c>
      <c r="B280" s="7">
        <v>0.15</v>
      </c>
      <c r="D280" s="160"/>
      <c r="E280" s="32"/>
    </row>
    <row r="281" spans="1:5" x14ac:dyDescent="0.2">
      <c r="A281" s="241" t="s">
        <v>492</v>
      </c>
      <c r="B281" s="7">
        <v>0.15</v>
      </c>
      <c r="D281" s="160"/>
      <c r="E281" s="32"/>
    </row>
    <row r="282" spans="1:5" x14ac:dyDescent="0.2">
      <c r="A282" s="241" t="s">
        <v>471</v>
      </c>
      <c r="B282" s="183">
        <v>0</v>
      </c>
      <c r="D282" s="160"/>
      <c r="E282" s="32"/>
    </row>
    <row r="283" spans="1:5" x14ac:dyDescent="0.2">
      <c r="A283" s="240" t="s">
        <v>493</v>
      </c>
      <c r="B283" s="7">
        <v>0.5</v>
      </c>
      <c r="D283" s="227"/>
      <c r="E283" s="32"/>
    </row>
    <row r="284" spans="1:5" x14ac:dyDescent="0.2">
      <c r="A284" s="240" t="s">
        <v>480</v>
      </c>
      <c r="B284" s="7">
        <v>0.3</v>
      </c>
      <c r="D284" s="227"/>
      <c r="E284" s="32"/>
    </row>
    <row r="285" spans="1:5" x14ac:dyDescent="0.2">
      <c r="A285" s="241" t="s">
        <v>481</v>
      </c>
      <c r="B285" s="7">
        <v>0.15</v>
      </c>
      <c r="D285" s="160"/>
      <c r="E285" s="32"/>
    </row>
    <row r="286" spans="1:5" x14ac:dyDescent="0.2">
      <c r="A286" s="241" t="s">
        <v>494</v>
      </c>
      <c r="B286" s="7">
        <v>0.15</v>
      </c>
      <c r="D286" s="160"/>
      <c r="E286" s="32"/>
    </row>
    <row r="287" spans="1:5" x14ac:dyDescent="0.2">
      <c r="A287" s="35" t="s">
        <v>472</v>
      </c>
      <c r="B287" s="183">
        <v>0</v>
      </c>
      <c r="D287" s="160"/>
      <c r="E287" s="32"/>
    </row>
    <row r="288" spans="1:5" x14ac:dyDescent="0.2">
      <c r="A288" s="241" t="s">
        <v>495</v>
      </c>
      <c r="B288" s="7">
        <v>0.5</v>
      </c>
      <c r="D288" s="160"/>
      <c r="E288" s="32"/>
    </row>
    <row r="289" spans="1:5" x14ac:dyDescent="0.2">
      <c r="A289" s="241" t="s">
        <v>496</v>
      </c>
      <c r="B289" s="7">
        <v>0.15</v>
      </c>
      <c r="D289" s="160"/>
      <c r="E289" s="32"/>
    </row>
    <row r="290" spans="1:5" x14ac:dyDescent="0.2">
      <c r="A290" s="38" t="s">
        <v>473</v>
      </c>
      <c r="B290" s="184">
        <v>0</v>
      </c>
      <c r="D290" s="160"/>
      <c r="E290" s="32"/>
    </row>
    <row r="291" spans="1:5" x14ac:dyDescent="0.2">
      <c r="A291" s="239" t="s">
        <v>412</v>
      </c>
      <c r="B291" s="6"/>
      <c r="D291" s="160"/>
      <c r="E291" s="32"/>
    </row>
    <row r="292" spans="1:5" x14ac:dyDescent="0.2">
      <c r="A292" s="240" t="s">
        <v>474</v>
      </c>
      <c r="B292" s="7">
        <v>0.5</v>
      </c>
      <c r="D292" s="227"/>
      <c r="E292" s="32"/>
    </row>
    <row r="293" spans="1:5" x14ac:dyDescent="0.2">
      <c r="A293" s="240" t="s">
        <v>475</v>
      </c>
      <c r="B293" s="7">
        <v>0.4</v>
      </c>
      <c r="D293" s="227"/>
      <c r="E293" s="32"/>
    </row>
    <row r="294" spans="1:5" x14ac:dyDescent="0.2">
      <c r="A294" s="240" t="s">
        <v>477</v>
      </c>
      <c r="B294" s="7">
        <v>0.35</v>
      </c>
      <c r="D294" s="227"/>
      <c r="E294" s="32"/>
    </row>
    <row r="295" spans="1:5" x14ac:dyDescent="0.2">
      <c r="A295" s="240" t="s">
        <v>478</v>
      </c>
      <c r="B295" s="7">
        <v>0.3</v>
      </c>
      <c r="D295" s="227"/>
      <c r="E295" s="32"/>
    </row>
    <row r="296" spans="1:5" x14ac:dyDescent="0.2">
      <c r="A296" s="241" t="s">
        <v>479</v>
      </c>
      <c r="B296" s="7">
        <v>0.2</v>
      </c>
      <c r="D296" s="160"/>
      <c r="E296" s="32"/>
    </row>
    <row r="297" spans="1:5" x14ac:dyDescent="0.2">
      <c r="A297" s="241" t="s">
        <v>492</v>
      </c>
      <c r="B297" s="7">
        <v>0.2</v>
      </c>
      <c r="D297" s="160"/>
      <c r="E297" s="32"/>
    </row>
    <row r="298" spans="1:5" x14ac:dyDescent="0.2">
      <c r="A298" s="241" t="s">
        <v>471</v>
      </c>
      <c r="B298" s="183">
        <v>0</v>
      </c>
      <c r="D298" s="160"/>
      <c r="E298" s="32"/>
    </row>
    <row r="299" spans="1:5" x14ac:dyDescent="0.2">
      <c r="A299" s="240" t="s">
        <v>493</v>
      </c>
      <c r="B299" s="7">
        <v>0.4</v>
      </c>
      <c r="D299" s="227"/>
      <c r="E299" s="32"/>
    </row>
    <row r="300" spans="1:5" x14ac:dyDescent="0.2">
      <c r="A300" s="240" t="s">
        <v>480</v>
      </c>
      <c r="B300" s="7">
        <v>0.3</v>
      </c>
      <c r="D300" s="227"/>
      <c r="E300" s="32"/>
    </row>
    <row r="301" spans="1:5" x14ac:dyDescent="0.2">
      <c r="A301" s="241" t="s">
        <v>481</v>
      </c>
      <c r="B301" s="7">
        <v>0.2</v>
      </c>
      <c r="D301" s="160"/>
      <c r="E301" s="32"/>
    </row>
    <row r="302" spans="1:5" x14ac:dyDescent="0.2">
      <c r="A302" s="241" t="s">
        <v>494</v>
      </c>
      <c r="B302" s="7">
        <v>0.2</v>
      </c>
      <c r="D302" s="160"/>
      <c r="E302" s="32"/>
    </row>
    <row r="303" spans="1:5" x14ac:dyDescent="0.2">
      <c r="A303" s="35" t="s">
        <v>472</v>
      </c>
      <c r="B303" s="183">
        <v>0</v>
      </c>
      <c r="D303" s="160"/>
      <c r="E303" s="32"/>
    </row>
    <row r="304" spans="1:5" x14ac:dyDescent="0.2">
      <c r="A304" s="241" t="s">
        <v>495</v>
      </c>
      <c r="B304" s="7">
        <v>0.4</v>
      </c>
      <c r="D304" s="160"/>
      <c r="E304" s="32"/>
    </row>
    <row r="305" spans="1:5" x14ac:dyDescent="0.2">
      <c r="A305" s="241" t="s">
        <v>496</v>
      </c>
      <c r="B305" s="7">
        <v>0.2</v>
      </c>
      <c r="D305" s="160"/>
      <c r="E305" s="32"/>
    </row>
    <row r="306" spans="1:5" x14ac:dyDescent="0.2">
      <c r="A306" s="38" t="s">
        <v>473</v>
      </c>
      <c r="B306" s="184">
        <v>0</v>
      </c>
      <c r="D306" s="160"/>
      <c r="E306" s="32"/>
    </row>
    <row r="307" spans="1:5" x14ac:dyDescent="0.2">
      <c r="A307" s="239" t="s">
        <v>498</v>
      </c>
      <c r="B307" s="6"/>
      <c r="D307" s="160"/>
      <c r="E307" s="32"/>
    </row>
    <row r="308" spans="1:5" x14ac:dyDescent="0.2">
      <c r="A308" s="240" t="s">
        <v>474</v>
      </c>
      <c r="B308" s="7">
        <v>0.7</v>
      </c>
      <c r="D308" s="227"/>
      <c r="E308" s="32"/>
    </row>
    <row r="309" spans="1:5" x14ac:dyDescent="0.2">
      <c r="A309" s="240" t="s">
        <v>475</v>
      </c>
      <c r="B309" s="7">
        <v>0.6</v>
      </c>
      <c r="D309" s="227"/>
      <c r="E309" s="32"/>
    </row>
    <row r="310" spans="1:5" x14ac:dyDescent="0.2">
      <c r="A310" s="240" t="s">
        <v>477</v>
      </c>
      <c r="B310" s="7">
        <v>0.4</v>
      </c>
      <c r="D310" s="227"/>
      <c r="E310" s="32"/>
    </row>
    <row r="311" spans="1:5" x14ac:dyDescent="0.2">
      <c r="A311" s="240" t="s">
        <v>478</v>
      </c>
      <c r="B311" s="7">
        <v>0.3</v>
      </c>
      <c r="D311" s="227"/>
      <c r="E311" s="32"/>
    </row>
    <row r="312" spans="1:5" x14ac:dyDescent="0.2">
      <c r="A312" s="241" t="s">
        <v>479</v>
      </c>
      <c r="B312" s="7">
        <v>0.2</v>
      </c>
      <c r="D312" s="160"/>
      <c r="E312" s="32"/>
    </row>
    <row r="313" spans="1:5" x14ac:dyDescent="0.2">
      <c r="A313" s="241" t="s">
        <v>492</v>
      </c>
      <c r="B313" s="7">
        <v>0.2</v>
      </c>
      <c r="D313" s="160"/>
      <c r="E313" s="32"/>
    </row>
    <row r="314" spans="1:5" x14ac:dyDescent="0.2">
      <c r="A314" s="241" t="s">
        <v>471</v>
      </c>
      <c r="B314" s="183">
        <v>0</v>
      </c>
      <c r="D314" s="160"/>
      <c r="E314" s="32"/>
    </row>
    <row r="315" spans="1:5" x14ac:dyDescent="0.2">
      <c r="A315" s="240" t="s">
        <v>493</v>
      </c>
      <c r="B315" s="7">
        <v>0.45</v>
      </c>
      <c r="D315" s="227"/>
      <c r="E315" s="32"/>
    </row>
    <row r="316" spans="1:5" x14ac:dyDescent="0.2">
      <c r="A316" s="240" t="s">
        <v>480</v>
      </c>
      <c r="B316" s="7">
        <v>0.3</v>
      </c>
      <c r="D316" s="227"/>
      <c r="E316" s="32"/>
    </row>
    <row r="317" spans="1:5" x14ac:dyDescent="0.2">
      <c r="A317" s="241" t="s">
        <v>481</v>
      </c>
      <c r="B317" s="7">
        <v>0.2</v>
      </c>
      <c r="D317" s="160"/>
      <c r="E317" s="32"/>
    </row>
    <row r="318" spans="1:5" x14ac:dyDescent="0.2">
      <c r="A318" s="241" t="s">
        <v>494</v>
      </c>
      <c r="B318" s="7">
        <v>0.2</v>
      </c>
      <c r="D318" s="160"/>
      <c r="E318" s="32"/>
    </row>
    <row r="319" spans="1:5" x14ac:dyDescent="0.2">
      <c r="A319" s="35" t="s">
        <v>472</v>
      </c>
      <c r="B319" s="183">
        <v>0</v>
      </c>
      <c r="D319" s="160"/>
      <c r="E319" s="32"/>
    </row>
    <row r="320" spans="1:5" x14ac:dyDescent="0.2">
      <c r="A320" s="241" t="s">
        <v>495</v>
      </c>
      <c r="B320" s="7">
        <v>0.45</v>
      </c>
      <c r="D320" s="160"/>
      <c r="E320" s="32"/>
    </row>
    <row r="321" spans="1:5" x14ac:dyDescent="0.2">
      <c r="A321" s="241" t="s">
        <v>496</v>
      </c>
      <c r="B321" s="7">
        <v>0.2</v>
      </c>
      <c r="D321" s="160"/>
      <c r="E321" s="32"/>
    </row>
    <row r="322" spans="1:5" x14ac:dyDescent="0.2">
      <c r="A322" s="38" t="s">
        <v>473</v>
      </c>
      <c r="B322" s="184">
        <v>0</v>
      </c>
      <c r="D322" s="160"/>
      <c r="E322" s="32"/>
    </row>
    <row r="323" spans="1:5" x14ac:dyDescent="0.2">
      <c r="A323" s="180" t="s">
        <v>424</v>
      </c>
      <c r="B323" s="181">
        <v>0</v>
      </c>
      <c r="D323" s="227"/>
      <c r="E323" s="32"/>
    </row>
    <row r="324" spans="1:5" x14ac:dyDescent="0.2">
      <c r="D324" s="227"/>
      <c r="E324" s="32"/>
    </row>
    <row r="325" spans="1:5" x14ac:dyDescent="0.2">
      <c r="D325" s="227"/>
      <c r="E325" s="32"/>
    </row>
    <row r="326" spans="1:5" x14ac:dyDescent="0.2">
      <c r="D326" s="227"/>
      <c r="E326" s="32"/>
    </row>
    <row r="327" spans="1:5" x14ac:dyDescent="0.2">
      <c r="D327" s="160"/>
      <c r="E327" s="32"/>
    </row>
    <row r="328" spans="1:5" x14ac:dyDescent="0.2">
      <c r="D328" s="160"/>
      <c r="E328" s="32"/>
    </row>
    <row r="329" spans="1:5" x14ac:dyDescent="0.2">
      <c r="D329" s="227"/>
      <c r="E329" s="32"/>
    </row>
    <row r="330" spans="1:5" x14ac:dyDescent="0.2">
      <c r="D330" s="227"/>
      <c r="E330" s="32"/>
    </row>
    <row r="331" spans="1:5" x14ac:dyDescent="0.2">
      <c r="D331" s="160"/>
      <c r="E331" s="32"/>
    </row>
    <row r="332" spans="1:5" x14ac:dyDescent="0.2">
      <c r="D332" s="160"/>
      <c r="E332" s="32"/>
    </row>
    <row r="333" spans="1:5" x14ac:dyDescent="0.2">
      <c r="D333" s="160"/>
      <c r="E333" s="32"/>
    </row>
    <row r="334" spans="1:5" x14ac:dyDescent="0.2">
      <c r="D334" s="160"/>
      <c r="E334" s="32"/>
    </row>
    <row r="335" spans="1:5" x14ac:dyDescent="0.2">
      <c r="D335" s="227"/>
      <c r="E335" s="32"/>
    </row>
    <row r="336" spans="1:5" x14ac:dyDescent="0.2">
      <c r="D336" s="227"/>
      <c r="E336" s="32"/>
    </row>
    <row r="337" spans="4:5" x14ac:dyDescent="0.2">
      <c r="D337" s="227"/>
      <c r="E337" s="32"/>
    </row>
    <row r="338" spans="4:5" x14ac:dyDescent="0.2">
      <c r="D338" s="227"/>
      <c r="E338" s="32"/>
    </row>
    <row r="339" spans="4:5" x14ac:dyDescent="0.2">
      <c r="D339" s="160"/>
      <c r="E339" s="32"/>
    </row>
    <row r="340" spans="4:5" x14ac:dyDescent="0.2">
      <c r="D340" s="160"/>
      <c r="E340" s="32"/>
    </row>
    <row r="341" spans="4:5" x14ac:dyDescent="0.2">
      <c r="D341" s="227"/>
      <c r="E341" s="32"/>
    </row>
    <row r="342" spans="4:5" x14ac:dyDescent="0.2">
      <c r="D342" s="227"/>
      <c r="E342" s="32"/>
    </row>
    <row r="343" spans="4:5" x14ac:dyDescent="0.2">
      <c r="D343" s="160"/>
      <c r="E343" s="32"/>
    </row>
    <row r="344" spans="4:5" x14ac:dyDescent="0.2">
      <c r="D344" s="160"/>
      <c r="E344" s="32"/>
    </row>
    <row r="345" spans="4:5" x14ac:dyDescent="0.2">
      <c r="D345" s="160"/>
      <c r="E345" s="32"/>
    </row>
    <row r="346" spans="4:5" x14ac:dyDescent="0.2">
      <c r="D346" s="160"/>
      <c r="E346" s="32"/>
    </row>
    <row r="347" spans="4:5" x14ac:dyDescent="0.2">
      <c r="D347" s="237"/>
      <c r="E347" s="12"/>
    </row>
  </sheetData>
  <sheetProtection sheet="1"/>
  <mergeCells count="31">
    <mergeCell ref="C270:D270"/>
    <mergeCell ref="C252:D252"/>
    <mergeCell ref="C251:D251"/>
    <mergeCell ref="C250:D250"/>
    <mergeCell ref="C253:D253"/>
    <mergeCell ref="C255:D255"/>
    <mergeCell ref="C257:D257"/>
    <mergeCell ref="C259:D259"/>
    <mergeCell ref="C266:D266"/>
    <mergeCell ref="C267:D267"/>
    <mergeCell ref="A81:B81"/>
    <mergeCell ref="A82:A83"/>
    <mergeCell ref="B82:B83"/>
    <mergeCell ref="C82:C83"/>
    <mergeCell ref="A123:B123"/>
    <mergeCell ref="A2:H2"/>
    <mergeCell ref="A273:B273"/>
    <mergeCell ref="C262:D262"/>
    <mergeCell ref="C254:D254"/>
    <mergeCell ref="C249:D249"/>
    <mergeCell ref="C258:D258"/>
    <mergeCell ref="C263:D263"/>
    <mergeCell ref="C264:D264"/>
    <mergeCell ref="B124:B125"/>
    <mergeCell ref="C265:D265"/>
    <mergeCell ref="C260:D260"/>
    <mergeCell ref="A247:E247"/>
    <mergeCell ref="B248:D248"/>
    <mergeCell ref="C261:D261"/>
    <mergeCell ref="A131:B131"/>
    <mergeCell ref="A124:A125"/>
  </mergeCells>
  <phoneticPr fontId="2" type="noConversion"/>
  <pageMargins left="0.75" right="0.75" top="1" bottom="1" header="0.5" footer="0.5"/>
  <pageSetup orientation="portrait" r:id="rId1"/>
  <headerFooter alignWithMargins="0"/>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dimension ref="A2:AH351"/>
  <sheetViews>
    <sheetView workbookViewId="0"/>
  </sheetViews>
  <sheetFormatPr defaultRowHeight="12.75" x14ac:dyDescent="0.2"/>
  <cols>
    <col min="1" max="1" width="25.28515625" customWidth="1"/>
    <col min="2" max="2" width="23.42578125" style="58" customWidth="1"/>
    <col min="3" max="3" width="21.140625" customWidth="1"/>
    <col min="4" max="4" width="29.5703125" customWidth="1"/>
    <col min="5" max="5" width="16.5703125" customWidth="1"/>
    <col min="6" max="7" width="16" customWidth="1"/>
  </cols>
  <sheetData>
    <row r="2" spans="1:7" ht="13.5" thickBot="1" x14ac:dyDescent="0.25">
      <c r="E2" s="55"/>
    </row>
    <row r="3" spans="1:7" ht="13.5" thickBot="1" x14ac:dyDescent="0.25">
      <c r="A3" s="75" t="s">
        <v>332</v>
      </c>
      <c r="B3" s="76" t="s">
        <v>331</v>
      </c>
      <c r="C3" s="94" t="s">
        <v>338</v>
      </c>
      <c r="D3" s="94" t="s">
        <v>336</v>
      </c>
      <c r="E3" s="95" t="s">
        <v>333</v>
      </c>
      <c r="F3" s="94" t="s">
        <v>335</v>
      </c>
      <c r="G3" s="96" t="s">
        <v>334</v>
      </c>
    </row>
    <row r="4" spans="1:7" s="310" customFormat="1" x14ac:dyDescent="0.2">
      <c r="A4" s="315">
        <v>0</v>
      </c>
      <c r="B4" s="82">
        <v>0</v>
      </c>
      <c r="C4" s="85">
        <v>0</v>
      </c>
      <c r="D4" s="87">
        <v>0</v>
      </c>
      <c r="E4" s="161">
        <v>0</v>
      </c>
      <c r="F4" s="87">
        <v>0</v>
      </c>
      <c r="G4" s="85">
        <v>0</v>
      </c>
    </row>
    <row r="5" spans="1:7" x14ac:dyDescent="0.2">
      <c r="A5" s="83">
        <v>10</v>
      </c>
      <c r="B5" s="83" t="s">
        <v>340</v>
      </c>
      <c r="C5" s="86" t="s">
        <v>341</v>
      </c>
      <c r="D5" s="84">
        <v>0.47399999999999998</v>
      </c>
      <c r="E5" s="162">
        <v>0.36</v>
      </c>
      <c r="F5" s="88">
        <v>0.436</v>
      </c>
      <c r="G5" s="89"/>
    </row>
    <row r="6" spans="1:7" x14ac:dyDescent="0.2">
      <c r="A6" s="83">
        <v>20</v>
      </c>
      <c r="B6" s="83" t="s">
        <v>340</v>
      </c>
      <c r="C6" s="86" t="s">
        <v>341</v>
      </c>
      <c r="D6" s="84">
        <v>0.495</v>
      </c>
      <c r="E6" s="162">
        <v>0.38</v>
      </c>
      <c r="F6" s="88">
        <v>0.436</v>
      </c>
      <c r="G6" s="89"/>
    </row>
    <row r="7" spans="1:7" x14ac:dyDescent="0.2">
      <c r="A7" s="83">
        <v>30</v>
      </c>
      <c r="B7" s="83" t="s">
        <v>340</v>
      </c>
      <c r="C7" s="86" t="s">
        <v>341</v>
      </c>
      <c r="D7" s="84">
        <v>0.73299999999999998</v>
      </c>
      <c r="E7" s="162">
        <v>0.43</v>
      </c>
      <c r="F7" s="88">
        <v>0.436</v>
      </c>
      <c r="G7" s="89"/>
    </row>
    <row r="8" spans="1:7" x14ac:dyDescent="0.2">
      <c r="A8" s="84">
        <v>40</v>
      </c>
      <c r="B8" s="84" t="s">
        <v>340</v>
      </c>
      <c r="C8" s="86" t="s">
        <v>341</v>
      </c>
      <c r="D8" s="84">
        <v>0.871</v>
      </c>
      <c r="E8" s="162">
        <v>0.42</v>
      </c>
      <c r="F8" s="88">
        <v>0.436</v>
      </c>
      <c r="G8" s="89"/>
    </row>
    <row r="9" spans="1:7" x14ac:dyDescent="0.2">
      <c r="A9" s="84">
        <v>50</v>
      </c>
      <c r="B9" s="84" t="s">
        <v>340</v>
      </c>
      <c r="C9" s="86" t="s">
        <v>341</v>
      </c>
      <c r="D9" s="84">
        <v>0.83599999999999997</v>
      </c>
      <c r="E9" s="162">
        <v>0.5</v>
      </c>
      <c r="F9" s="88">
        <v>0.436</v>
      </c>
      <c r="G9" s="89"/>
    </row>
    <row r="10" spans="1:7" x14ac:dyDescent="0.2">
      <c r="A10" s="84">
        <v>60</v>
      </c>
      <c r="B10" s="84" t="s">
        <v>340</v>
      </c>
      <c r="C10" s="86" t="s">
        <v>341</v>
      </c>
      <c r="D10" s="84">
        <v>0.93</v>
      </c>
      <c r="E10" s="162">
        <v>0.55000000000000004</v>
      </c>
      <c r="F10" s="88">
        <v>0.436</v>
      </c>
      <c r="G10" s="89"/>
    </row>
    <row r="11" spans="1:7" x14ac:dyDescent="0.2">
      <c r="A11" s="84">
        <v>70</v>
      </c>
      <c r="B11" s="84" t="s">
        <v>340</v>
      </c>
      <c r="C11" s="86" t="s">
        <v>341</v>
      </c>
      <c r="D11" s="84">
        <v>0.94099999999999995</v>
      </c>
      <c r="E11" s="162">
        <v>0.45</v>
      </c>
      <c r="F11" s="88">
        <v>0.436</v>
      </c>
      <c r="G11" s="89"/>
    </row>
    <row r="12" spans="1:7" x14ac:dyDescent="0.2">
      <c r="A12" s="84">
        <v>80</v>
      </c>
      <c r="B12" s="84" t="s">
        <v>340</v>
      </c>
      <c r="C12" s="86" t="s">
        <v>341</v>
      </c>
      <c r="D12" s="84">
        <v>0.95099999999999996</v>
      </c>
      <c r="E12" s="162">
        <v>0.32</v>
      </c>
      <c r="F12" s="88">
        <v>0.436</v>
      </c>
      <c r="G12" s="89"/>
    </row>
    <row r="13" spans="1:7" x14ac:dyDescent="0.2">
      <c r="A13" s="84">
        <v>90</v>
      </c>
      <c r="B13" s="84" t="s">
        <v>340</v>
      </c>
      <c r="C13" s="86" t="s">
        <v>341</v>
      </c>
      <c r="D13" s="84">
        <v>0.89700000000000002</v>
      </c>
      <c r="E13" s="162">
        <v>0.45</v>
      </c>
      <c r="F13" s="88">
        <v>0.436</v>
      </c>
      <c r="G13" s="89"/>
    </row>
    <row r="14" spans="1:7" x14ac:dyDescent="0.2">
      <c r="A14" s="84">
        <v>100</v>
      </c>
      <c r="B14" s="84" t="s">
        <v>340</v>
      </c>
      <c r="C14" s="86" t="s">
        <v>341</v>
      </c>
      <c r="D14" s="84">
        <v>0.88</v>
      </c>
      <c r="E14" s="162">
        <v>0.35</v>
      </c>
      <c r="F14" s="88">
        <v>0.436</v>
      </c>
      <c r="G14" s="89"/>
    </row>
    <row r="15" spans="1:7" x14ac:dyDescent="0.2">
      <c r="A15" s="84">
        <v>110</v>
      </c>
      <c r="B15" s="84" t="s">
        <v>340</v>
      </c>
      <c r="C15" s="86" t="s">
        <v>341</v>
      </c>
      <c r="D15" s="84">
        <v>0.96099999999999997</v>
      </c>
      <c r="E15" s="162">
        <v>0.31</v>
      </c>
      <c r="F15" s="88">
        <v>0.436</v>
      </c>
      <c r="G15" s="89"/>
    </row>
    <row r="16" spans="1:7" x14ac:dyDescent="0.2">
      <c r="A16" s="84">
        <v>120</v>
      </c>
      <c r="B16" s="84" t="s">
        <v>340</v>
      </c>
      <c r="C16" s="86" t="s">
        <v>341</v>
      </c>
      <c r="D16" s="84">
        <v>0.98</v>
      </c>
      <c r="E16" s="162">
        <v>0.28999999999999998</v>
      </c>
      <c r="F16" s="88">
        <v>0.436</v>
      </c>
      <c r="G16" s="89"/>
    </row>
    <row r="17" spans="1:7" x14ac:dyDescent="0.2">
      <c r="A17" s="84">
        <v>140</v>
      </c>
      <c r="B17" s="84" t="s">
        <v>340</v>
      </c>
      <c r="C17" s="86" t="s">
        <v>341</v>
      </c>
      <c r="D17" s="84">
        <v>0.99</v>
      </c>
      <c r="E17" s="162">
        <v>0.3</v>
      </c>
      <c r="F17" s="88">
        <v>0.436</v>
      </c>
      <c r="G17" s="89"/>
    </row>
    <row r="18" spans="1:7" ht="12.75" customHeight="1" x14ac:dyDescent="0.2">
      <c r="A18" s="77">
        <v>160</v>
      </c>
      <c r="B18" s="5" t="s">
        <v>337</v>
      </c>
      <c r="C18" s="86" t="s">
        <v>341</v>
      </c>
      <c r="D18" s="78">
        <v>0.58299999999999996</v>
      </c>
      <c r="E18" s="162">
        <v>0.33</v>
      </c>
      <c r="F18" s="13">
        <v>0.67</v>
      </c>
      <c r="G18" s="57"/>
    </row>
    <row r="19" spans="1:7" ht="12.75" customHeight="1" x14ac:dyDescent="0.2">
      <c r="A19" s="77">
        <v>175</v>
      </c>
      <c r="B19" s="5" t="s">
        <v>337</v>
      </c>
      <c r="C19" s="86" t="s">
        <v>341</v>
      </c>
      <c r="D19" s="78">
        <v>0.7</v>
      </c>
      <c r="E19" s="162">
        <v>0.33</v>
      </c>
      <c r="F19" s="13">
        <v>0.67</v>
      </c>
      <c r="G19" s="57"/>
    </row>
    <row r="20" spans="1:7" ht="12.75" customHeight="1" x14ac:dyDescent="0.2">
      <c r="A20" s="77">
        <v>180</v>
      </c>
      <c r="B20" s="5" t="s">
        <v>337</v>
      </c>
      <c r="C20" s="86" t="s">
        <v>341</v>
      </c>
      <c r="D20" s="78">
        <v>0.81899999999999995</v>
      </c>
      <c r="E20" s="162">
        <v>0.34</v>
      </c>
      <c r="F20" s="13">
        <v>0.67</v>
      </c>
      <c r="G20" s="57"/>
    </row>
    <row r="21" spans="1:7" ht="12.75" customHeight="1" x14ac:dyDescent="0.2">
      <c r="A21" s="77">
        <v>210</v>
      </c>
      <c r="B21" s="4" t="s">
        <v>337</v>
      </c>
      <c r="C21" s="86" t="s">
        <v>341</v>
      </c>
      <c r="D21" s="78">
        <v>0.72</v>
      </c>
      <c r="E21" s="162">
        <v>0.46</v>
      </c>
      <c r="F21" s="13">
        <v>0.66900000000000004</v>
      </c>
      <c r="G21" s="57"/>
    </row>
    <row r="22" spans="1:7" ht="12.75" customHeight="1" x14ac:dyDescent="0.2">
      <c r="A22" s="77">
        <v>450</v>
      </c>
      <c r="B22" s="4" t="s">
        <v>340</v>
      </c>
      <c r="C22" s="92" t="s">
        <v>339</v>
      </c>
      <c r="D22" s="78">
        <v>1</v>
      </c>
      <c r="E22" s="162">
        <v>0.3</v>
      </c>
      <c r="F22" s="13">
        <v>1</v>
      </c>
      <c r="G22" s="57"/>
    </row>
    <row r="23" spans="1:7" ht="12.75" customHeight="1" x14ac:dyDescent="0.2">
      <c r="A23" s="77">
        <v>470</v>
      </c>
      <c r="B23" s="4" t="s">
        <v>340</v>
      </c>
      <c r="C23" s="92" t="s">
        <v>339</v>
      </c>
      <c r="D23" s="78">
        <v>1</v>
      </c>
      <c r="E23" s="162">
        <v>0.25</v>
      </c>
      <c r="F23" s="13">
        <v>1</v>
      </c>
      <c r="G23" s="57"/>
    </row>
    <row r="24" spans="1:7" ht="12.75" customHeight="1" x14ac:dyDescent="0.2">
      <c r="A24" s="77">
        <v>700</v>
      </c>
      <c r="B24" s="4" t="s">
        <v>340</v>
      </c>
      <c r="C24" s="86" t="s">
        <v>341</v>
      </c>
      <c r="D24" s="78">
        <v>0.7</v>
      </c>
      <c r="E24" s="162">
        <v>0.4</v>
      </c>
      <c r="F24" s="13">
        <v>0.436</v>
      </c>
      <c r="G24" s="57"/>
    </row>
    <row r="25" spans="1:7" ht="12.75" customHeight="1" x14ac:dyDescent="0.2">
      <c r="A25" s="77">
        <v>710</v>
      </c>
      <c r="B25" s="4" t="s">
        <v>340</v>
      </c>
      <c r="C25" s="86" t="s">
        <v>341</v>
      </c>
      <c r="D25" s="78">
        <v>0.97</v>
      </c>
      <c r="E25" s="162">
        <v>0.28000000000000003</v>
      </c>
      <c r="F25" s="13">
        <v>0.436</v>
      </c>
      <c r="G25" s="57"/>
    </row>
    <row r="26" spans="1:7" ht="12.75" customHeight="1" x14ac:dyDescent="0.2">
      <c r="A26" s="77">
        <v>720</v>
      </c>
      <c r="B26" s="4" t="s">
        <v>340</v>
      </c>
      <c r="C26" s="86" t="s">
        <v>341</v>
      </c>
      <c r="D26" s="78">
        <v>0.89100000000000001</v>
      </c>
      <c r="E26" s="162">
        <v>0.27</v>
      </c>
      <c r="F26" s="13">
        <v>0.436</v>
      </c>
      <c r="G26" s="57"/>
    </row>
    <row r="27" spans="1:7" ht="12.75" customHeight="1" x14ac:dyDescent="0.2">
      <c r="A27" s="77">
        <v>730</v>
      </c>
      <c r="B27" s="5" t="s">
        <v>337</v>
      </c>
      <c r="C27" s="86" t="s">
        <v>341</v>
      </c>
      <c r="D27" s="78">
        <v>0.68300000000000005</v>
      </c>
      <c r="E27" s="162">
        <v>0.23</v>
      </c>
      <c r="F27" s="13">
        <v>0.67</v>
      </c>
      <c r="G27" s="57"/>
    </row>
    <row r="28" spans="1:7" ht="12.75" customHeight="1" x14ac:dyDescent="0.2">
      <c r="A28" s="77">
        <v>740</v>
      </c>
      <c r="B28" s="5" t="s">
        <v>337</v>
      </c>
      <c r="C28" s="86" t="s">
        <v>341</v>
      </c>
      <c r="D28" s="78">
        <v>0.749</v>
      </c>
      <c r="E28" s="162">
        <v>0.21</v>
      </c>
      <c r="F28" s="13">
        <v>0.67</v>
      </c>
      <c r="G28" s="57"/>
    </row>
    <row r="29" spans="1:7" ht="12.75" customHeight="1" x14ac:dyDescent="0.2">
      <c r="A29" s="77">
        <v>750</v>
      </c>
      <c r="B29" s="5" t="s">
        <v>337</v>
      </c>
      <c r="C29" s="86" t="s">
        <v>341</v>
      </c>
      <c r="D29" s="78">
        <v>0.627</v>
      </c>
      <c r="E29" s="162">
        <v>0.47</v>
      </c>
      <c r="F29" s="13">
        <v>0.67</v>
      </c>
      <c r="G29" s="57"/>
    </row>
    <row r="30" spans="1:7" ht="12.75" customHeight="1" thickBot="1" x14ac:dyDescent="0.25">
      <c r="A30" s="79">
        <v>800</v>
      </c>
      <c r="B30" s="80" t="s">
        <v>340</v>
      </c>
      <c r="C30" s="93" t="s">
        <v>339</v>
      </c>
      <c r="D30" s="81">
        <v>1</v>
      </c>
      <c r="E30" s="163">
        <v>0.48</v>
      </c>
      <c r="F30" s="90">
        <v>1</v>
      </c>
      <c r="G30" s="56"/>
    </row>
    <row r="32" spans="1:7" x14ac:dyDescent="0.2">
      <c r="A32" s="392"/>
      <c r="B32" s="393" t="s">
        <v>782</v>
      </c>
      <c r="C32" s="5"/>
      <c r="D32" s="333"/>
      <c r="E32" s="333"/>
      <c r="F32" s="333"/>
      <c r="G32" s="328"/>
    </row>
    <row r="33" spans="1:7" ht="15" x14ac:dyDescent="0.25">
      <c r="A33" s="558" t="s">
        <v>323</v>
      </c>
      <c r="B33" s="501"/>
      <c r="C33" s="501"/>
      <c r="D33" s="501"/>
      <c r="E33" s="501"/>
      <c r="F33" s="502"/>
      <c r="G33" s="201"/>
    </row>
    <row r="34" spans="1:7" ht="12.75" customHeight="1" x14ac:dyDescent="0.2">
      <c r="A34" s="591" t="s">
        <v>299</v>
      </c>
      <c r="B34" s="587" t="s">
        <v>577</v>
      </c>
      <c r="C34" s="591" t="s">
        <v>386</v>
      </c>
      <c r="D34" s="589" t="s">
        <v>573</v>
      </c>
      <c r="E34" s="589" t="s">
        <v>574</v>
      </c>
      <c r="F34" s="589" t="s">
        <v>575</v>
      </c>
      <c r="G34" s="201"/>
    </row>
    <row r="35" spans="1:7" ht="26.25" customHeight="1" thickBot="1" x14ac:dyDescent="0.25">
      <c r="A35" s="592"/>
      <c r="B35" s="588"/>
      <c r="C35" s="592"/>
      <c r="D35" s="590"/>
      <c r="E35" s="590"/>
      <c r="F35" s="590"/>
      <c r="G35" s="201"/>
    </row>
    <row r="36" spans="1:7" x14ac:dyDescent="0.2">
      <c r="A36" s="306"/>
      <c r="B36" s="307"/>
      <c r="C36" s="207">
        <v>0</v>
      </c>
      <c r="D36" s="208">
        <v>0</v>
      </c>
      <c r="E36" s="304"/>
      <c r="F36" s="304"/>
      <c r="G36" s="201"/>
    </row>
    <row r="37" spans="1:7" x14ac:dyDescent="0.2">
      <c r="A37" s="308"/>
      <c r="B37" s="309"/>
      <c r="C37" s="283" t="s">
        <v>296</v>
      </c>
      <c r="D37" s="284">
        <v>0</v>
      </c>
      <c r="E37" s="305"/>
      <c r="F37" s="305"/>
      <c r="G37" s="201"/>
    </row>
    <row r="38" spans="1:7" s="97" customFormat="1" ht="25.5" customHeight="1" x14ac:dyDescent="0.2">
      <c r="A38" s="297" t="s">
        <v>517</v>
      </c>
      <c r="B38" s="298"/>
      <c r="C38" s="299" t="s">
        <v>390</v>
      </c>
      <c r="D38" s="300">
        <v>0.08</v>
      </c>
      <c r="E38" s="300">
        <v>0.15</v>
      </c>
      <c r="F38" s="300">
        <v>0.25</v>
      </c>
      <c r="G38" s="202"/>
    </row>
    <row r="39" spans="1:7" ht="25.5" x14ac:dyDescent="0.2">
      <c r="A39" s="301" t="s">
        <v>391</v>
      </c>
      <c r="B39" s="302"/>
      <c r="C39" s="303" t="s">
        <v>391</v>
      </c>
      <c r="D39" s="260">
        <v>0.03</v>
      </c>
      <c r="E39" s="260">
        <v>0.05</v>
      </c>
      <c r="F39" s="260">
        <v>0.08</v>
      </c>
      <c r="G39" s="201"/>
    </row>
    <row r="40" spans="1:7" ht="25.5" x14ac:dyDescent="0.2">
      <c r="A40" s="301" t="s">
        <v>311</v>
      </c>
      <c r="B40" s="302"/>
      <c r="C40" s="303" t="s">
        <v>311</v>
      </c>
      <c r="D40" s="260">
        <v>0.05</v>
      </c>
      <c r="E40" s="260">
        <v>0.1</v>
      </c>
      <c r="F40" s="260">
        <v>0.14000000000000001</v>
      </c>
      <c r="G40" s="201"/>
    </row>
    <row r="41" spans="1:7" ht="25.5" customHeight="1" x14ac:dyDescent="0.2">
      <c r="A41" s="69" t="s">
        <v>518</v>
      </c>
      <c r="B41" s="91" t="s">
        <v>312</v>
      </c>
      <c r="C41" s="145" t="str">
        <f>CONCATENATE(A41, B41)</f>
        <v>Cereal Cover CropEarly-Planting - Up to 7 days prior to published first frost date</v>
      </c>
      <c r="D41" s="71">
        <v>0.45</v>
      </c>
      <c r="E41" s="71">
        <v>0.15</v>
      </c>
      <c r="F41" s="71">
        <v>0.2</v>
      </c>
      <c r="G41" s="203"/>
    </row>
    <row r="42" spans="1:7" ht="22.5" x14ac:dyDescent="0.2">
      <c r="A42" s="69" t="s">
        <v>518</v>
      </c>
      <c r="B42" s="91" t="s">
        <v>590</v>
      </c>
      <c r="C42" s="145" t="str">
        <f>CONCATENATE(A42, B42)</f>
        <v>Cereal Cover CropLate-Planting - Up to 7 days after published first frost date</v>
      </c>
      <c r="D42" s="71">
        <v>0.3</v>
      </c>
      <c r="E42" s="71">
        <v>7.0000000000000007E-2</v>
      </c>
      <c r="F42" s="71">
        <v>0.1</v>
      </c>
      <c r="G42" s="203"/>
    </row>
    <row r="43" spans="1:7" ht="25.5" customHeight="1" x14ac:dyDescent="0.2">
      <c r="A43" s="69" t="s">
        <v>519</v>
      </c>
      <c r="B43" s="91" t="s">
        <v>312</v>
      </c>
      <c r="C43" s="145" t="str">
        <f>CONCATENATE(A43, B43)</f>
        <v>Commodity Cereal Cover CropEarly-Planting - Up to 7 days prior to published first frost date</v>
      </c>
      <c r="D43" s="71">
        <v>0.25</v>
      </c>
      <c r="E43" s="71">
        <v>0</v>
      </c>
      <c r="F43" s="71">
        <v>0</v>
      </c>
      <c r="G43" s="201"/>
    </row>
    <row r="44" spans="1:7" ht="25.5" customHeight="1" x14ac:dyDescent="0.2">
      <c r="A44" s="69" t="s">
        <v>519</v>
      </c>
      <c r="B44" s="91" t="s">
        <v>590</v>
      </c>
      <c r="C44" s="145" t="str">
        <f>CONCATENATE(A44, B44)</f>
        <v>Commodity Cereal Cover CropLate-Planting - Up to 7 days after published first frost date</v>
      </c>
      <c r="D44" s="71">
        <v>0.17</v>
      </c>
      <c r="E44" s="71">
        <v>0</v>
      </c>
      <c r="F44" s="71">
        <v>0</v>
      </c>
      <c r="G44" s="201"/>
    </row>
    <row r="45" spans="1:7" ht="25.5" x14ac:dyDescent="0.2">
      <c r="A45" s="69" t="s">
        <v>313</v>
      </c>
      <c r="B45" s="70"/>
      <c r="C45" s="61" t="s">
        <v>313</v>
      </c>
      <c r="D45" s="71">
        <v>0.6</v>
      </c>
      <c r="E45" s="71">
        <v>0.6</v>
      </c>
      <c r="F45" s="71">
        <v>0.75</v>
      </c>
      <c r="G45" s="201"/>
    </row>
    <row r="46" spans="1:7" ht="25.5" x14ac:dyDescent="0.2">
      <c r="A46" s="69" t="s">
        <v>314</v>
      </c>
      <c r="B46" s="70"/>
      <c r="C46" s="61" t="s">
        <v>314</v>
      </c>
      <c r="D46" s="71">
        <v>0.3</v>
      </c>
      <c r="E46" s="71">
        <v>0.3</v>
      </c>
      <c r="F46" s="71">
        <v>0.38</v>
      </c>
      <c r="G46" s="201"/>
    </row>
    <row r="47" spans="1:7" ht="38.25" x14ac:dyDescent="0.2">
      <c r="A47" s="69" t="s">
        <v>319</v>
      </c>
      <c r="B47" s="70"/>
      <c r="C47" s="61" t="s">
        <v>319</v>
      </c>
      <c r="D47" s="71">
        <v>0.2</v>
      </c>
      <c r="E47" s="71">
        <v>0.2</v>
      </c>
      <c r="F47" s="71">
        <v>0.4</v>
      </c>
      <c r="G47" s="201"/>
    </row>
    <row r="48" spans="1:7" x14ac:dyDescent="0.2">
      <c r="A48" s="61" t="s">
        <v>857</v>
      </c>
      <c r="B48" s="59" t="s">
        <v>316</v>
      </c>
      <c r="C48" s="145" t="str">
        <f>CONCATENATE(A48, B48)</f>
        <v>Continuous No-Till*Below Fall Line</v>
      </c>
      <c r="D48" s="60">
        <v>0.1</v>
      </c>
      <c r="E48" s="60">
        <v>0.2</v>
      </c>
      <c r="F48" s="60">
        <v>0.7</v>
      </c>
      <c r="G48" s="201"/>
    </row>
    <row r="49" spans="1:7" x14ac:dyDescent="0.2">
      <c r="A49" s="61" t="s">
        <v>857</v>
      </c>
      <c r="B49" s="59" t="s">
        <v>317</v>
      </c>
      <c r="C49" s="145" t="str">
        <f>CONCATENATE(A49, B49)</f>
        <v>Continuous No-Till*Above Fall Line</v>
      </c>
      <c r="D49" s="60">
        <v>0.15</v>
      </c>
      <c r="E49" s="60">
        <v>0.4</v>
      </c>
      <c r="F49" s="60">
        <v>0.7</v>
      </c>
      <c r="G49" s="201"/>
    </row>
    <row r="50" spans="1:7" x14ac:dyDescent="0.2">
      <c r="A50" s="61" t="s">
        <v>856</v>
      </c>
      <c r="B50" s="59" t="s">
        <v>316</v>
      </c>
      <c r="C50" s="145" t="str">
        <f>CONCATENATE(A50, B50)</f>
        <v>Continuous No-TillBelow Fall Line</v>
      </c>
      <c r="D50" s="60">
        <v>0.1</v>
      </c>
      <c r="E50" s="60">
        <v>0.2</v>
      </c>
      <c r="F50" s="60">
        <v>0.7</v>
      </c>
      <c r="G50" s="201"/>
    </row>
    <row r="51" spans="1:7" x14ac:dyDescent="0.2">
      <c r="A51" s="61" t="s">
        <v>856</v>
      </c>
      <c r="B51" s="59" t="s">
        <v>317</v>
      </c>
      <c r="C51" s="145" t="str">
        <f>CONCATENATE(A51, B51)</f>
        <v>Continuous No-TillAbove Fall Line</v>
      </c>
      <c r="D51" s="60">
        <v>0.15</v>
      </c>
      <c r="E51" s="60">
        <v>0.4</v>
      </c>
      <c r="F51" s="60">
        <v>0.7</v>
      </c>
      <c r="G51" s="201"/>
    </row>
    <row r="52" spans="1:7" x14ac:dyDescent="0.2">
      <c r="A52" s="72" t="s">
        <v>392</v>
      </c>
      <c r="B52" s="73"/>
      <c r="C52" s="72" t="s">
        <v>392</v>
      </c>
      <c r="D52" s="67">
        <v>0.33</v>
      </c>
      <c r="E52" s="73"/>
      <c r="F52" s="73"/>
      <c r="G52" s="201"/>
    </row>
    <row r="53" spans="1:7" x14ac:dyDescent="0.2">
      <c r="A53" s="69" t="s">
        <v>324</v>
      </c>
      <c r="B53" s="74"/>
      <c r="C53" s="61" t="s">
        <v>324</v>
      </c>
      <c r="D53" s="71">
        <v>0.25</v>
      </c>
      <c r="E53" s="71">
        <v>0.25</v>
      </c>
      <c r="F53" s="71">
        <v>0.25</v>
      </c>
      <c r="G53" s="201"/>
    </row>
    <row r="54" spans="1:7" x14ac:dyDescent="0.2">
      <c r="A54" s="258" t="s">
        <v>393</v>
      </c>
      <c r="B54" s="340"/>
      <c r="C54" s="341" t="s">
        <v>325</v>
      </c>
      <c r="D54" s="260">
        <v>0.14000000000000001</v>
      </c>
      <c r="E54" s="260">
        <v>0.14000000000000001</v>
      </c>
      <c r="F54" s="259" t="s">
        <v>315</v>
      </c>
      <c r="G54" s="204"/>
    </row>
    <row r="55" spans="1:7" x14ac:dyDescent="0.2">
      <c r="A55" s="69" t="s">
        <v>326</v>
      </c>
      <c r="B55" s="74"/>
      <c r="C55" s="61" t="s">
        <v>326</v>
      </c>
      <c r="D55" s="71">
        <v>0.2</v>
      </c>
      <c r="E55" s="71">
        <v>0.2</v>
      </c>
      <c r="F55" s="71">
        <v>0.4</v>
      </c>
      <c r="G55" s="204"/>
    </row>
    <row r="56" spans="1:7" x14ac:dyDescent="0.2">
      <c r="A56" s="61" t="s">
        <v>394</v>
      </c>
      <c r="B56" s="74"/>
      <c r="C56" s="61" t="s">
        <v>394</v>
      </c>
      <c r="D56" s="66">
        <v>2.5999999999999999E-2</v>
      </c>
      <c r="E56" s="66" t="s">
        <v>327</v>
      </c>
      <c r="F56" s="66" t="s">
        <v>328</v>
      </c>
      <c r="G56" s="201"/>
    </row>
    <row r="57" spans="1:7" x14ac:dyDescent="0.2">
      <c r="A57" s="61" t="s">
        <v>395</v>
      </c>
      <c r="B57" s="74"/>
      <c r="C57" s="61" t="s">
        <v>395</v>
      </c>
      <c r="D57" s="66">
        <v>0.02</v>
      </c>
      <c r="E57" s="66" t="s">
        <v>329</v>
      </c>
      <c r="F57" s="66" t="s">
        <v>330</v>
      </c>
      <c r="G57" s="201"/>
    </row>
    <row r="58" spans="1:7" x14ac:dyDescent="0.2">
      <c r="G58" s="5"/>
    </row>
    <row r="59" spans="1:7" x14ac:dyDescent="0.2">
      <c r="B59" s="296"/>
    </row>
    <row r="60" spans="1:7" ht="15" x14ac:dyDescent="0.25">
      <c r="A60" s="558" t="s">
        <v>744</v>
      </c>
      <c r="B60" s="501"/>
      <c r="C60" s="501"/>
      <c r="D60" s="501"/>
      <c r="E60" s="501"/>
      <c r="F60" s="502"/>
    </row>
    <row r="61" spans="1:7" ht="25.5" x14ac:dyDescent="0.2">
      <c r="A61" s="597" t="s">
        <v>299</v>
      </c>
      <c r="B61" s="600" t="s">
        <v>402</v>
      </c>
      <c r="C61" s="595" t="s">
        <v>387</v>
      </c>
      <c r="D61" s="62" t="s">
        <v>573</v>
      </c>
      <c r="E61" s="62" t="s">
        <v>574</v>
      </c>
      <c r="F61" s="62" t="s">
        <v>575</v>
      </c>
      <c r="G61" s="199"/>
    </row>
    <row r="62" spans="1:7" x14ac:dyDescent="0.2">
      <c r="A62" s="598"/>
      <c r="B62" s="598"/>
      <c r="C62" s="595"/>
      <c r="D62" s="63" t="s">
        <v>320</v>
      </c>
      <c r="E62" s="63" t="s">
        <v>320</v>
      </c>
      <c r="F62" s="63" t="s">
        <v>320</v>
      </c>
      <c r="G62" s="200"/>
    </row>
    <row r="63" spans="1:7" x14ac:dyDescent="0.2">
      <c r="A63" s="598"/>
      <c r="B63" s="598"/>
      <c r="C63" s="595"/>
      <c r="D63" s="64" t="s">
        <v>300</v>
      </c>
      <c r="E63" s="64" t="s">
        <v>300</v>
      </c>
      <c r="F63" s="64" t="s">
        <v>300</v>
      </c>
      <c r="G63" s="200"/>
    </row>
    <row r="64" spans="1:7" ht="13.5" thickBot="1" x14ac:dyDescent="0.25">
      <c r="A64" s="599"/>
      <c r="B64" s="599"/>
      <c r="C64" s="596"/>
      <c r="D64" s="65" t="s">
        <v>321</v>
      </c>
      <c r="E64" s="65" t="s">
        <v>322</v>
      </c>
      <c r="F64" s="65" t="s">
        <v>322</v>
      </c>
      <c r="G64" s="200"/>
    </row>
    <row r="65" spans="1:7" ht="13.5" thickBot="1" x14ac:dyDescent="0.25">
      <c r="A65" s="164" t="s">
        <v>318</v>
      </c>
      <c r="B65" s="171">
        <v>10</v>
      </c>
      <c r="C65" s="165" t="str">
        <f>CONCATENATE(B65,A65)</f>
        <v>10Wetland Restoration</v>
      </c>
      <c r="D65" s="166">
        <v>0.6</v>
      </c>
      <c r="E65" s="166">
        <v>0.6</v>
      </c>
      <c r="F65" s="166">
        <v>0.6</v>
      </c>
      <c r="G65" s="201"/>
    </row>
    <row r="66" spans="1:7" ht="13.5" thickBot="1" x14ac:dyDescent="0.25">
      <c r="A66" s="167" t="s">
        <v>318</v>
      </c>
      <c r="B66" s="172">
        <v>20</v>
      </c>
      <c r="C66" s="165" t="str">
        <f t="shared" ref="C66:C129" si="0">CONCATENATE(B66,A66)</f>
        <v>20Wetland Restoration</v>
      </c>
      <c r="D66" s="60">
        <v>0.6</v>
      </c>
      <c r="E66" s="60">
        <v>0.6</v>
      </c>
      <c r="F66" s="60">
        <v>0.6</v>
      </c>
      <c r="G66" s="201"/>
    </row>
    <row r="67" spans="1:7" ht="13.5" thickBot="1" x14ac:dyDescent="0.25">
      <c r="A67" s="167" t="s">
        <v>318</v>
      </c>
      <c r="B67" s="172">
        <v>30</v>
      </c>
      <c r="C67" s="165" t="str">
        <f t="shared" si="0"/>
        <v>30Wetland Restoration</v>
      </c>
      <c r="D67" s="60">
        <v>0.6</v>
      </c>
      <c r="E67" s="60">
        <v>0.6</v>
      </c>
      <c r="F67" s="60">
        <v>0.6</v>
      </c>
      <c r="G67" s="201"/>
    </row>
    <row r="68" spans="1:7" ht="13.5" thickBot="1" x14ac:dyDescent="0.25">
      <c r="A68" s="167" t="s">
        <v>318</v>
      </c>
      <c r="B68" s="173">
        <v>40</v>
      </c>
      <c r="C68" s="165" t="str">
        <f t="shared" si="0"/>
        <v>40Wetland Restoration</v>
      </c>
      <c r="D68" s="60">
        <v>0.55000000000000004</v>
      </c>
      <c r="E68" s="60">
        <v>0.65</v>
      </c>
      <c r="F68" s="60">
        <v>0.65</v>
      </c>
      <c r="G68" s="201"/>
    </row>
    <row r="69" spans="1:7" ht="13.5" thickBot="1" x14ac:dyDescent="0.25">
      <c r="A69" s="167" t="s">
        <v>318</v>
      </c>
      <c r="B69" s="173">
        <v>50</v>
      </c>
      <c r="C69" s="165" t="str">
        <f t="shared" si="0"/>
        <v>50Wetland Restoration</v>
      </c>
      <c r="D69" s="60">
        <v>0.6</v>
      </c>
      <c r="E69" s="60">
        <v>0.6</v>
      </c>
      <c r="F69" s="60">
        <v>0.6</v>
      </c>
      <c r="G69" s="201"/>
    </row>
    <row r="70" spans="1:7" ht="13.5" thickBot="1" x14ac:dyDescent="0.25">
      <c r="A70" s="167" t="s">
        <v>318</v>
      </c>
      <c r="B70" s="173">
        <v>60</v>
      </c>
      <c r="C70" s="165" t="str">
        <f t="shared" si="0"/>
        <v>60Wetland Restoration</v>
      </c>
      <c r="D70" s="60">
        <v>0.6</v>
      </c>
      <c r="E70" s="60">
        <v>0.6</v>
      </c>
      <c r="F70" s="60">
        <v>0.6</v>
      </c>
      <c r="G70" s="201"/>
    </row>
    <row r="71" spans="1:7" ht="13.5" thickBot="1" x14ac:dyDescent="0.25">
      <c r="A71" s="167" t="s">
        <v>318</v>
      </c>
      <c r="B71" s="173">
        <v>70</v>
      </c>
      <c r="C71" s="165" t="str">
        <f t="shared" si="0"/>
        <v>70Wetland Restoration</v>
      </c>
      <c r="D71" s="60">
        <v>0.55000000000000004</v>
      </c>
      <c r="E71" s="60">
        <v>0.65</v>
      </c>
      <c r="F71" s="60">
        <v>0.65</v>
      </c>
      <c r="G71" s="201"/>
    </row>
    <row r="72" spans="1:7" ht="13.5" thickBot="1" x14ac:dyDescent="0.25">
      <c r="A72" s="167" t="s">
        <v>318</v>
      </c>
      <c r="B72" s="173">
        <v>80</v>
      </c>
      <c r="C72" s="165" t="str">
        <f t="shared" si="0"/>
        <v>80Wetland Restoration</v>
      </c>
      <c r="D72" s="60">
        <v>0.55000000000000004</v>
      </c>
      <c r="E72" s="60">
        <v>0.65</v>
      </c>
      <c r="F72" s="60">
        <v>0.65</v>
      </c>
      <c r="G72" s="201"/>
    </row>
    <row r="73" spans="1:7" ht="13.5" thickBot="1" x14ac:dyDescent="0.25">
      <c r="A73" s="167" t="s">
        <v>318</v>
      </c>
      <c r="B73" s="173">
        <v>90</v>
      </c>
      <c r="C73" s="165" t="str">
        <f t="shared" si="0"/>
        <v>90Wetland Restoration</v>
      </c>
      <c r="D73" s="60">
        <v>0.55000000000000004</v>
      </c>
      <c r="E73" s="60">
        <v>0.65</v>
      </c>
      <c r="F73" s="60">
        <v>0.65</v>
      </c>
      <c r="G73" s="201"/>
    </row>
    <row r="74" spans="1:7" ht="13.5" thickBot="1" x14ac:dyDescent="0.25">
      <c r="A74" s="167" t="s">
        <v>318</v>
      </c>
      <c r="B74" s="173">
        <v>100</v>
      </c>
      <c r="C74" s="165" t="str">
        <f t="shared" si="0"/>
        <v>100Wetland Restoration</v>
      </c>
      <c r="D74" s="60">
        <v>0.55000000000000004</v>
      </c>
      <c r="E74" s="60">
        <v>0.65</v>
      </c>
      <c r="F74" s="60">
        <v>0.65</v>
      </c>
      <c r="G74" s="201"/>
    </row>
    <row r="75" spans="1:7" ht="13.5" thickBot="1" x14ac:dyDescent="0.25">
      <c r="A75" s="167" t="s">
        <v>318</v>
      </c>
      <c r="B75" s="173">
        <v>110</v>
      </c>
      <c r="C75" s="165" t="str">
        <f t="shared" si="0"/>
        <v>110Wetland Restoration</v>
      </c>
      <c r="D75" s="60">
        <v>0.7</v>
      </c>
      <c r="E75" s="60">
        <v>0.7</v>
      </c>
      <c r="F75" s="60">
        <v>0.7</v>
      </c>
      <c r="G75" s="201"/>
    </row>
    <row r="76" spans="1:7" ht="13.5" thickBot="1" x14ac:dyDescent="0.25">
      <c r="A76" s="167" t="s">
        <v>318</v>
      </c>
      <c r="B76" s="173">
        <v>120</v>
      </c>
      <c r="C76" s="165" t="str">
        <f t="shared" si="0"/>
        <v>120Wetland Restoration</v>
      </c>
      <c r="D76" s="60">
        <v>0.6</v>
      </c>
      <c r="E76" s="60">
        <v>0.6</v>
      </c>
      <c r="F76" s="60">
        <v>0.6</v>
      </c>
      <c r="G76" s="201"/>
    </row>
    <row r="77" spans="1:7" ht="13.5" thickBot="1" x14ac:dyDescent="0.25">
      <c r="A77" s="167" t="s">
        <v>318</v>
      </c>
      <c r="B77" s="173">
        <v>140</v>
      </c>
      <c r="C77" s="165" t="str">
        <f t="shared" si="0"/>
        <v>140Wetland Restoration</v>
      </c>
      <c r="D77" s="60">
        <v>0.6</v>
      </c>
      <c r="E77" s="60">
        <v>0.6</v>
      </c>
      <c r="F77" s="60">
        <v>0.6</v>
      </c>
      <c r="G77" s="201"/>
    </row>
    <row r="78" spans="1:7" ht="13.5" thickBot="1" x14ac:dyDescent="0.25">
      <c r="A78" s="167" t="s">
        <v>318</v>
      </c>
      <c r="B78" s="174">
        <v>160</v>
      </c>
      <c r="C78" s="165" t="str">
        <f t="shared" si="0"/>
        <v>160Wetland Restoration</v>
      </c>
      <c r="D78" s="60">
        <v>0.6</v>
      </c>
      <c r="E78" s="60">
        <v>0.6</v>
      </c>
      <c r="F78" s="60">
        <v>0.6</v>
      </c>
      <c r="G78" s="201"/>
    </row>
    <row r="79" spans="1:7" ht="13.5" thickBot="1" x14ac:dyDescent="0.25">
      <c r="A79" s="167" t="s">
        <v>318</v>
      </c>
      <c r="B79" s="174">
        <v>175</v>
      </c>
      <c r="C79" s="165" t="str">
        <f t="shared" si="0"/>
        <v>175Wetland Restoration</v>
      </c>
      <c r="D79" s="60">
        <v>0.55000000000000004</v>
      </c>
      <c r="E79" s="60">
        <v>0.65</v>
      </c>
      <c r="F79" s="60">
        <v>0.65</v>
      </c>
      <c r="G79" s="201"/>
    </row>
    <row r="80" spans="1:7" ht="13.5" thickBot="1" x14ac:dyDescent="0.25">
      <c r="A80" s="167" t="s">
        <v>318</v>
      </c>
      <c r="B80" s="174">
        <v>180</v>
      </c>
      <c r="C80" s="165" t="str">
        <f t="shared" si="0"/>
        <v>180Wetland Restoration</v>
      </c>
      <c r="D80" s="60">
        <v>0.45</v>
      </c>
      <c r="E80" s="60">
        <v>0.5</v>
      </c>
      <c r="F80" s="60">
        <v>0.5</v>
      </c>
      <c r="G80" s="201"/>
    </row>
    <row r="81" spans="1:7" ht="13.5" thickBot="1" x14ac:dyDescent="0.25">
      <c r="A81" s="167" t="s">
        <v>318</v>
      </c>
      <c r="B81" s="174">
        <v>210</v>
      </c>
      <c r="C81" s="165" t="str">
        <f t="shared" si="0"/>
        <v>210Wetland Restoration</v>
      </c>
      <c r="D81" s="60">
        <v>0.45</v>
      </c>
      <c r="E81" s="60">
        <v>0.5</v>
      </c>
      <c r="F81" s="60">
        <v>0.5</v>
      </c>
      <c r="G81" s="201"/>
    </row>
    <row r="82" spans="1:7" ht="13.5" thickBot="1" x14ac:dyDescent="0.25">
      <c r="A82" s="167" t="s">
        <v>318</v>
      </c>
      <c r="B82" s="174">
        <v>450</v>
      </c>
      <c r="C82" s="165" t="str">
        <f t="shared" si="0"/>
        <v>450Wetland Restoration</v>
      </c>
      <c r="D82" s="60">
        <v>0.6</v>
      </c>
      <c r="E82" s="60">
        <v>0.6</v>
      </c>
      <c r="F82" s="60">
        <v>0.6</v>
      </c>
      <c r="G82" s="201"/>
    </row>
    <row r="83" spans="1:7" ht="13.5" thickBot="1" x14ac:dyDescent="0.25">
      <c r="A83" s="167" t="s">
        <v>318</v>
      </c>
      <c r="B83" s="174">
        <v>470</v>
      </c>
      <c r="C83" s="165" t="str">
        <f t="shared" si="0"/>
        <v>470Wetland Restoration</v>
      </c>
      <c r="D83" s="60">
        <v>0.6</v>
      </c>
      <c r="E83" s="60">
        <v>0.6</v>
      </c>
      <c r="F83" s="60">
        <v>0.6</v>
      </c>
      <c r="G83" s="201"/>
    </row>
    <row r="84" spans="1:7" ht="13.5" thickBot="1" x14ac:dyDescent="0.25">
      <c r="A84" s="167" t="s">
        <v>318</v>
      </c>
      <c r="B84" s="174">
        <v>700</v>
      </c>
      <c r="C84" s="165" t="str">
        <f t="shared" si="0"/>
        <v>700Wetland Restoration</v>
      </c>
      <c r="D84" s="60">
        <v>0.6</v>
      </c>
      <c r="E84" s="60">
        <v>0.6</v>
      </c>
      <c r="F84" s="60">
        <v>0.6</v>
      </c>
      <c r="G84" s="201"/>
    </row>
    <row r="85" spans="1:7" ht="13.5" thickBot="1" x14ac:dyDescent="0.25">
      <c r="A85" s="167" t="s">
        <v>318</v>
      </c>
      <c r="B85" s="174">
        <v>710</v>
      </c>
      <c r="C85" s="165" t="str">
        <f t="shared" si="0"/>
        <v>710Wetland Restoration</v>
      </c>
      <c r="D85" s="60">
        <v>0.6</v>
      </c>
      <c r="E85" s="60">
        <v>0.6</v>
      </c>
      <c r="F85" s="60">
        <v>0.6</v>
      </c>
      <c r="G85" s="201"/>
    </row>
    <row r="86" spans="1:7" ht="13.5" thickBot="1" x14ac:dyDescent="0.25">
      <c r="A86" s="167" t="s">
        <v>318</v>
      </c>
      <c r="B86" s="174">
        <v>720</v>
      </c>
      <c r="C86" s="165" t="str">
        <f t="shared" si="0"/>
        <v>720Wetland Restoration</v>
      </c>
      <c r="D86" s="60">
        <v>0.45</v>
      </c>
      <c r="E86" s="60">
        <v>0.5</v>
      </c>
      <c r="F86" s="60">
        <v>0.5</v>
      </c>
      <c r="G86" s="201"/>
    </row>
    <row r="87" spans="1:7" ht="13.5" thickBot="1" x14ac:dyDescent="0.25">
      <c r="A87" s="167" t="s">
        <v>318</v>
      </c>
      <c r="B87" s="174">
        <v>730</v>
      </c>
      <c r="C87" s="165" t="str">
        <f t="shared" si="0"/>
        <v>730Wetland Restoration</v>
      </c>
      <c r="D87" s="60">
        <v>0.55000000000000004</v>
      </c>
      <c r="E87" s="60">
        <v>0.65</v>
      </c>
      <c r="F87" s="60">
        <v>0.65</v>
      </c>
      <c r="G87" s="201"/>
    </row>
    <row r="88" spans="1:7" ht="13.5" thickBot="1" x14ac:dyDescent="0.25">
      <c r="A88" s="167" t="s">
        <v>318</v>
      </c>
      <c r="B88" s="174">
        <v>740</v>
      </c>
      <c r="C88" s="165" t="str">
        <f t="shared" si="0"/>
        <v>740Wetland Restoration</v>
      </c>
      <c r="D88" s="60">
        <v>0.55000000000000004</v>
      </c>
      <c r="E88" s="60">
        <v>0.65</v>
      </c>
      <c r="F88" s="60">
        <v>0.65</v>
      </c>
      <c r="G88" s="201"/>
    </row>
    <row r="89" spans="1:7" ht="13.5" thickBot="1" x14ac:dyDescent="0.25">
      <c r="A89" s="167" t="s">
        <v>318</v>
      </c>
      <c r="B89" s="174">
        <v>750</v>
      </c>
      <c r="C89" s="165" t="str">
        <f t="shared" si="0"/>
        <v>750Wetland Restoration</v>
      </c>
      <c r="D89" s="60">
        <v>0.7</v>
      </c>
      <c r="E89" s="60">
        <v>0.7</v>
      </c>
      <c r="F89" s="60">
        <v>0.7</v>
      </c>
      <c r="G89" s="201"/>
    </row>
    <row r="90" spans="1:7" ht="13.5" thickBot="1" x14ac:dyDescent="0.25">
      <c r="A90" s="168" t="s">
        <v>318</v>
      </c>
      <c r="B90" s="175">
        <v>800</v>
      </c>
      <c r="C90" s="165" t="str">
        <f t="shared" si="0"/>
        <v>800Wetland Restoration</v>
      </c>
      <c r="D90" s="67">
        <v>0.6</v>
      </c>
      <c r="E90" s="67">
        <v>0.6</v>
      </c>
      <c r="F90" s="67">
        <v>0.6</v>
      </c>
      <c r="G90" s="201"/>
    </row>
    <row r="91" spans="1:7" ht="13.5" thickBot="1" x14ac:dyDescent="0.25">
      <c r="A91" s="170" t="s">
        <v>385</v>
      </c>
      <c r="B91" s="171">
        <v>10</v>
      </c>
      <c r="C91" s="165" t="str">
        <f t="shared" si="0"/>
        <v>10Riparian Forest Buffer</v>
      </c>
      <c r="D91" s="166">
        <v>0.6</v>
      </c>
      <c r="E91" s="166">
        <v>0.6</v>
      </c>
      <c r="F91" s="166">
        <v>0.6</v>
      </c>
      <c r="G91" s="201"/>
    </row>
    <row r="92" spans="1:7" ht="13.5" thickBot="1" x14ac:dyDescent="0.25">
      <c r="A92" s="167" t="s">
        <v>385</v>
      </c>
      <c r="B92" s="172">
        <v>20</v>
      </c>
      <c r="C92" s="165" t="str">
        <f t="shared" si="0"/>
        <v>20Riparian Forest Buffer</v>
      </c>
      <c r="D92" s="60">
        <v>0.6</v>
      </c>
      <c r="E92" s="60">
        <v>0.6</v>
      </c>
      <c r="F92" s="60">
        <v>0.6</v>
      </c>
      <c r="G92" s="201"/>
    </row>
    <row r="93" spans="1:7" ht="13.5" thickBot="1" x14ac:dyDescent="0.25">
      <c r="A93" s="167" t="s">
        <v>385</v>
      </c>
      <c r="B93" s="172">
        <v>30</v>
      </c>
      <c r="C93" s="165" t="str">
        <f t="shared" si="0"/>
        <v>30Riparian Forest Buffer</v>
      </c>
      <c r="D93" s="60">
        <v>0.6</v>
      </c>
      <c r="E93" s="60">
        <v>0.6</v>
      </c>
      <c r="F93" s="60">
        <v>0.6</v>
      </c>
      <c r="G93" s="201"/>
    </row>
    <row r="94" spans="1:7" ht="13.5" thickBot="1" x14ac:dyDescent="0.25">
      <c r="A94" s="167" t="s">
        <v>385</v>
      </c>
      <c r="B94" s="173">
        <v>40</v>
      </c>
      <c r="C94" s="165" t="str">
        <f t="shared" si="0"/>
        <v>40Riparian Forest Buffer</v>
      </c>
      <c r="D94" s="60">
        <v>0.55000000000000004</v>
      </c>
      <c r="E94" s="60">
        <v>0.65</v>
      </c>
      <c r="F94" s="60">
        <v>0.65</v>
      </c>
      <c r="G94" s="201"/>
    </row>
    <row r="95" spans="1:7" ht="13.5" thickBot="1" x14ac:dyDescent="0.25">
      <c r="A95" s="167" t="s">
        <v>385</v>
      </c>
      <c r="B95" s="173">
        <v>50</v>
      </c>
      <c r="C95" s="165" t="str">
        <f t="shared" si="0"/>
        <v>50Riparian Forest Buffer</v>
      </c>
      <c r="D95" s="60">
        <v>0.6</v>
      </c>
      <c r="E95" s="60">
        <v>0.6</v>
      </c>
      <c r="F95" s="60">
        <v>0.6</v>
      </c>
      <c r="G95" s="201"/>
    </row>
    <row r="96" spans="1:7" ht="13.5" thickBot="1" x14ac:dyDescent="0.25">
      <c r="A96" s="167" t="s">
        <v>385</v>
      </c>
      <c r="B96" s="173">
        <v>60</v>
      </c>
      <c r="C96" s="165" t="str">
        <f t="shared" si="0"/>
        <v>60Riparian Forest Buffer</v>
      </c>
      <c r="D96" s="60">
        <v>0.6</v>
      </c>
      <c r="E96" s="60">
        <v>0.6</v>
      </c>
      <c r="F96" s="60">
        <v>0.6</v>
      </c>
      <c r="G96" s="201"/>
    </row>
    <row r="97" spans="1:7" ht="13.5" thickBot="1" x14ac:dyDescent="0.25">
      <c r="A97" s="167" t="s">
        <v>385</v>
      </c>
      <c r="B97" s="173">
        <v>70</v>
      </c>
      <c r="C97" s="165" t="str">
        <f t="shared" si="0"/>
        <v>70Riparian Forest Buffer</v>
      </c>
      <c r="D97" s="60">
        <v>0.55000000000000004</v>
      </c>
      <c r="E97" s="60">
        <v>0.65</v>
      </c>
      <c r="F97" s="60">
        <v>0.65</v>
      </c>
      <c r="G97" s="201"/>
    </row>
    <row r="98" spans="1:7" ht="13.5" thickBot="1" x14ac:dyDescent="0.25">
      <c r="A98" s="167" t="s">
        <v>385</v>
      </c>
      <c r="B98" s="173">
        <v>80</v>
      </c>
      <c r="C98" s="165" t="str">
        <f t="shared" si="0"/>
        <v>80Riparian Forest Buffer</v>
      </c>
      <c r="D98" s="60">
        <v>0.55000000000000004</v>
      </c>
      <c r="E98" s="60">
        <v>0.65</v>
      </c>
      <c r="F98" s="60">
        <v>0.65</v>
      </c>
      <c r="G98" s="201"/>
    </row>
    <row r="99" spans="1:7" ht="13.5" thickBot="1" x14ac:dyDescent="0.25">
      <c r="A99" s="167" t="s">
        <v>385</v>
      </c>
      <c r="B99" s="173">
        <v>90</v>
      </c>
      <c r="C99" s="165" t="str">
        <f t="shared" si="0"/>
        <v>90Riparian Forest Buffer</v>
      </c>
      <c r="D99" s="60">
        <v>0.55000000000000004</v>
      </c>
      <c r="E99" s="60">
        <v>0.65</v>
      </c>
      <c r="F99" s="60">
        <v>0.65</v>
      </c>
      <c r="G99" s="201"/>
    </row>
    <row r="100" spans="1:7" ht="13.5" thickBot="1" x14ac:dyDescent="0.25">
      <c r="A100" s="167" t="s">
        <v>385</v>
      </c>
      <c r="B100" s="173">
        <v>100</v>
      </c>
      <c r="C100" s="165" t="str">
        <f t="shared" si="0"/>
        <v>100Riparian Forest Buffer</v>
      </c>
      <c r="D100" s="60">
        <v>0.55000000000000004</v>
      </c>
      <c r="E100" s="60">
        <v>0.65</v>
      </c>
      <c r="F100" s="60">
        <v>0.65</v>
      </c>
      <c r="G100" s="201"/>
    </row>
    <row r="101" spans="1:7" ht="13.5" thickBot="1" x14ac:dyDescent="0.25">
      <c r="A101" s="167" t="s">
        <v>385</v>
      </c>
      <c r="B101" s="173">
        <v>110</v>
      </c>
      <c r="C101" s="165" t="str">
        <f t="shared" si="0"/>
        <v>110Riparian Forest Buffer</v>
      </c>
      <c r="D101" s="60">
        <v>0.7</v>
      </c>
      <c r="E101" s="60">
        <v>0.7</v>
      </c>
      <c r="F101" s="60">
        <v>0.7</v>
      </c>
      <c r="G101" s="201"/>
    </row>
    <row r="102" spans="1:7" ht="13.5" thickBot="1" x14ac:dyDescent="0.25">
      <c r="A102" s="167" t="s">
        <v>385</v>
      </c>
      <c r="B102" s="173">
        <v>120</v>
      </c>
      <c r="C102" s="165" t="str">
        <f t="shared" si="0"/>
        <v>120Riparian Forest Buffer</v>
      </c>
      <c r="D102" s="60">
        <v>0.6</v>
      </c>
      <c r="E102" s="60">
        <v>0.6</v>
      </c>
      <c r="F102" s="60">
        <v>0.6</v>
      </c>
      <c r="G102" s="201"/>
    </row>
    <row r="103" spans="1:7" ht="13.5" thickBot="1" x14ac:dyDescent="0.25">
      <c r="A103" s="167" t="s">
        <v>385</v>
      </c>
      <c r="B103" s="173">
        <v>140</v>
      </c>
      <c r="C103" s="165" t="str">
        <f t="shared" si="0"/>
        <v>140Riparian Forest Buffer</v>
      </c>
      <c r="D103" s="60">
        <v>0.6</v>
      </c>
      <c r="E103" s="60">
        <v>0.6</v>
      </c>
      <c r="F103" s="60">
        <v>0.6</v>
      </c>
      <c r="G103" s="201"/>
    </row>
    <row r="104" spans="1:7" ht="13.5" thickBot="1" x14ac:dyDescent="0.25">
      <c r="A104" s="167" t="s">
        <v>385</v>
      </c>
      <c r="B104" s="174">
        <v>160</v>
      </c>
      <c r="C104" s="165" t="str">
        <f t="shared" si="0"/>
        <v>160Riparian Forest Buffer</v>
      </c>
      <c r="D104" s="60">
        <v>0.6</v>
      </c>
      <c r="E104" s="60">
        <v>0.6</v>
      </c>
      <c r="F104" s="60">
        <v>0.6</v>
      </c>
      <c r="G104" s="201"/>
    </row>
    <row r="105" spans="1:7" ht="13.5" thickBot="1" x14ac:dyDescent="0.25">
      <c r="A105" s="167" t="s">
        <v>385</v>
      </c>
      <c r="B105" s="174">
        <v>175</v>
      </c>
      <c r="C105" s="165" t="str">
        <f t="shared" si="0"/>
        <v>175Riparian Forest Buffer</v>
      </c>
      <c r="D105" s="60">
        <v>0.55000000000000004</v>
      </c>
      <c r="E105" s="60">
        <v>0.65</v>
      </c>
      <c r="F105" s="60">
        <v>0.65</v>
      </c>
      <c r="G105" s="201"/>
    </row>
    <row r="106" spans="1:7" ht="13.5" thickBot="1" x14ac:dyDescent="0.25">
      <c r="A106" s="167" t="s">
        <v>385</v>
      </c>
      <c r="B106" s="174">
        <v>180</v>
      </c>
      <c r="C106" s="165" t="str">
        <f t="shared" si="0"/>
        <v>180Riparian Forest Buffer</v>
      </c>
      <c r="D106" s="60">
        <v>0.45</v>
      </c>
      <c r="E106" s="60">
        <v>0.5</v>
      </c>
      <c r="F106" s="60">
        <v>0.5</v>
      </c>
      <c r="G106" s="201"/>
    </row>
    <row r="107" spans="1:7" ht="13.5" thickBot="1" x14ac:dyDescent="0.25">
      <c r="A107" s="167" t="s">
        <v>385</v>
      </c>
      <c r="B107" s="174">
        <v>210</v>
      </c>
      <c r="C107" s="165" t="str">
        <f t="shared" si="0"/>
        <v>210Riparian Forest Buffer</v>
      </c>
      <c r="D107" s="60">
        <v>0.45</v>
      </c>
      <c r="E107" s="60">
        <v>0.5</v>
      </c>
      <c r="F107" s="60">
        <v>0.5</v>
      </c>
      <c r="G107" s="201"/>
    </row>
    <row r="108" spans="1:7" ht="13.5" thickBot="1" x14ac:dyDescent="0.25">
      <c r="A108" s="167" t="s">
        <v>385</v>
      </c>
      <c r="B108" s="174">
        <v>450</v>
      </c>
      <c r="C108" s="165" t="str">
        <f t="shared" si="0"/>
        <v>450Riparian Forest Buffer</v>
      </c>
      <c r="D108" s="60">
        <v>0.6</v>
      </c>
      <c r="E108" s="60">
        <v>0.6</v>
      </c>
      <c r="F108" s="60">
        <v>0.6</v>
      </c>
      <c r="G108" s="201"/>
    </row>
    <row r="109" spans="1:7" ht="13.5" thickBot="1" x14ac:dyDescent="0.25">
      <c r="A109" s="167" t="s">
        <v>385</v>
      </c>
      <c r="B109" s="174">
        <v>470</v>
      </c>
      <c r="C109" s="165" t="str">
        <f t="shared" si="0"/>
        <v>470Riparian Forest Buffer</v>
      </c>
      <c r="D109" s="60">
        <v>0.6</v>
      </c>
      <c r="E109" s="60">
        <v>0.6</v>
      </c>
      <c r="F109" s="60">
        <v>0.6</v>
      </c>
      <c r="G109" s="201"/>
    </row>
    <row r="110" spans="1:7" ht="13.5" thickBot="1" x14ac:dyDescent="0.25">
      <c r="A110" s="167" t="s">
        <v>385</v>
      </c>
      <c r="B110" s="174">
        <v>700</v>
      </c>
      <c r="C110" s="165" t="str">
        <f t="shared" si="0"/>
        <v>700Riparian Forest Buffer</v>
      </c>
      <c r="D110" s="60">
        <v>0.6</v>
      </c>
      <c r="E110" s="60">
        <v>0.6</v>
      </c>
      <c r="F110" s="60">
        <v>0.6</v>
      </c>
      <c r="G110" s="201"/>
    </row>
    <row r="111" spans="1:7" ht="13.5" thickBot="1" x14ac:dyDescent="0.25">
      <c r="A111" s="167" t="s">
        <v>385</v>
      </c>
      <c r="B111" s="174">
        <v>710</v>
      </c>
      <c r="C111" s="165" t="str">
        <f t="shared" si="0"/>
        <v>710Riparian Forest Buffer</v>
      </c>
      <c r="D111" s="60">
        <v>0.6</v>
      </c>
      <c r="E111" s="60">
        <v>0.6</v>
      </c>
      <c r="F111" s="60">
        <v>0.6</v>
      </c>
      <c r="G111" s="201"/>
    </row>
    <row r="112" spans="1:7" ht="13.5" thickBot="1" x14ac:dyDescent="0.25">
      <c r="A112" s="167" t="s">
        <v>385</v>
      </c>
      <c r="B112" s="174">
        <v>720</v>
      </c>
      <c r="C112" s="165" t="str">
        <f t="shared" si="0"/>
        <v>720Riparian Forest Buffer</v>
      </c>
      <c r="D112" s="60">
        <v>0.45</v>
      </c>
      <c r="E112" s="60">
        <v>0.5</v>
      </c>
      <c r="F112" s="60">
        <v>0.5</v>
      </c>
      <c r="G112" s="201"/>
    </row>
    <row r="113" spans="1:7" ht="13.5" thickBot="1" x14ac:dyDescent="0.25">
      <c r="A113" s="167" t="s">
        <v>385</v>
      </c>
      <c r="B113" s="174">
        <v>730</v>
      </c>
      <c r="C113" s="165" t="str">
        <f t="shared" si="0"/>
        <v>730Riparian Forest Buffer</v>
      </c>
      <c r="D113" s="60">
        <v>0.55000000000000004</v>
      </c>
      <c r="E113" s="60">
        <v>0.65</v>
      </c>
      <c r="F113" s="60">
        <v>0.65</v>
      </c>
      <c r="G113" s="201"/>
    </row>
    <row r="114" spans="1:7" ht="13.5" thickBot="1" x14ac:dyDescent="0.25">
      <c r="A114" s="167" t="s">
        <v>385</v>
      </c>
      <c r="B114" s="174">
        <v>740</v>
      </c>
      <c r="C114" s="165" t="str">
        <f t="shared" si="0"/>
        <v>740Riparian Forest Buffer</v>
      </c>
      <c r="D114" s="60">
        <v>0.55000000000000004</v>
      </c>
      <c r="E114" s="60">
        <v>0.65</v>
      </c>
      <c r="F114" s="60">
        <v>0.65</v>
      </c>
      <c r="G114" s="201"/>
    </row>
    <row r="115" spans="1:7" ht="13.5" thickBot="1" x14ac:dyDescent="0.25">
      <c r="A115" s="167" t="s">
        <v>385</v>
      </c>
      <c r="B115" s="174">
        <v>750</v>
      </c>
      <c r="C115" s="165" t="str">
        <f t="shared" si="0"/>
        <v>750Riparian Forest Buffer</v>
      </c>
      <c r="D115" s="60">
        <v>0.7</v>
      </c>
      <c r="E115" s="60">
        <v>0.7</v>
      </c>
      <c r="F115" s="60">
        <v>0.7</v>
      </c>
      <c r="G115" s="201"/>
    </row>
    <row r="116" spans="1:7" ht="13.5" thickBot="1" x14ac:dyDescent="0.25">
      <c r="A116" s="167" t="s">
        <v>385</v>
      </c>
      <c r="B116" s="176">
        <v>800</v>
      </c>
      <c r="C116" s="165" t="str">
        <f t="shared" si="0"/>
        <v>800Riparian Forest Buffer</v>
      </c>
      <c r="D116" s="67">
        <v>0.6</v>
      </c>
      <c r="E116" s="67">
        <v>0.6</v>
      </c>
      <c r="F116" s="67">
        <v>0.6</v>
      </c>
      <c r="G116" s="201"/>
    </row>
    <row r="117" spans="1:7" ht="13.5" thickBot="1" x14ac:dyDescent="0.25">
      <c r="A117" s="164" t="s">
        <v>388</v>
      </c>
      <c r="B117" s="171">
        <v>10</v>
      </c>
      <c r="C117" s="165" t="str">
        <f t="shared" si="0"/>
        <v>10Riparian Grass Buffer</v>
      </c>
      <c r="D117" s="166">
        <v>0.41</v>
      </c>
      <c r="E117" s="166">
        <v>0.6</v>
      </c>
      <c r="F117" s="166">
        <v>0.6</v>
      </c>
      <c r="G117" s="328"/>
    </row>
    <row r="118" spans="1:7" ht="13.5" thickBot="1" x14ac:dyDescent="0.25">
      <c r="A118" s="167" t="s">
        <v>388</v>
      </c>
      <c r="B118" s="172">
        <v>20</v>
      </c>
      <c r="C118" s="165" t="str">
        <f t="shared" si="0"/>
        <v>20Riparian Grass Buffer</v>
      </c>
      <c r="D118" s="60">
        <v>0.41</v>
      </c>
      <c r="E118" s="60">
        <v>0.6</v>
      </c>
      <c r="F118" s="60">
        <v>0.6</v>
      </c>
      <c r="G118" s="328"/>
    </row>
    <row r="119" spans="1:7" ht="13.5" thickBot="1" x14ac:dyDescent="0.25">
      <c r="A119" s="167" t="s">
        <v>388</v>
      </c>
      <c r="B119" s="172">
        <v>30</v>
      </c>
      <c r="C119" s="165" t="str">
        <f t="shared" si="0"/>
        <v>30Riparian Grass Buffer</v>
      </c>
      <c r="D119" s="60">
        <v>0.41</v>
      </c>
      <c r="E119" s="60">
        <v>0.6</v>
      </c>
      <c r="F119" s="60">
        <v>0.6</v>
      </c>
      <c r="G119" s="328"/>
    </row>
    <row r="120" spans="1:7" ht="13.5" thickBot="1" x14ac:dyDescent="0.25">
      <c r="A120" s="167" t="s">
        <v>388</v>
      </c>
      <c r="B120" s="173">
        <v>40</v>
      </c>
      <c r="C120" s="165" t="str">
        <f t="shared" si="0"/>
        <v>40Riparian Grass Buffer</v>
      </c>
      <c r="D120" s="60">
        <v>0.37</v>
      </c>
      <c r="E120" s="60">
        <v>0.65</v>
      </c>
      <c r="F120" s="60">
        <v>0.65</v>
      </c>
      <c r="G120" s="328"/>
    </row>
    <row r="121" spans="1:7" ht="13.5" thickBot="1" x14ac:dyDescent="0.25">
      <c r="A121" s="167" t="s">
        <v>388</v>
      </c>
      <c r="B121" s="173">
        <v>50</v>
      </c>
      <c r="C121" s="165" t="str">
        <f t="shared" si="0"/>
        <v>50Riparian Grass Buffer</v>
      </c>
      <c r="D121" s="60">
        <v>0.41</v>
      </c>
      <c r="E121" s="60">
        <v>0.6</v>
      </c>
      <c r="F121" s="60">
        <v>0.6</v>
      </c>
      <c r="G121" s="328"/>
    </row>
    <row r="122" spans="1:7" ht="13.5" thickBot="1" x14ac:dyDescent="0.25">
      <c r="A122" s="167" t="s">
        <v>388</v>
      </c>
      <c r="B122" s="173">
        <v>60</v>
      </c>
      <c r="C122" s="165" t="str">
        <f t="shared" si="0"/>
        <v>60Riparian Grass Buffer</v>
      </c>
      <c r="D122" s="60">
        <v>0.41</v>
      </c>
      <c r="E122" s="60">
        <v>0.6</v>
      </c>
      <c r="F122" s="60">
        <v>0.6</v>
      </c>
      <c r="G122" s="328"/>
    </row>
    <row r="123" spans="1:7" ht="13.5" thickBot="1" x14ac:dyDescent="0.25">
      <c r="A123" s="167" t="s">
        <v>388</v>
      </c>
      <c r="B123" s="173">
        <v>70</v>
      </c>
      <c r="C123" s="165" t="str">
        <f t="shared" si="0"/>
        <v>70Riparian Grass Buffer</v>
      </c>
      <c r="D123" s="60">
        <v>0.37</v>
      </c>
      <c r="E123" s="60">
        <v>0.65</v>
      </c>
      <c r="F123" s="60">
        <v>0.65</v>
      </c>
      <c r="G123" s="328"/>
    </row>
    <row r="124" spans="1:7" ht="13.5" thickBot="1" x14ac:dyDescent="0.25">
      <c r="A124" s="167" t="s">
        <v>388</v>
      </c>
      <c r="B124" s="173">
        <v>80</v>
      </c>
      <c r="C124" s="165" t="str">
        <f t="shared" si="0"/>
        <v>80Riparian Grass Buffer</v>
      </c>
      <c r="D124" s="60">
        <v>0.37</v>
      </c>
      <c r="E124" s="60">
        <v>0.65</v>
      </c>
      <c r="F124" s="60">
        <v>0.65</v>
      </c>
      <c r="G124" s="328"/>
    </row>
    <row r="125" spans="1:7" ht="13.5" thickBot="1" x14ac:dyDescent="0.25">
      <c r="A125" s="167" t="s">
        <v>388</v>
      </c>
      <c r="B125" s="173">
        <v>90</v>
      </c>
      <c r="C125" s="165" t="str">
        <f t="shared" si="0"/>
        <v>90Riparian Grass Buffer</v>
      </c>
      <c r="D125" s="60">
        <v>0.37</v>
      </c>
      <c r="E125" s="60">
        <v>0.65</v>
      </c>
      <c r="F125" s="60">
        <v>0.65</v>
      </c>
      <c r="G125" s="328"/>
    </row>
    <row r="126" spans="1:7" ht="13.5" thickBot="1" x14ac:dyDescent="0.25">
      <c r="A126" s="167" t="s">
        <v>388</v>
      </c>
      <c r="B126" s="173">
        <v>100</v>
      </c>
      <c r="C126" s="165" t="str">
        <f t="shared" si="0"/>
        <v>100Riparian Grass Buffer</v>
      </c>
      <c r="D126" s="60">
        <v>0.37</v>
      </c>
      <c r="E126" s="60">
        <v>0.65</v>
      </c>
      <c r="F126" s="60">
        <v>0.65</v>
      </c>
      <c r="G126" s="328"/>
    </row>
    <row r="127" spans="1:7" ht="13.5" thickBot="1" x14ac:dyDescent="0.25">
      <c r="A127" s="167" t="s">
        <v>388</v>
      </c>
      <c r="B127" s="173">
        <v>110</v>
      </c>
      <c r="C127" s="165" t="str">
        <f t="shared" si="0"/>
        <v>110Riparian Grass Buffer</v>
      </c>
      <c r="D127" s="60">
        <v>0.48</v>
      </c>
      <c r="E127" s="60">
        <v>0.7</v>
      </c>
      <c r="F127" s="60">
        <v>0.7</v>
      </c>
      <c r="G127" s="328"/>
    </row>
    <row r="128" spans="1:7" ht="13.5" thickBot="1" x14ac:dyDescent="0.25">
      <c r="A128" s="167" t="s">
        <v>388</v>
      </c>
      <c r="B128" s="173">
        <v>120</v>
      </c>
      <c r="C128" s="165" t="str">
        <f t="shared" si="0"/>
        <v>120Riparian Grass Buffer</v>
      </c>
      <c r="D128" s="60">
        <v>0.41</v>
      </c>
      <c r="E128" s="60">
        <v>0.6</v>
      </c>
      <c r="F128" s="60">
        <v>0.6</v>
      </c>
      <c r="G128" s="328"/>
    </row>
    <row r="129" spans="1:7" ht="13.5" thickBot="1" x14ac:dyDescent="0.25">
      <c r="A129" s="167" t="s">
        <v>388</v>
      </c>
      <c r="B129" s="173">
        <v>140</v>
      </c>
      <c r="C129" s="165" t="str">
        <f t="shared" si="0"/>
        <v>140Riparian Grass Buffer</v>
      </c>
      <c r="D129" s="60">
        <v>0.41</v>
      </c>
      <c r="E129" s="60">
        <v>0.6</v>
      </c>
      <c r="F129" s="60">
        <v>0.6</v>
      </c>
      <c r="G129" s="328"/>
    </row>
    <row r="130" spans="1:7" ht="13.5" thickBot="1" x14ac:dyDescent="0.25">
      <c r="A130" s="167" t="s">
        <v>388</v>
      </c>
      <c r="B130" s="174">
        <v>160</v>
      </c>
      <c r="C130" s="165" t="str">
        <f t="shared" ref="C130:C142" si="1">CONCATENATE(B130,A130)</f>
        <v>160Riparian Grass Buffer</v>
      </c>
      <c r="D130" s="60">
        <v>0.41</v>
      </c>
      <c r="E130" s="60">
        <v>0.6</v>
      </c>
      <c r="F130" s="60">
        <v>0.6</v>
      </c>
      <c r="G130" s="328"/>
    </row>
    <row r="131" spans="1:7" ht="13.5" thickBot="1" x14ac:dyDescent="0.25">
      <c r="A131" s="167" t="s">
        <v>388</v>
      </c>
      <c r="B131" s="174">
        <v>175</v>
      </c>
      <c r="C131" s="165" t="str">
        <f t="shared" si="1"/>
        <v>175Riparian Grass Buffer</v>
      </c>
      <c r="D131" s="60">
        <v>0.37</v>
      </c>
      <c r="E131" s="60">
        <v>0.65</v>
      </c>
      <c r="F131" s="60">
        <v>0.65</v>
      </c>
      <c r="G131" s="328"/>
    </row>
    <row r="132" spans="1:7" ht="13.5" thickBot="1" x14ac:dyDescent="0.25">
      <c r="A132" s="167" t="s">
        <v>388</v>
      </c>
      <c r="B132" s="174">
        <v>180</v>
      </c>
      <c r="C132" s="165" t="str">
        <f t="shared" si="1"/>
        <v>180Riparian Grass Buffer</v>
      </c>
      <c r="D132" s="60">
        <v>0.31</v>
      </c>
      <c r="E132" s="60">
        <v>0.5</v>
      </c>
      <c r="F132" s="60">
        <v>0.5</v>
      </c>
      <c r="G132" s="328"/>
    </row>
    <row r="133" spans="1:7" ht="13.5" thickBot="1" x14ac:dyDescent="0.25">
      <c r="A133" s="167" t="s">
        <v>388</v>
      </c>
      <c r="B133" s="174">
        <v>210</v>
      </c>
      <c r="C133" s="165" t="str">
        <f t="shared" si="1"/>
        <v>210Riparian Grass Buffer</v>
      </c>
      <c r="D133" s="60">
        <v>0.31</v>
      </c>
      <c r="E133" s="60">
        <v>0.5</v>
      </c>
      <c r="F133" s="60">
        <v>0.5</v>
      </c>
      <c r="G133" s="328"/>
    </row>
    <row r="134" spans="1:7" ht="13.5" thickBot="1" x14ac:dyDescent="0.25">
      <c r="A134" s="167" t="s">
        <v>388</v>
      </c>
      <c r="B134" s="174">
        <v>450</v>
      </c>
      <c r="C134" s="165" t="str">
        <f t="shared" si="1"/>
        <v>450Riparian Grass Buffer</v>
      </c>
      <c r="D134" s="60">
        <v>0.41</v>
      </c>
      <c r="E134" s="60">
        <v>0.6</v>
      </c>
      <c r="F134" s="60">
        <v>0.6</v>
      </c>
      <c r="G134" s="328"/>
    </row>
    <row r="135" spans="1:7" ht="13.5" thickBot="1" x14ac:dyDescent="0.25">
      <c r="A135" s="167" t="s">
        <v>388</v>
      </c>
      <c r="B135" s="174">
        <v>470</v>
      </c>
      <c r="C135" s="165" t="str">
        <f t="shared" si="1"/>
        <v>470Riparian Grass Buffer</v>
      </c>
      <c r="D135" s="60">
        <v>0.41</v>
      </c>
      <c r="E135" s="60">
        <v>0.6</v>
      </c>
      <c r="F135" s="60">
        <v>0.6</v>
      </c>
      <c r="G135" s="328"/>
    </row>
    <row r="136" spans="1:7" ht="13.5" thickBot="1" x14ac:dyDescent="0.25">
      <c r="A136" s="167" t="s">
        <v>388</v>
      </c>
      <c r="B136" s="174">
        <v>700</v>
      </c>
      <c r="C136" s="165" t="str">
        <f t="shared" si="1"/>
        <v>700Riparian Grass Buffer</v>
      </c>
      <c r="D136" s="60">
        <v>0.41</v>
      </c>
      <c r="E136" s="60">
        <v>0.6</v>
      </c>
      <c r="F136" s="60">
        <v>0.6</v>
      </c>
      <c r="G136" s="328"/>
    </row>
    <row r="137" spans="1:7" ht="13.5" thickBot="1" x14ac:dyDescent="0.25">
      <c r="A137" s="167" t="s">
        <v>388</v>
      </c>
      <c r="B137" s="174">
        <v>710</v>
      </c>
      <c r="C137" s="165" t="str">
        <f t="shared" si="1"/>
        <v>710Riparian Grass Buffer</v>
      </c>
      <c r="D137" s="60">
        <v>0.41</v>
      </c>
      <c r="E137" s="60">
        <v>0.6</v>
      </c>
      <c r="F137" s="60">
        <v>0.6</v>
      </c>
      <c r="G137" s="328"/>
    </row>
    <row r="138" spans="1:7" ht="13.5" thickBot="1" x14ac:dyDescent="0.25">
      <c r="A138" s="167" t="s">
        <v>388</v>
      </c>
      <c r="B138" s="174">
        <v>720</v>
      </c>
      <c r="C138" s="165" t="str">
        <f t="shared" si="1"/>
        <v>720Riparian Grass Buffer</v>
      </c>
      <c r="D138" s="60">
        <v>0.31</v>
      </c>
      <c r="E138" s="60">
        <v>0.5</v>
      </c>
      <c r="F138" s="60">
        <v>0.5</v>
      </c>
      <c r="G138" s="328"/>
    </row>
    <row r="139" spans="1:7" ht="13.5" thickBot="1" x14ac:dyDescent="0.25">
      <c r="A139" s="167" t="s">
        <v>388</v>
      </c>
      <c r="B139" s="174">
        <v>730</v>
      </c>
      <c r="C139" s="165" t="str">
        <f t="shared" si="1"/>
        <v>730Riparian Grass Buffer</v>
      </c>
      <c r="D139" s="60">
        <v>0.37</v>
      </c>
      <c r="E139" s="60">
        <v>0.65</v>
      </c>
      <c r="F139" s="60">
        <v>0.65</v>
      </c>
      <c r="G139" s="328"/>
    </row>
    <row r="140" spans="1:7" ht="13.5" thickBot="1" x14ac:dyDescent="0.25">
      <c r="A140" s="167" t="s">
        <v>388</v>
      </c>
      <c r="B140" s="174">
        <v>740</v>
      </c>
      <c r="C140" s="165" t="str">
        <f t="shared" si="1"/>
        <v>740Riparian Grass Buffer</v>
      </c>
      <c r="D140" s="60">
        <v>0.37</v>
      </c>
      <c r="E140" s="60">
        <v>0.65</v>
      </c>
      <c r="F140" s="60">
        <v>0.65</v>
      </c>
      <c r="G140" s="328"/>
    </row>
    <row r="141" spans="1:7" ht="13.5" thickBot="1" x14ac:dyDescent="0.25">
      <c r="A141" s="167" t="s">
        <v>388</v>
      </c>
      <c r="B141" s="174">
        <v>750</v>
      </c>
      <c r="C141" s="165" t="str">
        <f t="shared" si="1"/>
        <v>750Riparian Grass Buffer</v>
      </c>
      <c r="D141" s="60">
        <v>0.48</v>
      </c>
      <c r="E141" s="60">
        <v>0.7</v>
      </c>
      <c r="F141" s="60">
        <v>0.7</v>
      </c>
      <c r="G141" s="328"/>
    </row>
    <row r="142" spans="1:7" ht="13.5" thickBot="1" x14ac:dyDescent="0.25">
      <c r="A142" s="168" t="s">
        <v>388</v>
      </c>
      <c r="B142" s="176">
        <v>800</v>
      </c>
      <c r="C142" s="165" t="str">
        <f t="shared" si="1"/>
        <v>800Riparian Grass Buffer</v>
      </c>
      <c r="D142" s="169">
        <v>0.41</v>
      </c>
      <c r="E142" s="169">
        <v>0.6</v>
      </c>
      <c r="F142" s="169">
        <v>0.6</v>
      </c>
      <c r="G142" s="328"/>
    </row>
    <row r="143" spans="1:7" x14ac:dyDescent="0.2">
      <c r="B143" s="296"/>
    </row>
    <row r="144" spans="1:7" x14ac:dyDescent="0.2">
      <c r="B144" s="296"/>
    </row>
    <row r="145" spans="1:5" ht="15" x14ac:dyDescent="0.25">
      <c r="A145" s="593" t="s">
        <v>639</v>
      </c>
      <c r="B145" s="594"/>
      <c r="C145" s="594"/>
      <c r="D145" s="594"/>
    </row>
    <row r="147" spans="1:5" x14ac:dyDescent="0.2">
      <c r="B147" s="28" t="s">
        <v>634</v>
      </c>
      <c r="C147" s="343" t="s">
        <v>635</v>
      </c>
      <c r="D147" s="342" t="s">
        <v>386</v>
      </c>
      <c r="E147" s="337" t="s">
        <v>632</v>
      </c>
    </row>
    <row r="148" spans="1:5" x14ac:dyDescent="0.2">
      <c r="B148" s="6" t="s">
        <v>637</v>
      </c>
      <c r="C148" s="347" t="s">
        <v>623</v>
      </c>
      <c r="D148" s="348" t="str">
        <f>CONCATENATE(B148,C148)</f>
        <v>Retirement of Highly Erodible LandConventional till</v>
      </c>
      <c r="E148" s="7" t="s">
        <v>626</v>
      </c>
    </row>
    <row r="149" spans="1:5" x14ac:dyDescent="0.2">
      <c r="B149" s="31" t="s">
        <v>637</v>
      </c>
      <c r="C149" s="34" t="s">
        <v>625</v>
      </c>
      <c r="D149" s="344" t="str">
        <f>CONCATENATE(B149,C149)</f>
        <v>Retirement of Highly Erodible LandConservation till</v>
      </c>
      <c r="E149" s="7" t="s">
        <v>626</v>
      </c>
    </row>
    <row r="150" spans="1:5" x14ac:dyDescent="0.2">
      <c r="B150" s="31" t="s">
        <v>637</v>
      </c>
      <c r="C150" s="34" t="s">
        <v>636</v>
      </c>
      <c r="D150" s="344" t="str">
        <f>CONCATENATE(B150,C150)</f>
        <v>Retirement of Highly Erodible LandContinuous no-till</v>
      </c>
      <c r="E150" s="7" t="s">
        <v>626</v>
      </c>
    </row>
    <row r="151" spans="1:5" x14ac:dyDescent="0.2">
      <c r="B151" s="31" t="s">
        <v>388</v>
      </c>
      <c r="C151" s="7" t="s">
        <v>623</v>
      </c>
      <c r="D151" s="344" t="str">
        <f t="shared" ref="D151:D165" si="2">CONCATENATE(B151,C151)</f>
        <v>Riparian Grass BufferConventional till</v>
      </c>
      <c r="E151" s="7" t="s">
        <v>626</v>
      </c>
    </row>
    <row r="152" spans="1:5" x14ac:dyDescent="0.2">
      <c r="B152" s="31" t="s">
        <v>318</v>
      </c>
      <c r="C152" s="7" t="s">
        <v>623</v>
      </c>
      <c r="D152" s="344" t="str">
        <f t="shared" si="2"/>
        <v>Wetland RestorationConventional till</v>
      </c>
      <c r="E152" s="7" t="s">
        <v>626</v>
      </c>
    </row>
    <row r="153" spans="1:5" x14ac:dyDescent="0.2">
      <c r="B153" s="31" t="s">
        <v>388</v>
      </c>
      <c r="C153" s="7" t="s">
        <v>625</v>
      </c>
      <c r="D153" s="344" t="str">
        <f t="shared" si="2"/>
        <v>Riparian Grass BufferConservation till</v>
      </c>
      <c r="E153" s="338" t="s">
        <v>627</v>
      </c>
    </row>
    <row r="154" spans="1:5" x14ac:dyDescent="0.2">
      <c r="B154" s="31" t="s">
        <v>318</v>
      </c>
      <c r="C154" s="7" t="s">
        <v>625</v>
      </c>
      <c r="D154" s="344" t="str">
        <f>CONCATENATE(B154,C154)</f>
        <v>Wetland RestorationConservation till</v>
      </c>
      <c r="E154" s="338" t="s">
        <v>627</v>
      </c>
    </row>
    <row r="155" spans="1:5" x14ac:dyDescent="0.2">
      <c r="B155" s="31" t="s">
        <v>388</v>
      </c>
      <c r="C155" s="7" t="s">
        <v>636</v>
      </c>
      <c r="D155" s="344" t="str">
        <f t="shared" si="2"/>
        <v>Riparian Grass BufferContinuous no-till</v>
      </c>
      <c r="E155" s="338" t="s">
        <v>627</v>
      </c>
    </row>
    <row r="156" spans="1:5" x14ac:dyDescent="0.2">
      <c r="B156" s="31" t="s">
        <v>318</v>
      </c>
      <c r="C156" s="7" t="s">
        <v>636</v>
      </c>
      <c r="D156" s="344" t="str">
        <f t="shared" si="2"/>
        <v>Wetland RestorationContinuous no-till</v>
      </c>
      <c r="E156" s="338" t="s">
        <v>627</v>
      </c>
    </row>
    <row r="157" spans="1:5" x14ac:dyDescent="0.2">
      <c r="B157" s="31" t="s">
        <v>638</v>
      </c>
      <c r="C157" s="7" t="s">
        <v>623</v>
      </c>
      <c r="D157" s="344" t="str">
        <f t="shared" si="2"/>
        <v>Tree Planting (non-buffer)Conventional till</v>
      </c>
      <c r="E157" s="338" t="s">
        <v>628</v>
      </c>
    </row>
    <row r="158" spans="1:5" x14ac:dyDescent="0.2">
      <c r="B158" s="31" t="s">
        <v>385</v>
      </c>
      <c r="C158" s="7" t="s">
        <v>623</v>
      </c>
      <c r="D158" s="344" t="str">
        <f t="shared" si="2"/>
        <v>Riparian Forest BufferConventional till</v>
      </c>
      <c r="E158" s="338" t="s">
        <v>628</v>
      </c>
    </row>
    <row r="159" spans="1:5" x14ac:dyDescent="0.2">
      <c r="B159" s="31" t="s">
        <v>638</v>
      </c>
      <c r="C159" s="7" t="s">
        <v>625</v>
      </c>
      <c r="D159" s="344" t="str">
        <f t="shared" si="2"/>
        <v>Tree Planting (non-buffer)Conservation till</v>
      </c>
      <c r="E159" s="338" t="s">
        <v>629</v>
      </c>
    </row>
    <row r="160" spans="1:5" x14ac:dyDescent="0.2">
      <c r="B160" s="31" t="s">
        <v>385</v>
      </c>
      <c r="C160" s="7" t="s">
        <v>625</v>
      </c>
      <c r="D160" s="344" t="str">
        <f t="shared" si="2"/>
        <v>Riparian Forest BufferConservation till</v>
      </c>
      <c r="E160" s="338" t="s">
        <v>629</v>
      </c>
    </row>
    <row r="161" spans="1:34" x14ac:dyDescent="0.2">
      <c r="B161" s="31" t="s">
        <v>638</v>
      </c>
      <c r="C161" s="7" t="s">
        <v>636</v>
      </c>
      <c r="D161" s="344" t="str">
        <f t="shared" si="2"/>
        <v>Tree Planting (non-buffer)Continuous no-till</v>
      </c>
      <c r="E161" s="338" t="s">
        <v>629</v>
      </c>
    </row>
    <row r="162" spans="1:34" x14ac:dyDescent="0.2">
      <c r="B162" s="31" t="s">
        <v>385</v>
      </c>
      <c r="C162" s="7" t="s">
        <v>636</v>
      </c>
      <c r="D162" s="344" t="str">
        <f t="shared" si="2"/>
        <v>Riparian Forest BufferContinuous no-till</v>
      </c>
      <c r="E162" s="338" t="s">
        <v>629</v>
      </c>
    </row>
    <row r="163" spans="1:34" x14ac:dyDescent="0.2">
      <c r="B163" s="31" t="s">
        <v>576</v>
      </c>
      <c r="C163" s="7" t="s">
        <v>623</v>
      </c>
      <c r="D163" s="344" t="str">
        <f t="shared" si="2"/>
        <v>Carbon SequestrationConventional till</v>
      </c>
      <c r="E163" s="338" t="s">
        <v>630</v>
      </c>
    </row>
    <row r="164" spans="1:34" x14ac:dyDescent="0.2">
      <c r="B164" s="31" t="s">
        <v>576</v>
      </c>
      <c r="C164" s="7" t="s">
        <v>625</v>
      </c>
      <c r="D164" s="344" t="str">
        <f t="shared" si="2"/>
        <v>Carbon SequestrationConservation till</v>
      </c>
      <c r="E164" s="338" t="s">
        <v>631</v>
      </c>
    </row>
    <row r="165" spans="1:34" x14ac:dyDescent="0.2">
      <c r="B165" s="31" t="s">
        <v>576</v>
      </c>
      <c r="C165" s="7" t="s">
        <v>636</v>
      </c>
      <c r="D165" s="344" t="str">
        <f t="shared" si="2"/>
        <v>Carbon SequestrationContinuous no-till</v>
      </c>
      <c r="E165" s="338" t="s">
        <v>631</v>
      </c>
    </row>
    <row r="166" spans="1:34" x14ac:dyDescent="0.2">
      <c r="B166" s="33" t="s">
        <v>342</v>
      </c>
      <c r="C166" s="353" t="s">
        <v>623</v>
      </c>
      <c r="D166" s="345" t="str">
        <f>CONCATENATE(B166,C166)</f>
        <v>Conservation TillConventional till</v>
      </c>
      <c r="E166" s="339" t="s">
        <v>633</v>
      </c>
    </row>
    <row r="168" spans="1:34" ht="15" x14ac:dyDescent="0.25">
      <c r="A168" s="68"/>
      <c r="D168" s="5"/>
      <c r="E168" s="5"/>
      <c r="F168" s="5"/>
      <c r="G168" s="5"/>
      <c r="H168" s="5"/>
      <c r="I168" s="5"/>
      <c r="J168" s="5"/>
      <c r="R168" s="377"/>
      <c r="S168" s="32"/>
      <c r="T168" s="5"/>
      <c r="U168" s="5"/>
      <c r="V168" s="5"/>
      <c r="W168" s="5"/>
      <c r="X168" s="5"/>
      <c r="Y168" s="5"/>
      <c r="Z168" s="5"/>
      <c r="AA168" s="377"/>
      <c r="AB168" s="32"/>
      <c r="AC168" s="5"/>
      <c r="AD168" s="5"/>
      <c r="AE168" s="5"/>
      <c r="AF168" s="5"/>
      <c r="AG168" s="5"/>
      <c r="AH168" s="5"/>
    </row>
    <row r="169" spans="1:34" s="334" customFormat="1" ht="26.25" customHeight="1" x14ac:dyDescent="0.2">
      <c r="A169" s="336" t="s">
        <v>640</v>
      </c>
      <c r="B169" s="336" t="s">
        <v>844</v>
      </c>
      <c r="C169" s="336" t="s">
        <v>743</v>
      </c>
      <c r="D169" s="336" t="s">
        <v>742</v>
      </c>
      <c r="E169" s="349"/>
      <c r="F169" s="349"/>
      <c r="G169" s="349"/>
      <c r="H169" s="349"/>
      <c r="I169" s="349"/>
      <c r="J169" s="349"/>
      <c r="R169" s="349"/>
      <c r="S169" s="349"/>
      <c r="T169" s="349"/>
      <c r="U169" s="349"/>
      <c r="V169" s="349"/>
      <c r="W169" s="349"/>
      <c r="X169" s="349"/>
      <c r="Y169" s="349"/>
      <c r="Z169" s="349"/>
      <c r="AA169" s="349"/>
      <c r="AB169" s="349"/>
      <c r="AC169" s="349"/>
      <c r="AD169" s="349"/>
      <c r="AE169" s="349"/>
      <c r="AF169" s="349"/>
      <c r="AG169" s="349"/>
      <c r="AH169" s="349"/>
    </row>
    <row r="170" spans="1:34" x14ac:dyDescent="0.2">
      <c r="A170" s="335" t="s">
        <v>641</v>
      </c>
      <c r="B170" s="350">
        <v>0.84664274683238416</v>
      </c>
      <c r="C170" s="373">
        <v>0.79031069377139818</v>
      </c>
      <c r="D170" s="373">
        <v>0.86215741886855812</v>
      </c>
      <c r="F170" s="5"/>
      <c r="G170" s="5"/>
      <c r="H170" s="5"/>
      <c r="I170" s="5"/>
      <c r="J170" s="5"/>
      <c r="R170" s="5"/>
      <c r="S170" s="32"/>
      <c r="T170" s="5"/>
      <c r="U170" s="5"/>
      <c r="V170" s="5"/>
      <c r="W170" s="5"/>
      <c r="X170" s="5"/>
      <c r="Y170" s="5"/>
      <c r="Z170" s="5"/>
      <c r="AA170" s="5"/>
      <c r="AB170" s="5"/>
      <c r="AC170" s="5"/>
      <c r="AD170" s="5"/>
      <c r="AE170" s="5"/>
      <c r="AF170" s="5"/>
      <c r="AG170" s="5"/>
      <c r="AH170" s="5"/>
    </row>
    <row r="171" spans="1:34" x14ac:dyDescent="0.2">
      <c r="A171" s="19" t="s">
        <v>642</v>
      </c>
      <c r="B171" s="351">
        <v>0.80970678036789434</v>
      </c>
      <c r="C171" s="373">
        <v>0.7949940288958719</v>
      </c>
      <c r="D171" s="373">
        <v>0.82950055213522034</v>
      </c>
      <c r="R171" s="5"/>
      <c r="S171" s="32"/>
      <c r="T171" s="5"/>
      <c r="U171" s="5"/>
      <c r="V171" s="5"/>
      <c r="W171" s="5"/>
      <c r="X171" s="5"/>
      <c r="Y171" s="5"/>
      <c r="Z171" s="5"/>
      <c r="AA171" s="5"/>
      <c r="AB171" s="5"/>
      <c r="AC171" s="5"/>
      <c r="AD171" s="5"/>
      <c r="AE171" s="5"/>
      <c r="AF171" s="5"/>
      <c r="AG171" s="5"/>
      <c r="AH171" s="5"/>
    </row>
    <row r="172" spans="1:34" x14ac:dyDescent="0.2">
      <c r="A172" s="19" t="s">
        <v>643</v>
      </c>
      <c r="B172" s="351">
        <v>0.82835222551840482</v>
      </c>
      <c r="C172" s="373">
        <v>0.80169666656399508</v>
      </c>
      <c r="D172" s="373">
        <v>0.85434227738423774</v>
      </c>
      <c r="R172" s="5"/>
      <c r="S172" s="32"/>
      <c r="T172" s="5"/>
      <c r="U172" s="5"/>
      <c r="V172" s="5"/>
      <c r="W172" s="5"/>
      <c r="X172" s="5"/>
      <c r="Y172" s="5"/>
      <c r="Z172" s="5"/>
      <c r="AA172" s="5"/>
      <c r="AB172" s="5"/>
      <c r="AC172" s="5"/>
      <c r="AD172" s="5"/>
      <c r="AE172" s="5"/>
      <c r="AF172" s="5"/>
      <c r="AG172" s="5"/>
      <c r="AH172" s="5"/>
    </row>
    <row r="173" spans="1:34" x14ac:dyDescent="0.2">
      <c r="A173" s="19" t="s">
        <v>644</v>
      </c>
      <c r="B173" s="351">
        <v>0.73768835375821984</v>
      </c>
      <c r="C173" s="373">
        <v>0.69623193805535655</v>
      </c>
      <c r="D173" s="373">
        <v>0.90724207300909576</v>
      </c>
      <c r="R173" s="5"/>
      <c r="S173" s="32"/>
      <c r="T173" s="5"/>
      <c r="U173" s="5"/>
      <c r="V173" s="5"/>
      <c r="W173" s="5"/>
      <c r="X173" s="5"/>
      <c r="Y173" s="5"/>
      <c r="Z173" s="5"/>
      <c r="AA173" s="5"/>
      <c r="AB173" s="5"/>
      <c r="AC173" s="5"/>
      <c r="AD173" s="5"/>
      <c r="AE173" s="5"/>
      <c r="AF173" s="5"/>
      <c r="AG173" s="5"/>
      <c r="AH173" s="5"/>
    </row>
    <row r="174" spans="1:34" x14ac:dyDescent="0.2">
      <c r="A174" s="19" t="s">
        <v>645</v>
      </c>
      <c r="B174" s="351">
        <v>0.77983107389667594</v>
      </c>
      <c r="C174" s="373">
        <v>0.73723704869051154</v>
      </c>
      <c r="D174" s="373">
        <v>0.87222156991434052</v>
      </c>
      <c r="R174" s="5"/>
      <c r="S174" s="32"/>
      <c r="T174" s="5"/>
      <c r="U174" s="5"/>
      <c r="V174" s="5"/>
      <c r="W174" s="5"/>
      <c r="X174" s="5"/>
      <c r="Y174" s="5"/>
      <c r="Z174" s="5"/>
      <c r="AA174" s="5"/>
      <c r="AB174" s="5"/>
      <c r="AC174" s="5"/>
      <c r="AD174" s="5"/>
      <c r="AE174" s="5"/>
      <c r="AF174" s="5"/>
      <c r="AG174" s="5"/>
      <c r="AH174" s="5"/>
    </row>
    <row r="175" spans="1:34" x14ac:dyDescent="0.2">
      <c r="A175" s="19" t="s">
        <v>646</v>
      </c>
      <c r="B175" s="351">
        <v>0.79775060093150907</v>
      </c>
      <c r="C175" s="373">
        <v>0.71904744049801228</v>
      </c>
      <c r="D175" s="373">
        <v>0.85475667700516322</v>
      </c>
      <c r="R175" s="5"/>
      <c r="S175" s="32"/>
      <c r="T175" s="5"/>
      <c r="U175" s="5"/>
      <c r="V175" s="5"/>
      <c r="W175" s="5"/>
      <c r="X175" s="5"/>
      <c r="Y175" s="5"/>
      <c r="Z175" s="5"/>
      <c r="AA175" s="5"/>
      <c r="AB175" s="5"/>
      <c r="AC175" s="5"/>
      <c r="AD175" s="5"/>
      <c r="AE175" s="5"/>
      <c r="AF175" s="5"/>
      <c r="AG175" s="5"/>
      <c r="AH175" s="5"/>
    </row>
    <row r="176" spans="1:34" x14ac:dyDescent="0.2">
      <c r="A176" s="19" t="s">
        <v>647</v>
      </c>
      <c r="B176" s="351">
        <v>0.79150111803708367</v>
      </c>
      <c r="C176" s="373">
        <v>0.70817857380635862</v>
      </c>
      <c r="D176" s="373">
        <v>0.84538709170832815</v>
      </c>
      <c r="R176" s="5"/>
      <c r="S176" s="32"/>
      <c r="T176" s="5"/>
      <c r="U176" s="5"/>
      <c r="V176" s="5"/>
      <c r="W176" s="5"/>
      <c r="X176" s="5"/>
      <c r="Y176" s="5"/>
      <c r="Z176" s="5"/>
      <c r="AA176" s="5"/>
      <c r="AB176" s="5"/>
      <c r="AC176" s="5"/>
      <c r="AD176" s="5"/>
      <c r="AE176" s="5"/>
      <c r="AF176" s="5"/>
      <c r="AG176" s="5"/>
      <c r="AH176" s="5"/>
    </row>
    <row r="177" spans="1:34" x14ac:dyDescent="0.2">
      <c r="A177" s="19" t="s">
        <v>648</v>
      </c>
      <c r="B177" s="351">
        <v>0.72872227906285825</v>
      </c>
      <c r="C177" s="373">
        <v>0.67808944061346355</v>
      </c>
      <c r="D177" s="373">
        <v>0.86910663620124695</v>
      </c>
      <c r="R177" s="5"/>
      <c r="S177" s="32"/>
      <c r="T177" s="5"/>
      <c r="U177" s="5"/>
      <c r="V177" s="5"/>
      <c r="W177" s="5"/>
      <c r="X177" s="5"/>
      <c r="Y177" s="5"/>
      <c r="Z177" s="5"/>
      <c r="AA177" s="5"/>
      <c r="AB177" s="5"/>
      <c r="AC177" s="5"/>
      <c r="AD177" s="5"/>
      <c r="AE177" s="5"/>
      <c r="AF177" s="5"/>
      <c r="AG177" s="5"/>
      <c r="AH177" s="5"/>
    </row>
    <row r="178" spans="1:34" x14ac:dyDescent="0.2">
      <c r="A178" s="19" t="s">
        <v>649</v>
      </c>
      <c r="B178" s="351">
        <v>0.7890465095442537</v>
      </c>
      <c r="C178" s="373">
        <v>0.78186836831176365</v>
      </c>
      <c r="D178" s="373">
        <v>0.87007599113078005</v>
      </c>
      <c r="R178" s="5"/>
      <c r="S178" s="32"/>
      <c r="T178" s="5"/>
      <c r="U178" s="5"/>
      <c r="V178" s="5"/>
      <c r="W178" s="5"/>
      <c r="X178" s="5"/>
      <c r="Y178" s="5"/>
      <c r="Z178" s="5"/>
      <c r="AA178" s="5"/>
      <c r="AB178" s="5"/>
      <c r="AC178" s="5"/>
      <c r="AD178" s="5"/>
      <c r="AE178" s="5"/>
      <c r="AF178" s="5"/>
      <c r="AG178" s="5"/>
      <c r="AH178" s="5"/>
    </row>
    <row r="179" spans="1:34" x14ac:dyDescent="0.2">
      <c r="A179" s="19" t="s">
        <v>650</v>
      </c>
      <c r="B179" s="351">
        <v>0.789858987906215</v>
      </c>
      <c r="C179" s="373">
        <v>0.77831914502693222</v>
      </c>
      <c r="D179" s="373">
        <v>0.88726142190847668</v>
      </c>
      <c r="R179" s="5"/>
      <c r="S179" s="32"/>
      <c r="T179" s="5"/>
      <c r="U179" s="5"/>
      <c r="V179" s="5"/>
      <c r="W179" s="5"/>
      <c r="X179" s="5"/>
      <c r="Y179" s="5"/>
      <c r="Z179" s="5"/>
      <c r="AA179" s="5"/>
      <c r="AB179" s="5"/>
      <c r="AC179" s="5"/>
      <c r="AD179" s="5"/>
      <c r="AE179" s="5"/>
      <c r="AF179" s="5"/>
      <c r="AG179" s="5"/>
      <c r="AH179" s="5"/>
    </row>
    <row r="180" spans="1:34" x14ac:dyDescent="0.2">
      <c r="A180" s="19" t="s">
        <v>651</v>
      </c>
      <c r="B180" s="351">
        <v>0.705488869904211</v>
      </c>
      <c r="C180" s="373">
        <v>0.6573210631432318</v>
      </c>
      <c r="D180" s="373">
        <v>0.91521133914639008</v>
      </c>
      <c r="R180" s="5"/>
      <c r="S180" s="32"/>
      <c r="T180" s="5"/>
      <c r="U180" s="5"/>
      <c r="V180" s="5"/>
      <c r="W180" s="5"/>
      <c r="X180" s="5"/>
      <c r="Y180" s="5"/>
      <c r="Z180" s="5"/>
      <c r="AA180" s="5"/>
      <c r="AB180" s="5"/>
      <c r="AC180" s="5"/>
      <c r="AD180" s="5"/>
      <c r="AE180" s="5"/>
      <c r="AF180" s="5"/>
      <c r="AG180" s="5"/>
      <c r="AH180" s="5"/>
    </row>
    <row r="181" spans="1:34" x14ac:dyDescent="0.2">
      <c r="A181" s="19" t="s">
        <v>652</v>
      </c>
      <c r="B181" s="351">
        <v>0.76816891440771951</v>
      </c>
      <c r="C181" s="373">
        <v>0.76618454957666615</v>
      </c>
      <c r="D181" s="373">
        <v>0.94129458900536889</v>
      </c>
      <c r="R181" s="5"/>
      <c r="S181" s="32"/>
      <c r="T181" s="5"/>
      <c r="U181" s="5"/>
      <c r="V181" s="5"/>
      <c r="W181" s="5"/>
      <c r="X181" s="5"/>
      <c r="Y181" s="5"/>
      <c r="Z181" s="5"/>
      <c r="AA181" s="5"/>
      <c r="AB181" s="5"/>
      <c r="AC181" s="5"/>
      <c r="AD181" s="5"/>
      <c r="AE181" s="5"/>
      <c r="AF181" s="5"/>
      <c r="AG181" s="5"/>
      <c r="AH181" s="5"/>
    </row>
    <row r="182" spans="1:34" x14ac:dyDescent="0.2">
      <c r="A182" s="19" t="s">
        <v>653</v>
      </c>
      <c r="B182" s="351">
        <v>0.76934695743615622</v>
      </c>
      <c r="C182" s="373">
        <v>0.7194843616943476</v>
      </c>
      <c r="D182" s="373">
        <v>0.86939612125053412</v>
      </c>
      <c r="R182" s="5"/>
      <c r="S182" s="32"/>
      <c r="T182" s="5"/>
      <c r="U182" s="5"/>
      <c r="V182" s="5"/>
      <c r="W182" s="5"/>
      <c r="X182" s="5"/>
      <c r="Y182" s="5"/>
      <c r="Z182" s="5"/>
      <c r="AA182" s="5"/>
      <c r="AB182" s="5"/>
      <c r="AC182" s="5"/>
      <c r="AD182" s="5"/>
      <c r="AE182" s="5"/>
      <c r="AF182" s="5"/>
      <c r="AG182" s="5"/>
      <c r="AH182" s="5"/>
    </row>
    <row r="183" spans="1:34" x14ac:dyDescent="0.2">
      <c r="A183" s="19" t="s">
        <v>654</v>
      </c>
      <c r="B183" s="351">
        <v>0.79968527357294517</v>
      </c>
      <c r="C183" s="373">
        <v>0.67152106552194246</v>
      </c>
      <c r="D183" s="373">
        <v>0.88023159576753807</v>
      </c>
      <c r="R183" s="5"/>
      <c r="S183" s="32"/>
      <c r="T183" s="5"/>
      <c r="U183" s="5"/>
      <c r="V183" s="5"/>
      <c r="W183" s="5"/>
      <c r="X183" s="5"/>
      <c r="Y183" s="5"/>
      <c r="Z183" s="5"/>
      <c r="AA183" s="5"/>
      <c r="AB183" s="5"/>
      <c r="AC183" s="5"/>
      <c r="AD183" s="5"/>
      <c r="AE183" s="5"/>
      <c r="AF183" s="5"/>
      <c r="AG183" s="5"/>
      <c r="AH183" s="5"/>
    </row>
    <row r="184" spans="1:34" x14ac:dyDescent="0.2">
      <c r="A184" s="19" t="s">
        <v>655</v>
      </c>
      <c r="B184" s="351">
        <v>0.77542253534693562</v>
      </c>
      <c r="C184" s="373">
        <v>0.74325016286454293</v>
      </c>
      <c r="D184" s="373">
        <v>0.84371049837063505</v>
      </c>
      <c r="R184" s="5"/>
      <c r="S184" s="32"/>
      <c r="T184" s="5"/>
      <c r="U184" s="5"/>
      <c r="V184" s="5"/>
      <c r="W184" s="5"/>
      <c r="X184" s="5"/>
      <c r="Y184" s="5"/>
      <c r="Z184" s="5"/>
      <c r="AA184" s="5"/>
      <c r="AB184" s="5"/>
      <c r="AC184" s="5"/>
      <c r="AD184" s="5"/>
      <c r="AE184" s="5"/>
      <c r="AF184" s="5"/>
      <c r="AG184" s="5"/>
      <c r="AH184" s="5"/>
    </row>
    <row r="185" spans="1:34" x14ac:dyDescent="0.2">
      <c r="A185" s="19" t="s">
        <v>656</v>
      </c>
      <c r="B185" s="351">
        <v>0.7802161812865992</v>
      </c>
      <c r="C185" s="373">
        <v>0.63888372460191101</v>
      </c>
      <c r="D185" s="373">
        <v>0.90822092092831885</v>
      </c>
      <c r="R185" s="5"/>
      <c r="S185" s="32"/>
      <c r="T185" s="5"/>
      <c r="U185" s="5"/>
      <c r="V185" s="5"/>
      <c r="W185" s="5"/>
      <c r="X185" s="5"/>
      <c r="Y185" s="5"/>
      <c r="Z185" s="5"/>
      <c r="AA185" s="5"/>
      <c r="AB185" s="5"/>
      <c r="AC185" s="5"/>
      <c r="AD185" s="5"/>
      <c r="AE185" s="5"/>
      <c r="AF185" s="5"/>
      <c r="AG185" s="5"/>
      <c r="AH185" s="5"/>
    </row>
    <row r="186" spans="1:34" x14ac:dyDescent="0.2">
      <c r="A186" s="19" t="s">
        <v>657</v>
      </c>
      <c r="B186" s="351">
        <v>0.76138876088831808</v>
      </c>
      <c r="C186" s="373">
        <v>0.75352192760073811</v>
      </c>
      <c r="D186" s="373">
        <v>0.9047202926801805</v>
      </c>
      <c r="R186" s="5"/>
      <c r="S186" s="32"/>
      <c r="T186" s="5"/>
      <c r="U186" s="5"/>
      <c r="V186" s="5"/>
      <c r="W186" s="5"/>
      <c r="X186" s="5"/>
      <c r="Y186" s="5"/>
      <c r="Z186" s="5"/>
      <c r="AA186" s="5"/>
      <c r="AB186" s="5"/>
      <c r="AC186" s="5"/>
      <c r="AD186" s="5"/>
      <c r="AE186" s="5"/>
      <c r="AF186" s="5"/>
      <c r="AG186" s="5"/>
      <c r="AH186" s="5"/>
    </row>
    <row r="187" spans="1:34" x14ac:dyDescent="0.2">
      <c r="A187" s="19" t="s">
        <v>658</v>
      </c>
      <c r="B187" s="351">
        <v>0.79458503913834844</v>
      </c>
      <c r="C187" s="373">
        <v>0.78605063770627526</v>
      </c>
      <c r="D187" s="373">
        <v>0.95758711334846813</v>
      </c>
      <c r="R187" s="5"/>
      <c r="S187" s="32"/>
      <c r="T187" s="5"/>
      <c r="U187" s="5"/>
      <c r="V187" s="5"/>
      <c r="W187" s="5"/>
      <c r="X187" s="5"/>
      <c r="Y187" s="5"/>
      <c r="Z187" s="5"/>
      <c r="AA187" s="5"/>
      <c r="AB187" s="5"/>
      <c r="AC187" s="5"/>
      <c r="AD187" s="5"/>
      <c r="AE187" s="5"/>
      <c r="AF187" s="5"/>
      <c r="AG187" s="5"/>
      <c r="AH187" s="5"/>
    </row>
    <row r="188" spans="1:34" x14ac:dyDescent="0.2">
      <c r="A188" s="19" t="s">
        <v>659</v>
      </c>
      <c r="B188" s="351">
        <v>0.755525070864982</v>
      </c>
      <c r="C188" s="373">
        <v>0.34110119978802012</v>
      </c>
      <c r="D188" s="373">
        <v>0.91165217168344959</v>
      </c>
      <c r="R188" s="5"/>
      <c r="S188" s="32"/>
      <c r="T188" s="5"/>
      <c r="U188" s="5"/>
      <c r="V188" s="5"/>
      <c r="W188" s="5"/>
      <c r="X188" s="5"/>
      <c r="Y188" s="5"/>
      <c r="Z188" s="5"/>
      <c r="AA188" s="5"/>
      <c r="AB188" s="5"/>
      <c r="AC188" s="5"/>
      <c r="AD188" s="5"/>
      <c r="AE188" s="5"/>
      <c r="AF188" s="5"/>
      <c r="AG188" s="5"/>
      <c r="AH188" s="5"/>
    </row>
    <row r="189" spans="1:34" x14ac:dyDescent="0.2">
      <c r="A189" s="19" t="s">
        <v>660</v>
      </c>
      <c r="B189" s="351">
        <v>0.78560254795045803</v>
      </c>
      <c r="C189" s="373">
        <v>0.79122420914699698</v>
      </c>
      <c r="D189" s="373">
        <v>0.80451198844776173</v>
      </c>
      <c r="R189" s="5"/>
      <c r="S189" s="32"/>
      <c r="T189" s="5"/>
      <c r="U189" s="5"/>
      <c r="V189" s="5"/>
      <c r="W189" s="5"/>
      <c r="X189" s="5"/>
      <c r="Y189" s="5"/>
      <c r="Z189" s="5"/>
      <c r="AA189" s="5"/>
      <c r="AB189" s="5"/>
      <c r="AC189" s="5"/>
      <c r="AD189" s="5"/>
      <c r="AE189" s="5"/>
      <c r="AF189" s="5"/>
      <c r="AG189" s="5"/>
      <c r="AH189" s="5"/>
    </row>
    <row r="190" spans="1:34" x14ac:dyDescent="0.2">
      <c r="A190" s="19" t="s">
        <v>661</v>
      </c>
      <c r="B190" s="351">
        <v>0.75401046395302695</v>
      </c>
      <c r="C190" s="373">
        <v>0.75930501429170749</v>
      </c>
      <c r="D190" s="373">
        <v>0.94485371215463176</v>
      </c>
      <c r="R190" s="5"/>
      <c r="S190" s="32"/>
      <c r="T190" s="5"/>
      <c r="U190" s="5"/>
      <c r="V190" s="5"/>
      <c r="W190" s="5"/>
      <c r="X190" s="5"/>
      <c r="Y190" s="5"/>
      <c r="Z190" s="5"/>
      <c r="AA190" s="5"/>
      <c r="AB190" s="5"/>
      <c r="AC190" s="5"/>
      <c r="AD190" s="5"/>
      <c r="AE190" s="5"/>
      <c r="AF190" s="5"/>
      <c r="AG190" s="5"/>
      <c r="AH190" s="5"/>
    </row>
    <row r="191" spans="1:34" x14ac:dyDescent="0.2">
      <c r="A191" s="19" t="s">
        <v>662</v>
      </c>
      <c r="B191" s="351">
        <v>0.74460279453075484</v>
      </c>
      <c r="C191" s="373">
        <v>0.78434963780374045</v>
      </c>
      <c r="D191" s="373">
        <v>0.94815999724772193</v>
      </c>
      <c r="R191" s="5"/>
      <c r="S191" s="32"/>
      <c r="T191" s="5"/>
      <c r="U191" s="5"/>
      <c r="V191" s="5"/>
      <c r="W191" s="5"/>
      <c r="X191" s="5"/>
      <c r="Y191" s="5"/>
      <c r="Z191" s="5"/>
      <c r="AA191" s="5"/>
      <c r="AB191" s="5"/>
      <c r="AC191" s="5"/>
      <c r="AD191" s="5"/>
      <c r="AE191" s="5"/>
      <c r="AF191" s="5"/>
      <c r="AG191" s="5"/>
      <c r="AH191" s="5"/>
    </row>
    <row r="192" spans="1:34" x14ac:dyDescent="0.2">
      <c r="A192" s="19" t="s">
        <v>663</v>
      </c>
      <c r="B192" s="351">
        <v>0.77464835765350626</v>
      </c>
      <c r="C192" s="373">
        <v>0.70983072570067218</v>
      </c>
      <c r="D192" s="373">
        <v>0.88440224492854547</v>
      </c>
      <c r="R192" s="5"/>
      <c r="S192" s="32"/>
      <c r="T192" s="5"/>
      <c r="U192" s="5"/>
      <c r="V192" s="5"/>
      <c r="W192" s="5"/>
      <c r="X192" s="5"/>
      <c r="Y192" s="5"/>
      <c r="Z192" s="5"/>
      <c r="AA192" s="5"/>
      <c r="AB192" s="5"/>
      <c r="AC192" s="5"/>
      <c r="AD192" s="5"/>
      <c r="AE192" s="5"/>
      <c r="AF192" s="5"/>
      <c r="AG192" s="5"/>
      <c r="AH192" s="5"/>
    </row>
    <row r="193" spans="1:34" x14ac:dyDescent="0.2">
      <c r="A193" s="19" t="s">
        <v>664</v>
      </c>
      <c r="B193" s="351">
        <v>0.75524977510194402</v>
      </c>
      <c r="C193" s="373">
        <v>0.67183823099032913</v>
      </c>
      <c r="D193" s="373">
        <v>0.89148569030533331</v>
      </c>
      <c r="R193" s="5"/>
      <c r="S193" s="32"/>
      <c r="T193" s="5"/>
      <c r="U193" s="5"/>
      <c r="V193" s="5"/>
      <c r="W193" s="5"/>
      <c r="X193" s="5"/>
      <c r="Y193" s="5"/>
      <c r="Z193" s="5"/>
      <c r="AA193" s="5"/>
      <c r="AB193" s="5"/>
      <c r="AC193" s="5"/>
      <c r="AD193" s="5"/>
      <c r="AE193" s="5"/>
      <c r="AF193" s="5"/>
      <c r="AG193" s="5"/>
      <c r="AH193" s="5"/>
    </row>
    <row r="194" spans="1:34" x14ac:dyDescent="0.2">
      <c r="A194" s="19" t="s">
        <v>665</v>
      </c>
      <c r="B194" s="351">
        <v>0.75431286247873508</v>
      </c>
      <c r="C194" s="373">
        <v>0.6989999077850606</v>
      </c>
      <c r="D194" s="373">
        <v>0.88064214264434881</v>
      </c>
      <c r="R194" s="5"/>
      <c r="S194" s="32"/>
      <c r="T194" s="5"/>
      <c r="U194" s="5"/>
      <c r="V194" s="5"/>
      <c r="W194" s="5"/>
      <c r="X194" s="5"/>
      <c r="Y194" s="5"/>
      <c r="Z194" s="5"/>
      <c r="AA194" s="5"/>
      <c r="AB194" s="5"/>
      <c r="AC194" s="5"/>
      <c r="AD194" s="5"/>
      <c r="AE194" s="5"/>
      <c r="AF194" s="5"/>
      <c r="AG194" s="5"/>
      <c r="AH194" s="5"/>
    </row>
    <row r="195" spans="1:34" x14ac:dyDescent="0.2">
      <c r="A195" s="145" t="s">
        <v>666</v>
      </c>
      <c r="B195" s="352">
        <v>0.78873047709295518</v>
      </c>
      <c r="C195" s="374">
        <v>0.57576605160263283</v>
      </c>
      <c r="D195" s="374">
        <v>0.93455685811191325</v>
      </c>
      <c r="R195" s="5"/>
      <c r="S195" s="32"/>
      <c r="T195" s="5"/>
      <c r="U195" s="5"/>
      <c r="V195" s="5"/>
      <c r="W195" s="5"/>
      <c r="X195" s="5"/>
      <c r="Y195" s="5"/>
      <c r="Z195" s="5"/>
      <c r="AA195" s="5"/>
      <c r="AB195" s="5"/>
      <c r="AC195" s="5"/>
      <c r="AD195" s="5"/>
      <c r="AE195" s="5"/>
      <c r="AF195" s="5"/>
      <c r="AG195" s="5"/>
      <c r="AH195" s="5"/>
    </row>
    <row r="196" spans="1:34" x14ac:dyDescent="0.2">
      <c r="A196" s="335" t="s">
        <v>667</v>
      </c>
      <c r="B196" s="351">
        <v>0.8116650629858535</v>
      </c>
      <c r="C196" s="373">
        <v>0.57352225350288077</v>
      </c>
      <c r="D196" s="373">
        <v>0.4511045510582693</v>
      </c>
    </row>
    <row r="197" spans="1:34" x14ac:dyDescent="0.2">
      <c r="A197" s="19" t="s">
        <v>668</v>
      </c>
      <c r="B197" s="351">
        <v>0.77473294359041223</v>
      </c>
      <c r="C197" s="373">
        <v>0.60425676499495773</v>
      </c>
      <c r="D197" s="373">
        <v>0.31256718796275129</v>
      </c>
    </row>
    <row r="198" spans="1:34" x14ac:dyDescent="0.2">
      <c r="A198" s="19" t="s">
        <v>674</v>
      </c>
      <c r="B198" s="351">
        <v>0.81347041802286679</v>
      </c>
      <c r="C198" s="373">
        <v>0.61937154598158284</v>
      </c>
      <c r="D198" s="373">
        <v>0.4221161174990733</v>
      </c>
    </row>
    <row r="199" spans="1:34" x14ac:dyDescent="0.2">
      <c r="A199" s="19" t="s">
        <v>675</v>
      </c>
      <c r="B199" s="351">
        <v>0.70438548639816556</v>
      </c>
      <c r="C199" s="373">
        <v>0.3772051880911208</v>
      </c>
      <c r="D199" s="373">
        <v>0.63198930672700271</v>
      </c>
    </row>
    <row r="200" spans="1:34" x14ac:dyDescent="0.2">
      <c r="A200" s="19" t="s">
        <v>676</v>
      </c>
      <c r="B200" s="351">
        <v>0.73922343616000297</v>
      </c>
      <c r="C200" s="373">
        <v>0.49978857974740531</v>
      </c>
      <c r="D200" s="373">
        <v>0.49267821537671541</v>
      </c>
    </row>
    <row r="201" spans="1:34" x14ac:dyDescent="0.2">
      <c r="A201" s="19" t="s">
        <v>677</v>
      </c>
      <c r="B201" s="351">
        <v>0.75632223142813848</v>
      </c>
      <c r="C201" s="373">
        <v>0.4829075207533976</v>
      </c>
      <c r="D201" s="373">
        <v>0.42063397382366097</v>
      </c>
    </row>
    <row r="202" spans="1:34" x14ac:dyDescent="0.2">
      <c r="A202" s="19" t="s">
        <v>678</v>
      </c>
      <c r="B202" s="351">
        <v>0.71526875063042583</v>
      </c>
      <c r="C202" s="373">
        <v>0.3752363234846875</v>
      </c>
      <c r="D202" s="373">
        <v>0.37816161784521873</v>
      </c>
    </row>
    <row r="203" spans="1:34" x14ac:dyDescent="0.2">
      <c r="A203" s="19" t="s">
        <v>679</v>
      </c>
      <c r="B203" s="351">
        <v>0.67558317793674183</v>
      </c>
      <c r="C203" s="373">
        <v>0.35971045418512748</v>
      </c>
      <c r="D203" s="373">
        <v>0.47064758044693977</v>
      </c>
    </row>
    <row r="204" spans="1:34" x14ac:dyDescent="0.2">
      <c r="A204" s="19" t="s">
        <v>680</v>
      </c>
      <c r="B204" s="351">
        <v>0.75827951257612325</v>
      </c>
      <c r="C204" s="373">
        <v>0.61267869904304373</v>
      </c>
      <c r="D204" s="373">
        <v>0.49219258225781981</v>
      </c>
    </row>
    <row r="205" spans="1:34" x14ac:dyDescent="0.2">
      <c r="A205" s="19" t="s">
        <v>681</v>
      </c>
      <c r="B205" s="351">
        <v>0.74770312907029379</v>
      </c>
      <c r="C205" s="373">
        <v>0.60550330708053934</v>
      </c>
      <c r="D205" s="373">
        <v>0.55265597168732183</v>
      </c>
    </row>
    <row r="206" spans="1:34" x14ac:dyDescent="0.2">
      <c r="A206" s="19" t="s">
        <v>682</v>
      </c>
      <c r="B206" s="351">
        <v>0.64220123488753678</v>
      </c>
      <c r="C206" s="373">
        <v>0.29121780837797184</v>
      </c>
      <c r="D206" s="373">
        <v>0.66085680495090815</v>
      </c>
    </row>
    <row r="207" spans="1:34" x14ac:dyDescent="0.2">
      <c r="A207" s="19" t="s">
        <v>683</v>
      </c>
      <c r="B207" s="351">
        <v>0.71089848449553406</v>
      </c>
      <c r="C207" s="373">
        <v>0.40318729256383135</v>
      </c>
      <c r="D207" s="373">
        <v>0.75383101813758979</v>
      </c>
    </row>
    <row r="208" spans="1:34" x14ac:dyDescent="0.2">
      <c r="A208" s="19" t="s">
        <v>684</v>
      </c>
      <c r="B208" s="351">
        <v>0.73749087226546428</v>
      </c>
      <c r="C208" s="373">
        <v>0.44067209271174845</v>
      </c>
      <c r="D208" s="373">
        <v>0.50048806329639695</v>
      </c>
    </row>
    <row r="209" spans="1:4" x14ac:dyDescent="0.2">
      <c r="A209" s="19" t="s">
        <v>685</v>
      </c>
      <c r="B209" s="351">
        <v>0.753058245245113</v>
      </c>
      <c r="C209" s="373">
        <v>0.37939286649931991</v>
      </c>
      <c r="D209" s="373">
        <v>0.52017623588365236</v>
      </c>
    </row>
    <row r="210" spans="1:4" x14ac:dyDescent="0.2">
      <c r="A210" s="19" t="s">
        <v>686</v>
      </c>
      <c r="B210" s="351">
        <v>0.74241582549620189</v>
      </c>
      <c r="C210" s="373">
        <v>0.48073081464333201</v>
      </c>
      <c r="D210" s="373">
        <v>0.37595085332787181</v>
      </c>
    </row>
    <row r="211" spans="1:4" x14ac:dyDescent="0.2">
      <c r="A211" s="19" t="s">
        <v>687</v>
      </c>
      <c r="B211" s="351">
        <v>0.71587144086604604</v>
      </c>
      <c r="C211" s="373">
        <v>0.33589325922064295</v>
      </c>
      <c r="D211" s="373">
        <v>0.57876201718453635</v>
      </c>
    </row>
    <row r="212" spans="1:4" x14ac:dyDescent="0.2">
      <c r="A212" s="19" t="s">
        <v>688</v>
      </c>
      <c r="B212" s="351">
        <v>0.7002117906700116</v>
      </c>
      <c r="C212" s="373">
        <v>0.46321367095413479</v>
      </c>
      <c r="D212" s="373">
        <v>0.47729404692284449</v>
      </c>
    </row>
    <row r="213" spans="1:4" x14ac:dyDescent="0.2">
      <c r="A213" s="19" t="s">
        <v>689</v>
      </c>
      <c r="B213" s="351">
        <v>0.76200309366963848</v>
      </c>
      <c r="C213" s="373">
        <v>0.51794263950184705</v>
      </c>
      <c r="D213" s="373">
        <v>0.83273129877146879</v>
      </c>
    </row>
    <row r="214" spans="1:4" x14ac:dyDescent="0.2">
      <c r="A214" s="19" t="s">
        <v>690</v>
      </c>
      <c r="B214" s="351">
        <v>0.71667326348983695</v>
      </c>
      <c r="C214" s="373">
        <v>0.14788578237043581</v>
      </c>
      <c r="D214" s="373">
        <v>0.6593311411910725</v>
      </c>
    </row>
    <row r="215" spans="1:4" x14ac:dyDescent="0.2">
      <c r="A215" s="19" t="s">
        <v>691</v>
      </c>
      <c r="B215" s="351">
        <v>0.7762922404158199</v>
      </c>
      <c r="C215" s="373">
        <v>0.47910675871027197</v>
      </c>
      <c r="D215" s="373">
        <v>0.22010900350556684</v>
      </c>
    </row>
    <row r="216" spans="1:4" x14ac:dyDescent="0.2">
      <c r="A216" s="19" t="s">
        <v>692</v>
      </c>
      <c r="B216" s="351">
        <v>0.70689536182690926</v>
      </c>
      <c r="C216" s="373">
        <v>0.49885785258707682</v>
      </c>
      <c r="D216" s="373">
        <v>0.76356468204541716</v>
      </c>
    </row>
    <row r="217" spans="1:4" x14ac:dyDescent="0.2">
      <c r="A217" s="19" t="s">
        <v>693</v>
      </c>
      <c r="B217" s="351">
        <v>0.70499745122283408</v>
      </c>
      <c r="C217" s="373">
        <v>0.45829831889333117</v>
      </c>
      <c r="D217" s="373">
        <v>0.80869634224041598</v>
      </c>
    </row>
    <row r="218" spans="1:4" x14ac:dyDescent="0.2">
      <c r="A218" s="19" t="s">
        <v>694</v>
      </c>
      <c r="B218" s="351">
        <v>0.73146194097938566</v>
      </c>
      <c r="C218" s="373">
        <v>0.53462118034797435</v>
      </c>
      <c r="D218" s="373">
        <v>0.52525027008060421</v>
      </c>
    </row>
    <row r="219" spans="1:4" x14ac:dyDescent="0.2">
      <c r="A219" s="19" t="s">
        <v>695</v>
      </c>
      <c r="B219" s="351">
        <v>0.7043697651452423</v>
      </c>
      <c r="C219" s="373">
        <v>0.4687728155891977</v>
      </c>
      <c r="D219" s="373">
        <v>0.55668392981434622</v>
      </c>
    </row>
    <row r="220" spans="1:4" x14ac:dyDescent="0.2">
      <c r="A220" s="19" t="s">
        <v>696</v>
      </c>
      <c r="B220" s="351">
        <v>0.70123101682434663</v>
      </c>
      <c r="C220" s="373">
        <v>0.34507271778949145</v>
      </c>
      <c r="D220" s="373">
        <v>0.41060824992476508</v>
      </c>
    </row>
    <row r="221" spans="1:4" x14ac:dyDescent="0.2">
      <c r="A221" s="145" t="s">
        <v>697</v>
      </c>
      <c r="B221" s="352">
        <v>0.73240470647698208</v>
      </c>
      <c r="C221" s="374">
        <v>0.30391360117928268</v>
      </c>
      <c r="D221" s="374">
        <v>0.72441041438632037</v>
      </c>
    </row>
    <row r="222" spans="1:4" x14ac:dyDescent="0.2">
      <c r="A222" s="335" t="s">
        <v>698</v>
      </c>
      <c r="B222" s="351">
        <v>0.91407426169926753</v>
      </c>
      <c r="C222" s="373">
        <v>0.98755295004357935</v>
      </c>
      <c r="D222" s="373">
        <v>0.90434763688066</v>
      </c>
    </row>
    <row r="223" spans="1:4" x14ac:dyDescent="0.2">
      <c r="A223" s="19" t="s">
        <v>699</v>
      </c>
      <c r="B223" s="351">
        <v>0.87351678513365272</v>
      </c>
      <c r="C223" s="373">
        <v>0.98639317218405687</v>
      </c>
      <c r="D223" s="373">
        <v>0.91975986407920907</v>
      </c>
    </row>
    <row r="224" spans="1:4" x14ac:dyDescent="0.2">
      <c r="A224" s="19" t="s">
        <v>700</v>
      </c>
      <c r="B224" s="351">
        <v>0.91172291114080906</v>
      </c>
      <c r="C224" s="373">
        <v>0.98713154985082807</v>
      </c>
      <c r="D224" s="373">
        <v>0.90085371005286363</v>
      </c>
    </row>
    <row r="225" spans="1:4" x14ac:dyDescent="0.2">
      <c r="A225" s="19" t="s">
        <v>701</v>
      </c>
      <c r="B225" s="351">
        <v>0.89716926608845693</v>
      </c>
      <c r="C225" s="373">
        <v>0.98450791435674634</v>
      </c>
      <c r="D225" s="373">
        <v>0.94449799393053524</v>
      </c>
    </row>
    <row r="226" spans="1:4" x14ac:dyDescent="0.2">
      <c r="A226" s="19" t="s">
        <v>702</v>
      </c>
      <c r="B226" s="351">
        <v>0.90025334701180693</v>
      </c>
      <c r="C226" s="373">
        <v>0.98326647333100903</v>
      </c>
      <c r="D226" s="373">
        <v>0.89629146044630592</v>
      </c>
    </row>
    <row r="227" spans="1:4" x14ac:dyDescent="0.2">
      <c r="A227" s="19" t="s">
        <v>703</v>
      </c>
      <c r="B227" s="351">
        <v>0.897752301061298</v>
      </c>
      <c r="C227" s="373">
        <v>0.98242297776070497</v>
      </c>
      <c r="D227" s="373">
        <v>0.9343027284635782</v>
      </c>
    </row>
    <row r="228" spans="1:4" x14ac:dyDescent="0.2">
      <c r="A228" s="19" t="s">
        <v>704</v>
      </c>
      <c r="B228" s="351">
        <v>0.90527507062837342</v>
      </c>
      <c r="C228" s="373">
        <v>0.98217588862572991</v>
      </c>
      <c r="D228" s="373">
        <v>0.96383424758078062</v>
      </c>
    </row>
    <row r="229" spans="1:4" x14ac:dyDescent="0.2">
      <c r="A229" s="19" t="s">
        <v>705</v>
      </c>
      <c r="B229" s="351">
        <v>0.89631490087433363</v>
      </c>
      <c r="C229" s="373">
        <v>0.98523962297168166</v>
      </c>
      <c r="D229" s="373">
        <v>0.96154183782441693</v>
      </c>
    </row>
    <row r="230" spans="1:4" x14ac:dyDescent="0.2">
      <c r="A230" s="19" t="s">
        <v>706</v>
      </c>
      <c r="B230" s="351">
        <v>0.91327330000492168</v>
      </c>
      <c r="C230" s="373">
        <v>0.98432605862693245</v>
      </c>
      <c r="D230" s="373">
        <v>0.9676574442981043</v>
      </c>
    </row>
    <row r="231" spans="1:4" x14ac:dyDescent="0.2">
      <c r="A231" s="19" t="s">
        <v>707</v>
      </c>
      <c r="B231" s="351">
        <v>0.90256199822311955</v>
      </c>
      <c r="C231" s="373">
        <v>0.98586743372795538</v>
      </c>
      <c r="D231" s="373">
        <v>0.94314781095368083</v>
      </c>
    </row>
    <row r="232" spans="1:4" x14ac:dyDescent="0.2">
      <c r="A232" s="19" t="s">
        <v>708</v>
      </c>
      <c r="B232" s="351">
        <v>0.90192802240164016</v>
      </c>
      <c r="C232" s="373">
        <v>0.98518024692371675</v>
      </c>
      <c r="D232" s="373">
        <v>0.96936179944003742</v>
      </c>
    </row>
    <row r="233" spans="1:4" x14ac:dyDescent="0.2">
      <c r="A233" s="19" t="s">
        <v>709</v>
      </c>
      <c r="B233" s="351">
        <v>0.93191089030182361</v>
      </c>
      <c r="C233" s="373">
        <v>0.98936260430763023</v>
      </c>
      <c r="D233" s="373">
        <v>0.97105496775883315</v>
      </c>
    </row>
    <row r="234" spans="1:4" x14ac:dyDescent="0.2">
      <c r="A234" s="19" t="s">
        <v>710</v>
      </c>
      <c r="B234" s="351">
        <v>0.91669613900675551</v>
      </c>
      <c r="C234" s="373">
        <v>0.98497762933368938</v>
      </c>
      <c r="D234" s="373">
        <v>0.99049219066309424</v>
      </c>
    </row>
    <row r="235" spans="1:4" x14ac:dyDescent="0.2">
      <c r="A235" s="19" t="s">
        <v>711</v>
      </c>
      <c r="B235" s="351">
        <v>0.92266758584774478</v>
      </c>
      <c r="C235" s="373">
        <v>0.98059288174022985</v>
      </c>
      <c r="D235" s="373">
        <v>0.97034552900768223</v>
      </c>
    </row>
    <row r="236" spans="1:4" x14ac:dyDescent="0.2">
      <c r="A236" s="19" t="s">
        <v>712</v>
      </c>
      <c r="B236" s="351">
        <v>0.93322243082024758</v>
      </c>
      <c r="C236" s="373">
        <v>0.98581913076147276</v>
      </c>
      <c r="D236" s="373">
        <v>0.9857699905611671</v>
      </c>
    </row>
    <row r="237" spans="1:4" x14ac:dyDescent="0.2">
      <c r="A237" s="19" t="s">
        <v>713</v>
      </c>
      <c r="B237" s="351">
        <v>0.94406069946178039</v>
      </c>
      <c r="C237" s="373">
        <v>0.99405556714614585</v>
      </c>
      <c r="D237" s="373">
        <v>0.97796189951680113</v>
      </c>
    </row>
    <row r="238" spans="1:4" x14ac:dyDescent="0.2">
      <c r="A238" s="19" t="s">
        <v>714</v>
      </c>
      <c r="B238" s="351">
        <v>0.92790776184476897</v>
      </c>
      <c r="C238" s="373">
        <v>0.99352903905145429</v>
      </c>
      <c r="D238" s="373">
        <v>0.9814873254034584</v>
      </c>
    </row>
    <row r="239" spans="1:4" x14ac:dyDescent="0.2">
      <c r="A239" s="19" t="s">
        <v>715</v>
      </c>
      <c r="B239" s="351">
        <v>0.93980142761867369</v>
      </c>
      <c r="C239" s="373">
        <v>0.9927487965421945</v>
      </c>
      <c r="D239" s="373">
        <v>0.98291294457083644</v>
      </c>
    </row>
    <row r="240" spans="1:4" x14ac:dyDescent="0.2">
      <c r="A240" s="19" t="s">
        <v>716</v>
      </c>
      <c r="B240" s="351">
        <v>0.9386004433408609</v>
      </c>
      <c r="C240" s="373">
        <v>0.9852639752582466</v>
      </c>
      <c r="D240" s="373">
        <v>0.96854993628974961</v>
      </c>
    </row>
    <row r="241" spans="1:4" x14ac:dyDescent="0.2">
      <c r="A241" s="19" t="s">
        <v>717</v>
      </c>
      <c r="B241" s="351">
        <v>0.92454333448175474</v>
      </c>
      <c r="C241" s="373">
        <v>0.98847682176990925</v>
      </c>
      <c r="D241" s="373">
        <v>0.88149334374397748</v>
      </c>
    </row>
    <row r="242" spans="1:4" x14ac:dyDescent="0.2">
      <c r="A242" s="19" t="s">
        <v>718</v>
      </c>
      <c r="B242" s="351">
        <v>0.92483835166037476</v>
      </c>
      <c r="C242" s="373">
        <v>0.98970325631895506</v>
      </c>
      <c r="D242" s="373">
        <v>0.97213629910422383</v>
      </c>
    </row>
    <row r="243" spans="1:4" x14ac:dyDescent="0.2">
      <c r="A243" s="19" t="s">
        <v>719</v>
      </c>
      <c r="B243" s="351">
        <v>0.92338129665152213</v>
      </c>
      <c r="C243" s="373">
        <v>0.99063581226535691</v>
      </c>
      <c r="D243" s="373">
        <v>0.96524530885200566</v>
      </c>
    </row>
    <row r="244" spans="1:4" x14ac:dyDescent="0.2">
      <c r="A244" s="19" t="s">
        <v>720</v>
      </c>
      <c r="B244" s="351">
        <v>0.92699534935607486</v>
      </c>
      <c r="C244" s="373">
        <v>0.98541931917211301</v>
      </c>
      <c r="D244" s="373">
        <v>0.96175664435638775</v>
      </c>
    </row>
    <row r="245" spans="1:4" x14ac:dyDescent="0.2">
      <c r="A245" s="19" t="s">
        <v>721</v>
      </c>
      <c r="B245" s="351">
        <v>0.93255121862790935</v>
      </c>
      <c r="C245" s="373">
        <v>0.98515856580905992</v>
      </c>
      <c r="D245" s="373">
        <v>0.96857294161329632</v>
      </c>
    </row>
    <row r="246" spans="1:4" x14ac:dyDescent="0.2">
      <c r="A246" s="19" t="s">
        <v>722</v>
      </c>
      <c r="B246" s="351">
        <v>0.93489785581971907</v>
      </c>
      <c r="C246" s="373">
        <v>0.99223236769425605</v>
      </c>
      <c r="D246" s="373">
        <v>0.97529243427708789</v>
      </c>
    </row>
    <row r="247" spans="1:4" x14ac:dyDescent="0.2">
      <c r="A247" s="145" t="s">
        <v>723</v>
      </c>
      <c r="B247" s="352">
        <v>0.94470386537020157</v>
      </c>
      <c r="C247" s="374">
        <v>0.99083226395632906</v>
      </c>
      <c r="D247" s="374">
        <v>0.97499604585434252</v>
      </c>
    </row>
    <row r="248" spans="1:4" x14ac:dyDescent="0.2">
      <c r="A248" s="335" t="s">
        <v>724</v>
      </c>
      <c r="B248" s="351">
        <v>0.8944763408544163</v>
      </c>
      <c r="C248" s="373">
        <v>0.97468449912193345</v>
      </c>
      <c r="D248" s="373">
        <v>0.61910792466471298</v>
      </c>
    </row>
    <row r="249" spans="1:4" x14ac:dyDescent="0.2">
      <c r="A249" s="19" t="s">
        <v>725</v>
      </c>
      <c r="B249" s="351">
        <v>0.85027053747239079</v>
      </c>
      <c r="C249" s="373">
        <v>0.97373339893937616</v>
      </c>
      <c r="D249" s="373">
        <v>0.67648163694919017</v>
      </c>
    </row>
    <row r="250" spans="1:4" x14ac:dyDescent="0.2">
      <c r="A250" s="19" t="s">
        <v>726</v>
      </c>
      <c r="B250" s="351">
        <v>0.90406931559238646</v>
      </c>
      <c r="C250" s="373">
        <v>0.97529996999534518</v>
      </c>
      <c r="D250" s="373">
        <v>0.60664603330813316</v>
      </c>
    </row>
    <row r="251" spans="1:4" x14ac:dyDescent="0.2">
      <c r="A251" s="19" t="s">
        <v>727</v>
      </c>
      <c r="B251" s="351">
        <v>0.88411396205961235</v>
      </c>
      <c r="C251" s="373">
        <v>0.96823763992007594</v>
      </c>
      <c r="D251" s="373">
        <v>0.77979960964771544</v>
      </c>
    </row>
    <row r="252" spans="1:4" x14ac:dyDescent="0.2">
      <c r="A252" s="19" t="s">
        <v>728</v>
      </c>
      <c r="B252" s="351">
        <v>0.88185621885354304</v>
      </c>
      <c r="C252" s="373">
        <v>0.96814504822990854</v>
      </c>
      <c r="D252" s="373">
        <v>0.58824348263017701</v>
      </c>
    </row>
    <row r="253" spans="1:4" x14ac:dyDescent="0.2">
      <c r="A253" s="19" t="s">
        <v>729</v>
      </c>
      <c r="B253" s="351">
        <v>0.87680808331819626</v>
      </c>
      <c r="C253" s="373">
        <v>0.9676495347698536</v>
      </c>
      <c r="D253" s="373">
        <v>0.73793792130439173</v>
      </c>
    </row>
    <row r="254" spans="1:4" x14ac:dyDescent="0.2">
      <c r="A254" s="19" t="s">
        <v>730</v>
      </c>
      <c r="B254" s="351">
        <v>0.87064128482365188</v>
      </c>
      <c r="C254" s="373">
        <v>0.96184016541191864</v>
      </c>
      <c r="D254" s="373">
        <v>0.85454479045596554</v>
      </c>
    </row>
    <row r="255" spans="1:4" x14ac:dyDescent="0.2">
      <c r="A255" s="19" t="s">
        <v>731</v>
      </c>
      <c r="B255" s="351">
        <v>0.87600459692207189</v>
      </c>
      <c r="C255" s="373">
        <v>0.97064117709736275</v>
      </c>
      <c r="D255" s="373">
        <v>0.84446941687197441</v>
      </c>
    </row>
    <row r="256" spans="1:4" x14ac:dyDescent="0.2">
      <c r="A256" s="19" t="s">
        <v>732</v>
      </c>
      <c r="B256" s="351">
        <v>0.90062444498934524</v>
      </c>
      <c r="C256" s="373">
        <v>0.97216886282491877</v>
      </c>
      <c r="D256" s="373">
        <v>0.87358926316155849</v>
      </c>
    </row>
    <row r="257" spans="1:4" x14ac:dyDescent="0.2">
      <c r="A257" s="19" t="s">
        <v>733</v>
      </c>
      <c r="B257" s="351">
        <v>0.88301520625122587</v>
      </c>
      <c r="C257" s="373">
        <v>0.97485010305709963</v>
      </c>
      <c r="D257" s="373">
        <v>0.77441184999044621</v>
      </c>
    </row>
    <row r="258" spans="1:4" x14ac:dyDescent="0.2">
      <c r="A258" s="19" t="s">
        <v>734</v>
      </c>
      <c r="B258" s="351">
        <v>0.8808532890915961</v>
      </c>
      <c r="C258" s="373">
        <v>0.96934746803800265</v>
      </c>
      <c r="D258" s="373">
        <v>0.87745133460238867</v>
      </c>
    </row>
    <row r="259" spans="1:4" x14ac:dyDescent="0.2">
      <c r="A259" s="19" t="s">
        <v>735</v>
      </c>
      <c r="B259" s="351">
        <v>0.91509048602001597</v>
      </c>
      <c r="C259" s="373">
        <v>0.97284810344338357</v>
      </c>
      <c r="D259" s="373">
        <v>0.87862500243062214</v>
      </c>
    </row>
    <row r="260" spans="1:4" x14ac:dyDescent="0.2">
      <c r="A260" s="19" t="s">
        <v>736</v>
      </c>
      <c r="B260" s="351">
        <v>0.90519082842706211</v>
      </c>
      <c r="C260" s="373">
        <v>0.97004647869884331</v>
      </c>
      <c r="D260" s="373">
        <v>0.96363611631476276</v>
      </c>
    </row>
    <row r="261" spans="1:4" x14ac:dyDescent="0.2">
      <c r="A261" s="19" t="s">
        <v>737</v>
      </c>
      <c r="B261" s="351">
        <v>0.90466700880754447</v>
      </c>
      <c r="C261" s="373">
        <v>0.96333342942724021</v>
      </c>
      <c r="D261" s="373">
        <v>0.88119638075167461</v>
      </c>
    </row>
    <row r="262" spans="1:4" x14ac:dyDescent="0.2">
      <c r="A262" s="19" t="s">
        <v>738</v>
      </c>
      <c r="B262" s="351">
        <v>0.92340796500170086</v>
      </c>
      <c r="C262" s="373">
        <v>0.97131959848817928</v>
      </c>
      <c r="D262" s="373">
        <v>0.9431809228715875</v>
      </c>
    </row>
    <row r="263" spans="1:4" x14ac:dyDescent="0.2">
      <c r="A263" s="19" t="s">
        <v>739</v>
      </c>
      <c r="B263" s="351">
        <v>0.9276836986729613</v>
      </c>
      <c r="C263" s="373">
        <v>0.98906795900017819</v>
      </c>
      <c r="D263" s="373">
        <v>0.89885183980352679</v>
      </c>
    </row>
    <row r="264" spans="1:4" x14ac:dyDescent="0.2">
      <c r="A264" s="19" t="s">
        <v>740</v>
      </c>
      <c r="B264" s="351">
        <v>0.90942420372314436</v>
      </c>
      <c r="C264" s="373">
        <v>0.98590737366956371</v>
      </c>
      <c r="D264" s="373">
        <v>0.8984391798506326</v>
      </c>
    </row>
    <row r="265" spans="1:4" x14ac:dyDescent="0.2">
      <c r="A265" s="19" t="s">
        <v>741</v>
      </c>
      <c r="B265" s="351">
        <v>0.93025301598207644</v>
      </c>
      <c r="C265" s="373">
        <v>0.98366204057899498</v>
      </c>
      <c r="D265" s="373">
        <v>0.93261176507652566</v>
      </c>
    </row>
    <row r="266" spans="1:4" x14ac:dyDescent="0.2">
      <c r="A266" s="19" t="s">
        <v>752</v>
      </c>
      <c r="B266" s="351">
        <v>0.92884286305776065</v>
      </c>
      <c r="C266" s="373">
        <v>0.98094278485596065</v>
      </c>
      <c r="D266" s="373">
        <v>0.8787286850419167</v>
      </c>
    </row>
    <row r="267" spans="1:4" x14ac:dyDescent="0.2">
      <c r="A267" s="19" t="s">
        <v>753</v>
      </c>
      <c r="B267" s="351">
        <v>0.9212665942276268</v>
      </c>
      <c r="C267" s="373">
        <v>0.97124980040210995</v>
      </c>
      <c r="D267" s="373">
        <v>0.52722280253980913</v>
      </c>
    </row>
    <row r="268" spans="1:4" x14ac:dyDescent="0.2">
      <c r="A268" s="19" t="s">
        <v>754</v>
      </c>
      <c r="B268" s="351">
        <v>0.91044241923822256</v>
      </c>
      <c r="C268" s="373">
        <v>0.97856152996085644</v>
      </c>
      <c r="D268" s="373">
        <v>0.88053660113701437</v>
      </c>
    </row>
    <row r="269" spans="1:4" x14ac:dyDescent="0.2">
      <c r="A269" s="19" t="s">
        <v>755</v>
      </c>
      <c r="B269" s="351">
        <v>0.91149976472814476</v>
      </c>
      <c r="C269" s="373">
        <v>0.97647768273424873</v>
      </c>
      <c r="D269" s="373">
        <v>0.87174577183787305</v>
      </c>
    </row>
    <row r="270" spans="1:4" x14ac:dyDescent="0.2">
      <c r="A270" s="19" t="s">
        <v>756</v>
      </c>
      <c r="B270" s="351">
        <v>0.91300472905693586</v>
      </c>
      <c r="C270" s="373">
        <v>0.97661523588329591</v>
      </c>
      <c r="D270" s="373">
        <v>0.84293792944513923</v>
      </c>
    </row>
    <row r="271" spans="1:4" x14ac:dyDescent="0.2">
      <c r="A271" s="19" t="s">
        <v>757</v>
      </c>
      <c r="B271" s="351">
        <v>0.91852959854887251</v>
      </c>
      <c r="C271" s="373">
        <v>0.97597473550418679</v>
      </c>
      <c r="D271" s="373">
        <v>0.87161029673699053</v>
      </c>
    </row>
    <row r="272" spans="1:4" x14ac:dyDescent="0.2">
      <c r="A272" s="19" t="s">
        <v>758</v>
      </c>
      <c r="B272" s="351">
        <v>0.92083223560039318</v>
      </c>
      <c r="C272" s="373">
        <v>0.98309889449608967</v>
      </c>
      <c r="D272" s="373">
        <v>0.87799349180561892</v>
      </c>
    </row>
    <row r="273" spans="1:4" x14ac:dyDescent="0.2">
      <c r="A273" s="145" t="s">
        <v>759</v>
      </c>
      <c r="B273" s="352">
        <v>0.92996157148771685</v>
      </c>
      <c r="C273" s="374">
        <v>0.98495750660199322</v>
      </c>
      <c r="D273" s="374">
        <v>0.89470509570752133</v>
      </c>
    </row>
    <row r="274" spans="1:4" x14ac:dyDescent="0.2">
      <c r="A274" s="335" t="s">
        <v>760</v>
      </c>
      <c r="B274" s="351">
        <v>0.7138545434609127</v>
      </c>
      <c r="C274" s="373">
        <v>0.70018088965312408</v>
      </c>
      <c r="D274" s="373">
        <v>0.65318573400014457</v>
      </c>
    </row>
    <row r="275" spans="1:4" x14ac:dyDescent="0.2">
      <c r="A275" s="19" t="s">
        <v>761</v>
      </c>
      <c r="B275" s="351">
        <v>0.63413528740308245</v>
      </c>
      <c r="C275" s="373">
        <v>0.68224562443949432</v>
      </c>
      <c r="D275" s="373">
        <v>0.66030338311401537</v>
      </c>
    </row>
    <row r="276" spans="1:4" x14ac:dyDescent="0.2">
      <c r="A276" s="19" t="s">
        <v>762</v>
      </c>
      <c r="B276" s="351">
        <v>0.70920561491615031</v>
      </c>
      <c r="C276" s="373">
        <v>0.73592264335122237</v>
      </c>
      <c r="D276" s="373">
        <v>0.68433726772779591</v>
      </c>
    </row>
    <row r="277" spans="1:4" x14ac:dyDescent="0.2">
      <c r="A277" s="19" t="s">
        <v>763</v>
      </c>
      <c r="B277" s="351">
        <v>0.65400003768622361</v>
      </c>
      <c r="C277" s="373">
        <v>0.67641800822164211</v>
      </c>
      <c r="D277" s="373">
        <v>0.75672088802374893</v>
      </c>
    </row>
    <row r="278" spans="1:4" x14ac:dyDescent="0.2">
      <c r="A278" s="19" t="s">
        <v>764</v>
      </c>
      <c r="B278" s="351">
        <v>0.67265462636028006</v>
      </c>
      <c r="C278" s="373">
        <v>0.71371974026439167</v>
      </c>
      <c r="D278" s="373">
        <v>0.67187022503050065</v>
      </c>
    </row>
    <row r="279" spans="1:4" x14ac:dyDescent="0.2">
      <c r="A279" s="19" t="s">
        <v>765</v>
      </c>
      <c r="B279" s="351">
        <v>0.68560262499133207</v>
      </c>
      <c r="C279" s="373">
        <v>0.6660881097658119</v>
      </c>
      <c r="D279" s="373">
        <v>0.75946806934277089</v>
      </c>
    </row>
    <row r="280" spans="1:4" x14ac:dyDescent="0.2">
      <c r="A280" s="19" t="s">
        <v>766</v>
      </c>
      <c r="B280" s="351">
        <v>0.63430428332205313</v>
      </c>
      <c r="C280" s="373">
        <v>0.62502574021242419</v>
      </c>
      <c r="D280" s="373">
        <v>0.75601198533476921</v>
      </c>
    </row>
    <row r="281" spans="1:4" x14ac:dyDescent="0.2">
      <c r="A281" s="19" t="s">
        <v>767</v>
      </c>
      <c r="B281" s="351">
        <v>0.69794737077122093</v>
      </c>
      <c r="C281" s="373">
        <v>0.67131377677815651</v>
      </c>
      <c r="D281" s="373">
        <v>0.77018176118370529</v>
      </c>
    </row>
    <row r="282" spans="1:4" x14ac:dyDescent="0.2">
      <c r="A282" s="19" t="s">
        <v>768</v>
      </c>
      <c r="B282" s="351">
        <v>0.65848854986721095</v>
      </c>
      <c r="C282" s="373">
        <v>0.68483209256352162</v>
      </c>
      <c r="D282" s="373">
        <v>0.7820238999589485</v>
      </c>
    </row>
    <row r="283" spans="1:4" x14ac:dyDescent="0.2">
      <c r="A283" s="19" t="s">
        <v>769</v>
      </c>
      <c r="B283" s="351">
        <v>0.65836254226273716</v>
      </c>
      <c r="C283" s="373">
        <v>0.68357479473230975</v>
      </c>
      <c r="D283" s="373">
        <v>0.76537140700946016</v>
      </c>
    </row>
    <row r="284" spans="1:4" x14ac:dyDescent="0.2">
      <c r="A284" s="19" t="s">
        <v>770</v>
      </c>
      <c r="B284" s="351">
        <v>0.64391558301728247</v>
      </c>
      <c r="C284" s="373">
        <v>0.64969717489307077</v>
      </c>
      <c r="D284" s="373">
        <v>0.8001287413824183</v>
      </c>
    </row>
    <row r="285" spans="1:4" x14ac:dyDescent="0.2">
      <c r="A285" s="19" t="s">
        <v>771</v>
      </c>
      <c r="B285" s="351">
        <v>0.70289895874682196</v>
      </c>
      <c r="C285" s="373">
        <v>0.72195117056945923</v>
      </c>
      <c r="D285" s="373">
        <v>0.83155709855880477</v>
      </c>
    </row>
    <row r="286" spans="1:4" x14ac:dyDescent="0.2">
      <c r="A286" s="19" t="s">
        <v>772</v>
      </c>
      <c r="B286" s="351">
        <v>0.65561938642159823</v>
      </c>
      <c r="C286" s="373">
        <v>0.67000302935633815</v>
      </c>
      <c r="D286" s="373">
        <v>0.79096395282042087</v>
      </c>
    </row>
    <row r="287" spans="1:4" x14ac:dyDescent="0.2">
      <c r="A287" s="19" t="s">
        <v>773</v>
      </c>
      <c r="B287" s="351">
        <v>0.73529677349469802</v>
      </c>
      <c r="C287" s="373">
        <v>0.5782847946819123</v>
      </c>
      <c r="D287" s="373">
        <v>0.75629779446343948</v>
      </c>
    </row>
    <row r="288" spans="1:4" x14ac:dyDescent="0.2">
      <c r="A288" s="19" t="s">
        <v>774</v>
      </c>
      <c r="B288" s="351">
        <v>0.66925878292113705</v>
      </c>
      <c r="C288" s="373">
        <v>0.63159386068743428</v>
      </c>
      <c r="D288" s="373">
        <v>0.75230853233767958</v>
      </c>
    </row>
    <row r="289" spans="1:4" x14ac:dyDescent="0.2">
      <c r="A289" s="19" t="s">
        <v>775</v>
      </c>
      <c r="B289" s="351">
        <v>0.71073821948169247</v>
      </c>
      <c r="C289" s="373">
        <v>0.59434592207073034</v>
      </c>
      <c r="D289" s="373">
        <v>0.85157297862686288</v>
      </c>
    </row>
    <row r="290" spans="1:4" x14ac:dyDescent="0.2">
      <c r="A290" s="19" t="s">
        <v>776</v>
      </c>
      <c r="B290" s="351">
        <v>0.71816176790953357</v>
      </c>
      <c r="C290" s="373">
        <v>0.67234840170335597</v>
      </c>
      <c r="D290" s="373">
        <v>0.83765885090080461</v>
      </c>
    </row>
    <row r="291" spans="1:4" x14ac:dyDescent="0.2">
      <c r="A291" s="19" t="s">
        <v>777</v>
      </c>
      <c r="B291" s="351">
        <v>0.65520081316770451</v>
      </c>
      <c r="C291" s="373">
        <v>0.6907297890621642</v>
      </c>
      <c r="D291" s="373">
        <v>0.86522202930184833</v>
      </c>
    </row>
    <row r="292" spans="1:4" x14ac:dyDescent="0.2">
      <c r="A292" s="19" t="s">
        <v>783</v>
      </c>
      <c r="B292" s="351">
        <v>0.67682660367337233</v>
      </c>
      <c r="C292" s="373">
        <v>0.27080622095838214</v>
      </c>
      <c r="D292" s="373">
        <v>0.82829624610849217</v>
      </c>
    </row>
    <row r="293" spans="1:4" x14ac:dyDescent="0.2">
      <c r="A293" s="19" t="s">
        <v>784</v>
      </c>
      <c r="B293" s="351">
        <v>0.64746306780471863</v>
      </c>
      <c r="C293" s="373">
        <v>0.71961344787547099</v>
      </c>
      <c r="D293" s="373">
        <v>0.6455651888373124</v>
      </c>
    </row>
    <row r="294" spans="1:4" x14ac:dyDescent="0.2">
      <c r="A294" s="19" t="s">
        <v>785</v>
      </c>
      <c r="B294" s="351">
        <v>0.66697711238461821</v>
      </c>
      <c r="C294" s="373">
        <v>0.72469494788920719</v>
      </c>
      <c r="D294" s="373">
        <v>0.83462148374574252</v>
      </c>
    </row>
    <row r="295" spans="1:4" x14ac:dyDescent="0.2">
      <c r="A295" s="19" t="s">
        <v>786</v>
      </c>
      <c r="B295" s="351">
        <v>0.64112574835760128</v>
      </c>
      <c r="C295" s="373">
        <v>0.73369280362775779</v>
      </c>
      <c r="D295" s="373">
        <v>0.7946852985008459</v>
      </c>
    </row>
    <row r="296" spans="1:4" x14ac:dyDescent="0.2">
      <c r="A296" s="19" t="s">
        <v>787</v>
      </c>
      <c r="B296" s="351">
        <v>0.77175634896461665</v>
      </c>
      <c r="C296" s="373">
        <v>0.67357586795377511</v>
      </c>
      <c r="D296" s="373">
        <v>0.79467332155752324</v>
      </c>
    </row>
    <row r="297" spans="1:4" x14ac:dyDescent="0.2">
      <c r="A297" s="19" t="s">
        <v>788</v>
      </c>
      <c r="B297" s="351">
        <v>0.71088938197137819</v>
      </c>
      <c r="C297" s="373">
        <v>0.65480913341488667</v>
      </c>
      <c r="D297" s="373">
        <v>0.82530804617917597</v>
      </c>
    </row>
    <row r="298" spans="1:4" x14ac:dyDescent="0.2">
      <c r="A298" s="19" t="s">
        <v>789</v>
      </c>
      <c r="B298" s="351">
        <v>0.72915780105561567</v>
      </c>
      <c r="C298" s="373">
        <v>0.67089676899197481</v>
      </c>
      <c r="D298" s="373">
        <v>0.77353519214883437</v>
      </c>
    </row>
    <row r="299" spans="1:4" x14ac:dyDescent="0.2">
      <c r="A299" s="145" t="s">
        <v>790</v>
      </c>
      <c r="B299" s="352">
        <v>0.7059932898132133</v>
      </c>
      <c r="C299" s="374">
        <v>0.60207256793194541</v>
      </c>
      <c r="D299" s="374">
        <v>0.85021179957508308</v>
      </c>
    </row>
    <row r="300" spans="1:4" x14ac:dyDescent="0.2">
      <c r="A300" s="335" t="s">
        <v>791</v>
      </c>
      <c r="B300" s="351">
        <v>0.64859055948745115</v>
      </c>
      <c r="C300" s="373">
        <v>0.39021125665746681</v>
      </c>
      <c r="D300" s="373">
        <v>-0.38103023516268975</v>
      </c>
    </row>
    <row r="301" spans="1:4" x14ac:dyDescent="0.2">
      <c r="A301" s="19" t="s">
        <v>792</v>
      </c>
      <c r="B301" s="351">
        <v>0.56689330807379812</v>
      </c>
      <c r="C301" s="373">
        <v>0.38660740541332661</v>
      </c>
      <c r="D301" s="373">
        <v>-0.36961499588357727</v>
      </c>
    </row>
    <row r="302" spans="1:4" x14ac:dyDescent="0.2">
      <c r="A302" s="19" t="s">
        <v>793</v>
      </c>
      <c r="B302" s="351">
        <v>0.68399383414782333</v>
      </c>
      <c r="C302" s="373">
        <v>0.49312321552611715</v>
      </c>
      <c r="D302" s="373">
        <v>-0.25236343127179794</v>
      </c>
    </row>
    <row r="303" spans="1:4" x14ac:dyDescent="0.2">
      <c r="A303" s="19" t="s">
        <v>794</v>
      </c>
      <c r="B303" s="351">
        <v>0.61007217166650984</v>
      </c>
      <c r="C303" s="373">
        <v>0.33658204744570086</v>
      </c>
      <c r="D303" s="373">
        <v>3.4806861671256906E-2</v>
      </c>
    </row>
    <row r="304" spans="1:4" x14ac:dyDescent="0.2">
      <c r="A304" s="19" t="s">
        <v>795</v>
      </c>
      <c r="B304" s="351">
        <v>0.61227951992360041</v>
      </c>
      <c r="C304" s="373">
        <v>0.45501961140646052</v>
      </c>
      <c r="D304" s="373">
        <v>-0.30278156425906588</v>
      </c>
    </row>
    <row r="305" spans="1:4" x14ac:dyDescent="0.2">
      <c r="A305" s="19" t="s">
        <v>796</v>
      </c>
      <c r="B305" s="351">
        <v>0.62120208445702862</v>
      </c>
      <c r="C305" s="373">
        <v>0.38543600571863079</v>
      </c>
      <c r="D305" s="373">
        <v>4.0534008999811411E-2</v>
      </c>
    </row>
    <row r="306" spans="1:4" x14ac:dyDescent="0.2">
      <c r="A306" s="19" t="s">
        <v>797</v>
      </c>
      <c r="B306" s="351">
        <v>0.50059685059925974</v>
      </c>
      <c r="C306" s="373">
        <v>0.19721351444550539</v>
      </c>
      <c r="D306" s="373">
        <v>1.8703457680470326E-2</v>
      </c>
    </row>
    <row r="307" spans="1:4" x14ac:dyDescent="0.2">
      <c r="A307" s="19" t="s">
        <v>798</v>
      </c>
      <c r="B307" s="351">
        <v>0.63877994207656363</v>
      </c>
      <c r="C307" s="373">
        <v>0.34623346005368105</v>
      </c>
      <c r="D307" s="373">
        <v>7.0580530256129759E-2</v>
      </c>
    </row>
    <row r="308" spans="1:4" x14ac:dyDescent="0.2">
      <c r="A308" s="19" t="s">
        <v>799</v>
      </c>
      <c r="B308" s="351">
        <v>0.60868002701168811</v>
      </c>
      <c r="C308" s="373">
        <v>0.4403780736273587</v>
      </c>
      <c r="D308" s="373">
        <v>0.14804137083872848</v>
      </c>
    </row>
    <row r="309" spans="1:4" x14ac:dyDescent="0.2">
      <c r="A309" s="19" t="s">
        <v>800</v>
      </c>
      <c r="B309" s="351">
        <v>0.5898275128653937</v>
      </c>
      <c r="C309" s="373">
        <v>0.43689906352250896</v>
      </c>
      <c r="D309" s="373">
        <v>6.8999257197339459E-2</v>
      </c>
    </row>
    <row r="310" spans="1:4" x14ac:dyDescent="0.2">
      <c r="A310" s="19" t="s">
        <v>801</v>
      </c>
      <c r="B310" s="351">
        <v>0.5673964354733585</v>
      </c>
      <c r="C310" s="373">
        <v>0.27544888989060878</v>
      </c>
      <c r="D310" s="373">
        <v>0.20054195261931707</v>
      </c>
    </row>
    <row r="311" spans="1:4" x14ac:dyDescent="0.2">
      <c r="A311" s="19" t="s">
        <v>803</v>
      </c>
      <c r="B311" s="351">
        <v>0.62950455472866618</v>
      </c>
      <c r="C311" s="373">
        <v>0.29028182529661406</v>
      </c>
      <c r="D311" s="373">
        <v>0.29366958092633832</v>
      </c>
    </row>
    <row r="312" spans="1:4" x14ac:dyDescent="0.2">
      <c r="A312" s="19" t="s">
        <v>804</v>
      </c>
      <c r="B312" s="351">
        <v>0.6080560938010291</v>
      </c>
      <c r="C312" s="373">
        <v>0.34200989250921676</v>
      </c>
      <c r="D312" s="373">
        <v>0.20051378437361866</v>
      </c>
    </row>
    <row r="313" spans="1:4" x14ac:dyDescent="0.2">
      <c r="A313" s="19" t="s">
        <v>805</v>
      </c>
      <c r="B313" s="351">
        <v>0.6736821081084976</v>
      </c>
      <c r="C313" s="373">
        <v>0.20323820721723607</v>
      </c>
      <c r="D313" s="373">
        <v>2.366479428875512E-2</v>
      </c>
    </row>
    <row r="314" spans="1:4" x14ac:dyDescent="0.2">
      <c r="A314" s="19" t="s">
        <v>806</v>
      </c>
      <c r="B314" s="351">
        <v>0.62064892171059627</v>
      </c>
      <c r="C314" s="373">
        <v>0.2549091443423066</v>
      </c>
      <c r="D314" s="373">
        <v>1.0991477858830812E-2</v>
      </c>
    </row>
    <row r="315" spans="1:4" x14ac:dyDescent="0.2">
      <c r="A315" s="19" t="s">
        <v>807</v>
      </c>
      <c r="B315" s="351">
        <v>0.62605284869328026</v>
      </c>
      <c r="C315" s="373">
        <v>0.25398652475443573</v>
      </c>
      <c r="D315" s="373">
        <v>0.31876523810294188</v>
      </c>
    </row>
    <row r="316" spans="1:4" x14ac:dyDescent="0.2">
      <c r="A316" s="19" t="s">
        <v>808</v>
      </c>
      <c r="B316" s="351">
        <v>0.64590193138562002</v>
      </c>
      <c r="C316" s="373">
        <v>0.28643186412637389</v>
      </c>
      <c r="D316" s="373">
        <v>0.10939393654199225</v>
      </c>
    </row>
    <row r="317" spans="1:4" x14ac:dyDescent="0.2">
      <c r="A317" s="19" t="s">
        <v>809</v>
      </c>
      <c r="B317" s="351">
        <v>0.60051040378417508</v>
      </c>
      <c r="C317" s="373">
        <v>0.3031716478746761</v>
      </c>
      <c r="D317" s="373">
        <v>0.46846022771047047</v>
      </c>
    </row>
    <row r="318" spans="1:4" x14ac:dyDescent="0.2">
      <c r="A318" s="19" t="s">
        <v>810</v>
      </c>
      <c r="B318" s="351">
        <v>0.62546808365138995</v>
      </c>
      <c r="C318" s="373">
        <v>5.6977511070756659E-2</v>
      </c>
      <c r="D318" s="373">
        <v>0.33791103860703497</v>
      </c>
    </row>
    <row r="319" spans="1:4" x14ac:dyDescent="0.2">
      <c r="A319" s="19" t="s">
        <v>811</v>
      </c>
      <c r="B319" s="351">
        <v>0.63215399008630646</v>
      </c>
      <c r="C319" s="373">
        <v>0.30043871775808229</v>
      </c>
      <c r="D319" s="373">
        <v>-0.4140024028845346</v>
      </c>
    </row>
    <row r="320" spans="1:4" x14ac:dyDescent="0.2">
      <c r="A320" s="19" t="s">
        <v>812</v>
      </c>
      <c r="B320" s="351">
        <v>0.60319225546559385</v>
      </c>
      <c r="C320" s="373">
        <v>0.42679751054042792</v>
      </c>
      <c r="D320" s="373">
        <v>0.29095278030184424</v>
      </c>
    </row>
    <row r="321" spans="1:4" x14ac:dyDescent="0.2">
      <c r="A321" s="19" t="s">
        <v>813</v>
      </c>
      <c r="B321" s="351">
        <v>0.58547385539911723</v>
      </c>
      <c r="C321" s="373">
        <v>0.33105117702348308</v>
      </c>
      <c r="D321" s="373">
        <v>0.24233311529136925</v>
      </c>
    </row>
    <row r="322" spans="1:4" x14ac:dyDescent="0.2">
      <c r="A322" s="19" t="s">
        <v>814</v>
      </c>
      <c r="B322" s="351">
        <v>0.72801570738686072</v>
      </c>
      <c r="C322" s="373">
        <v>0.47647497260201455</v>
      </c>
      <c r="D322" s="373">
        <v>0.15674153814182801</v>
      </c>
    </row>
    <row r="323" spans="1:4" x14ac:dyDescent="0.2">
      <c r="A323" s="19" t="s">
        <v>815</v>
      </c>
      <c r="B323" s="351">
        <v>0.65078749185049478</v>
      </c>
      <c r="C323" s="373">
        <v>0.44120616885469499</v>
      </c>
      <c r="D323" s="373">
        <v>0.28632683856341545</v>
      </c>
    </row>
    <row r="324" spans="1:4" x14ac:dyDescent="0.2">
      <c r="A324" s="19" t="s">
        <v>816</v>
      </c>
      <c r="B324" s="351">
        <v>0.6706410877017609</v>
      </c>
      <c r="C324" s="373">
        <v>0.28392485508984366</v>
      </c>
      <c r="D324" s="373">
        <v>-0.11828825003225152</v>
      </c>
    </row>
    <row r="325" spans="1:4" x14ac:dyDescent="0.2">
      <c r="A325" s="145" t="s">
        <v>817</v>
      </c>
      <c r="B325" s="352">
        <v>0.62760926977249953</v>
      </c>
      <c r="C325" s="374">
        <v>0.34707754005396618</v>
      </c>
      <c r="D325" s="374">
        <v>0.36922239834520765</v>
      </c>
    </row>
    <row r="326" spans="1:4" x14ac:dyDescent="0.2">
      <c r="A326" s="335" t="s">
        <v>818</v>
      </c>
      <c r="B326" s="351">
        <v>0.18572063368095804</v>
      </c>
      <c r="C326" s="375">
        <v>0.50832298296713518</v>
      </c>
      <c r="D326" s="375">
        <v>0.7488727928110861</v>
      </c>
    </row>
    <row r="327" spans="1:4" x14ac:dyDescent="0.2">
      <c r="A327" s="19" t="s">
        <v>819</v>
      </c>
      <c r="B327" s="351">
        <v>0.15525499970972945</v>
      </c>
      <c r="C327" s="375">
        <v>0.48197226643301683</v>
      </c>
      <c r="D327" s="375">
        <v>0.75197656428488746</v>
      </c>
    </row>
    <row r="328" spans="1:4" x14ac:dyDescent="0.2">
      <c r="A328" s="19" t="s">
        <v>820</v>
      </c>
      <c r="B328" s="351">
        <v>7.9782559622968541E-2</v>
      </c>
      <c r="C328" s="375">
        <v>0.4790107482967898</v>
      </c>
      <c r="D328" s="375">
        <v>0.74794638330213559</v>
      </c>
    </row>
    <row r="329" spans="1:4" x14ac:dyDescent="0.2">
      <c r="A329" s="19" t="s">
        <v>821</v>
      </c>
      <c r="B329" s="351">
        <v>0.11265640158963963</v>
      </c>
      <c r="C329" s="375">
        <v>0.51225017271163831</v>
      </c>
      <c r="D329" s="375">
        <v>0.74794773987152952</v>
      </c>
    </row>
    <row r="330" spans="1:4" x14ac:dyDescent="0.2">
      <c r="A330" s="19" t="s">
        <v>822</v>
      </c>
      <c r="B330" s="351">
        <v>0.15571812565790388</v>
      </c>
      <c r="C330" s="375">
        <v>0.47469621709796317</v>
      </c>
      <c r="D330" s="375">
        <v>0.74813139518433591</v>
      </c>
    </row>
    <row r="331" spans="1:4" x14ac:dyDescent="0.2">
      <c r="A331" s="19" t="s">
        <v>823</v>
      </c>
      <c r="B331" s="351">
        <v>0.17001292217247621</v>
      </c>
      <c r="C331" s="375">
        <v>0.45666864095309934</v>
      </c>
      <c r="D331" s="375">
        <v>0.74930645493073889</v>
      </c>
    </row>
    <row r="332" spans="1:4" x14ac:dyDescent="0.2">
      <c r="A332" s="19" t="s">
        <v>824</v>
      </c>
      <c r="B332" s="351">
        <v>0.26773446039184157</v>
      </c>
      <c r="C332" s="375">
        <v>0.53290910281259107</v>
      </c>
      <c r="D332" s="375">
        <v>0.75136158730519254</v>
      </c>
    </row>
    <row r="333" spans="1:4" x14ac:dyDescent="0.2">
      <c r="A333" s="19" t="s">
        <v>825</v>
      </c>
      <c r="B333" s="351">
        <v>0.16379884615155638</v>
      </c>
      <c r="C333" s="375">
        <v>0.49724220629457105</v>
      </c>
      <c r="D333" s="375">
        <v>0.75272926133166973</v>
      </c>
    </row>
    <row r="334" spans="1:4" x14ac:dyDescent="0.2">
      <c r="A334" s="19" t="s">
        <v>826</v>
      </c>
      <c r="B334" s="351">
        <v>0.12728336474921131</v>
      </c>
      <c r="C334" s="375">
        <v>0.43681994470921759</v>
      </c>
      <c r="D334" s="375">
        <v>0.7441470834615026</v>
      </c>
    </row>
    <row r="335" spans="1:4" x14ac:dyDescent="0.2">
      <c r="A335" s="19" t="s">
        <v>827</v>
      </c>
      <c r="B335" s="351">
        <v>0.16708831417757264</v>
      </c>
      <c r="C335" s="375">
        <v>0.4380666328720646</v>
      </c>
      <c r="D335" s="375">
        <v>0.7479823783123738</v>
      </c>
    </row>
    <row r="336" spans="1:4" x14ac:dyDescent="0.2">
      <c r="A336" s="19" t="s">
        <v>828</v>
      </c>
      <c r="B336" s="351">
        <v>0.17688052946963551</v>
      </c>
      <c r="C336" s="375">
        <v>0.51652434145875337</v>
      </c>
      <c r="D336" s="375">
        <v>0.7499915608174399</v>
      </c>
    </row>
    <row r="337" spans="1:4" x14ac:dyDescent="0.2">
      <c r="A337" s="19" t="s">
        <v>829</v>
      </c>
      <c r="B337" s="351">
        <v>0.19809799271460693</v>
      </c>
      <c r="C337" s="375">
        <v>0.60822642093568136</v>
      </c>
      <c r="D337" s="375">
        <v>0.76152393144542074</v>
      </c>
    </row>
    <row r="338" spans="1:4" x14ac:dyDescent="0.2">
      <c r="A338" s="19" t="s">
        <v>830</v>
      </c>
      <c r="B338" s="351">
        <v>0.121352295234879</v>
      </c>
      <c r="C338" s="375">
        <v>0.49847730704935533</v>
      </c>
      <c r="D338" s="375">
        <v>0.73853702153475709</v>
      </c>
    </row>
    <row r="339" spans="1:4" x14ac:dyDescent="0.2">
      <c r="A339" s="19" t="s">
        <v>831</v>
      </c>
      <c r="B339" s="351">
        <v>0.18881791932722714</v>
      </c>
      <c r="C339" s="375">
        <v>0.47071356942806131</v>
      </c>
      <c r="D339" s="375">
        <v>0.7503908451615986</v>
      </c>
    </row>
    <row r="340" spans="1:4" x14ac:dyDescent="0.2">
      <c r="A340" s="19" t="s">
        <v>832</v>
      </c>
      <c r="B340" s="351">
        <v>0.12813950979060273</v>
      </c>
      <c r="C340" s="375">
        <v>0.50555541446368601</v>
      </c>
      <c r="D340" s="375">
        <v>0.74955578024132996</v>
      </c>
    </row>
    <row r="341" spans="1:4" x14ac:dyDescent="0.2">
      <c r="A341" s="19" t="s">
        <v>833</v>
      </c>
      <c r="B341" s="351">
        <v>0.22646347349481877</v>
      </c>
      <c r="C341" s="375">
        <v>0.45623759973539202</v>
      </c>
      <c r="D341" s="375">
        <v>0.78212059971835968</v>
      </c>
    </row>
    <row r="342" spans="1:4" x14ac:dyDescent="0.2">
      <c r="A342" s="19" t="s">
        <v>834</v>
      </c>
      <c r="B342" s="351">
        <v>0.2040672992277911</v>
      </c>
      <c r="C342" s="375">
        <v>0.54082647216933522</v>
      </c>
      <c r="D342" s="375">
        <v>0.81771834286770506</v>
      </c>
    </row>
    <row r="343" spans="1:4" x14ac:dyDescent="0.2">
      <c r="A343" s="19" t="s">
        <v>835</v>
      </c>
      <c r="B343" s="351">
        <v>0.13690071006000104</v>
      </c>
      <c r="C343" s="375">
        <v>0.55617447253034014</v>
      </c>
      <c r="D343" s="375">
        <v>0.7464385964617184</v>
      </c>
    </row>
    <row r="344" spans="1:4" x14ac:dyDescent="0.2">
      <c r="A344" s="19" t="s">
        <v>836</v>
      </c>
      <c r="B344" s="351">
        <v>0.1371272187499728</v>
      </c>
      <c r="C344" s="375">
        <v>0.22674826146555382</v>
      </c>
      <c r="D344" s="375">
        <v>0.74066362089731674</v>
      </c>
    </row>
    <row r="345" spans="1:4" x14ac:dyDescent="0.2">
      <c r="A345" s="19" t="s">
        <v>837</v>
      </c>
      <c r="B345" s="351">
        <v>4.1618169847768782E-2</v>
      </c>
      <c r="C345" s="375">
        <v>0.5991965832843682</v>
      </c>
      <c r="D345" s="375">
        <v>0.74933931481329297</v>
      </c>
    </row>
    <row r="346" spans="1:4" x14ac:dyDescent="0.2">
      <c r="A346" s="19" t="s">
        <v>838</v>
      </c>
      <c r="B346" s="351">
        <v>0.16074498997963416</v>
      </c>
      <c r="C346" s="375">
        <v>0.51970715903492248</v>
      </c>
      <c r="D346" s="375">
        <v>0.76675951663041597</v>
      </c>
    </row>
    <row r="347" spans="1:4" x14ac:dyDescent="0.2">
      <c r="A347" s="19" t="s">
        <v>839</v>
      </c>
      <c r="B347" s="351">
        <v>0.13425424109754802</v>
      </c>
      <c r="C347" s="375">
        <v>0.60190198827572972</v>
      </c>
      <c r="D347" s="375">
        <v>0.72901718995134623</v>
      </c>
    </row>
    <row r="348" spans="1:4" x14ac:dyDescent="0.2">
      <c r="A348" s="19" t="s">
        <v>840</v>
      </c>
      <c r="B348" s="351">
        <v>0.16082046929074367</v>
      </c>
      <c r="C348" s="375">
        <v>0.37648800923880921</v>
      </c>
      <c r="D348" s="375">
        <v>0.75650801298806203</v>
      </c>
    </row>
    <row r="349" spans="1:4" x14ac:dyDescent="0.2">
      <c r="A349" s="19" t="s">
        <v>841</v>
      </c>
      <c r="B349" s="351">
        <v>0.17210692262819072</v>
      </c>
      <c r="C349" s="375">
        <v>0.38225719872817976</v>
      </c>
      <c r="D349" s="375">
        <v>0.75522134884660819</v>
      </c>
    </row>
    <row r="350" spans="1:4" x14ac:dyDescent="0.2">
      <c r="A350" s="19" t="s">
        <v>842</v>
      </c>
      <c r="B350" s="351">
        <v>0.1776685286744788</v>
      </c>
      <c r="C350" s="375">
        <v>0.54040685066744398</v>
      </c>
      <c r="D350" s="375">
        <v>0.7974897725656741</v>
      </c>
    </row>
    <row r="351" spans="1:4" x14ac:dyDescent="0.2">
      <c r="A351" s="145" t="s">
        <v>843</v>
      </c>
      <c r="B351" s="352">
        <v>0.2104886445288997</v>
      </c>
      <c r="C351" s="376">
        <v>0.39054412050560394</v>
      </c>
      <c r="D351" s="376">
        <v>0.76253405315604084</v>
      </c>
    </row>
  </sheetData>
  <sheetProtection sheet="1" objects="1" scenarios="1"/>
  <mergeCells count="12">
    <mergeCell ref="A145:D145"/>
    <mergeCell ref="C61:C64"/>
    <mergeCell ref="C34:C35"/>
    <mergeCell ref="A61:A64"/>
    <mergeCell ref="B61:B64"/>
    <mergeCell ref="A33:F33"/>
    <mergeCell ref="A60:F60"/>
    <mergeCell ref="B34:B35"/>
    <mergeCell ref="D34:D35"/>
    <mergeCell ref="E34:E35"/>
    <mergeCell ref="F34:F35"/>
    <mergeCell ref="A34:A35"/>
  </mergeCells>
  <phoneticPr fontId="2" type="noConversion"/>
  <pageMargins left="0.75" right="0.75" top="1" bottom="1" header="0.5" footer="0.5"/>
  <pageSetup orientation="portrait"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CREDIT CALCULATION FORM</vt:lpstr>
      <vt:lpstr>Calculations- All Data</vt:lpstr>
      <vt:lpstr>Data Tables</vt:lpstr>
      <vt:lpstr>BMPs and Bay Model Data</vt:lpstr>
      <vt:lpstr>'BMPs and Bay Model Data'!_ftnref1</vt:lpstr>
    </vt:vector>
  </TitlesOfParts>
  <Company>World Resources Institute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Jenny Guiling</dc:creator>
  <cp:lastModifiedBy>pcuser</cp:lastModifiedBy>
  <cp:lastPrinted>2007-04-25T18:03:33Z</cp:lastPrinted>
  <dcterms:created xsi:type="dcterms:W3CDTF">2006-09-26T17:51:36Z</dcterms:created>
  <dcterms:modified xsi:type="dcterms:W3CDTF">2016-02-03T13:50:46Z</dcterms:modified>
</cp:coreProperties>
</file>