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C:\Users\zsteckler\OneDrive - Commonwealth of Pennsylvania\Documents\Forms and Guidance Docs\PFAS Updates\Daily Effluent Form\"/>
    </mc:Choice>
  </mc:AlternateContent>
  <xr:revisionPtr revIDLastSave="36" documentId="6_{01E25CF7-C234-4BBB-B195-D3CBC510CA16}" xr6:coauthVersionLast="45" xr6:coauthVersionMax="45" xr10:uidLastSave="{E7816486-13B5-4268-AED0-F2539BCE2734}"/>
  <bookViews>
    <workbookView xWindow="-110" yWindow="-110" windowWidth="19420" windowHeight="10420" activeTab="2" xr2:uid="{00000000-000D-0000-FFFF-FFFF00000000}"/>
  </bookViews>
  <sheets>
    <sheet name="Outfall 1 Limits" sheetId="12" r:id="rId1"/>
    <sheet name="Outfall 1 Daily" sheetId="9" r:id="rId2"/>
    <sheet name="Instructions" sheetId="11" r:id="rId3"/>
  </sheets>
  <definedNames>
    <definedName name="_xlnm._FilterDatabase" localSheetId="1" hidden="1">'Outfall 1 Daily'!$BS$1:$BS$379</definedName>
    <definedName name="Parameters">'Outfall 1 Daily'!$G$11:$BM$11</definedName>
    <definedName name="_xlnm.Print_Area" localSheetId="2">Instructions!$A$1:$AK$89</definedName>
    <definedName name="_xlnm.Print_Area" localSheetId="1">'Outfall 1 Daily'!$A$1:$AN$71</definedName>
    <definedName name="_xlnm.Print_Area" localSheetId="0">'Outfall 1 Limits'!$A$1:$AL$72</definedName>
    <definedName name="Range">'Outfall 1 Daily'!XAY5:XAY42</definedName>
    <definedName name="Years">'Outfall 1 Daily'!$BP$2:$BP$80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X68" i="12" l="1"/>
  <c r="AX64" i="12"/>
  <c r="AX60" i="12"/>
  <c r="AX56" i="12"/>
  <c r="AX52" i="12"/>
  <c r="AX48" i="12"/>
  <c r="AX44" i="12"/>
  <c r="AX40" i="12"/>
  <c r="AX36" i="12"/>
  <c r="AX32" i="12"/>
  <c r="AX28" i="12"/>
  <c r="AX24" i="12"/>
  <c r="AX20" i="12"/>
  <c r="AX12" i="12"/>
  <c r="AH11" i="9"/>
  <c r="AF11" i="9"/>
  <c r="AD11" i="9"/>
  <c r="AB11" i="9"/>
  <c r="Z11" i="9"/>
  <c r="X11" i="9"/>
  <c r="V11" i="9"/>
  <c r="T11" i="9"/>
  <c r="R11" i="9"/>
  <c r="P11" i="9"/>
  <c r="N11" i="9"/>
  <c r="L11" i="9"/>
  <c r="J11" i="9"/>
  <c r="H11" i="9"/>
  <c r="AL68" i="12" l="1"/>
  <c r="AL64" i="12"/>
  <c r="AL60" i="12"/>
  <c r="AL56" i="12"/>
  <c r="AL52" i="12"/>
  <c r="AL48" i="12"/>
  <c r="AL44" i="12"/>
  <c r="AL40" i="12"/>
  <c r="AL36" i="12"/>
  <c r="AL32" i="12"/>
  <c r="AL28" i="12"/>
  <c r="AL24" i="12"/>
  <c r="AL20" i="12"/>
  <c r="AL16" i="12"/>
  <c r="KQ51" i="9" l="1"/>
  <c r="KQ50" i="9"/>
  <c r="KQ49" i="9"/>
  <c r="KQ48" i="9"/>
  <c r="KQ47" i="9"/>
  <c r="KQ46" i="9"/>
  <c r="KQ41" i="9"/>
  <c r="KQ40" i="9"/>
  <c r="KQ39" i="9"/>
  <c r="KQ38" i="9"/>
  <c r="KQ37" i="9"/>
  <c r="KQ36" i="9"/>
  <c r="KQ35" i="9"/>
  <c r="KQ34" i="9"/>
  <c r="KQ33" i="9"/>
  <c r="KQ32" i="9"/>
  <c r="KQ31" i="9"/>
  <c r="KQ30" i="9"/>
  <c r="KQ29" i="9"/>
  <c r="KQ28" i="9"/>
  <c r="KQ27" i="9"/>
  <c r="KQ26" i="9"/>
  <c r="KQ25" i="9"/>
  <c r="KQ24" i="9"/>
  <c r="KQ23" i="9"/>
  <c r="KQ22" i="9"/>
  <c r="KQ21" i="9"/>
  <c r="KQ20" i="9"/>
  <c r="KQ19" i="9"/>
  <c r="KQ18" i="9"/>
  <c r="KQ17" i="9"/>
  <c r="KQ16" i="9"/>
  <c r="KQ15" i="9"/>
  <c r="KQ14" i="9"/>
  <c r="KP51" i="9"/>
  <c r="KP50" i="9"/>
  <c r="KP49" i="9"/>
  <c r="KP48" i="9"/>
  <c r="KP47" i="9"/>
  <c r="KP46" i="9"/>
  <c r="KP41" i="9"/>
  <c r="KP40" i="9"/>
  <c r="KP39" i="9"/>
  <c r="KP38" i="9"/>
  <c r="KP37" i="9"/>
  <c r="KP36" i="9"/>
  <c r="KP35" i="9"/>
  <c r="KP34" i="9"/>
  <c r="KP33" i="9"/>
  <c r="KP32" i="9"/>
  <c r="KP31" i="9"/>
  <c r="KP30" i="9"/>
  <c r="KP29" i="9"/>
  <c r="KP28" i="9"/>
  <c r="KP27" i="9"/>
  <c r="KP26" i="9"/>
  <c r="KP25" i="9"/>
  <c r="KP24" i="9"/>
  <c r="KP23" i="9"/>
  <c r="KP22" i="9"/>
  <c r="KP21" i="9"/>
  <c r="KP20" i="9"/>
  <c r="KP19" i="9"/>
  <c r="KP18" i="9"/>
  <c r="KP17" i="9"/>
  <c r="KP16" i="9"/>
  <c r="KP15" i="9"/>
  <c r="KP14" i="9"/>
  <c r="KO51" i="9"/>
  <c r="KO50" i="9"/>
  <c r="KO49" i="9"/>
  <c r="KO48" i="9"/>
  <c r="KO47" i="9"/>
  <c r="KO46" i="9"/>
  <c r="KO41" i="9"/>
  <c r="KO40" i="9"/>
  <c r="KO39" i="9"/>
  <c r="KO38" i="9"/>
  <c r="KO37" i="9"/>
  <c r="KO36" i="9"/>
  <c r="KO35" i="9"/>
  <c r="KO34" i="9"/>
  <c r="KO33" i="9"/>
  <c r="KO32" i="9"/>
  <c r="KO31" i="9"/>
  <c r="KO30" i="9"/>
  <c r="KO29" i="9"/>
  <c r="KO28" i="9"/>
  <c r="KO27" i="9"/>
  <c r="KO26" i="9"/>
  <c r="KO25" i="9"/>
  <c r="KO24" i="9"/>
  <c r="KO23" i="9"/>
  <c r="KO22" i="9"/>
  <c r="KO21" i="9"/>
  <c r="KO20" i="9"/>
  <c r="KO19" i="9"/>
  <c r="KO18" i="9"/>
  <c r="KO17" i="9"/>
  <c r="KO16" i="9"/>
  <c r="KO15" i="9"/>
  <c r="KO14" i="9"/>
  <c r="KN51" i="9"/>
  <c r="KN50" i="9"/>
  <c r="KN49" i="9"/>
  <c r="KN48" i="9"/>
  <c r="KN47" i="9"/>
  <c r="KN46" i="9"/>
  <c r="KN41" i="9"/>
  <c r="KN40" i="9"/>
  <c r="KN39" i="9"/>
  <c r="KN38" i="9"/>
  <c r="KN37" i="9"/>
  <c r="KN36" i="9"/>
  <c r="KN35" i="9"/>
  <c r="KN34" i="9"/>
  <c r="KN33" i="9"/>
  <c r="KN32" i="9"/>
  <c r="KN31" i="9"/>
  <c r="KN30" i="9"/>
  <c r="KN29" i="9"/>
  <c r="KN28" i="9"/>
  <c r="KN27" i="9"/>
  <c r="KN26" i="9"/>
  <c r="KN25" i="9"/>
  <c r="KN24" i="9"/>
  <c r="KN23" i="9"/>
  <c r="KN22" i="9"/>
  <c r="KN21" i="9"/>
  <c r="KN20" i="9"/>
  <c r="KN19" i="9"/>
  <c r="KN18" i="9"/>
  <c r="KN17" i="9"/>
  <c r="KN16" i="9"/>
  <c r="KN15" i="9"/>
  <c r="KN14" i="9"/>
  <c r="KM51" i="9"/>
  <c r="KM50" i="9"/>
  <c r="KM49" i="9"/>
  <c r="KM48" i="9"/>
  <c r="KM47" i="9"/>
  <c r="KM46" i="9"/>
  <c r="KM41" i="9"/>
  <c r="KM40" i="9"/>
  <c r="KM39" i="9"/>
  <c r="KM38" i="9"/>
  <c r="KM37" i="9"/>
  <c r="KM36" i="9"/>
  <c r="KM35" i="9"/>
  <c r="KM34" i="9"/>
  <c r="KM33" i="9"/>
  <c r="KM32" i="9"/>
  <c r="KM31" i="9"/>
  <c r="KM30" i="9"/>
  <c r="KM29" i="9"/>
  <c r="KM28" i="9"/>
  <c r="KM27" i="9"/>
  <c r="KM26" i="9"/>
  <c r="KM25" i="9"/>
  <c r="KM24" i="9"/>
  <c r="KM23" i="9"/>
  <c r="KM22" i="9"/>
  <c r="KM21" i="9"/>
  <c r="KM20" i="9"/>
  <c r="KM19" i="9"/>
  <c r="KM18" i="9"/>
  <c r="KM17" i="9"/>
  <c r="KM16" i="9"/>
  <c r="KM15" i="9"/>
  <c r="KM14" i="9"/>
  <c r="KL51" i="9"/>
  <c r="KL50" i="9"/>
  <c r="KL49" i="9"/>
  <c r="KL48" i="9"/>
  <c r="KL47" i="9"/>
  <c r="KL46" i="9"/>
  <c r="KL41" i="9"/>
  <c r="KL40" i="9"/>
  <c r="KL39" i="9"/>
  <c r="KL38" i="9"/>
  <c r="KL37" i="9"/>
  <c r="KL36" i="9"/>
  <c r="KL35" i="9"/>
  <c r="KL34" i="9"/>
  <c r="KL33" i="9"/>
  <c r="KL32" i="9"/>
  <c r="KL31" i="9"/>
  <c r="KL30" i="9"/>
  <c r="KL29" i="9"/>
  <c r="KL28" i="9"/>
  <c r="KL27" i="9"/>
  <c r="KL26" i="9"/>
  <c r="KL25" i="9"/>
  <c r="KL24" i="9"/>
  <c r="KL23" i="9"/>
  <c r="KL22" i="9"/>
  <c r="KL21" i="9"/>
  <c r="KL20" i="9"/>
  <c r="KL19" i="9"/>
  <c r="KL18" i="9"/>
  <c r="KL17" i="9"/>
  <c r="KL16" i="9"/>
  <c r="KL15" i="9"/>
  <c r="KL14" i="9"/>
  <c r="KK51" i="9"/>
  <c r="KK50" i="9"/>
  <c r="KK49" i="9"/>
  <c r="KK48" i="9"/>
  <c r="KK47" i="9"/>
  <c r="KK46" i="9"/>
  <c r="KK41" i="9"/>
  <c r="KK40" i="9"/>
  <c r="KK39" i="9"/>
  <c r="KK38" i="9"/>
  <c r="KK37" i="9"/>
  <c r="KK36" i="9"/>
  <c r="KK35" i="9"/>
  <c r="KK34" i="9"/>
  <c r="KK33" i="9"/>
  <c r="KK32" i="9"/>
  <c r="KK31" i="9"/>
  <c r="KK30" i="9"/>
  <c r="KK29" i="9"/>
  <c r="KK28" i="9"/>
  <c r="KK27" i="9"/>
  <c r="KK26" i="9"/>
  <c r="KK25" i="9"/>
  <c r="KK24" i="9"/>
  <c r="KK23" i="9"/>
  <c r="KK22" i="9"/>
  <c r="KK21" i="9"/>
  <c r="KK20" i="9"/>
  <c r="KK19" i="9"/>
  <c r="KK18" i="9"/>
  <c r="KK17" i="9"/>
  <c r="KK16" i="9"/>
  <c r="KK15" i="9"/>
  <c r="KK14" i="9"/>
  <c r="KJ51" i="9"/>
  <c r="KJ50" i="9"/>
  <c r="KJ49" i="9"/>
  <c r="KJ48" i="9"/>
  <c r="KJ47" i="9"/>
  <c r="KJ46" i="9"/>
  <c r="KJ41" i="9"/>
  <c r="KJ40" i="9"/>
  <c r="KJ39" i="9"/>
  <c r="KJ38" i="9"/>
  <c r="KJ37" i="9"/>
  <c r="KJ36" i="9"/>
  <c r="KJ35" i="9"/>
  <c r="KJ34" i="9"/>
  <c r="KJ33" i="9"/>
  <c r="KJ32" i="9"/>
  <c r="KJ31" i="9"/>
  <c r="KJ30" i="9"/>
  <c r="KJ29" i="9"/>
  <c r="KJ28" i="9"/>
  <c r="KJ27" i="9"/>
  <c r="KJ26" i="9"/>
  <c r="KJ25" i="9"/>
  <c r="KJ24" i="9"/>
  <c r="KJ23" i="9"/>
  <c r="KJ22" i="9"/>
  <c r="KJ21" i="9"/>
  <c r="KJ20" i="9"/>
  <c r="KJ19" i="9"/>
  <c r="KJ18" i="9"/>
  <c r="KJ17" i="9"/>
  <c r="KJ16" i="9"/>
  <c r="KJ15" i="9"/>
  <c r="KJ14" i="9"/>
  <c r="KI51" i="9"/>
  <c r="KI50" i="9"/>
  <c r="KI49" i="9"/>
  <c r="KI48" i="9"/>
  <c r="KI47" i="9"/>
  <c r="KI46" i="9"/>
  <c r="KI41" i="9"/>
  <c r="KI40" i="9"/>
  <c r="KI39" i="9"/>
  <c r="KI38" i="9"/>
  <c r="KI37" i="9"/>
  <c r="KI36" i="9"/>
  <c r="KI35" i="9"/>
  <c r="KI34" i="9"/>
  <c r="KI33" i="9"/>
  <c r="KI32" i="9"/>
  <c r="KI31" i="9"/>
  <c r="KI30" i="9"/>
  <c r="KI29" i="9"/>
  <c r="KI28" i="9"/>
  <c r="KI27" i="9"/>
  <c r="KI26" i="9"/>
  <c r="KI25" i="9"/>
  <c r="KI24" i="9"/>
  <c r="KI23" i="9"/>
  <c r="KI22" i="9"/>
  <c r="KI21" i="9"/>
  <c r="KI20" i="9"/>
  <c r="KI19" i="9"/>
  <c r="KI18" i="9"/>
  <c r="KI17" i="9"/>
  <c r="KI16" i="9"/>
  <c r="KI15" i="9"/>
  <c r="KI14" i="9"/>
  <c r="KH51" i="9"/>
  <c r="KH50" i="9"/>
  <c r="KH49" i="9"/>
  <c r="KH48" i="9"/>
  <c r="KH47" i="9"/>
  <c r="KH46" i="9"/>
  <c r="KH41" i="9"/>
  <c r="KH40" i="9"/>
  <c r="KH39" i="9"/>
  <c r="KH38" i="9"/>
  <c r="KH37" i="9"/>
  <c r="KH36" i="9"/>
  <c r="KH35" i="9"/>
  <c r="KH34" i="9"/>
  <c r="KH33" i="9"/>
  <c r="KH32" i="9"/>
  <c r="KH31" i="9"/>
  <c r="KH30" i="9"/>
  <c r="KH29" i="9"/>
  <c r="KH28" i="9"/>
  <c r="KH27" i="9"/>
  <c r="KH26" i="9"/>
  <c r="KH25" i="9"/>
  <c r="KH24" i="9"/>
  <c r="KH23" i="9"/>
  <c r="KH22" i="9"/>
  <c r="KH21" i="9"/>
  <c r="KH20" i="9"/>
  <c r="KH19" i="9"/>
  <c r="KH18" i="9"/>
  <c r="KH17" i="9"/>
  <c r="KH16" i="9"/>
  <c r="KH15" i="9"/>
  <c r="KH14" i="9"/>
  <c r="KG51" i="9"/>
  <c r="KG50" i="9"/>
  <c r="KG49" i="9"/>
  <c r="KG48" i="9"/>
  <c r="KG47" i="9"/>
  <c r="KG46" i="9"/>
  <c r="KG41" i="9"/>
  <c r="KG40" i="9"/>
  <c r="KG39" i="9"/>
  <c r="KG38" i="9"/>
  <c r="KG37" i="9"/>
  <c r="KG36" i="9"/>
  <c r="KG35" i="9"/>
  <c r="KG34" i="9"/>
  <c r="KG33" i="9"/>
  <c r="KG32" i="9"/>
  <c r="KG31" i="9"/>
  <c r="KG30" i="9"/>
  <c r="KG29" i="9"/>
  <c r="KG28" i="9"/>
  <c r="KG27" i="9"/>
  <c r="KG26" i="9"/>
  <c r="KG25" i="9"/>
  <c r="KG24" i="9"/>
  <c r="KG23" i="9"/>
  <c r="KG22" i="9"/>
  <c r="KG21" i="9"/>
  <c r="KG20" i="9"/>
  <c r="KG19" i="9"/>
  <c r="KG18" i="9"/>
  <c r="KG17" i="9"/>
  <c r="KG16" i="9"/>
  <c r="KG15" i="9"/>
  <c r="KG14" i="9"/>
  <c r="KF51" i="9"/>
  <c r="KF50" i="9"/>
  <c r="KF49" i="9"/>
  <c r="KF48" i="9"/>
  <c r="KF47" i="9"/>
  <c r="KF46" i="9"/>
  <c r="KF41" i="9"/>
  <c r="KF40" i="9"/>
  <c r="KF39" i="9"/>
  <c r="KF38" i="9"/>
  <c r="KF37" i="9"/>
  <c r="KF36" i="9"/>
  <c r="KF35" i="9"/>
  <c r="KF34" i="9"/>
  <c r="KF33" i="9"/>
  <c r="KF32" i="9"/>
  <c r="KF31" i="9"/>
  <c r="KF30" i="9"/>
  <c r="KF29" i="9"/>
  <c r="KF28" i="9"/>
  <c r="KF27" i="9"/>
  <c r="KF26" i="9"/>
  <c r="KF25" i="9"/>
  <c r="KF24" i="9"/>
  <c r="KF23" i="9"/>
  <c r="KF22" i="9"/>
  <c r="KF21" i="9"/>
  <c r="KF20" i="9"/>
  <c r="KF19" i="9"/>
  <c r="KF18" i="9"/>
  <c r="KF17" i="9"/>
  <c r="KF16" i="9"/>
  <c r="KF15" i="9"/>
  <c r="KF14" i="9"/>
  <c r="KE51" i="9"/>
  <c r="KE50" i="9"/>
  <c r="KE49" i="9"/>
  <c r="KE48" i="9"/>
  <c r="KE47" i="9"/>
  <c r="KE46" i="9"/>
  <c r="KE41" i="9"/>
  <c r="KE40" i="9"/>
  <c r="KE39" i="9"/>
  <c r="KE38" i="9"/>
  <c r="KE37" i="9"/>
  <c r="KE36" i="9"/>
  <c r="KE35" i="9"/>
  <c r="KE34" i="9"/>
  <c r="KE33" i="9"/>
  <c r="KE32" i="9"/>
  <c r="KE31" i="9"/>
  <c r="KE30" i="9"/>
  <c r="KE29" i="9"/>
  <c r="KE28" i="9"/>
  <c r="KE27" i="9"/>
  <c r="KE26" i="9"/>
  <c r="KE25" i="9"/>
  <c r="KE24" i="9"/>
  <c r="KE23" i="9"/>
  <c r="KE22" i="9"/>
  <c r="KE21" i="9"/>
  <c r="KE20" i="9"/>
  <c r="KE19" i="9"/>
  <c r="KE18" i="9"/>
  <c r="KE17" i="9"/>
  <c r="KE16" i="9"/>
  <c r="KE15" i="9"/>
  <c r="KE14" i="9"/>
  <c r="KE84" i="9" l="1"/>
  <c r="KE83" i="9"/>
  <c r="KE82" i="9"/>
  <c r="KF84" i="9"/>
  <c r="KF83" i="9"/>
  <c r="KF82" i="9"/>
  <c r="KG84" i="9"/>
  <c r="KG83" i="9"/>
  <c r="KG82" i="9"/>
  <c r="KH84" i="9"/>
  <c r="KH83" i="9"/>
  <c r="KH82" i="9"/>
  <c r="KI84" i="9"/>
  <c r="KI83" i="9"/>
  <c r="KI82" i="9"/>
  <c r="KJ84" i="9"/>
  <c r="KJ83" i="9"/>
  <c r="KJ82" i="9"/>
  <c r="KK84" i="9"/>
  <c r="KK83" i="9"/>
  <c r="KK82" i="9"/>
  <c r="KL84" i="9"/>
  <c r="KL83" i="9"/>
  <c r="KL82" i="9"/>
  <c r="KM84" i="9"/>
  <c r="KM83" i="9"/>
  <c r="KM82" i="9"/>
  <c r="KN84" i="9"/>
  <c r="KN83" i="9"/>
  <c r="KN82" i="9"/>
  <c r="KO84" i="9"/>
  <c r="KO83" i="9"/>
  <c r="KO82" i="9"/>
  <c r="KP84" i="9"/>
  <c r="KP83" i="9"/>
  <c r="KP82" i="9"/>
  <c r="KQ84" i="9"/>
  <c r="KQ83" i="9"/>
  <c r="KQ82" i="9"/>
  <c r="KE78" i="9"/>
  <c r="KE77" i="9"/>
  <c r="KE76" i="9"/>
  <c r="KE90" i="9"/>
  <c r="KE89" i="9"/>
  <c r="KE88" i="9"/>
  <c r="KF78" i="9"/>
  <c r="KF77" i="9"/>
  <c r="KF76" i="9"/>
  <c r="KF90" i="9"/>
  <c r="KF89" i="9"/>
  <c r="KF88" i="9"/>
  <c r="KG78" i="9"/>
  <c r="KG77" i="9"/>
  <c r="KG76" i="9"/>
  <c r="KG90" i="9"/>
  <c r="KG89" i="9"/>
  <c r="KG88" i="9"/>
  <c r="KH78" i="9"/>
  <c r="KH77" i="9"/>
  <c r="KH76" i="9"/>
  <c r="KH90" i="9"/>
  <c r="KH89" i="9"/>
  <c r="KH88" i="9"/>
  <c r="KI78" i="9"/>
  <c r="KI77" i="9"/>
  <c r="KI76" i="9"/>
  <c r="KI90" i="9"/>
  <c r="KI89" i="9"/>
  <c r="KI88" i="9"/>
  <c r="KJ78" i="9"/>
  <c r="KJ77" i="9"/>
  <c r="KJ76" i="9"/>
  <c r="KJ90" i="9"/>
  <c r="KJ89" i="9"/>
  <c r="KJ88" i="9"/>
  <c r="KK78" i="9"/>
  <c r="KK77" i="9"/>
  <c r="KK76" i="9"/>
  <c r="KK90" i="9"/>
  <c r="KK88" i="9"/>
  <c r="KK89" i="9"/>
  <c r="KL78" i="9"/>
  <c r="KL77" i="9"/>
  <c r="KL76" i="9"/>
  <c r="KL90" i="9"/>
  <c r="KL89" i="9"/>
  <c r="KL88" i="9"/>
  <c r="KM78" i="9"/>
  <c r="KM77" i="9"/>
  <c r="KM76" i="9"/>
  <c r="KM90" i="9"/>
  <c r="KM89" i="9"/>
  <c r="KM88" i="9"/>
  <c r="KN78" i="9"/>
  <c r="KN77" i="9"/>
  <c r="KN76" i="9"/>
  <c r="KN90" i="9"/>
  <c r="KN89" i="9"/>
  <c r="KN88" i="9"/>
  <c r="KO78" i="9"/>
  <c r="KO77" i="9"/>
  <c r="KO76" i="9"/>
  <c r="KO90" i="9"/>
  <c r="KO89" i="9"/>
  <c r="KO88" i="9"/>
  <c r="KP78" i="9"/>
  <c r="KP77" i="9"/>
  <c r="KP76" i="9"/>
  <c r="KP90" i="9"/>
  <c r="KP89" i="9"/>
  <c r="KP88" i="9"/>
  <c r="KQ78" i="9"/>
  <c r="KQ77" i="9"/>
  <c r="KQ76" i="9"/>
  <c r="KQ90" i="9"/>
  <c r="KQ89" i="9"/>
  <c r="KQ88" i="9"/>
  <c r="EP15" i="9"/>
  <c r="EP22" i="9" s="1"/>
  <c r="EO15" i="9"/>
  <c r="EO22" i="9" s="1"/>
  <c r="EN15" i="9"/>
  <c r="EN22" i="9" s="1"/>
  <c r="EM15" i="9"/>
  <c r="EM22" i="9" s="1"/>
  <c r="EL15" i="9"/>
  <c r="EL22" i="9" s="1"/>
  <c r="KQ85" i="9" l="1"/>
  <c r="KQ86" i="9" s="1"/>
  <c r="KM85" i="9"/>
  <c r="KM86" i="9" s="1"/>
  <c r="KI85" i="9"/>
  <c r="KI86" i="9" s="1"/>
  <c r="KE85" i="9"/>
  <c r="KE86" i="9" s="1"/>
  <c r="KQ79" i="9"/>
  <c r="KQ80" i="9" s="1"/>
  <c r="KO79" i="9"/>
  <c r="KO80" i="9" s="1"/>
  <c r="KM79" i="9"/>
  <c r="KM80" i="9" s="1"/>
  <c r="KK79" i="9"/>
  <c r="KK80" i="9" s="1"/>
  <c r="KI79" i="9"/>
  <c r="KI80" i="9" s="1"/>
  <c r="KG79" i="9"/>
  <c r="KG80" i="9" s="1"/>
  <c r="KP79" i="9"/>
  <c r="KP80" i="9" s="1"/>
  <c r="KN79" i="9"/>
  <c r="KN80" i="9" s="1"/>
  <c r="KL79" i="9"/>
  <c r="KL80" i="9" s="1"/>
  <c r="KK91" i="9"/>
  <c r="KK92" i="9" s="1"/>
  <c r="KJ79" i="9"/>
  <c r="KJ80" i="9" s="1"/>
  <c r="KH79" i="9"/>
  <c r="KH80" i="9" s="1"/>
  <c r="KF79" i="9"/>
  <c r="KF80" i="9" s="1"/>
  <c r="KE79" i="9"/>
  <c r="KE80" i="9" s="1"/>
  <c r="KO85" i="9"/>
  <c r="KO86" i="9" s="1"/>
  <c r="KK85" i="9"/>
  <c r="KK86" i="9" s="1"/>
  <c r="KG85" i="9"/>
  <c r="KG86" i="9" s="1"/>
  <c r="KP85" i="9"/>
  <c r="KP86" i="9" s="1"/>
  <c r="KN85" i="9"/>
  <c r="KN86" i="9" s="1"/>
  <c r="KL85" i="9"/>
  <c r="KL86" i="9" s="1"/>
  <c r="KJ85" i="9"/>
  <c r="KJ86" i="9" s="1"/>
  <c r="KH85" i="9"/>
  <c r="KH86" i="9" s="1"/>
  <c r="KF85" i="9"/>
  <c r="KF86" i="9" s="1"/>
  <c r="KQ91" i="9"/>
  <c r="KQ92" i="9" s="1"/>
  <c r="KP91" i="9"/>
  <c r="KP92" i="9" s="1"/>
  <c r="KO91" i="9"/>
  <c r="KO92" i="9" s="1"/>
  <c r="KN91" i="9"/>
  <c r="KN92" i="9" s="1"/>
  <c r="KM91" i="9"/>
  <c r="KM92" i="9" s="1"/>
  <c r="KL91" i="9"/>
  <c r="KL92" i="9" s="1"/>
  <c r="KJ91" i="9"/>
  <c r="KJ92" i="9" s="1"/>
  <c r="KI91" i="9"/>
  <c r="KI92" i="9" s="1"/>
  <c r="KH91" i="9"/>
  <c r="KH92" i="9" s="1"/>
  <c r="KG91" i="9"/>
  <c r="KG92" i="9" s="1"/>
  <c r="KF91" i="9"/>
  <c r="KF92" i="9" s="1"/>
  <c r="KE91" i="9"/>
  <c r="KE92" i="9" s="1"/>
  <c r="EK15" i="9"/>
  <c r="EK22" i="9" s="1"/>
  <c r="EJ15" i="9"/>
  <c r="EJ22" i="9" s="1"/>
  <c r="EI15" i="9"/>
  <c r="EI22" i="9" s="1"/>
  <c r="EH15" i="9"/>
  <c r="EH22" i="9" s="1"/>
  <c r="EG15" i="9"/>
  <c r="EG22" i="9" s="1"/>
  <c r="EF15" i="9"/>
  <c r="EF22" i="9" s="1"/>
  <c r="EE15" i="9"/>
  <c r="EE22" i="9" s="1"/>
  <c r="EP14" i="9"/>
  <c r="EP21" i="9" s="1"/>
  <c r="EO14" i="9"/>
  <c r="EO21" i="9" s="1"/>
  <c r="EN14" i="9"/>
  <c r="EN21" i="9" s="1"/>
  <c r="EM14" i="9"/>
  <c r="EM21" i="9" s="1"/>
  <c r="EL14" i="9"/>
  <c r="EL21" i="9" s="1"/>
  <c r="EK14" i="9"/>
  <c r="EK21" i="9" s="1"/>
  <c r="EJ14" i="9"/>
  <c r="EJ21" i="9" s="1"/>
  <c r="EI14" i="9"/>
  <c r="EI21" i="9" s="1"/>
  <c r="EH14" i="9"/>
  <c r="EH21" i="9" s="1"/>
  <c r="EG14" i="9"/>
  <c r="EG21" i="9" s="1"/>
  <c r="EF14" i="9"/>
  <c r="EF21" i="9" s="1"/>
  <c r="EE14" i="9"/>
  <c r="EE21" i="9" s="1"/>
  <c r="ED14" i="9"/>
  <c r="ED21" i="9" s="1"/>
  <c r="EP13" i="9"/>
  <c r="EP20" i="9" s="1"/>
  <c r="EO13" i="9"/>
  <c r="EO20" i="9" s="1"/>
  <c r="EN13" i="9"/>
  <c r="EN20" i="9" s="1"/>
  <c r="EM13" i="9"/>
  <c r="EM20" i="9" s="1"/>
  <c r="EL13" i="9"/>
  <c r="EL20" i="9" s="1"/>
  <c r="EK13" i="9"/>
  <c r="EK20" i="9" s="1"/>
  <c r="EJ13" i="9"/>
  <c r="EJ20" i="9" s="1"/>
  <c r="EI13" i="9"/>
  <c r="EI20" i="9" s="1"/>
  <c r="EH13" i="9"/>
  <c r="EH20" i="9" s="1"/>
  <c r="EG13" i="9"/>
  <c r="EG20" i="9" s="1"/>
  <c r="EF13" i="9"/>
  <c r="EF20" i="9" s="1"/>
  <c r="EE13" i="9"/>
  <c r="EE20" i="9" s="1"/>
  <c r="ED13" i="9"/>
  <c r="ED20" i="9" s="1"/>
  <c r="KD51" i="9" l="1"/>
  <c r="KD50" i="9"/>
  <c r="KD49" i="9"/>
  <c r="KD48" i="9"/>
  <c r="KD47" i="9"/>
  <c r="KD46" i="9"/>
  <c r="KD41" i="9"/>
  <c r="KD40" i="9"/>
  <c r="KD39" i="9"/>
  <c r="KD38" i="9"/>
  <c r="KD37" i="9"/>
  <c r="KD36" i="9"/>
  <c r="KD35" i="9"/>
  <c r="KD34" i="9"/>
  <c r="KD33" i="9"/>
  <c r="KD32" i="9"/>
  <c r="KD31" i="9"/>
  <c r="KD30" i="9"/>
  <c r="KD29" i="9"/>
  <c r="KD28" i="9"/>
  <c r="KD27" i="9"/>
  <c r="KD25" i="9"/>
  <c r="KD24" i="9"/>
  <c r="KD22" i="9"/>
  <c r="KD21" i="9"/>
  <c r="KD19" i="9"/>
  <c r="KD18" i="9"/>
  <c r="KD17" i="9"/>
  <c r="KD16" i="9"/>
  <c r="KD15" i="9"/>
  <c r="KD14" i="9"/>
  <c r="KD88" i="9" l="1"/>
  <c r="KD89" i="9"/>
  <c r="KD90" i="9"/>
  <c r="KD52" i="9"/>
  <c r="BU51" i="9"/>
  <c r="BU50" i="9"/>
  <c r="BU49" i="9"/>
  <c r="BU48" i="9"/>
  <c r="BU47" i="9"/>
  <c r="BU46" i="9"/>
  <c r="BU45" i="9"/>
  <c r="BU44" i="9"/>
  <c r="BU43" i="9"/>
  <c r="BU42" i="9"/>
  <c r="BU41" i="9"/>
  <c r="BU40" i="9"/>
  <c r="BU39" i="9"/>
  <c r="BU38" i="9"/>
  <c r="BU37" i="9"/>
  <c r="BU36" i="9"/>
  <c r="BU35" i="9"/>
  <c r="BU34" i="9"/>
  <c r="BU33" i="9"/>
  <c r="BU32" i="9"/>
  <c r="BU31" i="9"/>
  <c r="BU30" i="9"/>
  <c r="BU29" i="9"/>
  <c r="BU28" i="9"/>
  <c r="BU27" i="9"/>
  <c r="BU26" i="9"/>
  <c r="BU25" i="9"/>
  <c r="BU24" i="9"/>
  <c r="BU23" i="9"/>
  <c r="BU22" i="9"/>
  <c r="BU21" i="9"/>
  <c r="BU20" i="9"/>
  <c r="BU19" i="9"/>
  <c r="BU18" i="9"/>
  <c r="BU17" i="9"/>
  <c r="BU16" i="9"/>
  <c r="BU15" i="9"/>
  <c r="BU14" i="9"/>
  <c r="BU71" i="9" l="1"/>
  <c r="BU67" i="9"/>
  <c r="BU75" i="9"/>
  <c r="BU69" i="9"/>
  <c r="KD91" i="9"/>
  <c r="KD92" i="9" s="1"/>
  <c r="BU73" i="9"/>
  <c r="DL14" i="9" l="1"/>
  <c r="DL51" i="9"/>
  <c r="DL50" i="9"/>
  <c r="DL49" i="9"/>
  <c r="DL48" i="9"/>
  <c r="DL47" i="9"/>
  <c r="DL46" i="9"/>
  <c r="DL45" i="9"/>
  <c r="DL41" i="9"/>
  <c r="DL40" i="9"/>
  <c r="DL39" i="9"/>
  <c r="DL38" i="9"/>
  <c r="DL37" i="9"/>
  <c r="DL36" i="9"/>
  <c r="DL35" i="9"/>
  <c r="DL34" i="9"/>
  <c r="DL33" i="9"/>
  <c r="DL32" i="9"/>
  <c r="DL31" i="9"/>
  <c r="DL30" i="9"/>
  <c r="DL29" i="9"/>
  <c r="DL28" i="9"/>
  <c r="DL27" i="9"/>
  <c r="DL26" i="9"/>
  <c r="DL25" i="9"/>
  <c r="DL24" i="9"/>
  <c r="DL23" i="9"/>
  <c r="DL22" i="9"/>
  <c r="DL21" i="9"/>
  <c r="DL20" i="9"/>
  <c r="DL19" i="9"/>
  <c r="DL18" i="9"/>
  <c r="DL17" i="9"/>
  <c r="DL16" i="9"/>
  <c r="DL15" i="9"/>
  <c r="DK14" i="9"/>
  <c r="DK51" i="9"/>
  <c r="DK50" i="9"/>
  <c r="DK49" i="9"/>
  <c r="DK48" i="9"/>
  <c r="DK47" i="9"/>
  <c r="DK46" i="9"/>
  <c r="DK45" i="9"/>
  <c r="DK41" i="9"/>
  <c r="DK40" i="9"/>
  <c r="DK39" i="9"/>
  <c r="DK38" i="9"/>
  <c r="DK37" i="9"/>
  <c r="DK36" i="9"/>
  <c r="DK35" i="9"/>
  <c r="DK34" i="9"/>
  <c r="DK33" i="9"/>
  <c r="DK32" i="9"/>
  <c r="DK31" i="9"/>
  <c r="DK30" i="9"/>
  <c r="DK29" i="9"/>
  <c r="DK28" i="9"/>
  <c r="DK27" i="9"/>
  <c r="DK26" i="9"/>
  <c r="DK25" i="9"/>
  <c r="DK24" i="9"/>
  <c r="DK23" i="9"/>
  <c r="DK22" i="9"/>
  <c r="DK21" i="9"/>
  <c r="DK20" i="9"/>
  <c r="DK19" i="9"/>
  <c r="DK18" i="9"/>
  <c r="DK17" i="9"/>
  <c r="DK16" i="9"/>
  <c r="DK15" i="9"/>
  <c r="DJ14" i="9"/>
  <c r="DJ51" i="9"/>
  <c r="DJ50" i="9"/>
  <c r="DJ49" i="9"/>
  <c r="DJ48" i="9"/>
  <c r="DJ47" i="9"/>
  <c r="DJ46" i="9"/>
  <c r="DJ45" i="9"/>
  <c r="DJ41" i="9"/>
  <c r="DJ40" i="9"/>
  <c r="DJ39" i="9"/>
  <c r="DJ38" i="9"/>
  <c r="DJ37" i="9"/>
  <c r="DJ36" i="9"/>
  <c r="DJ35" i="9"/>
  <c r="DJ34" i="9"/>
  <c r="DJ33" i="9"/>
  <c r="DJ32" i="9"/>
  <c r="DJ31" i="9"/>
  <c r="DJ30" i="9"/>
  <c r="DJ29" i="9"/>
  <c r="DJ28" i="9"/>
  <c r="DJ27" i="9"/>
  <c r="DJ26" i="9"/>
  <c r="DJ25" i="9"/>
  <c r="DJ24" i="9"/>
  <c r="DJ23" i="9"/>
  <c r="DJ22" i="9"/>
  <c r="DJ21" i="9"/>
  <c r="DJ20" i="9"/>
  <c r="DJ19" i="9"/>
  <c r="DJ18" i="9"/>
  <c r="DJ17" i="9"/>
  <c r="DJ16" i="9"/>
  <c r="DJ15" i="9"/>
  <c r="DI14" i="9"/>
  <c r="DI51" i="9"/>
  <c r="DI50" i="9"/>
  <c r="DI49" i="9"/>
  <c r="DI48" i="9"/>
  <c r="DI47" i="9"/>
  <c r="DI46" i="9"/>
  <c r="DI45" i="9"/>
  <c r="DI41" i="9"/>
  <c r="DI40" i="9"/>
  <c r="DI39" i="9"/>
  <c r="DI38" i="9"/>
  <c r="DI37" i="9"/>
  <c r="DI36" i="9"/>
  <c r="DI35" i="9"/>
  <c r="DI34" i="9"/>
  <c r="DI33" i="9"/>
  <c r="DI32" i="9"/>
  <c r="DI31" i="9"/>
  <c r="DI30" i="9"/>
  <c r="DI29" i="9"/>
  <c r="DI28" i="9"/>
  <c r="DI27" i="9"/>
  <c r="DI26" i="9"/>
  <c r="DI25" i="9"/>
  <c r="DI24" i="9"/>
  <c r="DI23" i="9"/>
  <c r="DI22" i="9"/>
  <c r="DI21" i="9"/>
  <c r="DI20" i="9"/>
  <c r="DI19" i="9"/>
  <c r="DI18" i="9"/>
  <c r="DI17" i="9"/>
  <c r="DI16" i="9"/>
  <c r="DI15" i="9"/>
  <c r="DH14" i="9"/>
  <c r="DH51" i="9"/>
  <c r="DH50" i="9"/>
  <c r="DH49" i="9"/>
  <c r="DH48" i="9"/>
  <c r="DH47" i="9"/>
  <c r="DH46" i="9"/>
  <c r="DH45" i="9"/>
  <c r="DH41" i="9"/>
  <c r="DH40" i="9"/>
  <c r="DH39" i="9"/>
  <c r="DH38" i="9"/>
  <c r="DH37" i="9"/>
  <c r="DH36" i="9"/>
  <c r="DH35" i="9"/>
  <c r="DH34" i="9"/>
  <c r="DH33" i="9"/>
  <c r="DH32" i="9"/>
  <c r="DH31" i="9"/>
  <c r="DH30" i="9"/>
  <c r="DH29" i="9"/>
  <c r="DH28" i="9"/>
  <c r="DH27" i="9"/>
  <c r="DH26" i="9"/>
  <c r="DH25" i="9"/>
  <c r="DH24" i="9"/>
  <c r="DH23" i="9"/>
  <c r="DH22" i="9"/>
  <c r="DH21" i="9"/>
  <c r="DH20" i="9"/>
  <c r="DH19" i="9"/>
  <c r="DH18" i="9"/>
  <c r="DH17" i="9"/>
  <c r="DH16" i="9"/>
  <c r="DH15" i="9"/>
  <c r="DG14" i="9"/>
  <c r="DG51" i="9"/>
  <c r="DG50" i="9"/>
  <c r="DG49" i="9"/>
  <c r="DG48" i="9"/>
  <c r="DG47" i="9"/>
  <c r="DG46" i="9"/>
  <c r="DG45" i="9"/>
  <c r="DG41" i="9"/>
  <c r="DG40" i="9"/>
  <c r="DG39" i="9"/>
  <c r="DG38" i="9"/>
  <c r="DG37" i="9"/>
  <c r="DG36" i="9"/>
  <c r="DG35" i="9"/>
  <c r="DG34" i="9"/>
  <c r="DG33" i="9"/>
  <c r="DG32" i="9"/>
  <c r="DG31" i="9"/>
  <c r="DG30" i="9"/>
  <c r="DG29" i="9"/>
  <c r="DG28" i="9"/>
  <c r="DG27" i="9"/>
  <c r="DG26" i="9"/>
  <c r="DG25" i="9"/>
  <c r="DG24" i="9"/>
  <c r="DG23" i="9"/>
  <c r="DG22" i="9"/>
  <c r="DG21" i="9"/>
  <c r="DG20" i="9"/>
  <c r="DG19" i="9"/>
  <c r="DG18" i="9"/>
  <c r="DG17" i="9"/>
  <c r="DG16" i="9"/>
  <c r="DG15" i="9"/>
  <c r="DF14" i="9"/>
  <c r="DF51" i="9"/>
  <c r="DF50" i="9"/>
  <c r="DF49" i="9"/>
  <c r="DF48" i="9"/>
  <c r="DF47" i="9"/>
  <c r="DF46" i="9"/>
  <c r="DF45" i="9"/>
  <c r="DF41" i="9"/>
  <c r="DF40" i="9"/>
  <c r="DF39" i="9"/>
  <c r="DF38" i="9"/>
  <c r="DF37" i="9"/>
  <c r="DF36" i="9"/>
  <c r="DF35" i="9"/>
  <c r="DF34" i="9"/>
  <c r="DF33" i="9"/>
  <c r="DF32" i="9"/>
  <c r="DF31" i="9"/>
  <c r="DF30" i="9"/>
  <c r="DF29" i="9"/>
  <c r="DF28" i="9"/>
  <c r="DF27" i="9"/>
  <c r="DF26" i="9"/>
  <c r="DF25" i="9"/>
  <c r="DF24" i="9"/>
  <c r="DF23" i="9"/>
  <c r="DF22" i="9"/>
  <c r="DF21" i="9"/>
  <c r="DF20" i="9"/>
  <c r="DF19" i="9"/>
  <c r="DF18" i="9"/>
  <c r="DF17" i="9"/>
  <c r="DF16" i="9"/>
  <c r="DF15" i="9"/>
  <c r="DE14" i="9"/>
  <c r="DE51" i="9"/>
  <c r="DE50" i="9"/>
  <c r="DE49" i="9"/>
  <c r="DE48" i="9"/>
  <c r="DE47" i="9"/>
  <c r="DE46" i="9"/>
  <c r="DE45" i="9"/>
  <c r="DE41" i="9"/>
  <c r="DE40" i="9"/>
  <c r="DE39" i="9"/>
  <c r="DE38" i="9"/>
  <c r="DE37" i="9"/>
  <c r="DE36" i="9"/>
  <c r="DE35" i="9"/>
  <c r="DE34" i="9"/>
  <c r="DE33" i="9"/>
  <c r="DE32" i="9"/>
  <c r="DE31" i="9"/>
  <c r="DE30" i="9"/>
  <c r="DE29" i="9"/>
  <c r="DE28" i="9"/>
  <c r="DE27" i="9"/>
  <c r="DE26" i="9"/>
  <c r="DE25" i="9"/>
  <c r="DE24" i="9"/>
  <c r="DE23" i="9"/>
  <c r="DE22" i="9"/>
  <c r="DE21" i="9"/>
  <c r="DE20" i="9"/>
  <c r="DE19" i="9"/>
  <c r="DE18" i="9"/>
  <c r="DE17" i="9"/>
  <c r="DE16" i="9"/>
  <c r="DE15" i="9"/>
  <c r="DD14" i="9"/>
  <c r="DD51" i="9"/>
  <c r="DD50" i="9"/>
  <c r="DD49" i="9"/>
  <c r="DD48" i="9"/>
  <c r="DD47" i="9"/>
  <c r="DD46" i="9"/>
  <c r="DD45" i="9"/>
  <c r="DD41" i="9"/>
  <c r="DD40" i="9"/>
  <c r="DD39" i="9"/>
  <c r="DD38" i="9"/>
  <c r="DD37" i="9"/>
  <c r="DD36" i="9"/>
  <c r="DD35" i="9"/>
  <c r="DD34" i="9"/>
  <c r="DD33" i="9"/>
  <c r="DD32" i="9"/>
  <c r="DD31" i="9"/>
  <c r="DD30" i="9"/>
  <c r="DD29" i="9"/>
  <c r="DD28" i="9"/>
  <c r="DD27" i="9"/>
  <c r="DD26" i="9"/>
  <c r="DD25" i="9"/>
  <c r="DD24" i="9"/>
  <c r="DD23" i="9"/>
  <c r="DD22" i="9"/>
  <c r="DD21" i="9"/>
  <c r="DD20" i="9"/>
  <c r="DD19" i="9"/>
  <c r="DD18" i="9"/>
  <c r="DD17" i="9"/>
  <c r="DD16" i="9"/>
  <c r="DD15" i="9"/>
  <c r="DC14" i="9"/>
  <c r="DC51" i="9"/>
  <c r="DC50" i="9"/>
  <c r="DC49" i="9"/>
  <c r="DC48" i="9"/>
  <c r="DC47" i="9"/>
  <c r="DC46" i="9"/>
  <c r="DC45" i="9"/>
  <c r="DC41" i="9"/>
  <c r="DC40" i="9"/>
  <c r="DC39" i="9"/>
  <c r="DC38" i="9"/>
  <c r="DC37" i="9"/>
  <c r="DC36" i="9"/>
  <c r="DC35" i="9"/>
  <c r="DC34" i="9"/>
  <c r="DC33" i="9"/>
  <c r="DC32" i="9"/>
  <c r="DC31" i="9"/>
  <c r="DC30" i="9"/>
  <c r="DC29" i="9"/>
  <c r="DC28" i="9"/>
  <c r="DC27" i="9"/>
  <c r="DC26" i="9"/>
  <c r="DC25" i="9"/>
  <c r="DC24" i="9"/>
  <c r="DC23" i="9"/>
  <c r="DC22" i="9"/>
  <c r="DC21" i="9"/>
  <c r="DC20" i="9"/>
  <c r="DC19" i="9"/>
  <c r="DC18" i="9"/>
  <c r="DC17" i="9"/>
  <c r="DC16" i="9"/>
  <c r="DC15" i="9"/>
  <c r="DB14" i="9"/>
  <c r="DB51" i="9"/>
  <c r="DB50" i="9"/>
  <c r="DB49" i="9"/>
  <c r="DB48" i="9"/>
  <c r="DB47" i="9"/>
  <c r="DB46" i="9"/>
  <c r="DB45" i="9"/>
  <c r="DB41" i="9"/>
  <c r="DB40" i="9"/>
  <c r="DB39" i="9"/>
  <c r="DB38" i="9"/>
  <c r="DB37" i="9"/>
  <c r="DB36" i="9"/>
  <c r="DB35" i="9"/>
  <c r="DB34" i="9"/>
  <c r="DB33" i="9"/>
  <c r="DB32" i="9"/>
  <c r="DB31" i="9"/>
  <c r="DB30" i="9"/>
  <c r="DB29" i="9"/>
  <c r="DB28" i="9"/>
  <c r="DB27" i="9"/>
  <c r="DB26" i="9"/>
  <c r="DB25" i="9"/>
  <c r="DB24" i="9"/>
  <c r="DB23" i="9"/>
  <c r="DB22" i="9"/>
  <c r="DB21" i="9"/>
  <c r="DB20" i="9"/>
  <c r="DB19" i="9"/>
  <c r="DB18" i="9"/>
  <c r="DB17" i="9"/>
  <c r="DB16" i="9"/>
  <c r="DB15" i="9"/>
  <c r="DA14" i="9"/>
  <c r="DA51" i="9"/>
  <c r="DA50" i="9"/>
  <c r="DA49" i="9"/>
  <c r="DA48" i="9"/>
  <c r="DA47" i="9"/>
  <c r="DA46" i="9"/>
  <c r="DA45" i="9"/>
  <c r="DA41" i="9"/>
  <c r="DA40" i="9"/>
  <c r="DA39" i="9"/>
  <c r="DA38" i="9"/>
  <c r="DA37" i="9"/>
  <c r="DA36" i="9"/>
  <c r="DA35" i="9"/>
  <c r="DA34" i="9"/>
  <c r="DA33" i="9"/>
  <c r="DA32" i="9"/>
  <c r="DA31" i="9"/>
  <c r="DA30" i="9"/>
  <c r="DA29" i="9"/>
  <c r="DA28" i="9"/>
  <c r="DA27" i="9"/>
  <c r="DA26" i="9"/>
  <c r="DA25" i="9"/>
  <c r="DA24" i="9"/>
  <c r="DA23" i="9"/>
  <c r="DA22" i="9"/>
  <c r="DA21" i="9"/>
  <c r="DA20" i="9"/>
  <c r="DA19" i="9"/>
  <c r="DA18" i="9"/>
  <c r="DA17" i="9"/>
  <c r="DA16" i="9"/>
  <c r="DA15" i="9"/>
  <c r="CZ51" i="9"/>
  <c r="CZ50" i="9"/>
  <c r="CZ49" i="9"/>
  <c r="CZ48" i="9"/>
  <c r="CZ47" i="9"/>
  <c r="CZ46" i="9"/>
  <c r="CZ45" i="9"/>
  <c r="CZ41" i="9"/>
  <c r="CZ40" i="9"/>
  <c r="CZ39" i="9"/>
  <c r="CZ38" i="9"/>
  <c r="CZ37" i="9"/>
  <c r="CZ36" i="9"/>
  <c r="CZ35" i="9"/>
  <c r="CZ34" i="9"/>
  <c r="CZ33" i="9"/>
  <c r="CZ32" i="9"/>
  <c r="CZ31" i="9"/>
  <c r="CZ30" i="9"/>
  <c r="CZ29" i="9"/>
  <c r="CZ28" i="9"/>
  <c r="CZ27" i="9"/>
  <c r="CZ26" i="9"/>
  <c r="CZ25" i="9"/>
  <c r="CZ24" i="9"/>
  <c r="CZ23" i="9"/>
  <c r="CZ22" i="9"/>
  <c r="CZ21" i="9"/>
  <c r="CZ20" i="9"/>
  <c r="CZ19" i="9"/>
  <c r="CZ18" i="9"/>
  <c r="CZ17" i="9"/>
  <c r="CZ16" i="9"/>
  <c r="CZ15" i="9"/>
  <c r="CZ14" i="9"/>
  <c r="CY51" i="9"/>
  <c r="CY50" i="9"/>
  <c r="CY49" i="9"/>
  <c r="CY48" i="9"/>
  <c r="CY47" i="9"/>
  <c r="CY46" i="9"/>
  <c r="CY41" i="9"/>
  <c r="CY40" i="9"/>
  <c r="CY39" i="9"/>
  <c r="CY37" i="9"/>
  <c r="CY36" i="9"/>
  <c r="CY35" i="9"/>
  <c r="CY34" i="9"/>
  <c r="CY33" i="9"/>
  <c r="CY32" i="9"/>
  <c r="CY31" i="9"/>
  <c r="CY30" i="9"/>
  <c r="CY29" i="9"/>
  <c r="CY28" i="9"/>
  <c r="CY27" i="9"/>
  <c r="CY25" i="9"/>
  <c r="CY24" i="9"/>
  <c r="CY23" i="9"/>
  <c r="CY22" i="9"/>
  <c r="CY21" i="9"/>
  <c r="CY19" i="9"/>
  <c r="CY17" i="9"/>
  <c r="CY15" i="9"/>
  <c r="EP37" i="9" l="1"/>
  <c r="EO37" i="9"/>
  <c r="EN37" i="9"/>
  <c r="EM37" i="9"/>
  <c r="EL37" i="9"/>
  <c r="EK37" i="9"/>
  <c r="EJ37" i="9"/>
  <c r="EI37" i="9"/>
  <c r="EH37" i="9"/>
  <c r="EG37" i="9"/>
  <c r="EF37" i="9"/>
  <c r="EE37" i="9"/>
  <c r="ED37" i="9"/>
  <c r="EC37" i="9"/>
  <c r="IF14" i="9" l="1"/>
  <c r="IE14" i="9"/>
  <c r="ID14" i="9"/>
  <c r="IC14" i="9"/>
  <c r="IB14" i="9"/>
  <c r="IA14" i="9"/>
  <c r="HZ14" i="9"/>
  <c r="HY14" i="9"/>
  <c r="HX14" i="9"/>
  <c r="HW14" i="9"/>
  <c r="HV14" i="9"/>
  <c r="HU14" i="9"/>
  <c r="HT14" i="9"/>
  <c r="HS14" i="9"/>
  <c r="IF51" i="9" l="1"/>
  <c r="IF50" i="9"/>
  <c r="IF49" i="9"/>
  <c r="IF48" i="9"/>
  <c r="IF47" i="9"/>
  <c r="IF46" i="9"/>
  <c r="IF45" i="9"/>
  <c r="IF44" i="9"/>
  <c r="IF43" i="9"/>
  <c r="IF42" i="9"/>
  <c r="IF41" i="9"/>
  <c r="IF40" i="9"/>
  <c r="IF39" i="9"/>
  <c r="IF38" i="9"/>
  <c r="IF37" i="9"/>
  <c r="IF36" i="9"/>
  <c r="IF35" i="9"/>
  <c r="IF34" i="9"/>
  <c r="IF33" i="9"/>
  <c r="IF32" i="9"/>
  <c r="IF31" i="9"/>
  <c r="IF30" i="9"/>
  <c r="IF29" i="9"/>
  <c r="IF28" i="9"/>
  <c r="IF27" i="9"/>
  <c r="IF26" i="9"/>
  <c r="IF25" i="9"/>
  <c r="IF24" i="9"/>
  <c r="IF23" i="9"/>
  <c r="IF22" i="9"/>
  <c r="IF21" i="9"/>
  <c r="IF20" i="9"/>
  <c r="IF19" i="9"/>
  <c r="IF18" i="9"/>
  <c r="IF17" i="9"/>
  <c r="IF16" i="9"/>
  <c r="IF15" i="9"/>
  <c r="IE51" i="9"/>
  <c r="IE50" i="9"/>
  <c r="IE49" i="9"/>
  <c r="IE48" i="9"/>
  <c r="IE47" i="9"/>
  <c r="IE46" i="9"/>
  <c r="IE45" i="9"/>
  <c r="IE44" i="9"/>
  <c r="IE43" i="9"/>
  <c r="IE42" i="9"/>
  <c r="IE41" i="9"/>
  <c r="IE40" i="9"/>
  <c r="IE39" i="9"/>
  <c r="IE38" i="9"/>
  <c r="IE37" i="9"/>
  <c r="IE36" i="9"/>
  <c r="IE35" i="9"/>
  <c r="IE34" i="9"/>
  <c r="IE33" i="9"/>
  <c r="IE32" i="9"/>
  <c r="IE31" i="9"/>
  <c r="IE30" i="9"/>
  <c r="IE29" i="9"/>
  <c r="IE28" i="9"/>
  <c r="IE27" i="9"/>
  <c r="IE26" i="9"/>
  <c r="IE25" i="9"/>
  <c r="IE24" i="9"/>
  <c r="IE23" i="9"/>
  <c r="IE22" i="9"/>
  <c r="IE21" i="9"/>
  <c r="IE20" i="9"/>
  <c r="IE19" i="9"/>
  <c r="IE18" i="9"/>
  <c r="IE17" i="9"/>
  <c r="IE16" i="9"/>
  <c r="IE15" i="9"/>
  <c r="ID51" i="9"/>
  <c r="ID50" i="9"/>
  <c r="ID49" i="9"/>
  <c r="ID48" i="9"/>
  <c r="ID47" i="9"/>
  <c r="ID46" i="9"/>
  <c r="ID45" i="9"/>
  <c r="ID44" i="9"/>
  <c r="ID43" i="9"/>
  <c r="ID42" i="9"/>
  <c r="ID41" i="9"/>
  <c r="ID40" i="9"/>
  <c r="ID39" i="9"/>
  <c r="ID38" i="9"/>
  <c r="ID37" i="9"/>
  <c r="ID36" i="9"/>
  <c r="ID35" i="9"/>
  <c r="ID34" i="9"/>
  <c r="ID33" i="9"/>
  <c r="ID32" i="9"/>
  <c r="ID31" i="9"/>
  <c r="ID30" i="9"/>
  <c r="ID29" i="9"/>
  <c r="ID28" i="9"/>
  <c r="ID27" i="9"/>
  <c r="ID26" i="9"/>
  <c r="ID25" i="9"/>
  <c r="ID24" i="9"/>
  <c r="ID23" i="9"/>
  <c r="ID22" i="9"/>
  <c r="ID21" i="9"/>
  <c r="ID20" i="9"/>
  <c r="ID19" i="9"/>
  <c r="ID18" i="9"/>
  <c r="ID17" i="9"/>
  <c r="ID16" i="9"/>
  <c r="ID15" i="9"/>
  <c r="IC51" i="9"/>
  <c r="IC50" i="9"/>
  <c r="IC49" i="9"/>
  <c r="IC48" i="9"/>
  <c r="IC47" i="9"/>
  <c r="IC46" i="9"/>
  <c r="IC45" i="9"/>
  <c r="IC44" i="9"/>
  <c r="IC43" i="9"/>
  <c r="IC42" i="9"/>
  <c r="IC41" i="9"/>
  <c r="IC40" i="9"/>
  <c r="IC39" i="9"/>
  <c r="IC38" i="9"/>
  <c r="IC37" i="9"/>
  <c r="IC36" i="9"/>
  <c r="IC35" i="9"/>
  <c r="IC34" i="9"/>
  <c r="IC33" i="9"/>
  <c r="IC32" i="9"/>
  <c r="IC31" i="9"/>
  <c r="IC30" i="9"/>
  <c r="IC29" i="9"/>
  <c r="IC28" i="9"/>
  <c r="IC27" i="9"/>
  <c r="IC26" i="9"/>
  <c r="IC25" i="9"/>
  <c r="IC24" i="9"/>
  <c r="IC23" i="9"/>
  <c r="IC22" i="9"/>
  <c r="IC21" i="9"/>
  <c r="IC20" i="9"/>
  <c r="IC19" i="9"/>
  <c r="IC18" i="9"/>
  <c r="IC17" i="9"/>
  <c r="IC16" i="9"/>
  <c r="IC15" i="9"/>
  <c r="IB51" i="9"/>
  <c r="IB50" i="9"/>
  <c r="IB49" i="9"/>
  <c r="IB48" i="9"/>
  <c r="IB47" i="9"/>
  <c r="IB46" i="9"/>
  <c r="IB45" i="9"/>
  <c r="IB44" i="9"/>
  <c r="IB43" i="9"/>
  <c r="IB42" i="9"/>
  <c r="IB41" i="9"/>
  <c r="IB40" i="9"/>
  <c r="IB39" i="9"/>
  <c r="IB38" i="9"/>
  <c r="IB37" i="9"/>
  <c r="IB36" i="9"/>
  <c r="IB35" i="9"/>
  <c r="IB34" i="9"/>
  <c r="IB33" i="9"/>
  <c r="IB32" i="9"/>
  <c r="IB31" i="9"/>
  <c r="IB30" i="9"/>
  <c r="IB29" i="9"/>
  <c r="IB28" i="9"/>
  <c r="IB27" i="9"/>
  <c r="IB26" i="9"/>
  <c r="IB25" i="9"/>
  <c r="IB24" i="9"/>
  <c r="IB23" i="9"/>
  <c r="IB22" i="9"/>
  <c r="IB21" i="9"/>
  <c r="IB20" i="9"/>
  <c r="IB19" i="9"/>
  <c r="IB18" i="9"/>
  <c r="IB17" i="9"/>
  <c r="IB16" i="9"/>
  <c r="IB15" i="9"/>
  <c r="IA51" i="9"/>
  <c r="IA50" i="9"/>
  <c r="IA49" i="9"/>
  <c r="IA48" i="9"/>
  <c r="IA47" i="9"/>
  <c r="IA46" i="9"/>
  <c r="IA45" i="9"/>
  <c r="IA44" i="9"/>
  <c r="IA43" i="9"/>
  <c r="IA42" i="9"/>
  <c r="IA41" i="9"/>
  <c r="IA40" i="9"/>
  <c r="IA39" i="9"/>
  <c r="IA38" i="9"/>
  <c r="IA37" i="9"/>
  <c r="IA36" i="9"/>
  <c r="IA35" i="9"/>
  <c r="IA34" i="9"/>
  <c r="IA33" i="9"/>
  <c r="IA32" i="9"/>
  <c r="IA31" i="9"/>
  <c r="IA30" i="9"/>
  <c r="IA29" i="9"/>
  <c r="IA28" i="9"/>
  <c r="IA27" i="9"/>
  <c r="IA26" i="9"/>
  <c r="IA25" i="9"/>
  <c r="IA24" i="9"/>
  <c r="IA23" i="9"/>
  <c r="IA22" i="9"/>
  <c r="IA21" i="9"/>
  <c r="IA20" i="9"/>
  <c r="IA19" i="9"/>
  <c r="IA18" i="9"/>
  <c r="IA17" i="9"/>
  <c r="IA16" i="9"/>
  <c r="IA15" i="9"/>
  <c r="HZ51" i="9"/>
  <c r="HZ50" i="9"/>
  <c r="HZ49" i="9"/>
  <c r="HZ48" i="9"/>
  <c r="HZ47" i="9"/>
  <c r="HZ46" i="9"/>
  <c r="HZ45" i="9"/>
  <c r="HZ44" i="9"/>
  <c r="HZ43" i="9"/>
  <c r="HZ42" i="9"/>
  <c r="HZ41" i="9"/>
  <c r="HZ40" i="9"/>
  <c r="HZ39" i="9"/>
  <c r="HZ38" i="9"/>
  <c r="HZ37" i="9"/>
  <c r="HZ36" i="9"/>
  <c r="HZ35" i="9"/>
  <c r="HZ34" i="9"/>
  <c r="HZ33" i="9"/>
  <c r="HZ32" i="9"/>
  <c r="HZ31" i="9"/>
  <c r="HZ30" i="9"/>
  <c r="HZ29" i="9"/>
  <c r="HZ28" i="9"/>
  <c r="HZ27" i="9"/>
  <c r="HZ26" i="9"/>
  <c r="HZ25" i="9"/>
  <c r="HZ24" i="9"/>
  <c r="HZ23" i="9"/>
  <c r="HZ22" i="9"/>
  <c r="HZ21" i="9"/>
  <c r="HZ20" i="9"/>
  <c r="HZ19" i="9"/>
  <c r="HZ18" i="9"/>
  <c r="HZ17" i="9"/>
  <c r="HZ16" i="9"/>
  <c r="HZ15" i="9"/>
  <c r="HY51" i="9"/>
  <c r="HY50" i="9"/>
  <c r="HY49" i="9"/>
  <c r="HY48" i="9"/>
  <c r="HY47" i="9"/>
  <c r="HY46" i="9"/>
  <c r="HY45" i="9"/>
  <c r="HY44" i="9"/>
  <c r="HY43" i="9"/>
  <c r="HY42" i="9"/>
  <c r="HY41" i="9"/>
  <c r="HY40" i="9"/>
  <c r="HY39" i="9"/>
  <c r="HY38" i="9"/>
  <c r="HY37" i="9"/>
  <c r="HY36" i="9"/>
  <c r="HY35" i="9"/>
  <c r="HY34" i="9"/>
  <c r="HY33" i="9"/>
  <c r="HY32" i="9"/>
  <c r="HY31" i="9"/>
  <c r="HY30" i="9"/>
  <c r="HY29" i="9"/>
  <c r="HY28" i="9"/>
  <c r="HY27" i="9"/>
  <c r="HY26" i="9"/>
  <c r="HY25" i="9"/>
  <c r="HY24" i="9"/>
  <c r="HY23" i="9"/>
  <c r="HY22" i="9"/>
  <c r="HY21" i="9"/>
  <c r="HY20" i="9"/>
  <c r="HY19" i="9"/>
  <c r="HY18" i="9"/>
  <c r="HY17" i="9"/>
  <c r="HY16" i="9"/>
  <c r="HY15" i="9"/>
  <c r="HX51" i="9"/>
  <c r="HX50" i="9"/>
  <c r="HX49" i="9"/>
  <c r="HX48" i="9"/>
  <c r="HX47" i="9"/>
  <c r="HX46" i="9"/>
  <c r="HX45" i="9"/>
  <c r="HX44" i="9"/>
  <c r="HX43" i="9"/>
  <c r="HX42" i="9"/>
  <c r="HX41" i="9"/>
  <c r="HX40" i="9"/>
  <c r="HX39" i="9"/>
  <c r="HX38" i="9"/>
  <c r="HX37" i="9"/>
  <c r="HX36" i="9"/>
  <c r="HX35" i="9"/>
  <c r="HX34" i="9"/>
  <c r="HX33" i="9"/>
  <c r="HX32" i="9"/>
  <c r="HX31" i="9"/>
  <c r="HX30" i="9"/>
  <c r="HX29" i="9"/>
  <c r="HX28" i="9"/>
  <c r="HX27" i="9"/>
  <c r="HX26" i="9"/>
  <c r="HX25" i="9"/>
  <c r="HX24" i="9"/>
  <c r="HX23" i="9"/>
  <c r="HX22" i="9"/>
  <c r="HX21" i="9"/>
  <c r="HX20" i="9"/>
  <c r="HX19" i="9"/>
  <c r="HX18" i="9"/>
  <c r="HX17" i="9"/>
  <c r="HX16" i="9"/>
  <c r="HX15" i="9"/>
  <c r="HW51" i="9"/>
  <c r="HW50" i="9"/>
  <c r="HW49" i="9"/>
  <c r="HW48" i="9"/>
  <c r="HW47" i="9"/>
  <c r="HW46" i="9"/>
  <c r="HW45" i="9"/>
  <c r="HW44" i="9"/>
  <c r="HW43" i="9"/>
  <c r="HW42" i="9"/>
  <c r="HW41" i="9"/>
  <c r="HW40" i="9"/>
  <c r="HW39" i="9"/>
  <c r="HW38" i="9"/>
  <c r="HW37" i="9"/>
  <c r="HW36" i="9"/>
  <c r="HW35" i="9"/>
  <c r="HW34" i="9"/>
  <c r="HW33" i="9"/>
  <c r="HW32" i="9"/>
  <c r="HW31" i="9"/>
  <c r="HW30" i="9"/>
  <c r="HW29" i="9"/>
  <c r="HW28" i="9"/>
  <c r="HW27" i="9"/>
  <c r="HW26" i="9"/>
  <c r="HW25" i="9"/>
  <c r="HW24" i="9"/>
  <c r="HW23" i="9"/>
  <c r="HW22" i="9"/>
  <c r="HW21" i="9"/>
  <c r="HW20" i="9"/>
  <c r="HW19" i="9"/>
  <c r="HW18" i="9"/>
  <c r="HW17" i="9"/>
  <c r="HW16" i="9"/>
  <c r="HW15" i="9"/>
  <c r="HV51" i="9"/>
  <c r="HV50" i="9"/>
  <c r="HV49" i="9"/>
  <c r="HV48" i="9"/>
  <c r="HV47" i="9"/>
  <c r="HV46" i="9"/>
  <c r="HV45" i="9"/>
  <c r="HV44" i="9"/>
  <c r="HV43" i="9"/>
  <c r="HV42" i="9"/>
  <c r="HV41" i="9"/>
  <c r="HV40" i="9"/>
  <c r="HV39" i="9"/>
  <c r="HV38" i="9"/>
  <c r="HV37" i="9"/>
  <c r="HV36" i="9"/>
  <c r="HV35" i="9"/>
  <c r="HV34" i="9"/>
  <c r="HV33" i="9"/>
  <c r="HV32" i="9"/>
  <c r="HV31" i="9"/>
  <c r="HV30" i="9"/>
  <c r="HV29" i="9"/>
  <c r="HV28" i="9"/>
  <c r="HV27" i="9"/>
  <c r="HV26" i="9"/>
  <c r="HV25" i="9"/>
  <c r="HV24" i="9"/>
  <c r="HV23" i="9"/>
  <c r="HV22" i="9"/>
  <c r="HV21" i="9"/>
  <c r="HV20" i="9"/>
  <c r="HV19" i="9"/>
  <c r="HV18" i="9"/>
  <c r="HV17" i="9"/>
  <c r="HV16" i="9"/>
  <c r="HV15" i="9"/>
  <c r="HU51" i="9"/>
  <c r="HU50" i="9"/>
  <c r="HU49" i="9"/>
  <c r="HU48" i="9"/>
  <c r="HU47" i="9"/>
  <c r="HU46" i="9"/>
  <c r="HU45" i="9"/>
  <c r="HU44" i="9"/>
  <c r="HU43" i="9"/>
  <c r="HU42" i="9"/>
  <c r="HU41" i="9"/>
  <c r="HU40" i="9"/>
  <c r="HU39" i="9"/>
  <c r="HU38" i="9"/>
  <c r="HU37" i="9"/>
  <c r="HU36" i="9"/>
  <c r="HU35" i="9"/>
  <c r="HU34" i="9"/>
  <c r="HU33" i="9"/>
  <c r="HU32" i="9"/>
  <c r="HU31" i="9"/>
  <c r="HU30" i="9"/>
  <c r="HU29" i="9"/>
  <c r="HU28" i="9"/>
  <c r="HU27" i="9"/>
  <c r="HU26" i="9"/>
  <c r="HU25" i="9"/>
  <c r="HU24" i="9"/>
  <c r="HU23" i="9"/>
  <c r="HU22" i="9"/>
  <c r="HU21" i="9"/>
  <c r="HU20" i="9"/>
  <c r="HU19" i="9"/>
  <c r="HU18" i="9"/>
  <c r="HU17" i="9"/>
  <c r="HU16" i="9"/>
  <c r="HU15" i="9"/>
  <c r="HT51" i="9"/>
  <c r="HT50" i="9"/>
  <c r="HT49" i="9"/>
  <c r="HT48" i="9"/>
  <c r="HT47" i="9"/>
  <c r="HT46" i="9"/>
  <c r="HT45" i="9"/>
  <c r="HT44" i="9"/>
  <c r="HT43" i="9"/>
  <c r="HT42" i="9"/>
  <c r="HT41" i="9"/>
  <c r="HT40" i="9"/>
  <c r="HT39" i="9"/>
  <c r="HT38" i="9"/>
  <c r="HT37" i="9"/>
  <c r="HT36" i="9"/>
  <c r="HT35" i="9"/>
  <c r="HT34" i="9"/>
  <c r="HT33" i="9"/>
  <c r="HT32" i="9"/>
  <c r="HT31" i="9"/>
  <c r="HT30" i="9"/>
  <c r="HT29" i="9"/>
  <c r="HT28" i="9"/>
  <c r="HT27" i="9"/>
  <c r="HT26" i="9"/>
  <c r="HT25" i="9"/>
  <c r="HT24" i="9"/>
  <c r="HT23" i="9"/>
  <c r="HT22" i="9"/>
  <c r="HT21" i="9"/>
  <c r="HT20" i="9"/>
  <c r="HT19" i="9"/>
  <c r="HT18" i="9"/>
  <c r="HT17" i="9"/>
  <c r="HT16" i="9"/>
  <c r="HT15" i="9"/>
  <c r="HS51" i="9"/>
  <c r="HS50" i="9"/>
  <c r="HS49" i="9"/>
  <c r="HS48" i="9"/>
  <c r="HS47" i="9"/>
  <c r="HS46" i="9"/>
  <c r="HS45" i="9"/>
  <c r="HS44" i="9"/>
  <c r="HS43" i="9"/>
  <c r="HS42" i="9"/>
  <c r="HS41" i="9"/>
  <c r="HS40" i="9"/>
  <c r="HS39" i="9"/>
  <c r="HS38" i="9"/>
  <c r="HS37" i="9"/>
  <c r="HS36" i="9"/>
  <c r="HS35" i="9"/>
  <c r="HS34" i="9"/>
  <c r="HS33" i="9"/>
  <c r="HS32" i="9"/>
  <c r="HS31" i="9"/>
  <c r="HS30" i="9"/>
  <c r="HS29" i="9"/>
  <c r="HS28" i="9"/>
  <c r="HS27" i="9"/>
  <c r="HS26" i="9"/>
  <c r="HS25" i="9"/>
  <c r="HS24" i="9"/>
  <c r="HS23" i="9"/>
  <c r="HS22" i="9"/>
  <c r="HS21" i="9"/>
  <c r="HS20" i="9"/>
  <c r="HS19" i="9"/>
  <c r="HS18" i="9"/>
  <c r="HS17" i="9"/>
  <c r="HS16" i="9"/>
  <c r="HS15" i="9"/>
  <c r="CH51" i="9"/>
  <c r="CH50" i="9"/>
  <c r="CH49" i="9"/>
  <c r="CH48" i="9"/>
  <c r="CH47" i="9"/>
  <c r="CH46" i="9"/>
  <c r="CH45" i="9"/>
  <c r="CH44" i="9"/>
  <c r="CH43" i="9"/>
  <c r="CH42" i="9"/>
  <c r="CH41" i="9"/>
  <c r="CH40" i="9"/>
  <c r="CH39" i="9"/>
  <c r="CH38" i="9"/>
  <c r="CH37" i="9"/>
  <c r="CH36" i="9"/>
  <c r="CH35" i="9"/>
  <c r="CH34" i="9"/>
  <c r="CH33" i="9"/>
  <c r="CH32" i="9"/>
  <c r="CH31" i="9"/>
  <c r="CH30" i="9"/>
  <c r="CH29" i="9"/>
  <c r="CH28" i="9"/>
  <c r="CH27" i="9"/>
  <c r="CH26" i="9"/>
  <c r="CH25" i="9"/>
  <c r="CH24" i="9"/>
  <c r="CH23" i="9"/>
  <c r="CH22" i="9"/>
  <c r="CH21" i="9"/>
  <c r="CH20" i="9"/>
  <c r="CH19" i="9"/>
  <c r="CH18" i="9"/>
  <c r="CH17" i="9"/>
  <c r="CH16" i="9"/>
  <c r="CH15" i="9"/>
  <c r="CH14" i="9"/>
  <c r="CG51" i="9"/>
  <c r="CG50" i="9"/>
  <c r="CG49" i="9"/>
  <c r="CG48" i="9"/>
  <c r="CG47" i="9"/>
  <c r="CG46" i="9"/>
  <c r="CG45" i="9"/>
  <c r="CG44" i="9"/>
  <c r="CG43" i="9"/>
  <c r="CG42" i="9"/>
  <c r="CG41" i="9"/>
  <c r="CG40" i="9"/>
  <c r="CG39" i="9"/>
  <c r="CG38" i="9"/>
  <c r="CG37" i="9"/>
  <c r="CG36" i="9"/>
  <c r="CG35" i="9"/>
  <c r="CG34" i="9"/>
  <c r="CG33" i="9"/>
  <c r="CG32" i="9"/>
  <c r="CG31" i="9"/>
  <c r="CG30" i="9"/>
  <c r="CG29" i="9"/>
  <c r="CG28" i="9"/>
  <c r="CG27" i="9"/>
  <c r="CG26" i="9"/>
  <c r="CG25" i="9"/>
  <c r="CG24" i="9"/>
  <c r="CG23" i="9"/>
  <c r="CG22" i="9"/>
  <c r="CG21" i="9"/>
  <c r="CG20" i="9"/>
  <c r="CG19" i="9"/>
  <c r="CG18" i="9"/>
  <c r="CG17" i="9"/>
  <c r="CG16" i="9"/>
  <c r="CG15" i="9"/>
  <c r="CG14" i="9"/>
  <c r="CF51" i="9"/>
  <c r="CF50" i="9"/>
  <c r="CF49" i="9"/>
  <c r="CF48" i="9"/>
  <c r="CF47" i="9"/>
  <c r="CF46" i="9"/>
  <c r="CF45" i="9"/>
  <c r="CF44" i="9"/>
  <c r="CF43" i="9"/>
  <c r="CF42" i="9"/>
  <c r="CF41" i="9"/>
  <c r="CF40" i="9"/>
  <c r="CF39" i="9"/>
  <c r="CF38" i="9"/>
  <c r="CF37" i="9"/>
  <c r="CF36" i="9"/>
  <c r="CF35" i="9"/>
  <c r="CF34" i="9"/>
  <c r="CF33" i="9"/>
  <c r="CF32" i="9"/>
  <c r="CF31" i="9"/>
  <c r="CF30" i="9"/>
  <c r="CF29" i="9"/>
  <c r="CF28" i="9"/>
  <c r="CF27" i="9"/>
  <c r="CF26" i="9"/>
  <c r="CF25" i="9"/>
  <c r="CF24" i="9"/>
  <c r="CF23" i="9"/>
  <c r="CF22" i="9"/>
  <c r="CF21" i="9"/>
  <c r="CF20" i="9"/>
  <c r="CF19" i="9"/>
  <c r="CF18" i="9"/>
  <c r="CF17" i="9"/>
  <c r="CF16" i="9"/>
  <c r="CF15" i="9"/>
  <c r="CF14" i="9"/>
  <c r="CE51" i="9"/>
  <c r="CE50" i="9"/>
  <c r="CE49" i="9"/>
  <c r="CE48" i="9"/>
  <c r="CE47" i="9"/>
  <c r="CE46" i="9"/>
  <c r="CE45" i="9"/>
  <c r="CE44" i="9"/>
  <c r="CE43" i="9"/>
  <c r="CE42" i="9"/>
  <c r="CE41" i="9"/>
  <c r="CE40" i="9"/>
  <c r="CE39" i="9"/>
  <c r="CE38" i="9"/>
  <c r="CE37" i="9"/>
  <c r="CE36" i="9"/>
  <c r="CE35" i="9"/>
  <c r="CE34" i="9"/>
  <c r="CE33" i="9"/>
  <c r="CE32" i="9"/>
  <c r="CE31" i="9"/>
  <c r="CE30" i="9"/>
  <c r="CE29" i="9"/>
  <c r="CE28" i="9"/>
  <c r="CE27" i="9"/>
  <c r="CE26" i="9"/>
  <c r="CE25" i="9"/>
  <c r="CE24" i="9"/>
  <c r="CE23" i="9"/>
  <c r="CE22" i="9"/>
  <c r="CE21" i="9"/>
  <c r="CE20" i="9"/>
  <c r="CE19" i="9"/>
  <c r="CE18" i="9"/>
  <c r="CE17" i="9"/>
  <c r="CE16" i="9"/>
  <c r="CE15" i="9"/>
  <c r="CE14" i="9"/>
  <c r="CD51" i="9"/>
  <c r="CD50" i="9"/>
  <c r="CD49" i="9"/>
  <c r="CD48" i="9"/>
  <c r="CD47" i="9"/>
  <c r="CD46" i="9"/>
  <c r="CD45" i="9"/>
  <c r="CD44" i="9"/>
  <c r="CD43" i="9"/>
  <c r="CD42" i="9"/>
  <c r="CD41" i="9"/>
  <c r="CD40" i="9"/>
  <c r="CD39" i="9"/>
  <c r="CD38" i="9"/>
  <c r="CD37" i="9"/>
  <c r="CD36" i="9"/>
  <c r="CD35" i="9"/>
  <c r="CD34" i="9"/>
  <c r="CD33" i="9"/>
  <c r="CD32" i="9"/>
  <c r="CD31" i="9"/>
  <c r="CD30" i="9"/>
  <c r="CD29" i="9"/>
  <c r="CD28" i="9"/>
  <c r="CD27" i="9"/>
  <c r="CD26" i="9"/>
  <c r="CD25" i="9"/>
  <c r="CD24" i="9"/>
  <c r="CD23" i="9"/>
  <c r="CD22" i="9"/>
  <c r="CD21" i="9"/>
  <c r="CD20" i="9"/>
  <c r="CD19" i="9"/>
  <c r="CD18" i="9"/>
  <c r="CD17" i="9"/>
  <c r="CD16" i="9"/>
  <c r="CD15" i="9"/>
  <c r="CD14" i="9"/>
  <c r="CC51" i="9"/>
  <c r="CC50" i="9"/>
  <c r="CC49" i="9"/>
  <c r="CC48" i="9"/>
  <c r="CC47" i="9"/>
  <c r="CC46" i="9"/>
  <c r="CC45" i="9"/>
  <c r="CC44" i="9"/>
  <c r="CC43" i="9"/>
  <c r="CC42" i="9"/>
  <c r="CC41" i="9"/>
  <c r="CC40" i="9"/>
  <c r="CC39" i="9"/>
  <c r="CC38" i="9"/>
  <c r="CC37" i="9"/>
  <c r="CC36" i="9"/>
  <c r="CC35" i="9"/>
  <c r="CC34" i="9"/>
  <c r="CC33" i="9"/>
  <c r="CC32" i="9"/>
  <c r="CC31" i="9"/>
  <c r="CC30" i="9"/>
  <c r="CC29" i="9"/>
  <c r="CC28" i="9"/>
  <c r="CC27" i="9"/>
  <c r="CC26" i="9"/>
  <c r="CC25" i="9"/>
  <c r="CC24" i="9"/>
  <c r="CC23" i="9"/>
  <c r="CC22" i="9"/>
  <c r="CC21" i="9"/>
  <c r="CC20" i="9"/>
  <c r="CC19" i="9"/>
  <c r="CC18" i="9"/>
  <c r="CC17" i="9"/>
  <c r="CC16" i="9"/>
  <c r="CC15" i="9"/>
  <c r="CC14" i="9"/>
  <c r="CB51" i="9"/>
  <c r="CB50" i="9"/>
  <c r="CB49" i="9"/>
  <c r="CB48" i="9"/>
  <c r="CB47" i="9"/>
  <c r="CB46" i="9"/>
  <c r="CB45" i="9"/>
  <c r="CB44" i="9"/>
  <c r="CB43" i="9"/>
  <c r="CB42" i="9"/>
  <c r="CB41" i="9"/>
  <c r="CB40" i="9"/>
  <c r="CB39" i="9"/>
  <c r="CB38" i="9"/>
  <c r="CB37" i="9"/>
  <c r="CB36" i="9"/>
  <c r="CB35" i="9"/>
  <c r="CB34" i="9"/>
  <c r="CB33" i="9"/>
  <c r="CB32" i="9"/>
  <c r="CB31" i="9"/>
  <c r="CB30" i="9"/>
  <c r="CB29" i="9"/>
  <c r="CB28" i="9"/>
  <c r="CB27" i="9"/>
  <c r="CB26" i="9"/>
  <c r="CB25" i="9"/>
  <c r="CB24" i="9"/>
  <c r="CB23" i="9"/>
  <c r="CB22" i="9"/>
  <c r="CB21" i="9"/>
  <c r="CB20" i="9"/>
  <c r="CB19" i="9"/>
  <c r="CB18" i="9"/>
  <c r="CB17" i="9"/>
  <c r="CB16" i="9"/>
  <c r="CB15" i="9"/>
  <c r="CB14" i="9"/>
  <c r="CA51" i="9"/>
  <c r="CA50" i="9"/>
  <c r="CA49" i="9"/>
  <c r="CA48" i="9"/>
  <c r="CA47" i="9"/>
  <c r="CA46" i="9"/>
  <c r="CA45" i="9"/>
  <c r="CA44" i="9"/>
  <c r="CA43" i="9"/>
  <c r="CA42" i="9"/>
  <c r="CA41" i="9"/>
  <c r="CA40" i="9"/>
  <c r="CA39" i="9"/>
  <c r="CA38" i="9"/>
  <c r="CA37" i="9"/>
  <c r="CA36" i="9"/>
  <c r="CA35" i="9"/>
  <c r="CA34" i="9"/>
  <c r="CA33" i="9"/>
  <c r="CA32" i="9"/>
  <c r="CA31" i="9"/>
  <c r="CA30" i="9"/>
  <c r="CA29" i="9"/>
  <c r="CA28" i="9"/>
  <c r="CA27" i="9"/>
  <c r="CA26" i="9"/>
  <c r="CA25" i="9"/>
  <c r="CA24" i="9"/>
  <c r="CA23" i="9"/>
  <c r="CA22" i="9"/>
  <c r="CA21" i="9"/>
  <c r="CA20" i="9"/>
  <c r="CA19" i="9"/>
  <c r="CA18" i="9"/>
  <c r="CA17" i="9"/>
  <c r="CA16" i="9"/>
  <c r="CA15" i="9"/>
  <c r="CA14" i="9"/>
  <c r="BZ51" i="9"/>
  <c r="BZ50" i="9"/>
  <c r="BZ49" i="9"/>
  <c r="BZ48" i="9"/>
  <c r="BZ47" i="9"/>
  <c r="BZ46" i="9"/>
  <c r="BZ45" i="9"/>
  <c r="BZ44" i="9"/>
  <c r="BZ43" i="9"/>
  <c r="BZ42" i="9"/>
  <c r="BZ41" i="9"/>
  <c r="BZ40" i="9"/>
  <c r="BZ39" i="9"/>
  <c r="BZ38" i="9"/>
  <c r="BZ37" i="9"/>
  <c r="BZ36" i="9"/>
  <c r="BZ35" i="9"/>
  <c r="BZ34" i="9"/>
  <c r="BZ33" i="9"/>
  <c r="BZ32" i="9"/>
  <c r="BZ31" i="9"/>
  <c r="BZ30" i="9"/>
  <c r="BZ29" i="9"/>
  <c r="BZ28" i="9"/>
  <c r="BZ27" i="9"/>
  <c r="BZ26" i="9"/>
  <c r="BZ25" i="9"/>
  <c r="BZ24" i="9"/>
  <c r="BZ23" i="9"/>
  <c r="BZ22" i="9"/>
  <c r="BZ21" i="9"/>
  <c r="BZ20" i="9"/>
  <c r="BZ19" i="9"/>
  <c r="BZ18" i="9"/>
  <c r="BZ17" i="9"/>
  <c r="BZ16" i="9"/>
  <c r="BZ15" i="9"/>
  <c r="BZ14" i="9"/>
  <c r="BY51" i="9"/>
  <c r="BY50" i="9"/>
  <c r="BY49" i="9"/>
  <c r="BY48" i="9"/>
  <c r="BY47" i="9"/>
  <c r="BY46" i="9"/>
  <c r="BY45" i="9"/>
  <c r="BY44" i="9"/>
  <c r="BY43" i="9"/>
  <c r="BY42" i="9"/>
  <c r="BY41" i="9"/>
  <c r="BY40" i="9"/>
  <c r="BY39" i="9"/>
  <c r="BY38" i="9"/>
  <c r="BY37" i="9"/>
  <c r="BY36" i="9"/>
  <c r="BY35" i="9"/>
  <c r="BY34" i="9"/>
  <c r="BY33" i="9"/>
  <c r="BY32" i="9"/>
  <c r="BY31" i="9"/>
  <c r="BY30" i="9"/>
  <c r="BY29" i="9"/>
  <c r="BY28" i="9"/>
  <c r="BY27" i="9"/>
  <c r="BY26" i="9"/>
  <c r="BY25" i="9"/>
  <c r="BY24" i="9"/>
  <c r="BY23" i="9"/>
  <c r="BY22" i="9"/>
  <c r="BY21" i="9"/>
  <c r="BY20" i="9"/>
  <c r="BY19" i="9"/>
  <c r="BY18" i="9"/>
  <c r="BY17" i="9"/>
  <c r="BY16" i="9"/>
  <c r="BY15" i="9"/>
  <c r="BY14" i="9"/>
  <c r="BX51" i="9"/>
  <c r="BX50" i="9"/>
  <c r="BX49" i="9"/>
  <c r="BX48" i="9"/>
  <c r="BX47" i="9"/>
  <c r="BX46" i="9"/>
  <c r="BX45" i="9"/>
  <c r="BX44" i="9"/>
  <c r="BX43" i="9"/>
  <c r="BX42" i="9"/>
  <c r="BX41" i="9"/>
  <c r="BX40" i="9"/>
  <c r="BX39" i="9"/>
  <c r="BX38" i="9"/>
  <c r="BX37" i="9"/>
  <c r="BX36" i="9"/>
  <c r="BX35" i="9"/>
  <c r="BX34" i="9"/>
  <c r="BX33" i="9"/>
  <c r="BX32" i="9"/>
  <c r="BX31" i="9"/>
  <c r="BX30" i="9"/>
  <c r="BX29" i="9"/>
  <c r="BX28" i="9"/>
  <c r="BX27" i="9"/>
  <c r="BX26" i="9"/>
  <c r="BX25" i="9"/>
  <c r="BX24" i="9"/>
  <c r="BX23" i="9"/>
  <c r="BX22" i="9"/>
  <c r="BX21" i="9"/>
  <c r="BX20" i="9"/>
  <c r="BX19" i="9"/>
  <c r="BX18" i="9"/>
  <c r="BX17" i="9"/>
  <c r="BX16" i="9"/>
  <c r="BX15" i="9"/>
  <c r="BX14" i="9"/>
  <c r="BW51" i="9"/>
  <c r="BW50" i="9"/>
  <c r="BW49" i="9"/>
  <c r="BW48" i="9"/>
  <c r="BW47" i="9"/>
  <c r="BW46" i="9"/>
  <c r="BW45" i="9"/>
  <c r="BW44" i="9"/>
  <c r="BW43" i="9"/>
  <c r="BW42" i="9"/>
  <c r="BW41" i="9"/>
  <c r="BW40" i="9"/>
  <c r="BW39" i="9"/>
  <c r="BW38" i="9"/>
  <c r="BW37" i="9"/>
  <c r="BW36" i="9"/>
  <c r="BW35" i="9"/>
  <c r="BW34" i="9"/>
  <c r="BW33" i="9"/>
  <c r="BW32" i="9"/>
  <c r="BW31" i="9"/>
  <c r="BW30" i="9"/>
  <c r="BW29" i="9"/>
  <c r="BW28" i="9"/>
  <c r="BW27" i="9"/>
  <c r="BW26" i="9"/>
  <c r="BW25" i="9"/>
  <c r="BW24" i="9"/>
  <c r="BW23" i="9"/>
  <c r="BW22" i="9"/>
  <c r="BW21" i="9"/>
  <c r="BW20" i="9"/>
  <c r="BW19" i="9"/>
  <c r="BW18" i="9"/>
  <c r="BW17" i="9"/>
  <c r="BW16" i="9"/>
  <c r="BW15" i="9"/>
  <c r="BW14" i="9"/>
  <c r="BV51" i="9"/>
  <c r="BV50" i="9"/>
  <c r="BV49" i="9"/>
  <c r="BV48" i="9"/>
  <c r="BV47" i="9"/>
  <c r="BV46" i="9"/>
  <c r="BV45" i="9"/>
  <c r="BV44" i="9"/>
  <c r="BV43" i="9"/>
  <c r="BV42" i="9"/>
  <c r="BV41" i="9"/>
  <c r="BV40" i="9"/>
  <c r="BV39" i="9"/>
  <c r="BV38" i="9"/>
  <c r="BV37" i="9"/>
  <c r="BV36" i="9"/>
  <c r="BV35" i="9"/>
  <c r="BV34" i="9"/>
  <c r="BV33" i="9"/>
  <c r="BV32" i="9"/>
  <c r="BV31" i="9"/>
  <c r="BV30" i="9"/>
  <c r="BV29" i="9"/>
  <c r="BV28" i="9"/>
  <c r="BV27" i="9"/>
  <c r="BV26" i="9"/>
  <c r="BV25" i="9"/>
  <c r="BV24" i="9"/>
  <c r="BV23" i="9"/>
  <c r="BV22" i="9"/>
  <c r="BV21" i="9"/>
  <c r="BV20" i="9"/>
  <c r="BV19" i="9"/>
  <c r="BV18" i="9"/>
  <c r="BV17" i="9"/>
  <c r="BV16" i="9"/>
  <c r="BV15" i="9"/>
  <c r="BV14" i="9"/>
  <c r="BW67" i="9" l="1"/>
  <c r="BW68" i="9" s="1"/>
  <c r="BW75" i="9"/>
  <c r="BX71" i="9"/>
  <c r="BX72" i="9" s="1"/>
  <c r="BY67" i="9"/>
  <c r="BY68" i="9" s="1"/>
  <c r="BY75" i="9"/>
  <c r="BZ71" i="9"/>
  <c r="BZ72" i="9" s="1"/>
  <c r="CA67" i="9"/>
  <c r="CA68" i="9" s="1"/>
  <c r="CA75" i="9"/>
  <c r="CB71" i="9"/>
  <c r="CB72" i="9" s="1"/>
  <c r="CC67" i="9"/>
  <c r="CC68" i="9" s="1"/>
  <c r="CC75" i="9"/>
  <c r="CD71" i="9"/>
  <c r="CD72" i="9" s="1"/>
  <c r="CE67" i="9"/>
  <c r="CE68" i="9" s="1"/>
  <c r="CE75" i="9"/>
  <c r="CF71" i="9"/>
  <c r="CF72" i="9" s="1"/>
  <c r="CG67" i="9"/>
  <c r="CG68" i="9" s="1"/>
  <c r="CG75" i="9"/>
  <c r="CH71" i="9"/>
  <c r="CH72" i="9" s="1"/>
  <c r="BV67" i="9"/>
  <c r="BV68" i="9" s="1"/>
  <c r="BV75" i="9"/>
  <c r="BW71" i="9"/>
  <c r="BW72" i="9" s="1"/>
  <c r="BX67" i="9"/>
  <c r="BX68" i="9" s="1"/>
  <c r="BX75" i="9"/>
  <c r="BY71" i="9"/>
  <c r="BY72" i="9" s="1"/>
  <c r="BZ67" i="9"/>
  <c r="BZ68" i="9" s="1"/>
  <c r="BZ75" i="9"/>
  <c r="CA71" i="9"/>
  <c r="CA72" i="9" s="1"/>
  <c r="CB67" i="9"/>
  <c r="CB68" i="9" s="1"/>
  <c r="CB75" i="9"/>
  <c r="CC71" i="9"/>
  <c r="CC72" i="9" s="1"/>
  <c r="CD67" i="9"/>
  <c r="CD68" i="9" s="1"/>
  <c r="CD75" i="9"/>
  <c r="CE71" i="9"/>
  <c r="CE72" i="9" s="1"/>
  <c r="CF67" i="9"/>
  <c r="CF68" i="9" s="1"/>
  <c r="CF75" i="9"/>
  <c r="CG71" i="9"/>
  <c r="CG72" i="9" s="1"/>
  <c r="CH67" i="9"/>
  <c r="CH68" i="9" s="1"/>
  <c r="CH75" i="9"/>
  <c r="BV69" i="9"/>
  <c r="BV70" i="9" s="1"/>
  <c r="BV71" i="9"/>
  <c r="BW69" i="9"/>
  <c r="BW70" i="9" s="1"/>
  <c r="BX69" i="9"/>
  <c r="BX70" i="9" s="1"/>
  <c r="BY69" i="9"/>
  <c r="BY70" i="9" s="1"/>
  <c r="BZ69" i="9"/>
  <c r="BZ70" i="9" s="1"/>
  <c r="CA69" i="9"/>
  <c r="CA70" i="9" s="1"/>
  <c r="CB69" i="9"/>
  <c r="CB70" i="9" s="1"/>
  <c r="CC69" i="9"/>
  <c r="CC70" i="9" s="1"/>
  <c r="CD69" i="9"/>
  <c r="CD70" i="9" s="1"/>
  <c r="CE69" i="9"/>
  <c r="CE70" i="9" s="1"/>
  <c r="CF69" i="9"/>
  <c r="CF70" i="9" s="1"/>
  <c r="CG69" i="9"/>
  <c r="CG70" i="9" s="1"/>
  <c r="CH69" i="9"/>
  <c r="CH70" i="9" s="1"/>
  <c r="BV73" i="9"/>
  <c r="BW73" i="9"/>
  <c r="BX73" i="9"/>
  <c r="BY73" i="9"/>
  <c r="BZ73" i="9"/>
  <c r="CA73" i="9"/>
  <c r="CB73" i="9"/>
  <c r="CC73" i="9"/>
  <c r="CD73" i="9"/>
  <c r="CE73" i="9"/>
  <c r="CF73" i="9"/>
  <c r="CG73" i="9"/>
  <c r="CH73" i="9"/>
  <c r="HN71" i="9"/>
  <c r="G112" i="9"/>
  <c r="G113" i="9"/>
  <c r="G114" i="9"/>
  <c r="G115" i="9"/>
  <c r="G116" i="9"/>
  <c r="G117" i="9"/>
  <c r="G118" i="9"/>
  <c r="G119" i="9"/>
  <c r="G120" i="9"/>
  <c r="G121" i="9"/>
  <c r="G122" i="9"/>
  <c r="G123" i="9"/>
  <c r="G124" i="9"/>
  <c r="G125" i="9"/>
  <c r="G100" i="9"/>
  <c r="G91" i="9"/>
  <c r="G92" i="9"/>
  <c r="G93" i="9"/>
  <c r="G94" i="9"/>
  <c r="G95" i="9"/>
  <c r="G96" i="9"/>
  <c r="G97" i="9"/>
  <c r="G88" i="9"/>
  <c r="G89" i="9"/>
  <c r="G90" i="9"/>
  <c r="G98" i="9"/>
  <c r="G99" i="9"/>
  <c r="G101" i="9"/>
  <c r="G102" i="9"/>
  <c r="G103" i="9"/>
  <c r="G104" i="9"/>
  <c r="G105" i="9"/>
  <c r="G106" i="9"/>
  <c r="G107" i="9"/>
  <c r="G108" i="9"/>
  <c r="G109" i="9"/>
  <c r="G110" i="9"/>
  <c r="G111" i="9"/>
  <c r="CH57" i="9"/>
  <c r="CH58" i="9" s="1"/>
  <c r="AI91" i="9"/>
  <c r="AI92" i="9"/>
  <c r="AI93" i="9"/>
  <c r="AI94" i="9"/>
  <c r="AI95" i="9"/>
  <c r="AI96" i="9"/>
  <c r="AI97" i="9"/>
  <c r="AI98" i="9"/>
  <c r="AI99" i="9"/>
  <c r="AI100" i="9"/>
  <c r="AI101" i="9"/>
  <c r="AI102" i="9"/>
  <c r="AI103" i="9"/>
  <c r="AI104" i="9"/>
  <c r="AI105" i="9"/>
  <c r="AI106" i="9"/>
  <c r="AI107" i="9"/>
  <c r="AI108" i="9"/>
  <c r="AI109" i="9"/>
  <c r="AI110" i="9"/>
  <c r="AI111" i="9"/>
  <c r="AI112" i="9"/>
  <c r="AI113" i="9"/>
  <c r="AI114" i="9"/>
  <c r="AI115" i="9"/>
  <c r="AI116" i="9"/>
  <c r="AI117" i="9"/>
  <c r="AI118" i="9"/>
  <c r="AI119" i="9"/>
  <c r="AI120" i="9"/>
  <c r="AI121" i="9"/>
  <c r="AI122" i="9"/>
  <c r="AI123" i="9"/>
  <c r="AI124" i="9"/>
  <c r="AI125" i="9"/>
  <c r="AI88" i="9"/>
  <c r="AI89" i="9"/>
  <c r="AI90" i="9"/>
  <c r="CH65" i="9"/>
  <c r="CH66" i="9" s="1"/>
  <c r="AI13" i="9"/>
  <c r="CH63" i="9"/>
  <c r="CH64" i="9" s="1"/>
  <c r="CH61" i="9"/>
  <c r="CH62" i="9" s="1"/>
  <c r="CH59" i="9"/>
  <c r="CH60" i="9" s="1"/>
  <c r="CG57" i="9"/>
  <c r="CG58" i="9" s="1"/>
  <c r="AG91" i="9"/>
  <c r="AG92" i="9"/>
  <c r="AG93" i="9"/>
  <c r="AG94" i="9"/>
  <c r="AG95" i="9"/>
  <c r="AG96" i="9"/>
  <c r="AG97" i="9"/>
  <c r="AG98" i="9"/>
  <c r="AG99" i="9"/>
  <c r="AG100" i="9"/>
  <c r="AG101" i="9"/>
  <c r="AG102" i="9"/>
  <c r="AG103" i="9"/>
  <c r="AG104" i="9"/>
  <c r="AG105" i="9"/>
  <c r="AG106" i="9"/>
  <c r="AG107" i="9"/>
  <c r="AG108" i="9"/>
  <c r="AG109" i="9"/>
  <c r="AG110" i="9"/>
  <c r="AG111" i="9"/>
  <c r="AG112" i="9"/>
  <c r="AG113" i="9"/>
  <c r="AG114" i="9"/>
  <c r="AG115" i="9"/>
  <c r="AG116" i="9"/>
  <c r="AG117" i="9"/>
  <c r="AG118" i="9"/>
  <c r="AG119" i="9"/>
  <c r="AG120" i="9"/>
  <c r="AG121" i="9"/>
  <c r="AG122" i="9"/>
  <c r="AG123" i="9"/>
  <c r="AG124" i="9"/>
  <c r="AG125" i="9"/>
  <c r="AG88" i="9"/>
  <c r="AG89" i="9"/>
  <c r="AG90" i="9"/>
  <c r="CG65" i="9"/>
  <c r="CG66" i="9" s="1"/>
  <c r="AG13" i="9"/>
  <c r="CG63" i="9"/>
  <c r="CG64" i="9" s="1"/>
  <c r="CG61" i="9"/>
  <c r="CG62" i="9" s="1"/>
  <c r="CG59" i="9"/>
  <c r="CG60" i="9" s="1"/>
  <c r="CF57" i="9"/>
  <c r="CF58" i="9" s="1"/>
  <c r="AE91" i="9"/>
  <c r="AE92" i="9"/>
  <c r="AE93" i="9"/>
  <c r="AE94" i="9"/>
  <c r="AE95" i="9"/>
  <c r="AE96" i="9"/>
  <c r="AE97" i="9"/>
  <c r="AE98" i="9"/>
  <c r="AE99" i="9"/>
  <c r="AE100" i="9"/>
  <c r="AE101" i="9"/>
  <c r="AE102" i="9"/>
  <c r="AE103" i="9"/>
  <c r="AE104" i="9"/>
  <c r="AE105" i="9"/>
  <c r="AE106" i="9"/>
  <c r="AE107" i="9"/>
  <c r="AE108" i="9"/>
  <c r="AE109" i="9"/>
  <c r="AE110" i="9"/>
  <c r="AE111" i="9"/>
  <c r="AE112" i="9"/>
  <c r="AE113" i="9"/>
  <c r="AE114" i="9"/>
  <c r="AE115" i="9"/>
  <c r="AE116" i="9"/>
  <c r="AE117" i="9"/>
  <c r="AE118" i="9"/>
  <c r="AE119" i="9"/>
  <c r="AE120" i="9"/>
  <c r="AE121" i="9"/>
  <c r="AE122" i="9"/>
  <c r="AE123" i="9"/>
  <c r="AE124" i="9"/>
  <c r="AE125" i="9"/>
  <c r="AE88" i="9"/>
  <c r="AE89" i="9"/>
  <c r="AE90" i="9"/>
  <c r="CF65" i="9"/>
  <c r="CF66" i="9" s="1"/>
  <c r="AE13" i="9"/>
  <c r="CF63" i="9"/>
  <c r="CF64" i="9" s="1"/>
  <c r="CF61" i="9"/>
  <c r="CF62" i="9" s="1"/>
  <c r="CF59" i="9"/>
  <c r="CF60" i="9" s="1"/>
  <c r="CE57" i="9"/>
  <c r="CE58" i="9" s="1"/>
  <c r="AC91" i="9"/>
  <c r="AC92" i="9"/>
  <c r="AC93" i="9"/>
  <c r="AC94" i="9"/>
  <c r="AC95" i="9"/>
  <c r="AC96" i="9"/>
  <c r="AC97" i="9"/>
  <c r="AC98" i="9"/>
  <c r="AC99" i="9"/>
  <c r="AC100" i="9"/>
  <c r="AC101" i="9"/>
  <c r="AC102" i="9"/>
  <c r="AC103" i="9"/>
  <c r="AC104" i="9"/>
  <c r="AC105" i="9"/>
  <c r="AC106" i="9"/>
  <c r="AC107" i="9"/>
  <c r="AC108" i="9"/>
  <c r="AC109" i="9"/>
  <c r="AC110" i="9"/>
  <c r="AC111" i="9"/>
  <c r="AC112" i="9"/>
  <c r="AC113" i="9"/>
  <c r="AC114" i="9"/>
  <c r="AC115" i="9"/>
  <c r="AC116" i="9"/>
  <c r="AC117" i="9"/>
  <c r="AC118" i="9"/>
  <c r="AC119" i="9"/>
  <c r="AC120" i="9"/>
  <c r="AC121" i="9"/>
  <c r="AC122" i="9"/>
  <c r="AC123" i="9"/>
  <c r="AC124" i="9"/>
  <c r="AC125" i="9"/>
  <c r="AC88" i="9"/>
  <c r="AC89" i="9"/>
  <c r="AC90" i="9"/>
  <c r="CE65" i="9"/>
  <c r="CE66" i="9" s="1"/>
  <c r="AC13" i="9"/>
  <c r="CE63" i="9"/>
  <c r="CE64" i="9" s="1"/>
  <c r="CE61" i="9"/>
  <c r="CE62" i="9" s="1"/>
  <c r="CE59" i="9"/>
  <c r="CE60" i="9" s="1"/>
  <c r="CD57" i="9"/>
  <c r="CD58" i="9" s="1"/>
  <c r="AA91" i="9"/>
  <c r="AA92" i="9"/>
  <c r="AA93" i="9"/>
  <c r="AA94" i="9"/>
  <c r="AA95" i="9"/>
  <c r="AA96" i="9"/>
  <c r="AA97" i="9"/>
  <c r="AA98" i="9"/>
  <c r="AA99" i="9"/>
  <c r="AA100" i="9"/>
  <c r="AA101" i="9"/>
  <c r="AA102" i="9"/>
  <c r="AA103" i="9"/>
  <c r="AA104" i="9"/>
  <c r="AA105" i="9"/>
  <c r="AA106" i="9"/>
  <c r="AA107" i="9"/>
  <c r="AA108" i="9"/>
  <c r="AA109" i="9"/>
  <c r="AA110" i="9"/>
  <c r="AA111" i="9"/>
  <c r="AA112" i="9"/>
  <c r="AA113" i="9"/>
  <c r="AA114" i="9"/>
  <c r="AA115" i="9"/>
  <c r="AA116" i="9"/>
  <c r="AA117" i="9"/>
  <c r="AA118" i="9"/>
  <c r="AA119" i="9"/>
  <c r="AA120" i="9"/>
  <c r="AA121" i="9"/>
  <c r="AA122" i="9"/>
  <c r="AA123" i="9"/>
  <c r="AA124" i="9"/>
  <c r="AA125" i="9"/>
  <c r="AA88" i="9"/>
  <c r="AA89" i="9"/>
  <c r="AA90" i="9"/>
  <c r="CD65" i="9"/>
  <c r="CD66" i="9" s="1"/>
  <c r="AA13" i="9"/>
  <c r="CD63" i="9"/>
  <c r="CD64" i="9" s="1"/>
  <c r="CD61" i="9"/>
  <c r="CD62" i="9" s="1"/>
  <c r="CD59" i="9"/>
  <c r="CD60" i="9" s="1"/>
  <c r="CC57" i="9"/>
  <c r="CC58" i="9" s="1"/>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Y125" i="9"/>
  <c r="Y88" i="9"/>
  <c r="Y89" i="9"/>
  <c r="Y90" i="9"/>
  <c r="CC65" i="9"/>
  <c r="CC66" i="9" s="1"/>
  <c r="Y13" i="9"/>
  <c r="CC63" i="9"/>
  <c r="CC64" i="9" s="1"/>
  <c r="CC61" i="9"/>
  <c r="CC62" i="9" s="1"/>
  <c r="CC59" i="9"/>
  <c r="CC60" i="9" s="1"/>
  <c r="CB57" i="9"/>
  <c r="CB58" i="9" s="1"/>
  <c r="W91" i="9"/>
  <c r="W92" i="9"/>
  <c r="W93" i="9"/>
  <c r="W94" i="9"/>
  <c r="W95" i="9"/>
  <c r="W96" i="9"/>
  <c r="W97" i="9"/>
  <c r="W98" i="9"/>
  <c r="W99" i="9"/>
  <c r="W100" i="9"/>
  <c r="W101" i="9"/>
  <c r="W102" i="9"/>
  <c r="W103" i="9"/>
  <c r="W104" i="9"/>
  <c r="W105" i="9"/>
  <c r="W106" i="9"/>
  <c r="W107" i="9"/>
  <c r="W108" i="9"/>
  <c r="W109" i="9"/>
  <c r="W110" i="9"/>
  <c r="W111" i="9"/>
  <c r="W112" i="9"/>
  <c r="W113" i="9"/>
  <c r="W114" i="9"/>
  <c r="W115" i="9"/>
  <c r="W116" i="9"/>
  <c r="W117" i="9"/>
  <c r="W118" i="9"/>
  <c r="W119" i="9"/>
  <c r="W120" i="9"/>
  <c r="W121" i="9"/>
  <c r="W122" i="9"/>
  <c r="W123" i="9"/>
  <c r="W124" i="9"/>
  <c r="W125" i="9"/>
  <c r="W88" i="9"/>
  <c r="W89" i="9"/>
  <c r="W90" i="9"/>
  <c r="CB65" i="9"/>
  <c r="CB66" i="9" s="1"/>
  <c r="W13" i="9"/>
  <c r="CB63" i="9"/>
  <c r="CB64" i="9" s="1"/>
  <c r="CB61" i="9"/>
  <c r="CB62" i="9" s="1"/>
  <c r="CB59" i="9"/>
  <c r="CB60" i="9" s="1"/>
  <c r="CA57" i="9"/>
  <c r="CA58" i="9" s="1"/>
  <c r="U91" i="9"/>
  <c r="U92" i="9"/>
  <c r="U93" i="9"/>
  <c r="U94" i="9"/>
  <c r="U95" i="9"/>
  <c r="U96" i="9"/>
  <c r="U97" i="9"/>
  <c r="U98" i="9"/>
  <c r="U99" i="9"/>
  <c r="U100" i="9"/>
  <c r="U101" i="9"/>
  <c r="U102" i="9"/>
  <c r="U103" i="9"/>
  <c r="U104" i="9"/>
  <c r="U105" i="9"/>
  <c r="U106" i="9"/>
  <c r="U107" i="9"/>
  <c r="U108" i="9"/>
  <c r="U109" i="9"/>
  <c r="U110" i="9"/>
  <c r="U111" i="9"/>
  <c r="U112" i="9"/>
  <c r="U113" i="9"/>
  <c r="U114" i="9"/>
  <c r="U115" i="9"/>
  <c r="U116" i="9"/>
  <c r="U117" i="9"/>
  <c r="U118" i="9"/>
  <c r="U119" i="9"/>
  <c r="U120" i="9"/>
  <c r="U121" i="9"/>
  <c r="U122" i="9"/>
  <c r="U123" i="9"/>
  <c r="U124" i="9"/>
  <c r="U125" i="9"/>
  <c r="U88" i="9"/>
  <c r="U89" i="9"/>
  <c r="U90" i="9"/>
  <c r="CA65" i="9"/>
  <c r="CA66" i="9" s="1"/>
  <c r="U13" i="9"/>
  <c r="CA63" i="9"/>
  <c r="CA64" i="9" s="1"/>
  <c r="CA61" i="9"/>
  <c r="CA62" i="9" s="1"/>
  <c r="CA59" i="9"/>
  <c r="CA60" i="9" s="1"/>
  <c r="BZ57" i="9"/>
  <c r="BZ58" i="9" s="1"/>
  <c r="S91" i="9"/>
  <c r="S92" i="9"/>
  <c r="S93" i="9"/>
  <c r="S94" i="9"/>
  <c r="S95" i="9"/>
  <c r="S96" i="9"/>
  <c r="S97" i="9"/>
  <c r="S98" i="9"/>
  <c r="S99" i="9"/>
  <c r="S100" i="9"/>
  <c r="S101" i="9"/>
  <c r="S102" i="9"/>
  <c r="S103" i="9"/>
  <c r="S104" i="9"/>
  <c r="S105" i="9"/>
  <c r="S106" i="9"/>
  <c r="S107" i="9"/>
  <c r="S108" i="9"/>
  <c r="S109" i="9"/>
  <c r="S110" i="9"/>
  <c r="S111" i="9"/>
  <c r="S112" i="9"/>
  <c r="S113" i="9"/>
  <c r="S114" i="9"/>
  <c r="S115" i="9"/>
  <c r="S116" i="9"/>
  <c r="S117" i="9"/>
  <c r="S118" i="9"/>
  <c r="S119" i="9"/>
  <c r="S120" i="9"/>
  <c r="S121" i="9"/>
  <c r="S122" i="9"/>
  <c r="S123" i="9"/>
  <c r="S124" i="9"/>
  <c r="S125" i="9"/>
  <c r="S88" i="9"/>
  <c r="S89" i="9"/>
  <c r="S90" i="9"/>
  <c r="HN72" i="9"/>
  <c r="HN70" i="9"/>
  <c r="HN69" i="9"/>
  <c r="HN68" i="9"/>
  <c r="BZ65" i="9"/>
  <c r="BZ66" i="9" s="1"/>
  <c r="S13" i="9"/>
  <c r="BZ63" i="9"/>
  <c r="BZ64" i="9" s="1"/>
  <c r="BZ61" i="9"/>
  <c r="BZ62" i="9" s="1"/>
  <c r="BZ59" i="9"/>
  <c r="BZ60" i="9" s="1"/>
  <c r="BY57" i="9"/>
  <c r="BY58" i="9" s="1"/>
  <c r="Q91" i="9"/>
  <c r="Q92" i="9"/>
  <c r="Q93" i="9"/>
  <c r="Q94" i="9"/>
  <c r="Q95" i="9"/>
  <c r="Q96" i="9"/>
  <c r="Q97" i="9"/>
  <c r="Q98" i="9"/>
  <c r="Q99" i="9"/>
  <c r="Q100" i="9"/>
  <c r="Q101" i="9"/>
  <c r="Q102" i="9"/>
  <c r="Q103" i="9"/>
  <c r="Q104" i="9"/>
  <c r="Q105" i="9"/>
  <c r="Q106" i="9"/>
  <c r="Q107" i="9"/>
  <c r="Q108" i="9"/>
  <c r="Q109" i="9"/>
  <c r="Q110" i="9"/>
  <c r="Q111" i="9"/>
  <c r="Q112" i="9"/>
  <c r="Q113" i="9"/>
  <c r="Q114" i="9"/>
  <c r="Q115" i="9"/>
  <c r="Q116" i="9"/>
  <c r="Q117" i="9"/>
  <c r="Q118" i="9"/>
  <c r="Q119" i="9"/>
  <c r="Q120" i="9"/>
  <c r="Q121" i="9"/>
  <c r="Q122" i="9"/>
  <c r="Q123" i="9"/>
  <c r="Q124" i="9"/>
  <c r="Q125" i="9"/>
  <c r="Q88" i="9"/>
  <c r="Q89" i="9"/>
  <c r="Q90" i="9"/>
  <c r="BY65" i="9"/>
  <c r="BY66" i="9" s="1"/>
  <c r="Q13" i="9"/>
  <c r="BY63" i="9"/>
  <c r="BY64" i="9" s="1"/>
  <c r="BY61" i="9"/>
  <c r="BY62" i="9" s="1"/>
  <c r="BY59" i="9"/>
  <c r="BY60" i="9" s="1"/>
  <c r="BX57" i="9"/>
  <c r="BX58" i="9" s="1"/>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88" i="9"/>
  <c r="O89" i="9"/>
  <c r="O90" i="9"/>
  <c r="BX65" i="9"/>
  <c r="BX66" i="9" s="1"/>
  <c r="O13" i="9"/>
  <c r="BX63" i="9"/>
  <c r="BX64" i="9" s="1"/>
  <c r="BX61" i="9"/>
  <c r="BX62" i="9" s="1"/>
  <c r="BX59" i="9"/>
  <c r="BX60" i="9" s="1"/>
  <c r="BW57" i="9"/>
  <c r="BW58" i="9" s="1"/>
  <c r="M91" i="9"/>
  <c r="M92" i="9"/>
  <c r="M93" i="9"/>
  <c r="M94" i="9"/>
  <c r="M95" i="9"/>
  <c r="M96" i="9"/>
  <c r="M97" i="9"/>
  <c r="M98" i="9"/>
  <c r="M99" i="9"/>
  <c r="M100" i="9"/>
  <c r="M101" i="9"/>
  <c r="M102" i="9"/>
  <c r="M103" i="9"/>
  <c r="M104" i="9"/>
  <c r="M105" i="9"/>
  <c r="M106" i="9"/>
  <c r="M107" i="9"/>
  <c r="M108" i="9"/>
  <c r="M109" i="9"/>
  <c r="M110" i="9"/>
  <c r="M111" i="9"/>
  <c r="M112" i="9"/>
  <c r="M113" i="9"/>
  <c r="M114" i="9"/>
  <c r="M115" i="9"/>
  <c r="M116" i="9"/>
  <c r="M117" i="9"/>
  <c r="M118" i="9"/>
  <c r="M119" i="9"/>
  <c r="M120" i="9"/>
  <c r="M121" i="9"/>
  <c r="M122" i="9"/>
  <c r="M123" i="9"/>
  <c r="M124" i="9"/>
  <c r="M125" i="9"/>
  <c r="M88" i="9"/>
  <c r="M89" i="9"/>
  <c r="M90" i="9"/>
  <c r="M13" i="9"/>
  <c r="BW63" i="9"/>
  <c r="BW64" i="9" s="1"/>
  <c r="BW65" i="9"/>
  <c r="BW66" i="9" s="1"/>
  <c r="BW61" i="9"/>
  <c r="BW62" i="9" s="1"/>
  <c r="BW59" i="9"/>
  <c r="BW60" i="9" s="1"/>
  <c r="BV57" i="9"/>
  <c r="BV58" i="9" s="1"/>
  <c r="K91" i="9"/>
  <c r="K92" i="9"/>
  <c r="K93" i="9"/>
  <c r="K95" i="9"/>
  <c r="K98" i="9"/>
  <c r="K100" i="9"/>
  <c r="K103" i="9"/>
  <c r="K113" i="9"/>
  <c r="K115" i="9"/>
  <c r="K117" i="9"/>
  <c r="K119" i="9"/>
  <c r="K88" i="9"/>
  <c r="K89" i="9"/>
  <c r="K90" i="9"/>
  <c r="K94" i="9"/>
  <c r="K96" i="9"/>
  <c r="K97" i="9"/>
  <c r="K99" i="9"/>
  <c r="K101" i="9"/>
  <c r="K102" i="9"/>
  <c r="K104" i="9"/>
  <c r="K105" i="9"/>
  <c r="K106" i="9"/>
  <c r="K107" i="9"/>
  <c r="K108" i="9"/>
  <c r="K109" i="9"/>
  <c r="K110" i="9"/>
  <c r="K111" i="9"/>
  <c r="K112" i="9"/>
  <c r="K114" i="9"/>
  <c r="K116" i="9"/>
  <c r="K118" i="9"/>
  <c r="K120" i="9"/>
  <c r="K121" i="9"/>
  <c r="K122" i="9"/>
  <c r="K123" i="9"/>
  <c r="K124" i="9"/>
  <c r="K125" i="9"/>
  <c r="K13" i="9"/>
  <c r="BV65" i="9"/>
  <c r="BV66" i="9" s="1"/>
  <c r="BV63" i="9"/>
  <c r="BV64" i="9" s="1"/>
  <c r="BV61" i="9"/>
  <c r="BV62" i="9" s="1"/>
  <c r="BV59" i="9"/>
  <c r="BV60" i="9" s="1"/>
  <c r="I13" i="9"/>
  <c r="AX16" i="12" s="1"/>
  <c r="BU65" i="9"/>
  <c r="BU61" i="9"/>
  <c r="BU59" i="9"/>
  <c r="KD54" i="9"/>
  <c r="I93" i="9"/>
  <c r="I96" i="9"/>
  <c r="I100" i="9"/>
  <c r="I91" i="9"/>
  <c r="I92" i="9"/>
  <c r="I98" i="9"/>
  <c r="I101" i="9"/>
  <c r="I105" i="9"/>
  <c r="I106" i="9"/>
  <c r="I107" i="9"/>
  <c r="I112" i="9"/>
  <c r="I113" i="9"/>
  <c r="I114" i="9"/>
  <c r="I119" i="9"/>
  <c r="I120" i="9"/>
  <c r="I121" i="9"/>
  <c r="T7" i="9"/>
  <c r="E10" i="9"/>
  <c r="E17" i="9" s="1"/>
  <c r="C10" i="9"/>
  <c r="BM68" i="12"/>
  <c r="BL68" i="12"/>
  <c r="BK68" i="12"/>
  <c r="BM64" i="12"/>
  <c r="BL64" i="12"/>
  <c r="BK64" i="12"/>
  <c r="BM60" i="12"/>
  <c r="BL60" i="12"/>
  <c r="BK60" i="12"/>
  <c r="BM56" i="12"/>
  <c r="BL56" i="12"/>
  <c r="BK56" i="12"/>
  <c r="BM52" i="12"/>
  <c r="BL52" i="12"/>
  <c r="BK52" i="12"/>
  <c r="BM48" i="12"/>
  <c r="BL48" i="12"/>
  <c r="BK48" i="12"/>
  <c r="BM44" i="12"/>
  <c r="BL44" i="12"/>
  <c r="BK44" i="12"/>
  <c r="BM40" i="12"/>
  <c r="BL40" i="12"/>
  <c r="BK40" i="12"/>
  <c r="BM36" i="12"/>
  <c r="BL36" i="12"/>
  <c r="BK36" i="12"/>
  <c r="BM32" i="12"/>
  <c r="BL32" i="12"/>
  <c r="BK32" i="12"/>
  <c r="BM28" i="12"/>
  <c r="BL28" i="12"/>
  <c r="BK28" i="12"/>
  <c r="BM24" i="12"/>
  <c r="BL24" i="12"/>
  <c r="BK24" i="12"/>
  <c r="BM20" i="12"/>
  <c r="BL20" i="12"/>
  <c r="BK20" i="12"/>
  <c r="BM16" i="12"/>
  <c r="BL16" i="12"/>
  <c r="BK16" i="12"/>
  <c r="HO51" i="9"/>
  <c r="HO50" i="9"/>
  <c r="HO49" i="9"/>
  <c r="HO48" i="9"/>
  <c r="HO47" i="9"/>
  <c r="HO46" i="9"/>
  <c r="HO45" i="9"/>
  <c r="HO44" i="9"/>
  <c r="HO43" i="9"/>
  <c r="HO42" i="9"/>
  <c r="HO41" i="9"/>
  <c r="HO40" i="9"/>
  <c r="HO39" i="9"/>
  <c r="HO38" i="9"/>
  <c r="HO37" i="9"/>
  <c r="HO36" i="9"/>
  <c r="HO35" i="9"/>
  <c r="HO34" i="9"/>
  <c r="HO33" i="9"/>
  <c r="HO32" i="9"/>
  <c r="HO31" i="9"/>
  <c r="HO30" i="9"/>
  <c r="HO29" i="9"/>
  <c r="HO28" i="9"/>
  <c r="HO27" i="9"/>
  <c r="HO26" i="9"/>
  <c r="HO25" i="9"/>
  <c r="HO24" i="9"/>
  <c r="HO23" i="9"/>
  <c r="HO22" i="9"/>
  <c r="HO21" i="9"/>
  <c r="HO20" i="9"/>
  <c r="HO19" i="9"/>
  <c r="HO18" i="9"/>
  <c r="HO17" i="9"/>
  <c r="HO16" i="9"/>
  <c r="HO15" i="9"/>
  <c r="HO14" i="9"/>
  <c r="KP54" i="9"/>
  <c r="KL54" i="9"/>
  <c r="AI87" i="9"/>
  <c r="AG87" i="9"/>
  <c r="AE87" i="9"/>
  <c r="AC87" i="9"/>
  <c r="AA87" i="9"/>
  <c r="Y87" i="9"/>
  <c r="W87" i="9"/>
  <c r="U87" i="9"/>
  <c r="S87" i="9"/>
  <c r="Q87" i="9"/>
  <c r="O87" i="9"/>
  <c r="M87" i="9"/>
  <c r="K87" i="9"/>
  <c r="AT16" i="12"/>
  <c r="AS16" i="12"/>
  <c r="AN16" i="12"/>
  <c r="AO16" i="12"/>
  <c r="R6" i="9"/>
  <c r="EP19" i="9"/>
  <c r="EO19" i="9"/>
  <c r="EN19" i="9"/>
  <c r="EM19" i="9"/>
  <c r="EL19" i="9"/>
  <c r="EK19" i="9"/>
  <c r="EJ19" i="9"/>
  <c r="EI19" i="9"/>
  <c r="EH19" i="9"/>
  <c r="EG19" i="9"/>
  <c r="EF19" i="9"/>
  <c r="EE19" i="9"/>
  <c r="ED19" i="9"/>
  <c r="AW16" i="12"/>
  <c r="AV16" i="12"/>
  <c r="AU16" i="12"/>
  <c r="AW12" i="12"/>
  <c r="AV12" i="12"/>
  <c r="AU12" i="12"/>
  <c r="AT12" i="12"/>
  <c r="AS12" i="12"/>
  <c r="AH12" i="9"/>
  <c r="AF12" i="9"/>
  <c r="AD12" i="9"/>
  <c r="AB12" i="9"/>
  <c r="Z12" i="9"/>
  <c r="X12" i="9"/>
  <c r="V12" i="9"/>
  <c r="T12" i="9"/>
  <c r="R12" i="9"/>
  <c r="P12" i="9"/>
  <c r="N12" i="9"/>
  <c r="L12" i="9"/>
  <c r="J12" i="9"/>
  <c r="H12" i="9"/>
  <c r="AW68" i="12"/>
  <c r="AV68" i="12"/>
  <c r="AU68" i="12"/>
  <c r="AT68" i="12"/>
  <c r="AS68" i="12"/>
  <c r="AW64" i="12"/>
  <c r="AV64" i="12"/>
  <c r="AU64" i="12"/>
  <c r="AT64" i="12"/>
  <c r="AS64" i="12"/>
  <c r="AW60" i="12"/>
  <c r="AV60" i="12"/>
  <c r="AU60" i="12"/>
  <c r="AT60" i="12"/>
  <c r="AS60" i="12"/>
  <c r="AW56" i="12"/>
  <c r="AV56" i="12"/>
  <c r="AU56" i="12"/>
  <c r="AT56" i="12"/>
  <c r="AS56" i="12"/>
  <c r="AW52" i="12"/>
  <c r="AV52" i="12"/>
  <c r="AU52" i="12"/>
  <c r="AT52" i="12"/>
  <c r="AS52" i="12"/>
  <c r="AW48" i="12"/>
  <c r="AV48" i="12"/>
  <c r="AU48" i="12"/>
  <c r="AT48" i="12"/>
  <c r="AS48" i="12"/>
  <c r="AW44" i="12"/>
  <c r="AV44" i="12"/>
  <c r="AU44" i="12"/>
  <c r="AT44" i="12"/>
  <c r="AS44" i="12"/>
  <c r="AW40" i="12"/>
  <c r="AV40" i="12"/>
  <c r="AU40" i="12"/>
  <c r="AT40" i="12"/>
  <c r="AS40" i="12"/>
  <c r="AW36" i="12"/>
  <c r="AV36" i="12"/>
  <c r="AU36" i="12"/>
  <c r="AT36" i="12"/>
  <c r="AS36" i="12"/>
  <c r="AW32" i="12"/>
  <c r="AV32" i="12"/>
  <c r="AU32" i="12"/>
  <c r="AT32" i="12"/>
  <c r="AS32" i="12"/>
  <c r="AW28" i="12"/>
  <c r="AV28" i="12"/>
  <c r="AU28" i="12"/>
  <c r="AT28" i="12"/>
  <c r="AS28" i="12"/>
  <c r="AW24" i="12"/>
  <c r="AV24" i="12"/>
  <c r="AU24" i="12"/>
  <c r="AT24" i="12"/>
  <c r="AS24" i="12"/>
  <c r="AW20" i="12"/>
  <c r="AV20" i="12"/>
  <c r="AU20" i="12"/>
  <c r="AT20" i="12"/>
  <c r="AS20" i="12"/>
  <c r="AP16" i="12"/>
  <c r="AR16" i="12"/>
  <c r="I125" i="9"/>
  <c r="I124" i="9"/>
  <c r="I123" i="9"/>
  <c r="I122" i="9"/>
  <c r="I118" i="9"/>
  <c r="I117" i="9"/>
  <c r="I116" i="9"/>
  <c r="I115" i="9"/>
  <c r="I111" i="9"/>
  <c r="I110" i="9"/>
  <c r="I109" i="9"/>
  <c r="I108" i="9"/>
  <c r="I104" i="9"/>
  <c r="I103" i="9"/>
  <c r="I102" i="9"/>
  <c r="I99" i="9"/>
  <c r="I97" i="9"/>
  <c r="I95" i="9"/>
  <c r="I94" i="9"/>
  <c r="I90" i="9"/>
  <c r="I89" i="9"/>
  <c r="I88" i="9"/>
  <c r="G87" i="9"/>
  <c r="AR68" i="12"/>
  <c r="AQ68" i="12"/>
  <c r="AP68" i="12"/>
  <c r="AO68" i="12"/>
  <c r="AN68" i="12"/>
  <c r="AR64" i="12"/>
  <c r="AQ64" i="12"/>
  <c r="AP64" i="12"/>
  <c r="AO64" i="12"/>
  <c r="AN64" i="12"/>
  <c r="AR60" i="12"/>
  <c r="AQ60" i="12"/>
  <c r="AP60" i="12"/>
  <c r="AO60" i="12"/>
  <c r="AN60" i="12"/>
  <c r="AR56" i="12"/>
  <c r="AQ56" i="12"/>
  <c r="AP56" i="12"/>
  <c r="AO56" i="12"/>
  <c r="AN56" i="12"/>
  <c r="AR52" i="12"/>
  <c r="AQ52" i="12"/>
  <c r="AP52" i="12"/>
  <c r="AO52" i="12"/>
  <c r="AN52" i="12"/>
  <c r="AR48" i="12"/>
  <c r="AQ48" i="12"/>
  <c r="AP48" i="12"/>
  <c r="AO48" i="12"/>
  <c r="AN48" i="12"/>
  <c r="AR44" i="12"/>
  <c r="AQ44" i="12"/>
  <c r="AP44" i="12"/>
  <c r="AO44" i="12"/>
  <c r="AN44" i="12"/>
  <c r="AR40" i="12"/>
  <c r="AQ40" i="12"/>
  <c r="AP40" i="12"/>
  <c r="AO40" i="12"/>
  <c r="AN40" i="12"/>
  <c r="AR36" i="12"/>
  <c r="AQ36" i="12"/>
  <c r="AP36" i="12"/>
  <c r="AO36" i="12"/>
  <c r="AN36" i="12"/>
  <c r="AR32" i="12"/>
  <c r="AQ32" i="12"/>
  <c r="AP32" i="12"/>
  <c r="AO32" i="12"/>
  <c r="AN32" i="12"/>
  <c r="AR28" i="12"/>
  <c r="AQ28" i="12"/>
  <c r="AP28" i="12"/>
  <c r="AO28" i="12"/>
  <c r="AN28" i="12"/>
  <c r="AR24" i="12"/>
  <c r="AQ24" i="12"/>
  <c r="AP24" i="12"/>
  <c r="AO24" i="12"/>
  <c r="AN24" i="12"/>
  <c r="AR20" i="12"/>
  <c r="AQ20" i="12"/>
  <c r="AP20" i="12"/>
  <c r="AO20" i="12"/>
  <c r="AN20" i="12"/>
  <c r="AQ16" i="12"/>
  <c r="AR12" i="12"/>
  <c r="AQ12" i="12"/>
  <c r="AP12" i="12"/>
  <c r="AO12" i="12"/>
  <c r="AN12" i="12"/>
  <c r="GJ15" i="9"/>
  <c r="GJ16" i="9"/>
  <c r="GJ17" i="9"/>
  <c r="GJ18" i="9"/>
  <c r="GJ19" i="9"/>
  <c r="GJ20" i="9"/>
  <c r="GJ21" i="9"/>
  <c r="GJ22" i="9"/>
  <c r="GJ23" i="9"/>
  <c r="GJ24" i="9"/>
  <c r="GJ25" i="9"/>
  <c r="GJ26" i="9"/>
  <c r="GJ27" i="9"/>
  <c r="GJ28" i="9"/>
  <c r="GJ29" i="9"/>
  <c r="GJ30" i="9"/>
  <c r="GJ31" i="9"/>
  <c r="GJ32" i="9"/>
  <c r="GJ33" i="9"/>
  <c r="GJ34" i="9"/>
  <c r="GJ35" i="9"/>
  <c r="GJ36" i="9"/>
  <c r="GJ37" i="9"/>
  <c r="GJ38" i="9"/>
  <c r="GJ39" i="9"/>
  <c r="GJ40" i="9"/>
  <c r="GJ41" i="9"/>
  <c r="GJ42" i="9"/>
  <c r="GJ43" i="9"/>
  <c r="GJ44" i="9"/>
  <c r="GJ45" i="9"/>
  <c r="GJ46" i="9"/>
  <c r="GJ47" i="9"/>
  <c r="GJ48" i="9"/>
  <c r="GJ49" i="9"/>
  <c r="GJ50" i="9"/>
  <c r="GJ51" i="9"/>
  <c r="GJ52" i="9"/>
  <c r="EC19" i="9"/>
  <c r="DC52" i="9"/>
  <c r="BV52" i="9"/>
  <c r="BU62" i="9" l="1"/>
  <c r="BU72" i="9"/>
  <c r="EC15" i="9" s="1"/>
  <c r="EC22" i="9" s="1"/>
  <c r="BU60" i="9"/>
  <c r="BU70" i="9"/>
  <c r="BV72" i="9"/>
  <c r="ED15" i="9" s="1"/>
  <c r="ED22" i="9" s="1"/>
  <c r="AM20" i="12"/>
  <c r="KE53" i="9" s="1"/>
  <c r="KE81" i="9" s="1"/>
  <c r="KE54" i="9"/>
  <c r="AM28" i="12"/>
  <c r="KG53" i="9" s="1"/>
  <c r="KG81" i="9" s="1"/>
  <c r="KG54" i="9"/>
  <c r="AM36" i="12"/>
  <c r="KI53" i="9" s="1"/>
  <c r="KI81" i="9" s="1"/>
  <c r="KI54" i="9"/>
  <c r="AM44" i="12"/>
  <c r="KK53" i="9" s="1"/>
  <c r="KK81" i="9" s="1"/>
  <c r="KK54" i="9"/>
  <c r="AM60" i="12"/>
  <c r="KO53" i="9" s="1"/>
  <c r="KO81" i="9" s="1"/>
  <c r="KO54" i="9"/>
  <c r="AM52" i="12"/>
  <c r="KM53" i="9" s="1"/>
  <c r="KM81" i="9" s="1"/>
  <c r="KM54" i="9"/>
  <c r="AM68" i="12"/>
  <c r="KQ53" i="9" s="1"/>
  <c r="KQ81" i="9" s="1"/>
  <c r="KQ54" i="9"/>
  <c r="AM24" i="12"/>
  <c r="KF53" i="9" s="1"/>
  <c r="KF81" i="9" s="1"/>
  <c r="KF54" i="9"/>
  <c r="AM32" i="12"/>
  <c r="KH53" i="9" s="1"/>
  <c r="KH81" i="9" s="1"/>
  <c r="KH54" i="9"/>
  <c r="AM40" i="12"/>
  <c r="KJ53" i="9" s="1"/>
  <c r="KJ81" i="9" s="1"/>
  <c r="KJ54" i="9"/>
  <c r="AM56" i="12"/>
  <c r="KN53" i="9" s="1"/>
  <c r="KN81" i="9" s="1"/>
  <c r="KN54" i="9"/>
  <c r="CG74" i="9"/>
  <c r="CE74" i="9"/>
  <c r="CC74" i="9"/>
  <c r="CA74" i="9"/>
  <c r="BY74" i="9"/>
  <c r="BW74" i="9"/>
  <c r="CA76" i="9"/>
  <c r="BY76" i="9"/>
  <c r="BW76" i="9"/>
  <c r="CH74" i="9"/>
  <c r="CF74" i="9"/>
  <c r="CD74" i="9"/>
  <c r="CB74" i="9"/>
  <c r="BZ74" i="9"/>
  <c r="BX74" i="9"/>
  <c r="BV74" i="9"/>
  <c r="CB76" i="9"/>
  <c r="BZ76" i="9"/>
  <c r="BX76" i="9"/>
  <c r="BV76" i="9"/>
  <c r="BU66" i="9"/>
  <c r="BU76" i="9"/>
  <c r="AM48" i="12"/>
  <c r="KL53" i="9" s="1"/>
  <c r="KL81" i="9" s="1"/>
  <c r="I156" i="9"/>
  <c r="I154" i="9"/>
  <c r="I155" i="9"/>
  <c r="I149" i="9"/>
  <c r="I163" i="9"/>
  <c r="I132" i="9"/>
  <c r="I167" i="9"/>
  <c r="I165" i="9"/>
  <c r="I160" i="9"/>
  <c r="I87" i="9"/>
  <c r="I140" i="9"/>
  <c r="I141" i="9"/>
  <c r="I148" i="9"/>
  <c r="I151" i="9"/>
  <c r="I146" i="9"/>
  <c r="I166" i="9"/>
  <c r="I161" i="9"/>
  <c r="I143" i="9"/>
  <c r="I142" i="9"/>
  <c r="I152" i="9"/>
  <c r="I133" i="9"/>
  <c r="I131" i="9"/>
  <c r="I144" i="9"/>
  <c r="I159" i="9"/>
  <c r="I129" i="9"/>
  <c r="I158" i="9"/>
  <c r="I130" i="9"/>
  <c r="I147" i="9"/>
  <c r="I134" i="9"/>
  <c r="I150" i="9"/>
  <c r="I136" i="9"/>
  <c r="I138" i="9"/>
  <c r="I137" i="9"/>
  <c r="I157" i="9"/>
  <c r="I139" i="9"/>
  <c r="I164" i="9"/>
  <c r="I145" i="9"/>
  <c r="I162" i="9"/>
  <c r="I135" i="9"/>
  <c r="Q126" i="9"/>
  <c r="Q73" i="9" s="1"/>
  <c r="U126" i="9"/>
  <c r="U73" i="9" s="1"/>
  <c r="GV22" i="9"/>
  <c r="FR45" i="9"/>
  <c r="FR29" i="9"/>
  <c r="JI29" i="9" s="1"/>
  <c r="FR51" i="9"/>
  <c r="JI51" i="9" s="1"/>
  <c r="FR38" i="9"/>
  <c r="FR22" i="9"/>
  <c r="JI22" i="9" s="1"/>
  <c r="FR43" i="9"/>
  <c r="JI43" i="9" s="1"/>
  <c r="FR27" i="9"/>
  <c r="JI27" i="9" s="1"/>
  <c r="FR14" i="9"/>
  <c r="JI14" i="9" s="1"/>
  <c r="FR32" i="9"/>
  <c r="JI32" i="9" s="1"/>
  <c r="FR18" i="9"/>
  <c r="JI18" i="9" s="1"/>
  <c r="FR33" i="9"/>
  <c r="JI33" i="9" s="1"/>
  <c r="FR17" i="9"/>
  <c r="FR42" i="9"/>
  <c r="JI42" i="9" s="1"/>
  <c r="FR26" i="9"/>
  <c r="JI26" i="9" s="1"/>
  <c r="AD57" i="9"/>
  <c r="FR31" i="9"/>
  <c r="FR49" i="9"/>
  <c r="JI49" i="9" s="1"/>
  <c r="FR36" i="9"/>
  <c r="JI36" i="9" s="1"/>
  <c r="FR20" i="9"/>
  <c r="JI20" i="9" s="1"/>
  <c r="GV16" i="9"/>
  <c r="FR37" i="9"/>
  <c r="JI37" i="9" s="1"/>
  <c r="FR21" i="9"/>
  <c r="JI21" i="9" s="1"/>
  <c r="FR46" i="9"/>
  <c r="JI46" i="9" s="1"/>
  <c r="FR30" i="9"/>
  <c r="JI30" i="9" s="1"/>
  <c r="FR48" i="9"/>
  <c r="JI48" i="9" s="1"/>
  <c r="FR35" i="9"/>
  <c r="JI35" i="9" s="1"/>
  <c r="FR19" i="9"/>
  <c r="JI19" i="9" s="1"/>
  <c r="FR40" i="9"/>
  <c r="JI40" i="9" s="1"/>
  <c r="FR24" i="9"/>
  <c r="FR15" i="9"/>
  <c r="JI15" i="9" s="1"/>
  <c r="GV14" i="9"/>
  <c r="FR41" i="9"/>
  <c r="JI41" i="9" s="1"/>
  <c r="FR25" i="9"/>
  <c r="JI25" i="9" s="1"/>
  <c r="FR47" i="9"/>
  <c r="JI47" i="9" s="1"/>
  <c r="FR34" i="9"/>
  <c r="JI34" i="9" s="1"/>
  <c r="FR16" i="9"/>
  <c r="JI16" i="9" s="1"/>
  <c r="FR39" i="9"/>
  <c r="JI39" i="9" s="1"/>
  <c r="FR23" i="9"/>
  <c r="JI23" i="9" s="1"/>
  <c r="FR44" i="9"/>
  <c r="JI44" i="9" s="1"/>
  <c r="FR28" i="9"/>
  <c r="JI28" i="9" s="1"/>
  <c r="FR50" i="9"/>
  <c r="JI50" i="9" s="1"/>
  <c r="GW20" i="9"/>
  <c r="FS33" i="9"/>
  <c r="JJ33" i="9" s="1"/>
  <c r="FS17" i="9"/>
  <c r="FS42" i="9"/>
  <c r="JJ42" i="9" s="1"/>
  <c r="FS26" i="9"/>
  <c r="JJ26" i="9" s="1"/>
  <c r="FS47" i="9"/>
  <c r="JJ47" i="9" s="1"/>
  <c r="FS31" i="9"/>
  <c r="FS48" i="9"/>
  <c r="JJ48" i="9" s="1"/>
  <c r="FS32" i="9"/>
  <c r="JJ32" i="9" s="1"/>
  <c r="FS18" i="9"/>
  <c r="JJ18" i="9" s="1"/>
  <c r="GW14" i="9"/>
  <c r="FS37" i="9"/>
  <c r="JJ37" i="9" s="1"/>
  <c r="FS21" i="9"/>
  <c r="JJ21" i="9" s="1"/>
  <c r="FS46" i="9"/>
  <c r="JJ46" i="9" s="1"/>
  <c r="FS30" i="9"/>
  <c r="JJ30" i="9" s="1"/>
  <c r="FS51" i="9"/>
  <c r="JJ51" i="9" s="1"/>
  <c r="FS35" i="9"/>
  <c r="JJ35" i="9" s="1"/>
  <c r="FS19" i="9"/>
  <c r="JJ19" i="9" s="1"/>
  <c r="FS36" i="9"/>
  <c r="JJ36" i="9" s="1"/>
  <c r="FS20" i="9"/>
  <c r="JJ20" i="9" s="1"/>
  <c r="AF57" i="9"/>
  <c r="GW37" i="9"/>
  <c r="FS41" i="9"/>
  <c r="JJ41" i="9" s="1"/>
  <c r="FS25" i="9"/>
  <c r="JJ25" i="9" s="1"/>
  <c r="FS15" i="9"/>
  <c r="JJ15" i="9" s="1"/>
  <c r="FS34" i="9"/>
  <c r="JJ34" i="9" s="1"/>
  <c r="FS16" i="9"/>
  <c r="JJ16" i="9" s="1"/>
  <c r="FS39" i="9"/>
  <c r="JJ39" i="9" s="1"/>
  <c r="FS23" i="9"/>
  <c r="JJ23" i="9" s="1"/>
  <c r="FS40" i="9"/>
  <c r="JJ40" i="9" s="1"/>
  <c r="FS24" i="9"/>
  <c r="FS14" i="9"/>
  <c r="JJ14" i="9" s="1"/>
  <c r="FS45" i="9"/>
  <c r="FS29" i="9"/>
  <c r="JJ29" i="9" s="1"/>
  <c r="FS50" i="9"/>
  <c r="JJ50" i="9" s="1"/>
  <c r="FS38" i="9"/>
  <c r="FS22" i="9"/>
  <c r="JJ22" i="9" s="1"/>
  <c r="FS43" i="9"/>
  <c r="JJ43" i="9" s="1"/>
  <c r="FS27" i="9"/>
  <c r="JJ27" i="9" s="1"/>
  <c r="FS44" i="9"/>
  <c r="JJ44" i="9" s="1"/>
  <c r="FS28" i="9"/>
  <c r="JJ28" i="9" s="1"/>
  <c r="FS49" i="9"/>
  <c r="JJ49" i="9" s="1"/>
  <c r="GW16" i="9"/>
  <c r="GT20" i="9"/>
  <c r="GT33" i="9"/>
  <c r="FP34" i="9"/>
  <c r="JG34" i="9" s="1"/>
  <c r="FP16" i="9"/>
  <c r="JG16" i="9" s="1"/>
  <c r="FP39" i="9"/>
  <c r="JG39" i="9" s="1"/>
  <c r="FP23" i="9"/>
  <c r="JG23" i="9" s="1"/>
  <c r="FP44" i="9"/>
  <c r="JG44" i="9" s="1"/>
  <c r="FP28" i="9"/>
  <c r="JG28" i="9" s="1"/>
  <c r="FP48" i="9"/>
  <c r="JG48" i="9" s="1"/>
  <c r="FP33" i="9"/>
  <c r="JG33" i="9" s="1"/>
  <c r="FP17" i="9"/>
  <c r="GT16" i="9"/>
  <c r="GT29" i="9"/>
  <c r="GT23" i="9"/>
  <c r="FP38" i="9"/>
  <c r="FP22" i="9"/>
  <c r="JG22" i="9" s="1"/>
  <c r="FP43" i="9"/>
  <c r="JG43" i="9" s="1"/>
  <c r="FP27" i="9"/>
  <c r="JG27" i="9" s="1"/>
  <c r="FP47" i="9"/>
  <c r="JG47" i="9" s="1"/>
  <c r="FP32" i="9"/>
  <c r="JG32" i="9" s="1"/>
  <c r="FP18" i="9"/>
  <c r="JG18" i="9" s="1"/>
  <c r="FP37" i="9"/>
  <c r="JG37" i="9" s="1"/>
  <c r="FP21" i="9"/>
  <c r="JG21" i="9" s="1"/>
  <c r="Z57" i="9"/>
  <c r="GT25" i="9"/>
  <c r="GT19" i="9"/>
  <c r="FP42" i="9"/>
  <c r="JG42" i="9" s="1"/>
  <c r="FP26" i="9"/>
  <c r="JG26" i="9" s="1"/>
  <c r="FP15" i="9"/>
  <c r="JG15" i="9" s="1"/>
  <c r="FP31" i="9"/>
  <c r="FP51" i="9"/>
  <c r="JG51" i="9" s="1"/>
  <c r="FP36" i="9"/>
  <c r="JG36" i="9" s="1"/>
  <c r="FP20" i="9"/>
  <c r="JG20" i="9" s="1"/>
  <c r="FP41" i="9"/>
  <c r="JG41" i="9" s="1"/>
  <c r="FP25" i="9"/>
  <c r="JG25" i="9" s="1"/>
  <c r="FP14" i="9"/>
  <c r="JG14" i="9" s="1"/>
  <c r="FP46" i="9"/>
  <c r="JG46" i="9" s="1"/>
  <c r="FP30" i="9"/>
  <c r="JG30" i="9" s="1"/>
  <c r="FP50" i="9"/>
  <c r="JG50" i="9" s="1"/>
  <c r="FP35" i="9"/>
  <c r="JG35" i="9" s="1"/>
  <c r="FP19" i="9"/>
  <c r="JG19" i="9" s="1"/>
  <c r="FP40" i="9"/>
  <c r="JG40" i="9" s="1"/>
  <c r="FP24" i="9"/>
  <c r="FP45" i="9"/>
  <c r="FP29" i="9"/>
  <c r="JG29" i="9" s="1"/>
  <c r="FP49" i="9"/>
  <c r="JG49" i="9" s="1"/>
  <c r="Y126" i="9"/>
  <c r="Y75" i="9" s="1"/>
  <c r="GV35" i="9"/>
  <c r="GV19" i="9"/>
  <c r="AI126" i="9"/>
  <c r="AI73" i="9" s="1"/>
  <c r="GT37" i="9"/>
  <c r="GV29" i="9"/>
  <c r="GW27" i="9"/>
  <c r="GW40" i="9"/>
  <c r="GX20" i="9"/>
  <c r="GX37" i="9"/>
  <c r="FT32" i="9"/>
  <c r="JK32" i="9" s="1"/>
  <c r="FT18" i="9"/>
  <c r="JK18" i="9" s="1"/>
  <c r="FT37" i="9"/>
  <c r="JK37" i="9" s="1"/>
  <c r="FT21" i="9"/>
  <c r="JK21" i="9" s="1"/>
  <c r="FT46" i="9"/>
  <c r="JK46" i="9" s="1"/>
  <c r="FT30" i="9"/>
  <c r="JK30" i="9" s="1"/>
  <c r="FT50" i="9"/>
  <c r="JK50" i="9" s="1"/>
  <c r="FT35" i="9"/>
  <c r="JK35" i="9" s="1"/>
  <c r="FT19" i="9"/>
  <c r="JK19" i="9" s="1"/>
  <c r="GX14" i="9"/>
  <c r="FT36" i="9"/>
  <c r="JK36" i="9" s="1"/>
  <c r="FT20" i="9"/>
  <c r="JK20" i="9" s="1"/>
  <c r="FT41" i="9"/>
  <c r="JK41" i="9" s="1"/>
  <c r="FT25" i="9"/>
  <c r="JK25" i="9" s="1"/>
  <c r="FT14" i="9"/>
  <c r="FT34" i="9"/>
  <c r="JK34" i="9" s="1"/>
  <c r="FT16" i="9"/>
  <c r="JK16" i="9" s="1"/>
  <c r="FT39" i="9"/>
  <c r="JK39" i="9" s="1"/>
  <c r="FT23" i="9"/>
  <c r="JK23" i="9" s="1"/>
  <c r="AH57" i="9"/>
  <c r="GX16" i="9"/>
  <c r="FT40" i="9"/>
  <c r="JK40" i="9" s="1"/>
  <c r="FT24" i="9"/>
  <c r="FT45" i="9"/>
  <c r="FT29" i="9"/>
  <c r="JK29" i="9" s="1"/>
  <c r="FT49" i="9"/>
  <c r="JK49" i="9" s="1"/>
  <c r="FT38" i="9"/>
  <c r="FT22" i="9"/>
  <c r="JK22" i="9" s="1"/>
  <c r="FT43" i="9"/>
  <c r="JK43" i="9" s="1"/>
  <c r="FT27" i="9"/>
  <c r="JK27" i="9" s="1"/>
  <c r="FT47" i="9"/>
  <c r="JK47" i="9" s="1"/>
  <c r="FT44" i="9"/>
  <c r="JK44" i="9" s="1"/>
  <c r="FT28" i="9"/>
  <c r="JK28" i="9" s="1"/>
  <c r="FT48" i="9"/>
  <c r="JK48" i="9" s="1"/>
  <c r="FT33" i="9"/>
  <c r="JK33" i="9" s="1"/>
  <c r="FT17" i="9"/>
  <c r="FT42" i="9"/>
  <c r="JK42" i="9" s="1"/>
  <c r="FT26" i="9"/>
  <c r="JK26" i="9" s="1"/>
  <c r="FT15" i="9"/>
  <c r="JK15" i="9" s="1"/>
  <c r="FT31" i="9"/>
  <c r="FT51" i="9"/>
  <c r="JK51" i="9" s="1"/>
  <c r="GU46" i="9"/>
  <c r="GU48" i="9"/>
  <c r="GU41" i="9"/>
  <c r="GU28" i="9"/>
  <c r="FQ31" i="9"/>
  <c r="FQ50" i="9"/>
  <c r="JH50" i="9" s="1"/>
  <c r="FQ40" i="9"/>
  <c r="JH40" i="9" s="1"/>
  <c r="FQ24" i="9"/>
  <c r="FQ47" i="9"/>
  <c r="JH47" i="9" s="1"/>
  <c r="FQ33" i="9"/>
  <c r="JH33" i="9" s="1"/>
  <c r="FQ17" i="9"/>
  <c r="FQ42" i="9"/>
  <c r="JH42" i="9" s="1"/>
  <c r="FQ26" i="9"/>
  <c r="JH26" i="9" s="1"/>
  <c r="FQ14" i="9"/>
  <c r="GU45" i="9"/>
  <c r="GU39" i="9"/>
  <c r="GU36" i="9"/>
  <c r="GU26" i="9"/>
  <c r="FQ35" i="9"/>
  <c r="JH35" i="9" s="1"/>
  <c r="FQ19" i="9"/>
  <c r="JH19" i="9" s="1"/>
  <c r="FQ44" i="9"/>
  <c r="JH44" i="9" s="1"/>
  <c r="FQ28" i="9"/>
  <c r="JH28" i="9" s="1"/>
  <c r="FQ51" i="9"/>
  <c r="JH51" i="9" s="1"/>
  <c r="FQ37" i="9"/>
  <c r="JH37" i="9" s="1"/>
  <c r="FQ21" i="9"/>
  <c r="JH21" i="9" s="1"/>
  <c r="FQ46" i="9"/>
  <c r="JH46" i="9" s="1"/>
  <c r="FQ30" i="9"/>
  <c r="JH30" i="9" s="1"/>
  <c r="FQ49" i="9"/>
  <c r="JH49" i="9" s="1"/>
  <c r="GU51" i="9"/>
  <c r="GU34" i="9"/>
  <c r="GU23" i="9"/>
  <c r="FQ39" i="9"/>
  <c r="JH39" i="9" s="1"/>
  <c r="FQ23" i="9"/>
  <c r="JH23" i="9" s="1"/>
  <c r="AB57" i="9"/>
  <c r="FQ32" i="9"/>
  <c r="JH32" i="9" s="1"/>
  <c r="FQ18" i="9"/>
  <c r="JH18" i="9" s="1"/>
  <c r="FQ41" i="9"/>
  <c r="JH41" i="9" s="1"/>
  <c r="FQ25" i="9"/>
  <c r="JH25" i="9" s="1"/>
  <c r="GU14" i="9"/>
  <c r="FQ34" i="9"/>
  <c r="JH34" i="9" s="1"/>
  <c r="FQ16" i="9"/>
  <c r="JH16" i="9" s="1"/>
  <c r="GU16" i="9"/>
  <c r="GU49" i="9"/>
  <c r="GU33" i="9"/>
  <c r="GU29" i="9"/>
  <c r="GU21" i="9"/>
  <c r="FQ43" i="9"/>
  <c r="JH43" i="9" s="1"/>
  <c r="FQ27" i="9"/>
  <c r="JH27" i="9" s="1"/>
  <c r="FQ15" i="9"/>
  <c r="JH15" i="9" s="1"/>
  <c r="FQ36" i="9"/>
  <c r="JH36" i="9" s="1"/>
  <c r="FQ20" i="9"/>
  <c r="JH20" i="9" s="1"/>
  <c r="FQ45" i="9"/>
  <c r="FQ29" i="9"/>
  <c r="JH29" i="9" s="1"/>
  <c r="FQ48" i="9"/>
  <c r="JH48" i="9" s="1"/>
  <c r="FQ38" i="9"/>
  <c r="FQ22" i="9"/>
  <c r="JH22" i="9" s="1"/>
  <c r="GS20" i="9"/>
  <c r="GS49" i="9"/>
  <c r="GS36" i="9"/>
  <c r="GS29" i="9"/>
  <c r="FO40" i="9"/>
  <c r="JF40" i="9" s="1"/>
  <c r="FO24" i="9"/>
  <c r="FO14" i="9"/>
  <c r="FO33" i="9"/>
  <c r="JF33" i="9" s="1"/>
  <c r="FO17" i="9"/>
  <c r="FO42" i="9"/>
  <c r="JF42" i="9" s="1"/>
  <c r="FO26" i="9"/>
  <c r="JF26" i="9" s="1"/>
  <c r="FO47" i="9"/>
  <c r="JF47" i="9" s="1"/>
  <c r="FO35" i="9"/>
  <c r="JF35" i="9" s="1"/>
  <c r="FO19" i="9"/>
  <c r="JF19" i="9" s="1"/>
  <c r="GS16" i="9"/>
  <c r="GS48" i="9"/>
  <c r="GS41" i="9"/>
  <c r="GS34" i="9"/>
  <c r="GS28" i="9"/>
  <c r="GS23" i="9"/>
  <c r="FO44" i="9"/>
  <c r="JF44" i="9" s="1"/>
  <c r="FO28" i="9"/>
  <c r="JF28" i="9" s="1"/>
  <c r="FO49" i="9"/>
  <c r="JF49" i="9" s="1"/>
  <c r="FO37" i="9"/>
  <c r="JF37" i="9" s="1"/>
  <c r="FO21" i="9"/>
  <c r="JF21" i="9" s="1"/>
  <c r="FO46" i="9"/>
  <c r="JF46" i="9" s="1"/>
  <c r="FO30" i="9"/>
  <c r="JF30" i="9" s="1"/>
  <c r="FO51" i="9"/>
  <c r="JF51" i="9" s="1"/>
  <c r="FO39" i="9"/>
  <c r="JF39" i="9" s="1"/>
  <c r="FO23" i="9"/>
  <c r="JF23" i="9" s="1"/>
  <c r="GS14" i="9"/>
  <c r="GS39" i="9"/>
  <c r="GS33" i="9"/>
  <c r="GS26" i="9"/>
  <c r="GS21" i="9"/>
  <c r="FO32" i="9"/>
  <c r="JF32" i="9" s="1"/>
  <c r="FO18" i="9"/>
  <c r="JF18" i="9" s="1"/>
  <c r="FO41" i="9"/>
  <c r="JF41" i="9" s="1"/>
  <c r="FO25" i="9"/>
  <c r="JF25" i="9" s="1"/>
  <c r="FO15" i="9"/>
  <c r="JF15" i="9" s="1"/>
  <c r="FO34" i="9"/>
  <c r="JF34" i="9" s="1"/>
  <c r="FO16" i="9"/>
  <c r="JF16" i="9" s="1"/>
  <c r="FO43" i="9"/>
  <c r="JF43" i="9" s="1"/>
  <c r="FO27" i="9"/>
  <c r="JF27" i="9" s="1"/>
  <c r="GS38" i="9"/>
  <c r="GS32" i="9"/>
  <c r="GS37" i="9"/>
  <c r="GS25" i="9"/>
  <c r="GS30" i="9"/>
  <c r="GS17" i="9"/>
  <c r="FO36" i="9"/>
  <c r="JF36" i="9" s="1"/>
  <c r="FO20" i="9"/>
  <c r="JF20" i="9" s="1"/>
  <c r="FO45" i="9"/>
  <c r="FO29" i="9"/>
  <c r="JF29" i="9" s="1"/>
  <c r="FO50" i="9"/>
  <c r="JF50" i="9" s="1"/>
  <c r="FO38" i="9"/>
  <c r="FO22" i="9"/>
  <c r="JF22" i="9" s="1"/>
  <c r="X57" i="9"/>
  <c r="FO31" i="9"/>
  <c r="FO48" i="9"/>
  <c r="JF48" i="9" s="1"/>
  <c r="GU15" i="9"/>
  <c r="GT15" i="9"/>
  <c r="GS15" i="9"/>
  <c r="Y74" i="9"/>
  <c r="AM64" i="12"/>
  <c r="KP53" i="9" s="1"/>
  <c r="KP81" i="9" s="1"/>
  <c r="GV23" i="9"/>
  <c r="GV38" i="9"/>
  <c r="GW19" i="9"/>
  <c r="GW29" i="9"/>
  <c r="GW31" i="9"/>
  <c r="GW48" i="9"/>
  <c r="GT14" i="9"/>
  <c r="GV31" i="9"/>
  <c r="GV40" i="9"/>
  <c r="GW21" i="9"/>
  <c r="GW33" i="9"/>
  <c r="GW50" i="9"/>
  <c r="GX15" i="9"/>
  <c r="GV15" i="9"/>
  <c r="GV25" i="9"/>
  <c r="GV33" i="9"/>
  <c r="GW23" i="9"/>
  <c r="GW25" i="9"/>
  <c r="GW35" i="9"/>
  <c r="GW38" i="9"/>
  <c r="GR15" i="9"/>
  <c r="GR22" i="9"/>
  <c r="GR31" i="9"/>
  <c r="GR14" i="9"/>
  <c r="FN37" i="9"/>
  <c r="JE37" i="9" s="1"/>
  <c r="FN21" i="9"/>
  <c r="JE21" i="9" s="1"/>
  <c r="FN46" i="9"/>
  <c r="JE46" i="9" s="1"/>
  <c r="FN30" i="9"/>
  <c r="JE30" i="9" s="1"/>
  <c r="FN48" i="9"/>
  <c r="JE48" i="9" s="1"/>
  <c r="FN31" i="9"/>
  <c r="FN49" i="9"/>
  <c r="JE49" i="9" s="1"/>
  <c r="FN36" i="9"/>
  <c r="JE36" i="9" s="1"/>
  <c r="FN20" i="9"/>
  <c r="JE20" i="9" s="1"/>
  <c r="V57" i="9"/>
  <c r="GR23" i="9"/>
  <c r="FN41" i="9"/>
  <c r="JE41" i="9" s="1"/>
  <c r="FN25" i="9"/>
  <c r="JE25" i="9" s="1"/>
  <c r="FN47" i="9"/>
  <c r="JE47" i="9" s="1"/>
  <c r="FN34" i="9"/>
  <c r="JE34" i="9" s="1"/>
  <c r="FN16" i="9"/>
  <c r="JE16" i="9" s="1"/>
  <c r="FN35" i="9"/>
  <c r="JE35" i="9" s="1"/>
  <c r="FN19" i="9"/>
  <c r="JE19" i="9" s="1"/>
  <c r="FN40" i="9"/>
  <c r="JE40" i="9" s="1"/>
  <c r="FN24" i="9"/>
  <c r="FN15" i="9"/>
  <c r="JE15" i="9" s="1"/>
  <c r="GR38" i="9"/>
  <c r="GR37" i="9"/>
  <c r="GR29" i="9"/>
  <c r="GR19" i="9"/>
  <c r="FN45" i="9"/>
  <c r="FN29" i="9"/>
  <c r="JE29" i="9" s="1"/>
  <c r="FN51" i="9"/>
  <c r="JE51" i="9" s="1"/>
  <c r="FN38" i="9"/>
  <c r="FN22" i="9"/>
  <c r="JE22" i="9" s="1"/>
  <c r="FN39" i="9"/>
  <c r="JE39" i="9" s="1"/>
  <c r="FN23" i="9"/>
  <c r="JE23" i="9" s="1"/>
  <c r="FN44" i="9"/>
  <c r="JE44" i="9" s="1"/>
  <c r="FN28" i="9"/>
  <c r="JE28" i="9" s="1"/>
  <c r="FN50" i="9"/>
  <c r="JE50" i="9" s="1"/>
  <c r="GR50" i="9"/>
  <c r="GR33" i="9"/>
  <c r="GR27" i="9"/>
  <c r="FN33" i="9"/>
  <c r="JE33" i="9" s="1"/>
  <c r="FN17" i="9"/>
  <c r="FN42" i="9"/>
  <c r="JE42" i="9" s="1"/>
  <c r="FN26" i="9"/>
  <c r="JE26" i="9" s="1"/>
  <c r="FN43" i="9"/>
  <c r="JE43" i="9" s="1"/>
  <c r="FN27" i="9"/>
  <c r="JE27" i="9" s="1"/>
  <c r="FN14" i="9"/>
  <c r="FN32" i="9"/>
  <c r="JE32" i="9" s="1"/>
  <c r="FN18" i="9"/>
  <c r="JE18" i="9" s="1"/>
  <c r="GR16" i="9"/>
  <c r="GQ15" i="9"/>
  <c r="U74" i="9"/>
  <c r="GQ46" i="9"/>
  <c r="GQ38" i="9"/>
  <c r="GQ34" i="9"/>
  <c r="GQ24" i="9"/>
  <c r="GQ29" i="9"/>
  <c r="GQ16" i="9"/>
  <c r="FM33" i="9"/>
  <c r="JD33" i="9" s="1"/>
  <c r="FM17" i="9"/>
  <c r="FM42" i="9"/>
  <c r="JD42" i="9" s="1"/>
  <c r="FM26" i="9"/>
  <c r="JD26" i="9" s="1"/>
  <c r="FM14" i="9"/>
  <c r="FM35" i="9"/>
  <c r="JD35" i="9" s="1"/>
  <c r="FM19" i="9"/>
  <c r="JD19" i="9" s="1"/>
  <c r="FM40" i="9"/>
  <c r="JD40" i="9" s="1"/>
  <c r="FM24" i="9"/>
  <c r="FM47" i="9"/>
  <c r="JD47" i="9" s="1"/>
  <c r="GQ49" i="9"/>
  <c r="GQ33" i="9"/>
  <c r="GQ28" i="9"/>
  <c r="GQ23" i="9"/>
  <c r="FM37" i="9"/>
  <c r="JD37" i="9" s="1"/>
  <c r="FM21" i="9"/>
  <c r="JD21" i="9" s="1"/>
  <c r="FM46" i="9"/>
  <c r="JD46" i="9" s="1"/>
  <c r="FM30" i="9"/>
  <c r="JD30" i="9" s="1"/>
  <c r="FM49" i="9"/>
  <c r="JD49" i="9" s="1"/>
  <c r="FM39" i="9"/>
  <c r="JD39" i="9" s="1"/>
  <c r="FM23" i="9"/>
  <c r="JD23" i="9" s="1"/>
  <c r="FM44" i="9"/>
  <c r="JD44" i="9" s="1"/>
  <c r="FM28" i="9"/>
  <c r="JD28" i="9" s="1"/>
  <c r="FM51" i="9"/>
  <c r="JD51" i="9" s="1"/>
  <c r="GQ48" i="9"/>
  <c r="GQ41" i="9"/>
  <c r="GQ32" i="9"/>
  <c r="GQ26" i="9"/>
  <c r="GQ21" i="9"/>
  <c r="FM41" i="9"/>
  <c r="JD41" i="9" s="1"/>
  <c r="FM25" i="9"/>
  <c r="JD25" i="9" s="1"/>
  <c r="FM48" i="9"/>
  <c r="JD48" i="9" s="1"/>
  <c r="FM34" i="9"/>
  <c r="JD34" i="9" s="1"/>
  <c r="FM16" i="9"/>
  <c r="JD16" i="9" s="1"/>
  <c r="FM43" i="9"/>
  <c r="JD43" i="9" s="1"/>
  <c r="FM27" i="9"/>
  <c r="JD27" i="9" s="1"/>
  <c r="FM15" i="9"/>
  <c r="JD15" i="9" s="1"/>
  <c r="FM32" i="9"/>
  <c r="JD32" i="9" s="1"/>
  <c r="FM18" i="9"/>
  <c r="JD18" i="9" s="1"/>
  <c r="GQ47" i="9"/>
  <c r="GQ39" i="9"/>
  <c r="GQ37" i="9"/>
  <c r="GQ25" i="9"/>
  <c r="GQ30" i="9"/>
  <c r="GQ17" i="9"/>
  <c r="GQ14" i="9"/>
  <c r="FM45" i="9"/>
  <c r="FM29" i="9"/>
  <c r="JD29" i="9" s="1"/>
  <c r="FM38" i="9"/>
  <c r="FM22" i="9"/>
  <c r="JD22" i="9" s="1"/>
  <c r="T57" i="9"/>
  <c r="FM31" i="9"/>
  <c r="FM50" i="9"/>
  <c r="JD50" i="9" s="1"/>
  <c r="FM36" i="9"/>
  <c r="JD36" i="9" s="1"/>
  <c r="FM20" i="9"/>
  <c r="JD20" i="9" s="1"/>
  <c r="GP15" i="9"/>
  <c r="GP18" i="9"/>
  <c r="GP33" i="9"/>
  <c r="GP27" i="9"/>
  <c r="GP16" i="9"/>
  <c r="FL33" i="9"/>
  <c r="JC33" i="9" s="1"/>
  <c r="FL17" i="9"/>
  <c r="FL32" i="9"/>
  <c r="JC32" i="9" s="1"/>
  <c r="FL46" i="9"/>
  <c r="JC46" i="9" s="1"/>
  <c r="FL30" i="9"/>
  <c r="JC30" i="9" s="1"/>
  <c r="FL49" i="9"/>
  <c r="JC49" i="9" s="1"/>
  <c r="FL20" i="9"/>
  <c r="JC20" i="9" s="1"/>
  <c r="FL31" i="9"/>
  <c r="FL50" i="9"/>
  <c r="JC50" i="9" s="1"/>
  <c r="FL47" i="9"/>
  <c r="JC47" i="9" s="1"/>
  <c r="GP31" i="9"/>
  <c r="FL37" i="9"/>
  <c r="JC37" i="9" s="1"/>
  <c r="FL21" i="9"/>
  <c r="JC21" i="9" s="1"/>
  <c r="FL36" i="9"/>
  <c r="JC36" i="9" s="1"/>
  <c r="FL34" i="9"/>
  <c r="JC34" i="9" s="1"/>
  <c r="FL16" i="9"/>
  <c r="JC16" i="9" s="1"/>
  <c r="FL28" i="9"/>
  <c r="JC28" i="9" s="1"/>
  <c r="FL35" i="9"/>
  <c r="JC35" i="9" s="1"/>
  <c r="FL19" i="9"/>
  <c r="JC19" i="9" s="1"/>
  <c r="FL18" i="9"/>
  <c r="JC18" i="9" s="1"/>
  <c r="GP38" i="9"/>
  <c r="GP23" i="9"/>
  <c r="FL41" i="9"/>
  <c r="JC41" i="9" s="1"/>
  <c r="FL25" i="9"/>
  <c r="JC25" i="9" s="1"/>
  <c r="R57" i="9"/>
  <c r="FL51" i="9"/>
  <c r="JC51" i="9" s="1"/>
  <c r="FL38" i="9"/>
  <c r="FL22" i="9"/>
  <c r="JC22" i="9" s="1"/>
  <c r="FL40" i="9"/>
  <c r="JC40" i="9" s="1"/>
  <c r="FL39" i="9"/>
  <c r="JC39" i="9" s="1"/>
  <c r="FL23" i="9"/>
  <c r="JC23" i="9" s="1"/>
  <c r="FL44" i="9"/>
  <c r="JC44" i="9" s="1"/>
  <c r="GP37" i="9"/>
  <c r="GP29" i="9"/>
  <c r="GP19" i="9"/>
  <c r="FL45" i="9"/>
  <c r="FL29" i="9"/>
  <c r="JC29" i="9" s="1"/>
  <c r="FL48" i="9"/>
  <c r="JC48" i="9" s="1"/>
  <c r="FL24" i="9"/>
  <c r="FL42" i="9"/>
  <c r="JC42" i="9" s="1"/>
  <c r="FL26" i="9"/>
  <c r="JC26" i="9" s="1"/>
  <c r="FL14" i="9"/>
  <c r="FL43" i="9"/>
  <c r="JC43" i="9" s="1"/>
  <c r="FL27" i="9"/>
  <c r="JC27" i="9" s="1"/>
  <c r="FL15" i="9"/>
  <c r="JC15" i="9" s="1"/>
  <c r="GO22" i="9"/>
  <c r="FK45" i="9"/>
  <c r="FK29" i="9"/>
  <c r="JB29" i="9" s="1"/>
  <c r="FK49" i="9"/>
  <c r="JB49" i="9" s="1"/>
  <c r="FK38" i="9"/>
  <c r="FK22" i="9"/>
  <c r="JB22" i="9" s="1"/>
  <c r="FK43" i="9"/>
  <c r="JB43" i="9" s="1"/>
  <c r="FK27" i="9"/>
  <c r="JB27" i="9" s="1"/>
  <c r="FK47" i="9"/>
  <c r="JB47" i="9" s="1"/>
  <c r="FK36" i="9"/>
  <c r="JB36" i="9" s="1"/>
  <c r="FK20" i="9"/>
  <c r="JB20" i="9" s="1"/>
  <c r="FK33" i="9"/>
  <c r="JB33" i="9" s="1"/>
  <c r="FK17" i="9"/>
  <c r="FK42" i="9"/>
  <c r="JB42" i="9" s="1"/>
  <c r="FK26" i="9"/>
  <c r="JB26" i="9" s="1"/>
  <c r="FK15" i="9"/>
  <c r="JB15" i="9" s="1"/>
  <c r="FK31" i="9"/>
  <c r="FK51" i="9"/>
  <c r="JB51" i="9" s="1"/>
  <c r="FK40" i="9"/>
  <c r="JB40" i="9" s="1"/>
  <c r="FK24" i="9"/>
  <c r="GO14" i="9"/>
  <c r="FK37" i="9"/>
  <c r="JB37" i="9" s="1"/>
  <c r="FK21" i="9"/>
  <c r="JB21" i="9" s="1"/>
  <c r="FK46" i="9"/>
  <c r="JB46" i="9" s="1"/>
  <c r="FK30" i="9"/>
  <c r="JB30" i="9" s="1"/>
  <c r="FK50" i="9"/>
  <c r="JB50" i="9" s="1"/>
  <c r="FK35" i="9"/>
  <c r="JB35" i="9" s="1"/>
  <c r="FK19" i="9"/>
  <c r="JB19" i="9" s="1"/>
  <c r="FK44" i="9"/>
  <c r="JB44" i="9" s="1"/>
  <c r="FK28" i="9"/>
  <c r="JB28" i="9" s="1"/>
  <c r="FK48" i="9"/>
  <c r="JB48" i="9" s="1"/>
  <c r="FK41" i="9"/>
  <c r="JB41" i="9" s="1"/>
  <c r="FK25" i="9"/>
  <c r="JB25" i="9" s="1"/>
  <c r="FK14" i="9"/>
  <c r="FK34" i="9"/>
  <c r="JB34" i="9" s="1"/>
  <c r="FK16" i="9"/>
  <c r="JB16" i="9" s="1"/>
  <c r="FK39" i="9"/>
  <c r="JB39" i="9" s="1"/>
  <c r="FK23" i="9"/>
  <c r="JB23" i="9" s="1"/>
  <c r="P57" i="9"/>
  <c r="FK32" i="9"/>
  <c r="JB32" i="9" s="1"/>
  <c r="FK18" i="9"/>
  <c r="JB18" i="9" s="1"/>
  <c r="GO15" i="9"/>
  <c r="GN15" i="9"/>
  <c r="GN46" i="9"/>
  <c r="GN49" i="9"/>
  <c r="GN34" i="9"/>
  <c r="FJ15" i="9"/>
  <c r="JA15" i="9" s="1"/>
  <c r="FJ25" i="9"/>
  <c r="JA25" i="9" s="1"/>
  <c r="N57" i="9"/>
  <c r="FJ42" i="9"/>
  <c r="JA42" i="9" s="1"/>
  <c r="FJ37" i="9"/>
  <c r="JA37" i="9" s="1"/>
  <c r="GN28" i="9"/>
  <c r="GN23" i="9"/>
  <c r="FJ22" i="9"/>
  <c r="JA22" i="9" s="1"/>
  <c r="FJ17" i="9"/>
  <c r="FJ47" i="9"/>
  <c r="JA47" i="9" s="1"/>
  <c r="FJ34" i="9"/>
  <c r="JA34" i="9" s="1"/>
  <c r="FJ29" i="9"/>
  <c r="JA29" i="9" s="1"/>
  <c r="FJ44" i="9"/>
  <c r="JA44" i="9" s="1"/>
  <c r="FJ39" i="9"/>
  <c r="JA39" i="9" s="1"/>
  <c r="FJ28" i="9"/>
  <c r="JA28" i="9" s="1"/>
  <c r="FJ23" i="9"/>
  <c r="JA23" i="9" s="1"/>
  <c r="FJ36" i="9"/>
  <c r="JA36" i="9" s="1"/>
  <c r="FJ31" i="9"/>
  <c r="FJ20" i="9"/>
  <c r="JA20" i="9" s="1"/>
  <c r="FJ50" i="9"/>
  <c r="JA50" i="9" s="1"/>
  <c r="FJ45" i="9"/>
  <c r="GM15" i="9"/>
  <c r="GM39" i="9"/>
  <c r="GM34" i="9"/>
  <c r="GM26" i="9"/>
  <c r="GM19" i="9"/>
  <c r="FI35" i="9"/>
  <c r="IZ35" i="9" s="1"/>
  <c r="FI19" i="9"/>
  <c r="IZ19" i="9" s="1"/>
  <c r="FI36" i="9"/>
  <c r="IZ36" i="9" s="1"/>
  <c r="FI20" i="9"/>
  <c r="IZ20" i="9" s="1"/>
  <c r="L57" i="9"/>
  <c r="FI33" i="9"/>
  <c r="IZ33" i="9" s="1"/>
  <c r="FI17" i="9"/>
  <c r="FI42" i="9"/>
  <c r="IZ42" i="9" s="1"/>
  <c r="FI26" i="9"/>
  <c r="IZ26" i="9" s="1"/>
  <c r="FI47" i="9"/>
  <c r="IZ47" i="9" s="1"/>
  <c r="GM33" i="9"/>
  <c r="GM30" i="9"/>
  <c r="GM17" i="9"/>
  <c r="GM23" i="9"/>
  <c r="FI39" i="9"/>
  <c r="IZ39" i="9" s="1"/>
  <c r="FI23" i="9"/>
  <c r="IZ23" i="9" s="1"/>
  <c r="FI40" i="9"/>
  <c r="IZ40" i="9" s="1"/>
  <c r="FI24" i="9"/>
  <c r="FI14" i="9"/>
  <c r="FI37" i="9"/>
  <c r="IZ37" i="9" s="1"/>
  <c r="FI21" i="9"/>
  <c r="IZ21" i="9" s="1"/>
  <c r="FI46" i="9"/>
  <c r="IZ46" i="9" s="1"/>
  <c r="FI30" i="9"/>
  <c r="IZ30" i="9" s="1"/>
  <c r="FI51" i="9"/>
  <c r="IZ51" i="9" s="1"/>
  <c r="GM50" i="9"/>
  <c r="GM29" i="9"/>
  <c r="GM21" i="9"/>
  <c r="FI43" i="9"/>
  <c r="IZ43" i="9" s="1"/>
  <c r="FI27" i="9"/>
  <c r="IZ27" i="9" s="1"/>
  <c r="FI44" i="9"/>
  <c r="IZ44" i="9" s="1"/>
  <c r="FI28" i="9"/>
  <c r="IZ28" i="9" s="1"/>
  <c r="FI49" i="9"/>
  <c r="IZ49" i="9" s="1"/>
  <c r="FI41" i="9"/>
  <c r="IZ41" i="9" s="1"/>
  <c r="FI25" i="9"/>
  <c r="IZ25" i="9" s="1"/>
  <c r="FI15" i="9"/>
  <c r="IZ15" i="9" s="1"/>
  <c r="FI34" i="9"/>
  <c r="IZ34" i="9" s="1"/>
  <c r="FI16" i="9"/>
  <c r="IZ16" i="9" s="1"/>
  <c r="GM16" i="9"/>
  <c r="GM45" i="9"/>
  <c r="GM28" i="9"/>
  <c r="GM20" i="9"/>
  <c r="GM14" i="9"/>
  <c r="FI31" i="9"/>
  <c r="FI48" i="9"/>
  <c r="IZ48" i="9" s="1"/>
  <c r="FI32" i="9"/>
  <c r="IZ32" i="9" s="1"/>
  <c r="FI18" i="9"/>
  <c r="IZ18" i="9" s="1"/>
  <c r="FI45" i="9"/>
  <c r="FI29" i="9"/>
  <c r="IZ29" i="9" s="1"/>
  <c r="FI50" i="9"/>
  <c r="IZ50" i="9" s="1"/>
  <c r="FI38" i="9"/>
  <c r="FI22" i="9"/>
  <c r="IZ22" i="9" s="1"/>
  <c r="GL31" i="9"/>
  <c r="FH35" i="9"/>
  <c r="IY35" i="9" s="1"/>
  <c r="FH32" i="9"/>
  <c r="IY32" i="9" s="1"/>
  <c r="FH30" i="9"/>
  <c r="IY30" i="9" s="1"/>
  <c r="GL14" i="9"/>
  <c r="FH46" i="9"/>
  <c r="IY46" i="9" s="1"/>
  <c r="FH33" i="9"/>
  <c r="IY33" i="9" s="1"/>
  <c r="FH37" i="9"/>
  <c r="IY37" i="9" s="1"/>
  <c r="GL28" i="9"/>
  <c r="GL21" i="9"/>
  <c r="FH19" i="9"/>
  <c r="IY19" i="9" s="1"/>
  <c r="FH18" i="9"/>
  <c r="IY18" i="9" s="1"/>
  <c r="FH48" i="9"/>
  <c r="IY48" i="9" s="1"/>
  <c r="GX27" i="9"/>
  <c r="GW17" i="9"/>
  <c r="GW30" i="9"/>
  <c r="GW26" i="9"/>
  <c r="GW34" i="9"/>
  <c r="GW39" i="9"/>
  <c r="GW49" i="9"/>
  <c r="GW45" i="9"/>
  <c r="GW46" i="9"/>
  <c r="GW18" i="9"/>
  <c r="GW28" i="9"/>
  <c r="GW36" i="9"/>
  <c r="GW32" i="9"/>
  <c r="GW41" i="9"/>
  <c r="GW51" i="9"/>
  <c r="GW47" i="9"/>
  <c r="GW22" i="9"/>
  <c r="GV46" i="9"/>
  <c r="GV50" i="9"/>
  <c r="GU22" i="9"/>
  <c r="GT38" i="9"/>
  <c r="GT48" i="9"/>
  <c r="GS47" i="9"/>
  <c r="GS18" i="9"/>
  <c r="GS51" i="9"/>
  <c r="GS45" i="9"/>
  <c r="GR25" i="9"/>
  <c r="GR35" i="9"/>
  <c r="GR40" i="9"/>
  <c r="GR46" i="9"/>
  <c r="GR48" i="9"/>
  <c r="GQ36" i="9"/>
  <c r="GQ51" i="9"/>
  <c r="GQ45" i="9"/>
  <c r="GQ18" i="9"/>
  <c r="GQ22" i="9"/>
  <c r="GP25" i="9"/>
  <c r="GP35" i="9"/>
  <c r="GP40" i="9"/>
  <c r="GP46" i="9"/>
  <c r="GP48" i="9"/>
  <c r="GP50" i="9"/>
  <c r="GO23" i="9"/>
  <c r="GO33" i="9"/>
  <c r="GO38" i="9"/>
  <c r="GN41" i="9"/>
  <c r="GM25" i="9"/>
  <c r="GM37" i="9"/>
  <c r="GM32" i="9"/>
  <c r="GM47" i="9"/>
  <c r="GM40" i="9"/>
  <c r="GM49" i="9"/>
  <c r="GM41" i="9"/>
  <c r="GM36" i="9"/>
  <c r="GM51" i="9"/>
  <c r="GM46" i="9"/>
  <c r="GM38" i="9"/>
  <c r="GL39" i="9"/>
  <c r="GL48" i="9"/>
  <c r="AG126" i="9"/>
  <c r="AG73" i="9" s="1"/>
  <c r="FJ49" i="9"/>
  <c r="JA49" i="9" s="1"/>
  <c r="FJ33" i="9"/>
  <c r="JA33" i="9" s="1"/>
  <c r="FJ19" i="9"/>
  <c r="JA19" i="9" s="1"/>
  <c r="FJ38" i="9"/>
  <c r="FJ24" i="9"/>
  <c r="FJ51" i="9"/>
  <c r="JA51" i="9" s="1"/>
  <c r="FJ35" i="9"/>
  <c r="JA35" i="9" s="1"/>
  <c r="FJ21" i="9"/>
  <c r="JA21" i="9" s="1"/>
  <c r="FJ40" i="9"/>
  <c r="JA40" i="9" s="1"/>
  <c r="FJ26" i="9"/>
  <c r="JA26" i="9" s="1"/>
  <c r="GL16" i="9"/>
  <c r="FH38" i="9"/>
  <c r="FH15" i="9"/>
  <c r="IY15" i="9" s="1"/>
  <c r="FH40" i="9"/>
  <c r="IY40" i="9" s="1"/>
  <c r="FH14" i="9"/>
  <c r="FH43" i="9"/>
  <c r="IY43" i="9" s="1"/>
  <c r="I153" i="9"/>
  <c r="GN14" i="9"/>
  <c r="GL19" i="9"/>
  <c r="GL27" i="9"/>
  <c r="GL38" i="9"/>
  <c r="GL51" i="9"/>
  <c r="GL47" i="9"/>
  <c r="M126" i="9"/>
  <c r="M73" i="9" s="1"/>
  <c r="GN21" i="9"/>
  <c r="GN26" i="9"/>
  <c r="GN33" i="9"/>
  <c r="GN39" i="9"/>
  <c r="GN48" i="9"/>
  <c r="GN22" i="9"/>
  <c r="GO19" i="9"/>
  <c r="GO29" i="9"/>
  <c r="GO31" i="9"/>
  <c r="GO50" i="9"/>
  <c r="GP17" i="9"/>
  <c r="GP30" i="9"/>
  <c r="GP26" i="9"/>
  <c r="GP34" i="9"/>
  <c r="GP39" i="9"/>
  <c r="GP49" i="9"/>
  <c r="GP45" i="9"/>
  <c r="S126" i="9"/>
  <c r="S73" i="9" s="1"/>
  <c r="W126" i="9"/>
  <c r="W73" i="9" s="1"/>
  <c r="GS19" i="9"/>
  <c r="GS27" i="9"/>
  <c r="GS35" i="9"/>
  <c r="GS31" i="9"/>
  <c r="GS40" i="9"/>
  <c r="GS50" i="9"/>
  <c r="GS46" i="9"/>
  <c r="GS22" i="9"/>
  <c r="AA126" i="9"/>
  <c r="AA73" i="9" s="1"/>
  <c r="GU17" i="9"/>
  <c r="GU30" i="9"/>
  <c r="GU25" i="9"/>
  <c r="GU37" i="9"/>
  <c r="GU32" i="9"/>
  <c r="GU38" i="9"/>
  <c r="GU47" i="9"/>
  <c r="GU18" i="9"/>
  <c r="GV27" i="9"/>
  <c r="GV37" i="9"/>
  <c r="GV48" i="9"/>
  <c r="GX25" i="9"/>
  <c r="GX33" i="9"/>
  <c r="GN16" i="9"/>
  <c r="FJ41" i="9"/>
  <c r="JA41" i="9" s="1"/>
  <c r="FJ27" i="9"/>
  <c r="JA27" i="9" s="1"/>
  <c r="FJ46" i="9"/>
  <c r="JA46" i="9" s="1"/>
  <c r="FJ30" i="9"/>
  <c r="JA30" i="9" s="1"/>
  <c r="FJ16" i="9"/>
  <c r="JA16" i="9" s="1"/>
  <c r="FJ43" i="9"/>
  <c r="JA43" i="9" s="1"/>
  <c r="FJ14" i="9"/>
  <c r="FJ48" i="9"/>
  <c r="JA48" i="9" s="1"/>
  <c r="FJ32" i="9"/>
  <c r="JA32" i="9" s="1"/>
  <c r="FJ18" i="9"/>
  <c r="JA18" i="9" s="1"/>
  <c r="FH22" i="9"/>
  <c r="IY22" i="9" s="1"/>
  <c r="FH21" i="9"/>
  <c r="IY21" i="9" s="1"/>
  <c r="FH24" i="9"/>
  <c r="FH17" i="9"/>
  <c r="FH27" i="9"/>
  <c r="IY27" i="9" s="1"/>
  <c r="GP14" i="9"/>
  <c r="GL23" i="9"/>
  <c r="GL29" i="9"/>
  <c r="GL25" i="9"/>
  <c r="GL40" i="9"/>
  <c r="GL49" i="9"/>
  <c r="GL45" i="9"/>
  <c r="GN29" i="9"/>
  <c r="GN24" i="9"/>
  <c r="GN36" i="9"/>
  <c r="GN51" i="9"/>
  <c r="GN45" i="9"/>
  <c r="O126" i="9"/>
  <c r="GO25" i="9"/>
  <c r="GO35" i="9"/>
  <c r="GO40" i="9"/>
  <c r="GO46" i="9"/>
  <c r="GP21" i="9"/>
  <c r="GP28" i="9"/>
  <c r="GP24" i="9"/>
  <c r="GP36" i="9"/>
  <c r="GP32" i="9"/>
  <c r="GP41" i="9"/>
  <c r="GP51" i="9"/>
  <c r="GP47" i="9"/>
  <c r="GP20" i="9"/>
  <c r="AE126" i="9"/>
  <c r="GX19" i="9"/>
  <c r="GX29" i="9"/>
  <c r="GX48" i="9"/>
  <c r="GL17" i="9"/>
  <c r="GL30" i="9"/>
  <c r="GL26" i="9"/>
  <c r="GL41" i="9"/>
  <c r="GL50" i="9"/>
  <c r="GL46" i="9"/>
  <c r="GN17" i="9"/>
  <c r="GN30" i="9"/>
  <c r="GN25" i="9"/>
  <c r="GN37" i="9"/>
  <c r="GN32" i="9"/>
  <c r="GN38" i="9"/>
  <c r="GN47" i="9"/>
  <c r="GN18" i="9"/>
  <c r="GO27" i="9"/>
  <c r="GO37" i="9"/>
  <c r="GO48" i="9"/>
  <c r="GP22" i="9"/>
  <c r="AC126" i="9"/>
  <c r="GX23" i="9"/>
  <c r="GX38" i="9"/>
  <c r="GO16" i="9"/>
  <c r="GN20" i="9"/>
  <c r="GO21" i="9"/>
  <c r="GO28" i="9"/>
  <c r="GO24" i="9"/>
  <c r="GO36" i="9"/>
  <c r="GO32" i="9"/>
  <c r="GO41" i="9"/>
  <c r="GO51" i="9"/>
  <c r="GO47" i="9"/>
  <c r="GO18" i="9"/>
  <c r="GQ20" i="9"/>
  <c r="GR21" i="9"/>
  <c r="GR28" i="9"/>
  <c r="GR24" i="9"/>
  <c r="GR36" i="9"/>
  <c r="GR32" i="9"/>
  <c r="GR41" i="9"/>
  <c r="GR51" i="9"/>
  <c r="GR47" i="9"/>
  <c r="GR18" i="9"/>
  <c r="GT17" i="9"/>
  <c r="GT30" i="9"/>
  <c r="GT26" i="9"/>
  <c r="GT34" i="9"/>
  <c r="GT39" i="9"/>
  <c r="GT49" i="9"/>
  <c r="GT45" i="9"/>
  <c r="GT22" i="9"/>
  <c r="GU20" i="9"/>
  <c r="GV21" i="9"/>
  <c r="GV28" i="9"/>
  <c r="GV24" i="9"/>
  <c r="GV36" i="9"/>
  <c r="GV32" i="9"/>
  <c r="GV41" i="9"/>
  <c r="GV51" i="9"/>
  <c r="GV47" i="9"/>
  <c r="GV18" i="9"/>
  <c r="GX17" i="9"/>
  <c r="GX30" i="9"/>
  <c r="GX26" i="9"/>
  <c r="GX34" i="9"/>
  <c r="GX39" i="9"/>
  <c r="GX49" i="9"/>
  <c r="GX45" i="9"/>
  <c r="GX22" i="9"/>
  <c r="K126" i="9"/>
  <c r="K75" i="9" s="1"/>
  <c r="GO20" i="9"/>
  <c r="GR20" i="9"/>
  <c r="GT27" i="9"/>
  <c r="GT35" i="9"/>
  <c r="GT31" i="9"/>
  <c r="GT40" i="9"/>
  <c r="GT50" i="9"/>
  <c r="GT46" i="9"/>
  <c r="GV20" i="9"/>
  <c r="GX35" i="9"/>
  <c r="GX31" i="9"/>
  <c r="GX40" i="9"/>
  <c r="GX50" i="9"/>
  <c r="GX46" i="9"/>
  <c r="GM22" i="9"/>
  <c r="GM18" i="9"/>
  <c r="GM27" i="9"/>
  <c r="GM35" i="9"/>
  <c r="GM31" i="9"/>
  <c r="GM48" i="9"/>
  <c r="GN19" i="9"/>
  <c r="GN27" i="9"/>
  <c r="GN35" i="9"/>
  <c r="GN31" i="9"/>
  <c r="GN40" i="9"/>
  <c r="GN50" i="9"/>
  <c r="GO17" i="9"/>
  <c r="GO30" i="9"/>
  <c r="GO26" i="9"/>
  <c r="GO34" i="9"/>
  <c r="GO39" i="9"/>
  <c r="GO49" i="9"/>
  <c r="GO45" i="9"/>
  <c r="GQ19" i="9"/>
  <c r="GQ27" i="9"/>
  <c r="GQ35" i="9"/>
  <c r="GQ31" i="9"/>
  <c r="GQ40" i="9"/>
  <c r="GQ50" i="9"/>
  <c r="GR17" i="9"/>
  <c r="GR30" i="9"/>
  <c r="GR26" i="9"/>
  <c r="GR34" i="9"/>
  <c r="GR39" i="9"/>
  <c r="GR49" i="9"/>
  <c r="GR45" i="9"/>
  <c r="GT21" i="9"/>
  <c r="GT28" i="9"/>
  <c r="GT24" i="9"/>
  <c r="GT36" i="9"/>
  <c r="GT32" i="9"/>
  <c r="GT41" i="9"/>
  <c r="GT51" i="9"/>
  <c r="GT47" i="9"/>
  <c r="GT18" i="9"/>
  <c r="GU19" i="9"/>
  <c r="GU27" i="9"/>
  <c r="GU35" i="9"/>
  <c r="GU31" i="9"/>
  <c r="GU40" i="9"/>
  <c r="GU50" i="9"/>
  <c r="GV17" i="9"/>
  <c r="GV30" i="9"/>
  <c r="GV26" i="9"/>
  <c r="GV34" i="9"/>
  <c r="GV39" i="9"/>
  <c r="GV49" i="9"/>
  <c r="GV45" i="9"/>
  <c r="GX21" i="9"/>
  <c r="GX28" i="9"/>
  <c r="GX24" i="9"/>
  <c r="GX36" i="9"/>
  <c r="GX32" i="9"/>
  <c r="GX41" i="9"/>
  <c r="GX51" i="9"/>
  <c r="GX47" i="9"/>
  <c r="GX18" i="9"/>
  <c r="AM16" i="12"/>
  <c r="KD53" i="9" s="1"/>
  <c r="GK48" i="9"/>
  <c r="FG50" i="9"/>
  <c r="IX50" i="9" s="1"/>
  <c r="FG31" i="9"/>
  <c r="FG34" i="9"/>
  <c r="IX34" i="9" s="1"/>
  <c r="FG26" i="9"/>
  <c r="IX26" i="9" s="1"/>
  <c r="FG46" i="9"/>
  <c r="IX46" i="9" s="1"/>
  <c r="GK21" i="9"/>
  <c r="FG24" i="9"/>
  <c r="FG51" i="9"/>
  <c r="IX51" i="9" s="1"/>
  <c r="FG17" i="9"/>
  <c r="FG18" i="9"/>
  <c r="IX18" i="9" s="1"/>
  <c r="FG21" i="9"/>
  <c r="IX21" i="9" s="1"/>
  <c r="FG32" i="9"/>
  <c r="IX32" i="9" s="1"/>
  <c r="FG20" i="9"/>
  <c r="IX20" i="9" s="1"/>
  <c r="FG19" i="9"/>
  <c r="IX19" i="9" s="1"/>
  <c r="FG44" i="9"/>
  <c r="IX44" i="9" s="1"/>
  <c r="FG42" i="9"/>
  <c r="IX42" i="9" s="1"/>
  <c r="FG22" i="9"/>
  <c r="IX22" i="9" s="1"/>
  <c r="FG43" i="9"/>
  <c r="FG45" i="9"/>
  <c r="IX45" i="9" s="1"/>
  <c r="FG41" i="9"/>
  <c r="IX41" i="9" s="1"/>
  <c r="BU57" i="9"/>
  <c r="GK22" i="9"/>
  <c r="GK49" i="9"/>
  <c r="GK23" i="9"/>
  <c r="GK19" i="9"/>
  <c r="GK50" i="9"/>
  <c r="GK46" i="9"/>
  <c r="GK51" i="9"/>
  <c r="GK47" i="9"/>
  <c r="I126" i="9"/>
  <c r="G126" i="9"/>
  <c r="C17" i="9"/>
  <c r="E18" i="9"/>
  <c r="E16" i="9"/>
  <c r="GL15" i="9"/>
  <c r="J57" i="9"/>
  <c r="FH16" i="9"/>
  <c r="IY16" i="9" s="1"/>
  <c r="FH26" i="9"/>
  <c r="IY26" i="9" s="1"/>
  <c r="FH34" i="9"/>
  <c r="IY34" i="9" s="1"/>
  <c r="FH42" i="9"/>
  <c r="IY42" i="9" s="1"/>
  <c r="FH51" i="9"/>
  <c r="IY51" i="9" s="1"/>
  <c r="FH29" i="9"/>
  <c r="IY29" i="9" s="1"/>
  <c r="FH45" i="9"/>
  <c r="FH50" i="9"/>
  <c r="IY50" i="9" s="1"/>
  <c r="FH20" i="9"/>
  <c r="IY20" i="9" s="1"/>
  <c r="FH28" i="9"/>
  <c r="IY28" i="9" s="1"/>
  <c r="FH36" i="9"/>
  <c r="IY36" i="9" s="1"/>
  <c r="FH44" i="9"/>
  <c r="IY44" i="9" s="1"/>
  <c r="FH47" i="9"/>
  <c r="IY47" i="9" s="1"/>
  <c r="FH25" i="9"/>
  <c r="FH41" i="9"/>
  <c r="IY41" i="9" s="1"/>
  <c r="FH49" i="9"/>
  <c r="IY49" i="9" s="1"/>
  <c r="FH23" i="9"/>
  <c r="IY23" i="9" s="1"/>
  <c r="FH31" i="9"/>
  <c r="FH39" i="9"/>
  <c r="FG28" i="9"/>
  <c r="IX28" i="9" s="1"/>
  <c r="FG25" i="9"/>
  <c r="IX25" i="9" s="1"/>
  <c r="FG16" i="9"/>
  <c r="IX16" i="9" s="1"/>
  <c r="FG49" i="9"/>
  <c r="IX49" i="9" s="1"/>
  <c r="FG39" i="9"/>
  <c r="IX39" i="9" s="1"/>
  <c r="FG35" i="9"/>
  <c r="IX35" i="9" s="1"/>
  <c r="FG48" i="9"/>
  <c r="IX48" i="9" s="1"/>
  <c r="FG36" i="9"/>
  <c r="IX36" i="9" s="1"/>
  <c r="FG33" i="9"/>
  <c r="IX33" i="9" s="1"/>
  <c r="FG30" i="9"/>
  <c r="IX30" i="9" s="1"/>
  <c r="FG47" i="9"/>
  <c r="IX47" i="9" s="1"/>
  <c r="FG27" i="9"/>
  <c r="IX27" i="9" s="1"/>
  <c r="FG29" i="9"/>
  <c r="IX29" i="9" s="1"/>
  <c r="FG14" i="9"/>
  <c r="FG40" i="9"/>
  <c r="IX40" i="9" s="1"/>
  <c r="FG37" i="9"/>
  <c r="IX37" i="9" s="1"/>
  <c r="FG38" i="9"/>
  <c r="IX38" i="9" s="1"/>
  <c r="FG15" i="9"/>
  <c r="IX15" i="9" s="1"/>
  <c r="FG23" i="9"/>
  <c r="IX23" i="9" s="1"/>
  <c r="GK30" i="9"/>
  <c r="GK29" i="9"/>
  <c r="GK28" i="9"/>
  <c r="GK27" i="9"/>
  <c r="GK25" i="9"/>
  <c r="GK37" i="9"/>
  <c r="GK36" i="9"/>
  <c r="GK35" i="9"/>
  <c r="GK34" i="9"/>
  <c r="GK33" i="9"/>
  <c r="GK31" i="9"/>
  <c r="GK41" i="9"/>
  <c r="GK40" i="9"/>
  <c r="GK39" i="9"/>
  <c r="GL22" i="9"/>
  <c r="GL20" i="9"/>
  <c r="GL18" i="9"/>
  <c r="GL37" i="9"/>
  <c r="GL36" i="9"/>
  <c r="GL35" i="9"/>
  <c r="GL34" i="9"/>
  <c r="GL33" i="9"/>
  <c r="GL32" i="9"/>
  <c r="KD23" i="9" l="1"/>
  <c r="KD26" i="9"/>
  <c r="KD20" i="9"/>
  <c r="BU58" i="9"/>
  <c r="BU68" i="9"/>
  <c r="AF78" i="9"/>
  <c r="AF73" i="9"/>
  <c r="X78" i="9"/>
  <c r="X73" i="9"/>
  <c r="AB78" i="9"/>
  <c r="AB73" i="9"/>
  <c r="T78" i="9"/>
  <c r="T73" i="9"/>
  <c r="P78" i="9"/>
  <c r="P73" i="9"/>
  <c r="L78" i="9"/>
  <c r="L73" i="9"/>
  <c r="AH78" i="9"/>
  <c r="AH73" i="9"/>
  <c r="Z78" i="9"/>
  <c r="Z73" i="9"/>
  <c r="AD78" i="9"/>
  <c r="AD73" i="9"/>
  <c r="V78" i="9"/>
  <c r="V73" i="9"/>
  <c r="R78" i="9"/>
  <c r="R73" i="9"/>
  <c r="N78" i="9"/>
  <c r="N73" i="9"/>
  <c r="J78" i="9"/>
  <c r="J73" i="9"/>
  <c r="KD87" i="9"/>
  <c r="KF87" i="9"/>
  <c r="KJ93" i="9"/>
  <c r="KG87" i="9"/>
  <c r="KK93" i="9"/>
  <c r="KH87" i="9"/>
  <c r="KL93" i="9"/>
  <c r="KE87" i="9"/>
  <c r="KI93" i="9"/>
  <c r="KJ87" i="9"/>
  <c r="KN93" i="9"/>
  <c r="KK87" i="9"/>
  <c r="KO93" i="9"/>
  <c r="KL87" i="9"/>
  <c r="KP93" i="9"/>
  <c r="KI87" i="9"/>
  <c r="KM93" i="9"/>
  <c r="KN87" i="9"/>
  <c r="KO87" i="9"/>
  <c r="KP87" i="9"/>
  <c r="KM87" i="9"/>
  <c r="KQ93" i="9"/>
  <c r="KF93" i="9"/>
  <c r="KG93" i="9"/>
  <c r="KH93" i="9"/>
  <c r="KQ87" i="9"/>
  <c r="KE93" i="9"/>
  <c r="KD93" i="9"/>
  <c r="IX31" i="9"/>
  <c r="EC33" i="9"/>
  <c r="I80" i="9" s="1"/>
  <c r="IX17" i="9"/>
  <c r="EC32" i="9"/>
  <c r="I79" i="9" s="1"/>
  <c r="IY45" i="9"/>
  <c r="IY17" i="9"/>
  <c r="ED31" i="9"/>
  <c r="K78" i="9" s="1"/>
  <c r="JA24" i="9"/>
  <c r="EF32" i="9"/>
  <c r="O79" i="9" s="1"/>
  <c r="IZ45" i="9"/>
  <c r="IZ31" i="9"/>
  <c r="EE33" i="9"/>
  <c r="M80" i="9" s="1"/>
  <c r="IZ17" i="9"/>
  <c r="EE31" i="9"/>
  <c r="M78" i="9" s="1"/>
  <c r="JA45" i="9"/>
  <c r="JA17" i="9"/>
  <c r="EF31" i="9"/>
  <c r="O78" i="9" s="1"/>
  <c r="JB31" i="9"/>
  <c r="EG33" i="9"/>
  <c r="Q80" i="9" s="1"/>
  <c r="JB17" i="9"/>
  <c r="EG31" i="9"/>
  <c r="Q78" i="9" s="1"/>
  <c r="JB38" i="9"/>
  <c r="EG34" i="9"/>
  <c r="Q81" i="9" s="1"/>
  <c r="JC45" i="9"/>
  <c r="JC31" i="9"/>
  <c r="EH33" i="9"/>
  <c r="S80" i="9" s="1"/>
  <c r="JC17" i="9"/>
  <c r="EH31" i="9"/>
  <c r="S78" i="9" s="1"/>
  <c r="JD31" i="9"/>
  <c r="EI33" i="9"/>
  <c r="JD17" i="9"/>
  <c r="EI31" i="9"/>
  <c r="U78" i="9" s="1"/>
  <c r="JE17" i="9"/>
  <c r="EJ31" i="9"/>
  <c r="W78" i="9" s="1"/>
  <c r="JE45" i="9"/>
  <c r="JE24" i="9"/>
  <c r="EJ32" i="9"/>
  <c r="W79" i="9" s="1"/>
  <c r="JE31" i="9"/>
  <c r="EJ33" i="9"/>
  <c r="JF38" i="9"/>
  <c r="EK34" i="9"/>
  <c r="JF24" i="9"/>
  <c r="EK32" i="9"/>
  <c r="Y79" i="9" s="1"/>
  <c r="JH38" i="9"/>
  <c r="EM34" i="9"/>
  <c r="AC81" i="9" s="1"/>
  <c r="JH17" i="9"/>
  <c r="EM31" i="9"/>
  <c r="AC78" i="9" s="1"/>
  <c r="JH31" i="9"/>
  <c r="EM33" i="9"/>
  <c r="JK31" i="9"/>
  <c r="EP33" i="9"/>
  <c r="JK17" i="9"/>
  <c r="EP31" i="9"/>
  <c r="AI78" i="9" s="1"/>
  <c r="JK45" i="9"/>
  <c r="JG24" i="9"/>
  <c r="EL32" i="9"/>
  <c r="AA79" i="9" s="1"/>
  <c r="JG38" i="9"/>
  <c r="EL34" i="9"/>
  <c r="AA81" i="9" s="1"/>
  <c r="JG17" i="9"/>
  <c r="EL31" i="9"/>
  <c r="AA78" i="9" s="1"/>
  <c r="JJ45" i="9"/>
  <c r="JJ24" i="9"/>
  <c r="EO32" i="9"/>
  <c r="AG79" i="9" s="1"/>
  <c r="JJ31" i="9"/>
  <c r="EO33" i="9"/>
  <c r="AG80" i="9" s="1"/>
  <c r="JJ17" i="9"/>
  <c r="EO31" i="9"/>
  <c r="AG78" i="9" s="1"/>
  <c r="JI31" i="9"/>
  <c r="EN33" i="9"/>
  <c r="JI17" i="9"/>
  <c r="EN31" i="9"/>
  <c r="AE78" i="9" s="1"/>
  <c r="JI38" i="9"/>
  <c r="EN34" i="9"/>
  <c r="AE81" i="9" s="1"/>
  <c r="KL44" i="9"/>
  <c r="KL42" i="9"/>
  <c r="KL45" i="9"/>
  <c r="KL43" i="9"/>
  <c r="IY31" i="9"/>
  <c r="ED33" i="9"/>
  <c r="K80" i="9" s="1"/>
  <c r="IY24" i="9"/>
  <c r="ED32" i="9"/>
  <c r="K79" i="9" s="1"/>
  <c r="IY38" i="9"/>
  <c r="JA38" i="9"/>
  <c r="EF34" i="9"/>
  <c r="O81" i="9" s="1"/>
  <c r="IZ38" i="9"/>
  <c r="EE34" i="9"/>
  <c r="IZ24" i="9"/>
  <c r="EE32" i="9"/>
  <c r="M79" i="9" s="1"/>
  <c r="JA31" i="9"/>
  <c r="EF33" i="9"/>
  <c r="JB24" i="9"/>
  <c r="EG32" i="9"/>
  <c r="JB45" i="9"/>
  <c r="JC24" i="9"/>
  <c r="EH32" i="9"/>
  <c r="JC38" i="9"/>
  <c r="EH34" i="9"/>
  <c r="S81" i="9" s="1"/>
  <c r="JD38" i="9"/>
  <c r="EI34" i="9"/>
  <c r="JD45" i="9"/>
  <c r="JD24" i="9"/>
  <c r="EI32" i="9"/>
  <c r="U79" i="9" s="1"/>
  <c r="JE38" i="9"/>
  <c r="EJ34" i="9"/>
  <c r="W81" i="9" s="1"/>
  <c r="KP44" i="9"/>
  <c r="KP42" i="9"/>
  <c r="KP45" i="9"/>
  <c r="KP43" i="9"/>
  <c r="JF31" i="9"/>
  <c r="EK33" i="9"/>
  <c r="JF45" i="9"/>
  <c r="JF17" i="9"/>
  <c r="EK31" i="9"/>
  <c r="Y78" i="9" s="1"/>
  <c r="JH45" i="9"/>
  <c r="JH24" i="9"/>
  <c r="EM32" i="9"/>
  <c r="AC79" i="9" s="1"/>
  <c r="JK38" i="9"/>
  <c r="EP34" i="9"/>
  <c r="JK24" i="9"/>
  <c r="EP32" i="9"/>
  <c r="AI79" i="9" s="1"/>
  <c r="JG45" i="9"/>
  <c r="JG31" i="9"/>
  <c r="EL33" i="9"/>
  <c r="AA80" i="9" s="1"/>
  <c r="JJ38" i="9"/>
  <c r="EO34" i="9"/>
  <c r="AG81" i="9" s="1"/>
  <c r="JI24" i="9"/>
  <c r="EN32" i="9"/>
  <c r="JI45" i="9"/>
  <c r="KN44" i="9"/>
  <c r="KN42" i="9"/>
  <c r="KN45" i="9"/>
  <c r="KN43" i="9"/>
  <c r="KJ44" i="9"/>
  <c r="KJ42" i="9"/>
  <c r="KJ45" i="9"/>
  <c r="KJ43" i="9"/>
  <c r="KH44" i="9"/>
  <c r="KH42" i="9"/>
  <c r="KH45" i="9"/>
  <c r="KH43" i="9"/>
  <c r="KF44" i="9"/>
  <c r="KF42" i="9"/>
  <c r="KF45" i="9"/>
  <c r="KF43" i="9"/>
  <c r="KQ44" i="9"/>
  <c r="KQ42" i="9"/>
  <c r="KQ45" i="9"/>
  <c r="KQ43" i="9"/>
  <c r="KM44" i="9"/>
  <c r="KM42" i="9"/>
  <c r="KM45" i="9"/>
  <c r="KM43" i="9"/>
  <c r="KO44" i="9"/>
  <c r="KO42" i="9"/>
  <c r="KO45" i="9"/>
  <c r="KO43" i="9"/>
  <c r="KK44" i="9"/>
  <c r="KK42" i="9"/>
  <c r="KK45" i="9"/>
  <c r="KK43" i="9"/>
  <c r="KI44" i="9"/>
  <c r="KI42" i="9"/>
  <c r="KI45" i="9"/>
  <c r="KI43" i="9"/>
  <c r="KG44" i="9"/>
  <c r="KG42" i="9"/>
  <c r="KG45" i="9"/>
  <c r="KG43" i="9"/>
  <c r="KE44" i="9"/>
  <c r="KE42" i="9"/>
  <c r="KE45" i="9"/>
  <c r="KE43" i="9"/>
  <c r="EF16" i="9"/>
  <c r="EF23" i="9" s="1"/>
  <c r="EJ16" i="9"/>
  <c r="EJ23" i="9" s="1"/>
  <c r="EN16" i="9"/>
  <c r="EN23" i="9" s="1"/>
  <c r="EG16" i="9"/>
  <c r="EG23" i="9" s="1"/>
  <c r="EK16" i="9"/>
  <c r="EK23" i="9" s="1"/>
  <c r="EO16" i="9"/>
  <c r="EO23" i="9" s="1"/>
  <c r="EH16" i="9"/>
  <c r="EH23" i="9" s="1"/>
  <c r="EL16" i="9"/>
  <c r="EL23" i="9" s="1"/>
  <c r="EP16" i="9"/>
  <c r="EP23" i="9" s="1"/>
  <c r="EE16" i="9"/>
  <c r="EE23" i="9" s="1"/>
  <c r="EI16" i="9"/>
  <c r="EI23" i="9" s="1"/>
  <c r="EM16" i="9"/>
  <c r="EM23" i="9" s="1"/>
  <c r="KD44" i="9"/>
  <c r="KD42" i="9"/>
  <c r="KD45" i="9"/>
  <c r="KD43" i="9"/>
  <c r="BU63" i="9"/>
  <c r="I168" i="9"/>
  <c r="I169" i="9" s="1"/>
  <c r="O74" i="9"/>
  <c r="AC74" i="9"/>
  <c r="S74" i="9"/>
  <c r="K74" i="9"/>
  <c r="W74" i="9"/>
  <c r="AE74" i="9"/>
  <c r="AA74" i="9"/>
  <c r="AC73" i="9"/>
  <c r="S75" i="9"/>
  <c r="AI74" i="9"/>
  <c r="Q75" i="9"/>
  <c r="M74" i="9"/>
  <c r="AG75" i="9"/>
  <c r="Y76" i="9"/>
  <c r="O73" i="9"/>
  <c r="AE73" i="9"/>
  <c r="W76" i="9"/>
  <c r="U75" i="9"/>
  <c r="S76" i="9"/>
  <c r="AI75" i="9"/>
  <c r="AA75" i="9"/>
  <c r="M75" i="9"/>
  <c r="Y73" i="9"/>
  <c r="K73" i="9"/>
  <c r="AC75" i="9"/>
  <c r="AI76" i="9"/>
  <c r="M76" i="9"/>
  <c r="O75" i="9"/>
  <c r="AE75" i="9"/>
  <c r="Q74" i="9"/>
  <c r="W75" i="9"/>
  <c r="IX43" i="9"/>
  <c r="GL24" i="9"/>
  <c r="GM24" i="9"/>
  <c r="IY39" i="9"/>
  <c r="JE14" i="9"/>
  <c r="IZ14" i="9"/>
  <c r="JB14" i="9"/>
  <c r="JC14" i="9"/>
  <c r="JF14" i="9"/>
  <c r="JH14" i="9"/>
  <c r="IX14" i="9"/>
  <c r="JD14" i="9"/>
  <c r="JK14" i="9"/>
  <c r="IY25" i="9"/>
  <c r="JA14" i="9"/>
  <c r="IY14" i="9"/>
  <c r="IX24" i="9"/>
  <c r="GW15" i="9"/>
  <c r="GU24" i="9"/>
  <c r="GS24" i="9"/>
  <c r="G80" i="9"/>
  <c r="G81" i="9"/>
  <c r="G78" i="9"/>
  <c r="G79" i="9"/>
  <c r="GK17" i="9"/>
  <c r="GK15" i="9"/>
  <c r="E15" i="9"/>
  <c r="C16" i="9"/>
  <c r="E19" i="9"/>
  <c r="C18" i="9"/>
  <c r="EG41" i="9" l="1"/>
  <c r="KD76" i="9"/>
  <c r="KD78" i="9"/>
  <c r="KD77" i="9"/>
  <c r="KD82" i="9"/>
  <c r="KD84" i="9"/>
  <c r="KD83" i="9"/>
  <c r="EO41" i="9"/>
  <c r="EH41" i="9"/>
  <c r="EM41" i="9"/>
  <c r="ED39" i="9"/>
  <c r="EJ39" i="9"/>
  <c r="EG40" i="9"/>
  <c r="EL40" i="9"/>
  <c r="ED40" i="9"/>
  <c r="EN41" i="9"/>
  <c r="EO40" i="9"/>
  <c r="EF39" i="9"/>
  <c r="EE39" i="9"/>
  <c r="EI39" i="9"/>
  <c r="EJ41" i="9"/>
  <c r="EL39" i="9"/>
  <c r="EE40" i="9"/>
  <c r="EF41" i="9"/>
  <c r="EL41" i="9"/>
  <c r="EP39" i="9"/>
  <c r="KE95" i="9"/>
  <c r="KE96" i="9"/>
  <c r="KE94" i="9"/>
  <c r="KG95" i="9"/>
  <c r="KG96" i="9"/>
  <c r="KG94" i="9"/>
  <c r="KI95" i="9"/>
  <c r="KI96" i="9"/>
  <c r="KI94" i="9"/>
  <c r="KK95" i="9"/>
  <c r="KK96" i="9"/>
  <c r="KK94" i="9"/>
  <c r="KO95" i="9"/>
  <c r="KO96" i="9"/>
  <c r="KO94" i="9"/>
  <c r="KM95" i="9"/>
  <c r="KM96" i="9"/>
  <c r="KM94" i="9"/>
  <c r="KQ95" i="9"/>
  <c r="KQ96" i="9"/>
  <c r="KQ94" i="9"/>
  <c r="KF95" i="9"/>
  <c r="KF96" i="9"/>
  <c r="KF94" i="9"/>
  <c r="KH95" i="9"/>
  <c r="KH96" i="9"/>
  <c r="KH94" i="9"/>
  <c r="KJ95" i="9"/>
  <c r="KJ96" i="9"/>
  <c r="KJ94" i="9"/>
  <c r="KN95" i="9"/>
  <c r="KN96" i="9"/>
  <c r="KN94" i="9"/>
  <c r="KP102" i="9"/>
  <c r="KP101" i="9"/>
  <c r="KP100" i="9"/>
  <c r="KL102" i="9"/>
  <c r="KL101" i="9"/>
  <c r="KL100" i="9"/>
  <c r="KE102" i="9"/>
  <c r="KE100" i="9"/>
  <c r="KE101" i="9"/>
  <c r="KG102" i="9"/>
  <c r="KG101" i="9"/>
  <c r="KG100" i="9"/>
  <c r="KI102" i="9"/>
  <c r="KI100" i="9"/>
  <c r="KI101" i="9"/>
  <c r="KK102" i="9"/>
  <c r="KK101" i="9"/>
  <c r="KK100" i="9"/>
  <c r="KO102" i="9"/>
  <c r="KO101" i="9"/>
  <c r="KO100" i="9"/>
  <c r="KM102" i="9"/>
  <c r="KM100" i="9"/>
  <c r="KM101" i="9"/>
  <c r="KQ102" i="9"/>
  <c r="KQ100" i="9"/>
  <c r="KQ101" i="9"/>
  <c r="KF102" i="9"/>
  <c r="KF101" i="9"/>
  <c r="KF100" i="9"/>
  <c r="KH102" i="9"/>
  <c r="KH101" i="9"/>
  <c r="KH100" i="9"/>
  <c r="KJ102" i="9"/>
  <c r="KJ101" i="9"/>
  <c r="KJ100" i="9"/>
  <c r="KN102" i="9"/>
  <c r="KN101" i="9"/>
  <c r="KN100" i="9"/>
  <c r="KP95" i="9"/>
  <c r="KP96" i="9"/>
  <c r="KP94" i="9"/>
  <c r="KL95" i="9"/>
  <c r="KL96" i="9"/>
  <c r="KL94" i="9"/>
  <c r="P80" i="9"/>
  <c r="P75" i="9"/>
  <c r="AH80" i="9"/>
  <c r="AH75" i="9"/>
  <c r="AD79" i="9"/>
  <c r="AD74" i="9"/>
  <c r="Z80" i="9"/>
  <c r="Z75" i="9"/>
  <c r="V79" i="9"/>
  <c r="V74" i="9"/>
  <c r="R80" i="9"/>
  <c r="R75" i="9"/>
  <c r="N79" i="9"/>
  <c r="N74" i="9"/>
  <c r="H79" i="9"/>
  <c r="H74" i="9"/>
  <c r="KD100" i="9"/>
  <c r="KD102" i="9"/>
  <c r="KD101" i="9"/>
  <c r="J75" i="9"/>
  <c r="J80" i="9"/>
  <c r="AF74" i="9"/>
  <c r="AF79" i="9"/>
  <c r="X74" i="9"/>
  <c r="X79" i="9"/>
  <c r="AB80" i="9"/>
  <c r="AB75" i="9"/>
  <c r="P74" i="9"/>
  <c r="P79" i="9"/>
  <c r="T80" i="9"/>
  <c r="T75" i="9"/>
  <c r="KD96" i="9"/>
  <c r="KD95" i="9"/>
  <c r="KD94" i="9"/>
  <c r="AH79" i="9"/>
  <c r="AH74" i="9"/>
  <c r="L80" i="9"/>
  <c r="L75" i="9"/>
  <c r="Z79" i="9"/>
  <c r="Z74" i="9"/>
  <c r="R79" i="9"/>
  <c r="R74" i="9"/>
  <c r="AD80" i="9"/>
  <c r="AD75" i="9"/>
  <c r="J74" i="9"/>
  <c r="J79" i="9"/>
  <c r="V80" i="9"/>
  <c r="V75" i="9"/>
  <c r="H80" i="9"/>
  <c r="H75" i="9"/>
  <c r="N80" i="9"/>
  <c r="N75" i="9"/>
  <c r="AB74" i="9"/>
  <c r="AB79" i="9"/>
  <c r="AF80" i="9"/>
  <c r="AF75" i="9"/>
  <c r="T74" i="9"/>
  <c r="T79" i="9"/>
  <c r="X80" i="9"/>
  <c r="X75" i="9"/>
  <c r="L74" i="9"/>
  <c r="L79" i="9"/>
  <c r="EI41" i="9"/>
  <c r="U81" i="9"/>
  <c r="EH39" i="9"/>
  <c r="S79" i="9"/>
  <c r="EM40" i="9"/>
  <c r="AC80" i="9"/>
  <c r="EK41" i="9"/>
  <c r="Y81" i="9"/>
  <c r="EJ40" i="9"/>
  <c r="W80" i="9"/>
  <c r="EN39" i="9"/>
  <c r="AE79" i="9"/>
  <c r="EP41" i="9"/>
  <c r="AI81" i="9"/>
  <c r="EK40" i="9"/>
  <c r="Y80" i="9"/>
  <c r="EF40" i="9"/>
  <c r="O80" i="9"/>
  <c r="EE41" i="9"/>
  <c r="M81" i="9"/>
  <c r="EI40" i="9"/>
  <c r="U80" i="9"/>
  <c r="EH40" i="9"/>
  <c r="EG39" i="9"/>
  <c r="Q79" i="9"/>
  <c r="EN40" i="9"/>
  <c r="AE80" i="9"/>
  <c r="EP40" i="9"/>
  <c r="AI80" i="9"/>
  <c r="EK39" i="9"/>
  <c r="EM39" i="9"/>
  <c r="AA76" i="9"/>
  <c r="U76" i="9"/>
  <c r="AG76" i="9"/>
  <c r="Q76" i="9"/>
  <c r="AC76" i="9"/>
  <c r="O76" i="9"/>
  <c r="AE76" i="9"/>
  <c r="KE56" i="9"/>
  <c r="KE55" i="9"/>
  <c r="KE57" i="9"/>
  <c r="KG56" i="9"/>
  <c r="KG57" i="9"/>
  <c r="KG55" i="9"/>
  <c r="KI56" i="9"/>
  <c r="KI55" i="9"/>
  <c r="KI57" i="9"/>
  <c r="KK56" i="9"/>
  <c r="KK57" i="9"/>
  <c r="KK55" i="9"/>
  <c r="KO56" i="9"/>
  <c r="KO57" i="9"/>
  <c r="KO55" i="9"/>
  <c r="KM56" i="9"/>
  <c r="KM55" i="9"/>
  <c r="KM57" i="9"/>
  <c r="KQ56" i="9"/>
  <c r="KQ55" i="9"/>
  <c r="KQ57" i="9"/>
  <c r="KF55" i="9"/>
  <c r="KF56" i="9"/>
  <c r="KF57" i="9"/>
  <c r="KH56" i="9"/>
  <c r="KH55" i="9"/>
  <c r="KH57" i="9"/>
  <c r="KJ55" i="9"/>
  <c r="KJ56" i="9"/>
  <c r="KJ57" i="9"/>
  <c r="KN55" i="9"/>
  <c r="KN56" i="9"/>
  <c r="KN57" i="9"/>
  <c r="KP56" i="9"/>
  <c r="KP55" i="9"/>
  <c r="KP57" i="9"/>
  <c r="KL56" i="9"/>
  <c r="KL55" i="9"/>
  <c r="KL57" i="9"/>
  <c r="KD57" i="9"/>
  <c r="KD55" i="9"/>
  <c r="KD56" i="9"/>
  <c r="BU64" i="9"/>
  <c r="BU74" i="9"/>
  <c r="EF38" i="9"/>
  <c r="ED38" i="9"/>
  <c r="EP38" i="9"/>
  <c r="EK38" i="9"/>
  <c r="EI38" i="9"/>
  <c r="EM38" i="9"/>
  <c r="EJ38" i="9"/>
  <c r="EE38" i="9"/>
  <c r="EO38" i="9"/>
  <c r="EH38" i="9"/>
  <c r="EL38" i="9"/>
  <c r="EN38" i="9"/>
  <c r="EG38" i="9"/>
  <c r="GK32" i="9"/>
  <c r="EC40" i="9" s="1"/>
  <c r="GK24" i="9"/>
  <c r="EC39" i="9" s="1"/>
  <c r="AG74" i="9"/>
  <c r="GW24" i="9"/>
  <c r="EO39" i="9" s="1"/>
  <c r="E20" i="9"/>
  <c r="C19" i="9"/>
  <c r="E14" i="9"/>
  <c r="C15" i="9"/>
  <c r="KD85" i="9" l="1"/>
  <c r="KD86" i="9" s="1"/>
  <c r="KO103" i="9"/>
  <c r="KO104" i="9" s="1"/>
  <c r="KO105" i="9" s="1"/>
  <c r="KJ97" i="9"/>
  <c r="KJ98" i="9" s="1"/>
  <c r="KJ99" i="9" s="1"/>
  <c r="T76" i="9" s="1"/>
  <c r="KM103" i="9"/>
  <c r="KM104" i="9" s="1"/>
  <c r="KM105" i="9" s="1"/>
  <c r="KJ103" i="9"/>
  <c r="KJ104" i="9" s="1"/>
  <c r="KJ105" i="9" s="1"/>
  <c r="KQ97" i="9"/>
  <c r="KQ98" i="9" s="1"/>
  <c r="KQ99" i="9" s="1"/>
  <c r="AH81" i="9" s="1"/>
  <c r="KI97" i="9"/>
  <c r="KI98" i="9" s="1"/>
  <c r="KI99" i="9" s="1"/>
  <c r="KF97" i="9"/>
  <c r="KF98" i="9" s="1"/>
  <c r="KF99" i="9" s="1"/>
  <c r="L76" i="9" s="1"/>
  <c r="KF103" i="9"/>
  <c r="KF104" i="9" s="1"/>
  <c r="KF105" i="9" s="1"/>
  <c r="KO97" i="9"/>
  <c r="KO98" i="9" s="1"/>
  <c r="KO99" i="9" s="1"/>
  <c r="KE97" i="9"/>
  <c r="KE98" i="9" s="1"/>
  <c r="KE99" i="9" s="1"/>
  <c r="J81" i="9" s="1"/>
  <c r="KL97" i="9"/>
  <c r="KL98" i="9" s="1"/>
  <c r="KL99" i="9" s="1"/>
  <c r="KP97" i="9"/>
  <c r="KP98" i="9" s="1"/>
  <c r="KP99" i="9" s="1"/>
  <c r="KN103" i="9"/>
  <c r="KN104" i="9" s="1"/>
  <c r="KN105" i="9" s="1"/>
  <c r="KH103" i="9"/>
  <c r="KH104" i="9" s="1"/>
  <c r="KH105" i="9" s="1"/>
  <c r="KQ103" i="9"/>
  <c r="KQ104" i="9" s="1"/>
  <c r="KQ105" i="9" s="1"/>
  <c r="KK103" i="9"/>
  <c r="KK104" i="9" s="1"/>
  <c r="KK105" i="9" s="1"/>
  <c r="KI103" i="9"/>
  <c r="KI104" i="9" s="1"/>
  <c r="KI105" i="9" s="1"/>
  <c r="KG103" i="9"/>
  <c r="KG104" i="9" s="1"/>
  <c r="KG105" i="9" s="1"/>
  <c r="KE103" i="9"/>
  <c r="KE104" i="9" s="1"/>
  <c r="KE105" i="9" s="1"/>
  <c r="KL103" i="9"/>
  <c r="KL104" i="9" s="1"/>
  <c r="KL105" i="9" s="1"/>
  <c r="KP103" i="9"/>
  <c r="KP104" i="9" s="1"/>
  <c r="KP105" i="9" s="1"/>
  <c r="KN97" i="9"/>
  <c r="KN98" i="9" s="1"/>
  <c r="KN99" i="9" s="1"/>
  <c r="KH97" i="9"/>
  <c r="KH98" i="9" s="1"/>
  <c r="KH99" i="9" s="1"/>
  <c r="KM97" i="9"/>
  <c r="KM98" i="9" s="1"/>
  <c r="KM99" i="9" s="1"/>
  <c r="KK97" i="9"/>
  <c r="KK98" i="9" s="1"/>
  <c r="KK99" i="9" s="1"/>
  <c r="KG97" i="9"/>
  <c r="KG98" i="9" s="1"/>
  <c r="KG99" i="9" s="1"/>
  <c r="KD103" i="9"/>
  <c r="KD104" i="9" s="1"/>
  <c r="KD105" i="9" s="1"/>
  <c r="KD97" i="9"/>
  <c r="KD98" i="9" s="1"/>
  <c r="KD99" i="9" s="1"/>
  <c r="KK58" i="9"/>
  <c r="KK59" i="9" s="1"/>
  <c r="KO58" i="9"/>
  <c r="KO59" i="9" s="1"/>
  <c r="KG58" i="9"/>
  <c r="KG59" i="9" s="1"/>
  <c r="KL58" i="9"/>
  <c r="KL59" i="9" s="1"/>
  <c r="KP58" i="9"/>
  <c r="KP59" i="9" s="1"/>
  <c r="KH58" i="9"/>
  <c r="KH59" i="9" s="1"/>
  <c r="KQ58" i="9"/>
  <c r="KQ59" i="9" s="1"/>
  <c r="KM58" i="9"/>
  <c r="KM59" i="9" s="1"/>
  <c r="KI58" i="9"/>
  <c r="KI59" i="9" s="1"/>
  <c r="KE58" i="9"/>
  <c r="KE59" i="9" s="1"/>
  <c r="KN58" i="9"/>
  <c r="KN59" i="9" s="1"/>
  <c r="KJ58" i="9"/>
  <c r="KJ59" i="9" s="1"/>
  <c r="KF58" i="9"/>
  <c r="KF59" i="9" s="1"/>
  <c r="KD58" i="9"/>
  <c r="KD59" i="9" s="1"/>
  <c r="I75" i="9"/>
  <c r="I74" i="9"/>
  <c r="C14" i="9"/>
  <c r="E21" i="9"/>
  <c r="C20" i="9"/>
  <c r="T81" i="9" l="1"/>
  <c r="J76" i="9"/>
  <c r="AD76" i="9"/>
  <c r="AD81" i="9"/>
  <c r="AH76" i="9"/>
  <c r="R81" i="9"/>
  <c r="R76" i="9"/>
  <c r="L81" i="9"/>
  <c r="N81" i="9"/>
  <c r="N76" i="9"/>
  <c r="Z76" i="9"/>
  <c r="Z81" i="9"/>
  <c r="AB81" i="9"/>
  <c r="AB76" i="9"/>
  <c r="X81" i="9"/>
  <c r="X76" i="9"/>
  <c r="V81" i="9"/>
  <c r="V76" i="9"/>
  <c r="P81" i="9"/>
  <c r="P76" i="9"/>
  <c r="AF76" i="9"/>
  <c r="AF81" i="9"/>
  <c r="H76" i="9"/>
  <c r="H81" i="9"/>
  <c r="E22" i="9"/>
  <c r="C21" i="9"/>
  <c r="E23" i="9" l="1"/>
  <c r="C22" i="9"/>
  <c r="E24" i="9" l="1"/>
  <c r="C23" i="9"/>
  <c r="E25" i="9" l="1"/>
  <c r="C24" i="9"/>
  <c r="E26" i="9" l="1"/>
  <c r="C25" i="9"/>
  <c r="E27" i="9" l="1"/>
  <c r="C26" i="9"/>
  <c r="E28" i="9" l="1"/>
  <c r="C27" i="9"/>
  <c r="E29" i="9" l="1"/>
  <c r="C28" i="9"/>
  <c r="E30" i="9" l="1"/>
  <c r="C29" i="9"/>
  <c r="E31" i="9" l="1"/>
  <c r="C30" i="9"/>
  <c r="E32" i="9" l="1"/>
  <c r="C31" i="9"/>
  <c r="E33" i="9" l="1"/>
  <c r="C32" i="9"/>
  <c r="E34" i="9" l="1"/>
  <c r="C33" i="9"/>
  <c r="E35" i="9" l="1"/>
  <c r="C34" i="9"/>
  <c r="E36" i="9" l="1"/>
  <c r="C35" i="9"/>
  <c r="E37" i="9" l="1"/>
  <c r="C36" i="9"/>
  <c r="E38" i="9" l="1"/>
  <c r="C37" i="9"/>
  <c r="E39" i="9" l="1"/>
  <c r="C38" i="9"/>
  <c r="E40" i="9" l="1"/>
  <c r="C39" i="9"/>
  <c r="E41" i="9" l="1"/>
  <c r="C40" i="9"/>
  <c r="E42" i="9" l="1"/>
  <c r="C41" i="9"/>
  <c r="E43" i="9" l="1"/>
  <c r="C42" i="9"/>
  <c r="E44" i="9" l="1"/>
  <c r="C43" i="9"/>
  <c r="E45" i="9" l="1"/>
  <c r="C44" i="9"/>
  <c r="E46" i="9" l="1"/>
  <c r="C45" i="9"/>
  <c r="E47" i="9" l="1"/>
  <c r="C46" i="9"/>
  <c r="E48" i="9" l="1"/>
  <c r="C47" i="9"/>
  <c r="E49" i="9" l="1"/>
  <c r="C48" i="9"/>
  <c r="E50" i="9" l="1"/>
  <c r="C49" i="9"/>
  <c r="C50" i="9" l="1"/>
  <c r="E51" i="9"/>
  <c r="EP35" i="9" l="1"/>
  <c r="AI82" i="9" s="1"/>
  <c r="EL35" i="9"/>
  <c r="AA82" i="9" s="1"/>
  <c r="EH35" i="9"/>
  <c r="S82" i="9" s="1"/>
  <c r="ED35" i="9"/>
  <c r="K82" i="9" s="1"/>
  <c r="EO35" i="9"/>
  <c r="AG82" i="9" s="1"/>
  <c r="EK35" i="9"/>
  <c r="Y82" i="9" s="1"/>
  <c r="EG35" i="9"/>
  <c r="Q82" i="9" s="1"/>
  <c r="EC35" i="9"/>
  <c r="I82" i="9" s="1"/>
  <c r="EN35" i="9"/>
  <c r="AE82" i="9" s="1"/>
  <c r="EJ35" i="9"/>
  <c r="W82" i="9" s="1"/>
  <c r="EF35" i="9"/>
  <c r="O82" i="9" s="1"/>
  <c r="EM35" i="9"/>
  <c r="AC82" i="9" s="1"/>
  <c r="EI35" i="9"/>
  <c r="U82" i="9" s="1"/>
  <c r="EE35" i="9"/>
  <c r="M82" i="9" s="1"/>
  <c r="EP17" i="9"/>
  <c r="EP24" i="9" s="1"/>
  <c r="EL17" i="9"/>
  <c r="EL24" i="9" s="1"/>
  <c r="EH17" i="9"/>
  <c r="EH24" i="9" s="1"/>
  <c r="ED17" i="9"/>
  <c r="ED24" i="9" s="1"/>
  <c r="EG17" i="9"/>
  <c r="EG24" i="9" s="1"/>
  <c r="EJ17" i="9"/>
  <c r="EJ24" i="9" s="1"/>
  <c r="EO17" i="9"/>
  <c r="EO24" i="9" s="1"/>
  <c r="EK17" i="9"/>
  <c r="EK24" i="9" s="1"/>
  <c r="EC17" i="9"/>
  <c r="EF17" i="9"/>
  <c r="EF24" i="9" s="1"/>
  <c r="EE17" i="9"/>
  <c r="EE24" i="9" s="1"/>
  <c r="EN17" i="9"/>
  <c r="EN24" i="9" s="1"/>
  <c r="EM17" i="9"/>
  <c r="EM24" i="9" s="1"/>
  <c r="EI17" i="9"/>
  <c r="EI24" i="9" s="1"/>
  <c r="HN73" i="9"/>
  <c r="G58" i="9" s="1"/>
  <c r="AH82" i="9"/>
  <c r="AF82" i="9"/>
  <c r="AD82" i="9"/>
  <c r="AB82" i="9"/>
  <c r="Z82" i="9"/>
  <c r="X82" i="9"/>
  <c r="V82" i="9"/>
  <c r="T82" i="9"/>
  <c r="R82" i="9"/>
  <c r="P82" i="9"/>
  <c r="N82" i="9"/>
  <c r="L82" i="9"/>
  <c r="H82" i="9"/>
  <c r="J82" i="9"/>
  <c r="AH77" i="9"/>
  <c r="AF77" i="9"/>
  <c r="AD77" i="9"/>
  <c r="AB77" i="9"/>
  <c r="Z77" i="9"/>
  <c r="X77" i="9"/>
  <c r="V77" i="9"/>
  <c r="T77" i="9"/>
  <c r="R77" i="9"/>
  <c r="P77" i="9"/>
  <c r="N77" i="9"/>
  <c r="L77" i="9"/>
  <c r="J77" i="9"/>
  <c r="H77" i="9"/>
  <c r="AE77" i="9"/>
  <c r="W77" i="9"/>
  <c r="O77" i="9"/>
  <c r="AG77" i="9"/>
  <c r="AC77" i="9"/>
  <c r="Y77" i="9"/>
  <c r="U77" i="9"/>
  <c r="Q77" i="9"/>
  <c r="M77" i="9"/>
  <c r="AI77" i="9"/>
  <c r="AA77" i="9"/>
  <c r="S77" i="9"/>
  <c r="K77" i="9"/>
  <c r="G82" i="9"/>
  <c r="D10" i="9"/>
  <c r="C51" i="9"/>
  <c r="B10" i="9"/>
  <c r="EH42" i="9" l="1"/>
  <c r="EH43" i="9" s="1"/>
  <c r="EM42" i="9"/>
  <c r="EM43" i="9"/>
  <c r="EL42" i="9"/>
  <c r="EL43" i="9" s="1"/>
  <c r="EN42" i="9"/>
  <c r="EN43" i="9" s="1"/>
  <c r="EK25" i="9"/>
  <c r="EK18" i="9"/>
  <c r="KL61" i="9" s="1"/>
  <c r="EH25" i="9"/>
  <c r="EH18" i="9"/>
  <c r="KI61" i="9" s="1"/>
  <c r="EM25" i="9"/>
  <c r="EM18" i="9"/>
  <c r="KN61" i="9" s="1"/>
  <c r="EE25" i="9"/>
  <c r="EE18" i="9"/>
  <c r="KF61" i="9" s="1"/>
  <c r="EJ25" i="9"/>
  <c r="EJ18" i="9"/>
  <c r="KK61" i="9" s="1"/>
  <c r="EI42" i="9"/>
  <c r="EI43" i="9" s="1"/>
  <c r="EJ42" i="9"/>
  <c r="EJ43" i="9" s="1"/>
  <c r="EG42" i="9"/>
  <c r="EG43" i="9" s="1"/>
  <c r="EF42" i="9"/>
  <c r="EF43" i="9" s="1"/>
  <c r="ED42" i="9"/>
  <c r="EK42" i="9"/>
  <c r="EK43" i="9" s="1"/>
  <c r="EO42" i="9"/>
  <c r="EO43" i="9" s="1"/>
  <c r="EE42" i="9"/>
  <c r="EE43" i="9" s="1"/>
  <c r="EP42" i="9"/>
  <c r="EP43" i="9" s="1"/>
  <c r="EO25" i="9"/>
  <c r="EO18" i="9"/>
  <c r="KP61" i="9" s="1"/>
  <c r="EG25" i="9"/>
  <c r="EG18" i="9"/>
  <c r="KH61" i="9" s="1"/>
  <c r="EL25" i="9"/>
  <c r="EL18" i="9"/>
  <c r="KM61" i="9" s="1"/>
  <c r="EI25" i="9"/>
  <c r="EI18" i="9"/>
  <c r="KJ61" i="9" s="1"/>
  <c r="EP25" i="9"/>
  <c r="EP18" i="9"/>
  <c r="KQ61" i="9" s="1"/>
  <c r="EN18" i="9"/>
  <c r="KO61" i="9" s="1"/>
  <c r="EN25" i="9"/>
  <c r="EF25" i="9"/>
  <c r="EF18" i="9"/>
  <c r="I77" i="9"/>
  <c r="EN36" i="9"/>
  <c r="EH36" i="9"/>
  <c r="EE36" i="9"/>
  <c r="EI36" i="9"/>
  <c r="EO36" i="9"/>
  <c r="EK36" i="9"/>
  <c r="EP36" i="9"/>
  <c r="EM36" i="9"/>
  <c r="EJ36" i="9"/>
  <c r="EG36" i="9"/>
  <c r="IF57" i="9"/>
  <c r="ID57" i="9"/>
  <c r="HZ57" i="9"/>
  <c r="HV57" i="9"/>
  <c r="IC57" i="9"/>
  <c r="HS57" i="9"/>
  <c r="HU57" i="9"/>
  <c r="IB57" i="9"/>
  <c r="HW57" i="9"/>
  <c r="IA57" i="9"/>
  <c r="IE57" i="9"/>
  <c r="HY57" i="9"/>
  <c r="HX57" i="9"/>
  <c r="HT57" i="9"/>
  <c r="EO27" i="9" l="1"/>
  <c r="EM44" i="9"/>
  <c r="KN68" i="9"/>
  <c r="EK44" i="9"/>
  <c r="KL68" i="9"/>
  <c r="EE44" i="9"/>
  <c r="KF68" i="9"/>
  <c r="EG44" i="9"/>
  <c r="KH68" i="9"/>
  <c r="EP44" i="9"/>
  <c r="KQ68" i="9"/>
  <c r="EO44" i="9"/>
  <c r="KP68" i="9"/>
  <c r="EJ44" i="9"/>
  <c r="KK68" i="9"/>
  <c r="EH44" i="9"/>
  <c r="KI68" i="9"/>
  <c r="EI44" i="9"/>
  <c r="KJ68" i="9"/>
  <c r="EN44" i="9"/>
  <c r="KO68" i="9"/>
  <c r="EE27" i="9"/>
  <c r="EM27" i="9"/>
  <c r="EN27" i="9"/>
  <c r="EI27" i="9"/>
  <c r="EH27" i="9"/>
  <c r="EF27" i="9"/>
  <c r="KG61" i="9"/>
  <c r="KQ64" i="9"/>
  <c r="KQ62" i="9"/>
  <c r="KQ63" i="9"/>
  <c r="KM64" i="9"/>
  <c r="KM62" i="9"/>
  <c r="KM63" i="9"/>
  <c r="KH64" i="9"/>
  <c r="KH62" i="9"/>
  <c r="KH63" i="9"/>
  <c r="KK64" i="9"/>
  <c r="KK62" i="9"/>
  <c r="KK63" i="9"/>
  <c r="KF64" i="9"/>
  <c r="KF62" i="9"/>
  <c r="KF63" i="9"/>
  <c r="KN64" i="9"/>
  <c r="KN62" i="9"/>
  <c r="KN63" i="9"/>
  <c r="KL64" i="9"/>
  <c r="KL62" i="9"/>
  <c r="KL63" i="9"/>
  <c r="KO64" i="9"/>
  <c r="KO62" i="9"/>
  <c r="KO63" i="9"/>
  <c r="EP27" i="9"/>
  <c r="KJ64" i="9"/>
  <c r="KJ62" i="9"/>
  <c r="KJ63" i="9"/>
  <c r="EL27" i="9"/>
  <c r="EG27" i="9"/>
  <c r="KP64" i="9"/>
  <c r="KP62" i="9"/>
  <c r="KP63" i="9"/>
  <c r="EJ27" i="9"/>
  <c r="KI64" i="9"/>
  <c r="KI62" i="9"/>
  <c r="KI63" i="9"/>
  <c r="EK27" i="9"/>
  <c r="EN45" i="9"/>
  <c r="EJ45" i="9"/>
  <c r="EI45" i="9"/>
  <c r="EF36" i="9"/>
  <c r="EL36" i="9"/>
  <c r="EM45" i="9"/>
  <c r="EH45" i="9"/>
  <c r="EP45" i="9"/>
  <c r="EG45" i="9"/>
  <c r="EK45" i="9"/>
  <c r="EE45" i="9"/>
  <c r="EO45" i="9"/>
  <c r="EL44" i="9" l="1"/>
  <c r="KM68" i="9"/>
  <c r="KO71" i="9"/>
  <c r="KO70" i="9"/>
  <c r="KO69" i="9"/>
  <c r="KI71" i="9"/>
  <c r="KI70" i="9"/>
  <c r="KI69" i="9"/>
  <c r="KK71" i="9"/>
  <c r="KK70" i="9"/>
  <c r="KK69" i="9"/>
  <c r="KP71" i="9"/>
  <c r="KP69" i="9"/>
  <c r="KP70" i="9"/>
  <c r="KH71" i="9"/>
  <c r="KH70" i="9"/>
  <c r="KH69" i="9"/>
  <c r="KF71" i="9"/>
  <c r="KF70" i="9"/>
  <c r="KF69" i="9"/>
  <c r="KN71" i="9"/>
  <c r="KN69" i="9"/>
  <c r="KN70" i="9"/>
  <c r="EF44" i="9"/>
  <c r="KG68" i="9"/>
  <c r="KJ71" i="9"/>
  <c r="KJ70" i="9"/>
  <c r="KJ69" i="9"/>
  <c r="KQ71" i="9"/>
  <c r="KQ70" i="9"/>
  <c r="KQ69" i="9"/>
  <c r="KL71" i="9"/>
  <c r="KL70" i="9"/>
  <c r="KL69" i="9"/>
  <c r="EF45" i="9"/>
  <c r="KI65" i="9"/>
  <c r="KI66" i="9" s="1"/>
  <c r="KJ65" i="9"/>
  <c r="KJ66" i="9" s="1"/>
  <c r="KL65" i="9"/>
  <c r="KL66" i="9" s="1"/>
  <c r="KN65" i="9"/>
  <c r="KN66" i="9" s="1"/>
  <c r="KK65" i="9"/>
  <c r="KK66" i="9" s="1"/>
  <c r="KH65" i="9"/>
  <c r="KH66" i="9" s="1"/>
  <c r="KQ65" i="9"/>
  <c r="KQ66" i="9" s="1"/>
  <c r="KG64" i="9"/>
  <c r="KG62" i="9"/>
  <c r="KG63" i="9"/>
  <c r="KP65" i="9"/>
  <c r="KP66" i="9" s="1"/>
  <c r="KO65" i="9"/>
  <c r="KO66" i="9" s="1"/>
  <c r="KF65" i="9"/>
  <c r="KF66" i="9" s="1"/>
  <c r="KM65" i="9"/>
  <c r="KM66" i="9" s="1"/>
  <c r="EL45" i="9"/>
  <c r="G59" i="9"/>
  <c r="G60" i="9"/>
  <c r="BZ53" i="9"/>
  <c r="CY61" i="9"/>
  <c r="JD53" i="9"/>
  <c r="CB55" i="9"/>
  <c r="IE53" i="9"/>
  <c r="DJ61" i="9"/>
  <c r="IB56" i="9"/>
  <c r="IZ53" i="9"/>
  <c r="HY53" i="9"/>
  <c r="HZ54" i="9"/>
  <c r="FJ54" i="9"/>
  <c r="FI54" i="9"/>
  <c r="HY56" i="9"/>
  <c r="CC53" i="9"/>
  <c r="CE53" i="9"/>
  <c r="HV56" i="9"/>
  <c r="IB53" i="9"/>
  <c r="JB58" i="9"/>
  <c r="JC58" i="9"/>
  <c r="HW54" i="9"/>
  <c r="JI54" i="9"/>
  <c r="HY54" i="9"/>
  <c r="FN54" i="9"/>
  <c r="BX53" i="9"/>
  <c r="JH54" i="9"/>
  <c r="JK53" i="9"/>
  <c r="JA57" i="9"/>
  <c r="HV53" i="9"/>
  <c r="JA53" i="9"/>
  <c r="FK54" i="9"/>
  <c r="HS54" i="9"/>
  <c r="BU53" i="9"/>
  <c r="HT56" i="9"/>
  <c r="DK61" i="9"/>
  <c r="JG54" i="9"/>
  <c r="JB54" i="9"/>
  <c r="IZ58" i="9"/>
  <c r="DG61" i="9"/>
  <c r="HX53" i="9"/>
  <c r="JC53" i="9"/>
  <c r="JJ58" i="9"/>
  <c r="HW53" i="9"/>
  <c r="JK57" i="9"/>
  <c r="CE55" i="9"/>
  <c r="BZ55" i="9"/>
  <c r="CG53" i="9"/>
  <c r="JF53" i="9"/>
  <c r="FL54" i="9"/>
  <c r="IX53" i="9"/>
  <c r="IF53" i="9"/>
  <c r="HT53" i="9"/>
  <c r="CB53" i="9"/>
  <c r="JC57" i="9"/>
  <c r="JA58" i="9"/>
  <c r="HS56" i="9"/>
  <c r="IC53" i="9"/>
  <c r="IC54" i="9"/>
  <c r="DB61" i="9"/>
  <c r="JJ54" i="9"/>
  <c r="IZ54" i="9"/>
  <c r="IY53" i="9"/>
  <c r="JF57" i="9"/>
  <c r="JD54" i="9"/>
  <c r="HV54" i="9"/>
  <c r="CH53" i="9"/>
  <c r="CH55" i="9"/>
  <c r="HU53" i="9"/>
  <c r="BY53" i="9"/>
  <c r="JA54" i="9"/>
  <c r="BX55" i="9"/>
  <c r="IA54" i="9"/>
  <c r="FS54" i="9"/>
  <c r="HW56" i="9"/>
  <c r="JG58" i="9"/>
  <c r="JK58" i="9"/>
  <c r="G61" i="9"/>
  <c r="JI57" i="9"/>
  <c r="HU54" i="9"/>
  <c r="JH58" i="9"/>
  <c r="JI58" i="9"/>
  <c r="JB53" i="9"/>
  <c r="HT54" i="9"/>
  <c r="BU55" i="9"/>
  <c r="JJ53" i="9"/>
  <c r="JH53" i="9"/>
  <c r="BV55" i="9"/>
  <c r="DL61" i="9"/>
  <c r="JJ57" i="9"/>
  <c r="CF53" i="9"/>
  <c r="DA61" i="9"/>
  <c r="FG54" i="9"/>
  <c r="FH54" i="9"/>
  <c r="IA53" i="9"/>
  <c r="IY54" i="9"/>
  <c r="IF56" i="9"/>
  <c r="FO54" i="9"/>
  <c r="HU56" i="9"/>
  <c r="DF61" i="9"/>
  <c r="HX56" i="9"/>
  <c r="FT54" i="9"/>
  <c r="BV53" i="9"/>
  <c r="JD57" i="9"/>
  <c r="IA56" i="9"/>
  <c r="FP54" i="9"/>
  <c r="JI53" i="9"/>
  <c r="JC54" i="9"/>
  <c r="CG55" i="9"/>
  <c r="HS53" i="9"/>
  <c r="JE57" i="9"/>
  <c r="BW55" i="9"/>
  <c r="HO54" i="9"/>
  <c r="JK54" i="9"/>
  <c r="JE53" i="9"/>
  <c r="DD61" i="9"/>
  <c r="IF54" i="9"/>
  <c r="CD55" i="9"/>
  <c r="JF58" i="9"/>
  <c r="IE56" i="9"/>
  <c r="FM54" i="9"/>
  <c r="JE58" i="9"/>
  <c r="IB54" i="9"/>
  <c r="IY58" i="9"/>
  <c r="IZ57" i="9"/>
  <c r="JH57" i="9"/>
  <c r="CD53" i="9"/>
  <c r="HZ53" i="9"/>
  <c r="ID54" i="9"/>
  <c r="IY57" i="9"/>
  <c r="HZ56" i="9"/>
  <c r="BY55" i="9"/>
  <c r="IC56" i="9"/>
  <c r="IX54" i="9"/>
  <c r="IX58" i="9"/>
  <c r="CA55" i="9"/>
  <c r="ID53" i="9"/>
  <c r="JB57" i="9"/>
  <c r="JG57" i="9"/>
  <c r="DI61" i="9"/>
  <c r="JF54" i="9"/>
  <c r="HO57" i="9"/>
  <c r="JE54" i="9"/>
  <c r="ID56" i="9"/>
  <c r="IE54" i="9"/>
  <c r="DH61" i="9"/>
  <c r="CC55" i="9"/>
  <c r="G62" i="9"/>
  <c r="JG53" i="9"/>
  <c r="DE61" i="9"/>
  <c r="JD58" i="9"/>
  <c r="DC61" i="9"/>
  <c r="HX54" i="9"/>
  <c r="IX57" i="9"/>
  <c r="FR54" i="9"/>
  <c r="CA53" i="9"/>
  <c r="FQ54" i="9"/>
  <c r="CF55" i="9"/>
  <c r="BW53" i="9"/>
  <c r="CZ61" i="9"/>
  <c r="KF72" i="9" l="1"/>
  <c r="KF73" i="9" s="1"/>
  <c r="JB59" i="9"/>
  <c r="Q61" i="9" s="1"/>
  <c r="KH72" i="9"/>
  <c r="KH73" i="9" s="1"/>
  <c r="KP72" i="9"/>
  <c r="KP73" i="9" s="1"/>
  <c r="KO72" i="9"/>
  <c r="KO73" i="9" s="1"/>
  <c r="KQ72" i="9"/>
  <c r="KQ73" i="9" s="1"/>
  <c r="KN72" i="9"/>
  <c r="KN73" i="9" s="1"/>
  <c r="KI72" i="9"/>
  <c r="KI73" i="9" s="1"/>
  <c r="KL72" i="9"/>
  <c r="KL73" i="9" s="1"/>
  <c r="KJ72" i="9"/>
  <c r="KJ73" i="9" s="1"/>
  <c r="KG71" i="9"/>
  <c r="KG69" i="9"/>
  <c r="KG70" i="9"/>
  <c r="KM71" i="9"/>
  <c r="KM70" i="9"/>
  <c r="KM69" i="9"/>
  <c r="KK72" i="9"/>
  <c r="KK73" i="9" s="1"/>
  <c r="KG65" i="9"/>
  <c r="KG66" i="9" s="1"/>
  <c r="AI55" i="9"/>
  <c r="AG55" i="9"/>
  <c r="AE55" i="9"/>
  <c r="AC55" i="9"/>
  <c r="AA55" i="9"/>
  <c r="Y55" i="9"/>
  <c r="W55" i="9"/>
  <c r="U55" i="9"/>
  <c r="S55" i="9"/>
  <c r="Q55" i="9"/>
  <c r="O55" i="9"/>
  <c r="M55" i="9"/>
  <c r="JK59" i="9"/>
  <c r="AI61" i="9" s="1"/>
  <c r="JJ59" i="9"/>
  <c r="AG61" i="9" s="1"/>
  <c r="JI59" i="9"/>
  <c r="AE61" i="9" s="1"/>
  <c r="JH59" i="9"/>
  <c r="AC61" i="9" s="1"/>
  <c r="JG59" i="9"/>
  <c r="AA61" i="9" s="1"/>
  <c r="JF59" i="9"/>
  <c r="Y61" i="9" s="1"/>
  <c r="JE59" i="9"/>
  <c r="W61" i="9" s="1"/>
  <c r="JD59" i="9"/>
  <c r="U61" i="9" s="1"/>
  <c r="JC59" i="9"/>
  <c r="S61" i="9" s="1"/>
  <c r="JA59" i="9"/>
  <c r="O61" i="9" s="1"/>
  <c r="IZ59" i="9"/>
  <c r="M61" i="9" s="1"/>
  <c r="IY59" i="9"/>
  <c r="K61" i="9" s="1"/>
  <c r="JK55" i="9"/>
  <c r="AI62" i="9" s="1"/>
  <c r="JJ55" i="9"/>
  <c r="AG62" i="9" s="1"/>
  <c r="JI55" i="9"/>
  <c r="AE62" i="9" s="1"/>
  <c r="JH55" i="9"/>
  <c r="AC62" i="9" s="1"/>
  <c r="JG55" i="9"/>
  <c r="AA62" i="9" s="1"/>
  <c r="JF55" i="9"/>
  <c r="Y62" i="9" s="1"/>
  <c r="JE55" i="9"/>
  <c r="W62" i="9" s="1"/>
  <c r="JD55" i="9"/>
  <c r="U62" i="9" s="1"/>
  <c r="JC55" i="9"/>
  <c r="S62" i="9" s="1"/>
  <c r="JB55" i="9"/>
  <c r="Q62" i="9" s="1"/>
  <c r="JA55" i="9"/>
  <c r="O62" i="9" s="1"/>
  <c r="IZ55" i="9"/>
  <c r="M62" i="9" s="1"/>
  <c r="IY55" i="9"/>
  <c r="K62" i="9" s="1"/>
  <c r="IX59" i="9"/>
  <c r="I61" i="9" s="1"/>
  <c r="IX55" i="9"/>
  <c r="I62" i="9" s="1"/>
  <c r="HO53" i="9"/>
  <c r="HO55" i="9" s="1"/>
  <c r="AI54" i="9"/>
  <c r="AI53" i="9"/>
  <c r="AG54" i="9"/>
  <c r="AG53" i="9"/>
  <c r="AE54" i="9"/>
  <c r="AE53" i="9"/>
  <c r="AC54" i="9"/>
  <c r="AC53" i="9"/>
  <c r="AA54" i="9"/>
  <c r="AA53" i="9"/>
  <c r="Y54" i="9"/>
  <c r="Y53" i="9"/>
  <c r="W54" i="9"/>
  <c r="W53" i="9"/>
  <c r="U54" i="9"/>
  <c r="U53" i="9"/>
  <c r="S54" i="9"/>
  <c r="S53" i="9"/>
  <c r="Q54" i="9"/>
  <c r="Q53" i="9"/>
  <c r="O54" i="9"/>
  <c r="O53" i="9"/>
  <c r="M54" i="9"/>
  <c r="M53" i="9"/>
  <c r="K54" i="9"/>
  <c r="K53" i="9"/>
  <c r="I54" i="9"/>
  <c r="I53" i="9"/>
  <c r="HO56" i="9"/>
  <c r="HO58" i="9" s="1"/>
  <c r="S58" i="9"/>
  <c r="BZ54" i="9"/>
  <c r="S57" i="9"/>
  <c r="CG56" i="9"/>
  <c r="BZ56" i="9"/>
  <c r="CA54" i="9"/>
  <c r="U57" i="9"/>
  <c r="U58" i="9"/>
  <c r="HZ55" i="9"/>
  <c r="V54" i="9" s="1"/>
  <c r="K57" i="9"/>
  <c r="BV54" i="9"/>
  <c r="HY55" i="9"/>
  <c r="T54" i="9" s="1"/>
  <c r="BU54" i="9"/>
  <c r="I57" i="9"/>
  <c r="JG56" i="9"/>
  <c r="Z62" i="9" s="1"/>
  <c r="M58" i="9"/>
  <c r="M57" i="9"/>
  <c r="BW54" i="9"/>
  <c r="KF74" i="9" s="1"/>
  <c r="L58" i="9" s="1"/>
  <c r="Q57" i="9"/>
  <c r="BY54" i="9"/>
  <c r="Q58" i="9"/>
  <c r="CB56" i="9"/>
  <c r="CE56" i="9"/>
  <c r="ID55" i="9"/>
  <c r="AD54" i="9" s="1"/>
  <c r="BW56" i="9"/>
  <c r="JI60" i="9"/>
  <c r="AD61" i="9" s="1"/>
  <c r="AA58" i="9"/>
  <c r="CD54" i="9"/>
  <c r="AA57" i="9"/>
  <c r="HU55" i="9"/>
  <c r="L54" i="9" s="1"/>
  <c r="IY60" i="9"/>
  <c r="J61" i="9" s="1"/>
  <c r="IF58" i="9"/>
  <c r="AH53" i="9" s="1"/>
  <c r="IC55" i="9"/>
  <c r="AB54" i="9" s="1"/>
  <c r="IZ56" i="9"/>
  <c r="L62" i="9" s="1"/>
  <c r="IA55" i="9"/>
  <c r="X54" i="9" s="1"/>
  <c r="HU58" i="9"/>
  <c r="L53" i="9" s="1"/>
  <c r="AE57" i="9"/>
  <c r="CF54" i="9"/>
  <c r="AE58" i="9"/>
  <c r="AC58" i="9"/>
  <c r="AC57" i="9"/>
  <c r="CE54" i="9"/>
  <c r="CG54" i="9"/>
  <c r="AG57" i="9"/>
  <c r="AG58" i="9"/>
  <c r="HV55" i="9"/>
  <c r="N54" i="9" s="1"/>
  <c r="HV58" i="9"/>
  <c r="N53" i="9" s="1"/>
  <c r="JD56" i="9"/>
  <c r="T62" i="9" s="1"/>
  <c r="JA56" i="9"/>
  <c r="N62" i="9" s="1"/>
  <c r="O57" i="9"/>
  <c r="BX54" i="9"/>
  <c r="O58" i="9"/>
  <c r="IX56" i="9"/>
  <c r="H62" i="9" s="1"/>
  <c r="Y58" i="9"/>
  <c r="Y57" i="9"/>
  <c r="CC54" i="9"/>
  <c r="JB60" i="9"/>
  <c r="P61" i="9" s="1"/>
  <c r="IZ60" i="9"/>
  <c r="L61" i="9" s="1"/>
  <c r="IX60" i="9"/>
  <c r="H61" i="9" s="1"/>
  <c r="CH56" i="9"/>
  <c r="JI56" i="9"/>
  <c r="AD62" i="9" s="1"/>
  <c r="HY58" i="9"/>
  <c r="T53" i="9" s="1"/>
  <c r="BX56" i="9"/>
  <c r="HZ58" i="9"/>
  <c r="V53" i="9" s="1"/>
  <c r="HS58" i="9"/>
  <c r="IE55" i="9"/>
  <c r="AF54" i="9" s="1"/>
  <c r="JF56" i="9"/>
  <c r="X62" i="9" s="1"/>
  <c r="JK56" i="9"/>
  <c r="AH62" i="9" s="1"/>
  <c r="JE56" i="9"/>
  <c r="V62" i="9" s="1"/>
  <c r="HW55" i="9"/>
  <c r="P54" i="9" s="1"/>
  <c r="IA58" i="9"/>
  <c r="X53" i="9" s="1"/>
  <c r="IC58" i="9"/>
  <c r="AB53" i="9" s="1"/>
  <c r="JF60" i="9"/>
  <c r="X61" i="9" s="1"/>
  <c r="BY56" i="9"/>
  <c r="JC56" i="9"/>
  <c r="R62" i="9" s="1"/>
  <c r="HT55" i="9"/>
  <c r="J54" i="9" s="1"/>
  <c r="JD60" i="9"/>
  <c r="T61" i="9" s="1"/>
  <c r="JC60" i="9"/>
  <c r="R61" i="9" s="1"/>
  <c r="JH56" i="9"/>
  <c r="AB62" i="9" s="1"/>
  <c r="IB55" i="9"/>
  <c r="Z54" i="9" s="1"/>
  <c r="JH60" i="9"/>
  <c r="AB61" i="9" s="1"/>
  <c r="JG60" i="9"/>
  <c r="Z61" i="9" s="1"/>
  <c r="BU56" i="9"/>
  <c r="CA56" i="9"/>
  <c r="IB58" i="9"/>
  <c r="Z53" i="9" s="1"/>
  <c r="IF55" i="9"/>
  <c r="AH54" i="9" s="1"/>
  <c r="JK60" i="9"/>
  <c r="AH61" i="9" s="1"/>
  <c r="JE60" i="9"/>
  <c r="V61" i="9" s="1"/>
  <c r="JB56" i="9"/>
  <c r="P62" i="9" s="1"/>
  <c r="ID58" i="9"/>
  <c r="AD53" i="9" s="1"/>
  <c r="HW58" i="9"/>
  <c r="P53" i="9" s="1"/>
  <c r="AI58" i="9"/>
  <c r="AI57" i="9"/>
  <c r="CH54" i="9"/>
  <c r="CB54" i="9"/>
  <c r="W57" i="9"/>
  <c r="W58" i="9"/>
  <c r="HT58" i="9"/>
  <c r="J53" i="9" s="1"/>
  <c r="IY56" i="9"/>
  <c r="J62" i="9" s="1"/>
  <c r="JJ60" i="9"/>
  <c r="AF61" i="9" s="1"/>
  <c r="CC56" i="9"/>
  <c r="BV56" i="9"/>
  <c r="HX58" i="9"/>
  <c r="R53" i="9" s="1"/>
  <c r="IE58" i="9"/>
  <c r="AF53" i="9" s="1"/>
  <c r="HX55" i="9"/>
  <c r="R54" i="9" s="1"/>
  <c r="JA60" i="9"/>
  <c r="N61" i="9" s="1"/>
  <c r="HS55" i="9"/>
  <c r="CF56" i="9"/>
  <c r="CD56" i="9"/>
  <c r="JJ56" i="9"/>
  <c r="AF62" i="9" s="1"/>
  <c r="FK55" i="9"/>
  <c r="FO55" i="9"/>
  <c r="FI55" i="9"/>
  <c r="FH55" i="9"/>
  <c r="FP55" i="9"/>
  <c r="FR55" i="9"/>
  <c r="FJ55" i="9"/>
  <c r="FM55" i="9"/>
  <c r="FS55" i="9"/>
  <c r="FN55" i="9"/>
  <c r="FQ55" i="9"/>
  <c r="FT55" i="9"/>
  <c r="FL55" i="9"/>
  <c r="FG55" i="9"/>
  <c r="CY38" i="9" l="1"/>
  <c r="GK38" i="9" s="1"/>
  <c r="CY26" i="9"/>
  <c r="KL74" i="9"/>
  <c r="X58" i="9" s="1"/>
  <c r="KI74" i="9"/>
  <c r="R58" i="9" s="1"/>
  <c r="KQ74" i="9"/>
  <c r="AH58" i="9" s="1"/>
  <c r="KP74" i="9"/>
  <c r="AF58" i="9" s="1"/>
  <c r="KK74" i="9"/>
  <c r="V58" i="9" s="1"/>
  <c r="KJ74" i="9"/>
  <c r="T58" i="9" s="1"/>
  <c r="KN74" i="9"/>
  <c r="AB58" i="9" s="1"/>
  <c r="KO74" i="9"/>
  <c r="AD58" i="9" s="1"/>
  <c r="KH74" i="9"/>
  <c r="P58" i="9" s="1"/>
  <c r="KM72" i="9"/>
  <c r="KM73" i="9" s="1"/>
  <c r="KM74" i="9" s="1"/>
  <c r="Z58" i="9" s="1"/>
  <c r="KG72" i="9"/>
  <c r="KG73" i="9" s="1"/>
  <c r="KG74" i="9" s="1"/>
  <c r="N58" i="9" s="1"/>
  <c r="DF44" i="9"/>
  <c r="GR44" i="9" s="1"/>
  <c r="DF42" i="9"/>
  <c r="DF43" i="9"/>
  <c r="GR43" i="9" s="1"/>
  <c r="DG44" i="9"/>
  <c r="GS44" i="9" s="1"/>
  <c r="DG42" i="9"/>
  <c r="DG43" i="9"/>
  <c r="GS43" i="9" s="1"/>
  <c r="DB44" i="9"/>
  <c r="GN44" i="9" s="1"/>
  <c r="DB42" i="9"/>
  <c r="DB43" i="9"/>
  <c r="GN43" i="9" s="1"/>
  <c r="DK44" i="9"/>
  <c r="GW44" i="9" s="1"/>
  <c r="DK42" i="9"/>
  <c r="DK43" i="9"/>
  <c r="GW43" i="9" s="1"/>
  <c r="DI44" i="9"/>
  <c r="GU44" i="9" s="1"/>
  <c r="DI42" i="9"/>
  <c r="DI43" i="9"/>
  <c r="GU43" i="9" s="1"/>
  <c r="DJ44" i="9"/>
  <c r="GV44" i="9" s="1"/>
  <c r="DJ42" i="9"/>
  <c r="DJ43" i="9"/>
  <c r="GV43" i="9" s="1"/>
  <c r="DC44" i="9"/>
  <c r="GO44" i="9" s="1"/>
  <c r="DC42" i="9"/>
  <c r="DC43" i="9"/>
  <c r="GO43" i="9" s="1"/>
  <c r="DA44" i="9"/>
  <c r="GM44" i="9" s="1"/>
  <c r="DA42" i="9"/>
  <c r="DA43" i="9"/>
  <c r="GM43" i="9" s="1"/>
  <c r="DL44" i="9"/>
  <c r="GX44" i="9" s="1"/>
  <c r="DL42" i="9"/>
  <c r="DL43" i="9"/>
  <c r="GX43" i="9" s="1"/>
  <c r="DH44" i="9"/>
  <c r="GT44" i="9" s="1"/>
  <c r="DH42" i="9"/>
  <c r="DH43" i="9"/>
  <c r="GT43" i="9" s="1"/>
  <c r="CZ43" i="9"/>
  <c r="GL43" i="9" s="1"/>
  <c r="CZ42" i="9"/>
  <c r="ED16" i="9" s="1"/>
  <c r="CZ44" i="9"/>
  <c r="GL44" i="9" s="1"/>
  <c r="DE44" i="9"/>
  <c r="GQ44" i="9" s="1"/>
  <c r="DE42" i="9"/>
  <c r="DE43" i="9"/>
  <c r="GQ43" i="9" s="1"/>
  <c r="DD44" i="9"/>
  <c r="GP44" i="9" s="1"/>
  <c r="DD42" i="9"/>
  <c r="DD43" i="9"/>
  <c r="GP43" i="9" s="1"/>
  <c r="KQ60" i="9"/>
  <c r="KQ67" i="9"/>
  <c r="AH55" i="9" s="1"/>
  <c r="KP60" i="9"/>
  <c r="KP67" i="9"/>
  <c r="AF55" i="9" s="1"/>
  <c r="KO67" i="9"/>
  <c r="AD55" i="9" s="1"/>
  <c r="KO60" i="9"/>
  <c r="KN60" i="9"/>
  <c r="KN67" i="9"/>
  <c r="AB55" i="9" s="1"/>
  <c r="KM67" i="9"/>
  <c r="Z55" i="9" s="1"/>
  <c r="KM60" i="9"/>
  <c r="KL60" i="9"/>
  <c r="KL67" i="9"/>
  <c r="X55" i="9" s="1"/>
  <c r="KK60" i="9"/>
  <c r="KK67" i="9"/>
  <c r="V55" i="9" s="1"/>
  <c r="KJ60" i="9"/>
  <c r="KJ67" i="9"/>
  <c r="T55" i="9" s="1"/>
  <c r="KI60" i="9"/>
  <c r="KI67" i="9"/>
  <c r="R55" i="9" s="1"/>
  <c r="KH60" i="9"/>
  <c r="KH67" i="9"/>
  <c r="P55" i="9" s="1"/>
  <c r="KG67" i="9"/>
  <c r="N55" i="9" s="1"/>
  <c r="KG60" i="9"/>
  <c r="KF60" i="9"/>
  <c r="KF67" i="9"/>
  <c r="L55" i="9" s="1"/>
  <c r="KE60" i="9"/>
  <c r="KD60" i="9"/>
  <c r="H60" i="9" s="1"/>
  <c r="CY45" i="9"/>
  <c r="CY43" i="9"/>
  <c r="GK43" i="9" s="1"/>
  <c r="CY44" i="9"/>
  <c r="GK44" i="9" s="1"/>
  <c r="CY14" i="9"/>
  <c r="GK14" i="9" s="1"/>
  <c r="CY42" i="9"/>
  <c r="CY18" i="9"/>
  <c r="CY16" i="9"/>
  <c r="GK16" i="9" s="1"/>
  <c r="CY20" i="9"/>
  <c r="H57" i="9"/>
  <c r="H53" i="9"/>
  <c r="H54" i="9"/>
  <c r="DI54" i="9"/>
  <c r="DK54" i="9"/>
  <c r="DL54" i="9"/>
  <c r="CY54" i="9"/>
  <c r="DA54" i="9"/>
  <c r="CZ54" i="9"/>
  <c r="DC54" i="9"/>
  <c r="DF54" i="9"/>
  <c r="DD54" i="9"/>
  <c r="DJ54" i="9"/>
  <c r="DH54" i="9"/>
  <c r="DG54" i="9"/>
  <c r="DB54" i="9"/>
  <c r="DE54" i="9"/>
  <c r="GK26" i="9" l="1"/>
  <c r="EC14" i="9"/>
  <c r="EC21" i="9" s="1"/>
  <c r="GK20" i="9"/>
  <c r="EC31" i="9" s="1"/>
  <c r="I78" i="9" s="1"/>
  <c r="EC13" i="9"/>
  <c r="EC20" i="9" s="1"/>
  <c r="ED23" i="9"/>
  <c r="ED25" i="9" s="1"/>
  <c r="K76" i="9"/>
  <c r="ED18" i="9"/>
  <c r="ED27" i="9" s="1"/>
  <c r="S56" i="9"/>
  <c r="K56" i="9"/>
  <c r="AI56" i="9"/>
  <c r="Q56" i="9"/>
  <c r="AC56" i="9"/>
  <c r="W56" i="9"/>
  <c r="U56" i="9"/>
  <c r="AA56" i="9"/>
  <c r="M56" i="9"/>
  <c r="AE56" i="9"/>
  <c r="AG56" i="9"/>
  <c r="O56" i="9"/>
  <c r="Y56" i="9"/>
  <c r="J60" i="9"/>
  <c r="J59" i="9"/>
  <c r="J56" i="9"/>
  <c r="N60" i="9"/>
  <c r="N59" i="9"/>
  <c r="N56" i="9"/>
  <c r="Z60" i="9"/>
  <c r="Z59" i="9"/>
  <c r="Z56" i="9"/>
  <c r="AD60" i="9"/>
  <c r="AD59" i="9"/>
  <c r="AD56" i="9"/>
  <c r="L60" i="9"/>
  <c r="L59" i="9"/>
  <c r="L56" i="9"/>
  <c r="P60" i="9"/>
  <c r="P59" i="9"/>
  <c r="P56" i="9"/>
  <c r="R60" i="9"/>
  <c r="R59" i="9"/>
  <c r="R56" i="9"/>
  <c r="T60" i="9"/>
  <c r="T59" i="9"/>
  <c r="T56" i="9"/>
  <c r="V60" i="9"/>
  <c r="V59" i="9"/>
  <c r="V56" i="9"/>
  <c r="X60" i="9"/>
  <c r="X59" i="9"/>
  <c r="X56" i="9"/>
  <c r="AB60" i="9"/>
  <c r="AB59" i="9"/>
  <c r="AB56" i="9"/>
  <c r="AF60" i="9"/>
  <c r="AF59" i="9"/>
  <c r="AF56" i="9"/>
  <c r="AH60" i="9"/>
  <c r="AH59" i="9"/>
  <c r="AH56" i="9"/>
  <c r="GP42" i="9"/>
  <c r="GL42" i="9"/>
  <c r="ED34" i="9" s="1"/>
  <c r="GX42" i="9"/>
  <c r="GO42" i="9"/>
  <c r="GU42" i="9"/>
  <c r="GR42" i="9"/>
  <c r="GQ42" i="9"/>
  <c r="GT42" i="9"/>
  <c r="GM42" i="9"/>
  <c r="GV42" i="9"/>
  <c r="GW42" i="9"/>
  <c r="GN42" i="9"/>
  <c r="GS42" i="9"/>
  <c r="GK45" i="9"/>
  <c r="EC24" i="9"/>
  <c r="EC16" i="9"/>
  <c r="EC23" i="9" s="1"/>
  <c r="H56" i="9"/>
  <c r="H59" i="9"/>
  <c r="I56" i="9"/>
  <c r="GK42" i="9"/>
  <c r="EC34" i="9" s="1"/>
  <c r="GK18" i="9"/>
  <c r="GP54" i="9"/>
  <c r="GT54" i="9"/>
  <c r="GM54" i="9"/>
  <c r="GU54" i="9"/>
  <c r="GK54" i="9"/>
  <c r="GS54" i="9"/>
  <c r="GN54" i="9"/>
  <c r="GR54" i="9"/>
  <c r="GX54" i="9"/>
  <c r="GL54" i="9"/>
  <c r="GW54" i="9"/>
  <c r="GO54" i="9"/>
  <c r="GQ54" i="9"/>
  <c r="GV54" i="9"/>
  <c r="ED41" i="9" l="1"/>
  <c r="K81" i="9"/>
  <c r="ED36" i="9"/>
  <c r="ED43" i="9"/>
  <c r="ED45" i="9" s="1"/>
  <c r="KE61" i="9"/>
  <c r="K55" i="9"/>
  <c r="I81" i="9"/>
  <c r="GN55" i="9"/>
  <c r="O59" i="9" s="1"/>
  <c r="GV55" i="9"/>
  <c r="AE59" i="9" s="1"/>
  <c r="GM55" i="9"/>
  <c r="M59" i="9" s="1"/>
  <c r="GT55" i="9"/>
  <c r="AA59" i="9" s="1"/>
  <c r="GL55" i="9"/>
  <c r="K59" i="9" s="1"/>
  <c r="GS55" i="9"/>
  <c r="Y59" i="9" s="1"/>
  <c r="GW55" i="9"/>
  <c r="AG59" i="9" s="1"/>
  <c r="GQ55" i="9"/>
  <c r="U59" i="9" s="1"/>
  <c r="GR55" i="9"/>
  <c r="W59" i="9" s="1"/>
  <c r="GU55" i="9"/>
  <c r="AC59" i="9" s="1"/>
  <c r="GO55" i="9"/>
  <c r="Q59" i="9" s="1"/>
  <c r="GX55" i="9"/>
  <c r="AI59" i="9" s="1"/>
  <c r="GP55" i="9"/>
  <c r="S59" i="9" s="1"/>
  <c r="EC42" i="9"/>
  <c r="I76" i="9"/>
  <c r="EC41" i="9"/>
  <c r="GK55" i="9"/>
  <c r="I59" i="9" s="1"/>
  <c r="I73" i="9"/>
  <c r="EC18" i="9"/>
  <c r="KD61" i="9" s="1"/>
  <c r="GS56" i="9"/>
  <c r="GN56" i="9"/>
  <c r="GL56" i="9"/>
  <c r="GR56" i="9"/>
  <c r="GT56" i="9"/>
  <c r="GP56" i="9"/>
  <c r="GQ56" i="9"/>
  <c r="GU56" i="9"/>
  <c r="GW56" i="9"/>
  <c r="GX56" i="9"/>
  <c r="GO56" i="9"/>
  <c r="GV56" i="9"/>
  <c r="GM56" i="9"/>
  <c r="GK56" i="9"/>
  <c r="KE64" i="9" l="1"/>
  <c r="KE62" i="9"/>
  <c r="KE63" i="9"/>
  <c r="KE68" i="9"/>
  <c r="ED44" i="9"/>
  <c r="K58" i="9" s="1"/>
  <c r="KD64" i="9"/>
  <c r="KD63" i="9"/>
  <c r="KD62" i="9"/>
  <c r="GP57" i="9"/>
  <c r="S60" i="9" s="1"/>
  <c r="GU57" i="9"/>
  <c r="AC60" i="9" s="1"/>
  <c r="GR57" i="9"/>
  <c r="W60" i="9" s="1"/>
  <c r="GW57" i="9"/>
  <c r="AG60" i="9" s="1"/>
  <c r="GL57" i="9"/>
  <c r="K60" i="9" s="1"/>
  <c r="GM57" i="9"/>
  <c r="M60" i="9" s="1"/>
  <c r="GN57" i="9"/>
  <c r="O60" i="9" s="1"/>
  <c r="GX57" i="9"/>
  <c r="AI60" i="9" s="1"/>
  <c r="GO57" i="9"/>
  <c r="Q60" i="9" s="1"/>
  <c r="GQ57" i="9"/>
  <c r="U60" i="9" s="1"/>
  <c r="GS57" i="9"/>
  <c r="Y60" i="9" s="1"/>
  <c r="GT57" i="9"/>
  <c r="AA60" i="9" s="1"/>
  <c r="GV57" i="9"/>
  <c r="AE60" i="9" s="1"/>
  <c r="EC25" i="9"/>
  <c r="EC27" i="9" s="1"/>
  <c r="I55" i="9"/>
  <c r="GK57" i="9"/>
  <c r="I60" i="9" s="1"/>
  <c r="EC38" i="9"/>
  <c r="EC43" i="9" s="1"/>
  <c r="EC36" i="9"/>
  <c r="KE71" i="9" l="1"/>
  <c r="KE70" i="9"/>
  <c r="KE69" i="9"/>
  <c r="KE65" i="9"/>
  <c r="KE66" i="9" s="1"/>
  <c r="KE67" i="9" s="1"/>
  <c r="J55" i="9" s="1"/>
  <c r="EC44" i="9"/>
  <c r="I58" i="9" s="1"/>
  <c r="KD68" i="9"/>
  <c r="KD65" i="9"/>
  <c r="KD66" i="9" s="1"/>
  <c r="KD67" i="9" s="1"/>
  <c r="EC45" i="9"/>
  <c r="KE72" i="9" l="1"/>
  <c r="KE73" i="9" s="1"/>
  <c r="KE74" i="9" s="1"/>
  <c r="J58" i="9" s="1"/>
  <c r="H55" i="9"/>
  <c r="KD70" i="9"/>
  <c r="KD71" i="9"/>
  <c r="KD69" i="9"/>
  <c r="KD79" i="9" l="1"/>
  <c r="KD80" i="9" s="1"/>
  <c r="KD81" i="9" s="1"/>
  <c r="KD72" i="9"/>
  <c r="KD73" i="9" s="1"/>
  <c r="KD74" i="9" s="1"/>
  <c r="H78" i="9" l="1"/>
  <c r="H73" i="9"/>
  <c r="H58"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sefurjanic</author>
  </authors>
  <commentList>
    <comment ref="B16" authorId="0" shapeId="0" xr:uid="{00000000-0006-0000-0000-000001000000}">
      <text>
        <r>
          <rPr>
            <b/>
            <sz val="8"/>
            <color indexed="81"/>
            <rFont val="Tahoma"/>
            <family val="2"/>
          </rPr>
          <t>Select parameter</t>
        </r>
        <r>
          <rPr>
            <sz val="8"/>
            <color indexed="81"/>
            <rFont val="Tahoma"/>
            <family val="2"/>
          </rPr>
          <t xml:space="preserve">
</t>
        </r>
      </text>
    </comment>
    <comment ref="B18" authorId="0" shapeId="0" xr:uid="{00000000-0006-0000-0000-000002000000}">
      <text>
        <r>
          <rPr>
            <b/>
            <sz val="8"/>
            <color indexed="81"/>
            <rFont val="Tahoma"/>
            <family val="2"/>
          </rPr>
          <t>Select stage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sefurjanic</author>
  </authors>
  <commentList>
    <comment ref="H13" authorId="0" shapeId="0" xr:uid="{00000000-0006-0000-0100-000001000000}">
      <text>
        <r>
          <rPr>
            <b/>
            <sz val="8"/>
            <color indexed="81"/>
            <rFont val="Arial"/>
            <family val="2"/>
          </rPr>
          <t>Q = Qualifier - select less than (&lt;) or greater than (&gt;) from the list if applicable.</t>
        </r>
        <r>
          <rPr>
            <sz val="8"/>
            <color indexed="81"/>
            <rFont val="Tahoma"/>
            <family val="2"/>
          </rPr>
          <t xml:space="preserve">
</t>
        </r>
      </text>
    </comment>
    <comment ref="B72" authorId="0" shapeId="0" xr:uid="{00000000-0006-0000-0100-000002000000}">
      <text>
        <r>
          <rPr>
            <b/>
            <sz val="8"/>
            <color indexed="81"/>
            <rFont val="Tahoma"/>
            <family val="2"/>
          </rPr>
          <t>The maximum weekly average statistic is used for compliance (for the DMR) when there is an average weekly permit limit.  However, all weekly average results are to be examined when determining the number of exceedances ("NO EX") for entry into the eDMR system.</t>
        </r>
        <r>
          <rPr>
            <sz val="8"/>
            <color indexed="81"/>
            <rFont val="Tahoma"/>
            <family val="2"/>
          </rPr>
          <t xml:space="preserve">
</t>
        </r>
      </text>
    </comment>
  </commentList>
</comments>
</file>

<file path=xl/sharedStrings.xml><?xml version="1.0" encoding="utf-8"?>
<sst xmlns="http://schemas.openxmlformats.org/spreadsheetml/2006/main" count="1480" uniqueCount="1265">
  <si>
    <t xml:space="preserve">Max Avg Weekly (Conc.):  </t>
  </si>
  <si>
    <t xml:space="preserve">Avg Monthly (Conc.):  </t>
  </si>
  <si>
    <t xml:space="preserve">Geometric Mean (Conc.):  </t>
  </si>
  <si>
    <t>L</t>
  </si>
  <si>
    <t>Units</t>
  </si>
  <si>
    <t>in</t>
  </si>
  <si>
    <t>DAILY EFFLUENT MONITORING SUPPLEMENTAL REPORT</t>
  </si>
  <si>
    <t>Laboratories:</t>
  </si>
  <si>
    <r>
      <t xml:space="preserve">Renewal application due </t>
    </r>
    <r>
      <rPr>
        <b/>
        <u/>
        <sz val="10"/>
        <rFont val="Arial"/>
        <family val="2"/>
      </rPr>
      <t>180 days</t>
    </r>
    <r>
      <rPr>
        <sz val="10"/>
        <rFont val="Arial"/>
        <family val="2"/>
      </rPr>
      <t xml:space="preserve"> prior to expiration.</t>
    </r>
  </si>
  <si>
    <t>Load 1</t>
  </si>
  <si>
    <t>µW/cm²</t>
  </si>
  <si>
    <r>
      <t>The first week of each month begins on a Sunday and the last week of each month ends on a Saturday.  The Week column identifies the start of each weekly period for the purpose of computing weekly statistics.  The full calendar month is used for calculating monthly statistics.  Days and dates are automatically populated following your entry of the numeric Month and Year in Step 1.  If the permit does not contain a weekly statistical reporting requirement for a parameter, do not enter data outside of the calendar month.  For example, if you must report minimum and maximum pH measurements (but not weekly average), enter data beginning on the first day of the month and ending on the last day of the month.  If, for example, you have a weekly average limit for CBOD</t>
    </r>
    <r>
      <rPr>
        <vertAlign val="subscript"/>
        <sz val="10"/>
        <rFont val="Arial"/>
        <family val="2"/>
      </rPr>
      <t>5</t>
    </r>
    <r>
      <rPr>
        <sz val="10"/>
        <rFont val="Arial"/>
        <family val="2"/>
      </rPr>
      <t xml:space="preserve">, and if samples were collected on any date shown on the form that is outside the calendar month, enter the results. </t>
    </r>
  </si>
  <si>
    <t>Lancaster</t>
  </si>
  <si>
    <t>This permit will expire on:</t>
  </si>
  <si>
    <t>Months</t>
  </si>
  <si>
    <t>Years</t>
  </si>
  <si>
    <t>(select number)</t>
  </si>
  <si>
    <t>Adams</t>
  </si>
  <si>
    <t>Allegheny</t>
  </si>
  <si>
    <t>Armstrong</t>
  </si>
  <si>
    <t>Beaver</t>
  </si>
  <si>
    <t>Bedford</t>
  </si>
  <si>
    <t>Berks</t>
  </si>
  <si>
    <t>Blair</t>
  </si>
  <si>
    <t>Bradford</t>
  </si>
  <si>
    <t>Bucks</t>
  </si>
  <si>
    <t>Butler</t>
  </si>
  <si>
    <t>Cambria</t>
  </si>
  <si>
    <t>Cameron</t>
  </si>
  <si>
    <t>Carbon</t>
  </si>
  <si>
    <t>Centre</t>
  </si>
  <si>
    <t>Chester</t>
  </si>
  <si>
    <t>Clarion</t>
  </si>
  <si>
    <t>Clearfield</t>
  </si>
  <si>
    <t>Clinton</t>
  </si>
  <si>
    <t>Columbia</t>
  </si>
  <si>
    <t>Crawford</t>
  </si>
  <si>
    <t>Cumberland</t>
  </si>
  <si>
    <t>Dauphin</t>
  </si>
  <si>
    <t>Delaware</t>
  </si>
  <si>
    <t>Elk</t>
  </si>
  <si>
    <t>Erie</t>
  </si>
  <si>
    <t>Fayette</t>
  </si>
  <si>
    <t>Forest</t>
  </si>
  <si>
    <t>Franklin</t>
  </si>
  <si>
    <t>Fulton</t>
  </si>
  <si>
    <t>Greene</t>
  </si>
  <si>
    <t>Huntingdon</t>
  </si>
  <si>
    <t>Indiana</t>
  </si>
  <si>
    <t>Jefferson</t>
  </si>
  <si>
    <t>Juniata</t>
  </si>
  <si>
    <t>Lackawanna</t>
  </si>
  <si>
    <t>Lawrence</t>
  </si>
  <si>
    <t>Lebanon</t>
  </si>
  <si>
    <t>Lehigh</t>
  </si>
  <si>
    <t>Luzerne</t>
  </si>
  <si>
    <r>
      <t xml:space="preserve">The recommended sequence of data entry is as follows: 1) Enter parameter names, units of measurement, and permit limits into the </t>
    </r>
    <r>
      <rPr>
        <b/>
        <sz val="10"/>
        <rFont val="Arial"/>
        <family val="2"/>
      </rPr>
      <t xml:space="preserve">Limits </t>
    </r>
    <r>
      <rPr>
        <sz val="10"/>
        <rFont val="Arial"/>
        <family val="2"/>
      </rPr>
      <t xml:space="preserve">worksheet, and 2) Enter daily monitoring results into the </t>
    </r>
    <r>
      <rPr>
        <b/>
        <sz val="10"/>
        <rFont val="Arial"/>
        <family val="2"/>
      </rPr>
      <t>Daily</t>
    </r>
    <r>
      <rPr>
        <sz val="10"/>
        <rFont val="Arial"/>
        <family val="2"/>
      </rPr>
      <t xml:space="preserve"> worksheet (for each outfall).  The statistics for DMR reporting are presented at the bottom of the  Daily table.  You may then manually enter the statistics results into the eDMR report.</t>
    </r>
  </si>
  <si>
    <t>Daily Worksheet</t>
  </si>
  <si>
    <t>In the Daily worksheet, the pane has been "frozen" so that pertinent information can be viewed at all times.  You can "unfreeze" the panes at any time by clicking on Window - Unfreeze Panes (Excel 2003) or select the "View" tab from the "Windows" group, choose "Freeze Panes", and select "Unfreeze Panes" from the pop-up (Excel 2007).
Read more: How to Unfreeze Panes | eHow.com http://www.ehow.com/how_5132899_unfreeze-panes.html#ixzz1BgWpS3sJ</t>
  </si>
  <si>
    <t>Lycoming</t>
  </si>
  <si>
    <t>McKean</t>
  </si>
  <si>
    <t>Mercer</t>
  </si>
  <si>
    <t>Mifflin</t>
  </si>
  <si>
    <t>Monroe</t>
  </si>
  <si>
    <t>Montgomery</t>
  </si>
  <si>
    <t>Montour</t>
  </si>
  <si>
    <t>Northampton</t>
  </si>
  <si>
    <t>Northumberland</t>
  </si>
  <si>
    <t>Perry</t>
  </si>
  <si>
    <t>Philadelphia</t>
  </si>
  <si>
    <t>Pike</t>
  </si>
  <si>
    <t>Potter</t>
  </si>
  <si>
    <t>Schuylkill</t>
  </si>
  <si>
    <t>Somerset</t>
  </si>
  <si>
    <t>Susquehanna</t>
  </si>
  <si>
    <t>Union</t>
  </si>
  <si>
    <t>Warren</t>
  </si>
  <si>
    <t>Wayne</t>
  </si>
  <si>
    <t>Wyoming</t>
  </si>
  <si>
    <t>County</t>
  </si>
  <si>
    <t>Stage Description</t>
  </si>
  <si>
    <t>GPD</t>
  </si>
  <si>
    <t>GPM</t>
  </si>
  <si>
    <t>QUANTITY OR LOADING</t>
  </si>
  <si>
    <t>QUALITY OR CONCENTRATION</t>
  </si>
  <si>
    <t>UNITS</t>
  </si>
  <si>
    <t>LIMIT</t>
  </si>
  <si>
    <t>STATISTICAL CODE</t>
  </si>
  <si>
    <t>lbs/acre</t>
  </si>
  <si>
    <t>lbs/acre/day</t>
  </si>
  <si>
    <t>gal/acre</t>
  </si>
  <si>
    <t>in/week</t>
  </si>
  <si>
    <t>PARAMETER / STAGE</t>
  </si>
  <si>
    <t>LOAD 1</t>
  </si>
  <si>
    <t>LOAD 2</t>
  </si>
  <si>
    <t>CONC 1</t>
  </si>
  <si>
    <t>CONC 2</t>
  </si>
  <si>
    <t>CONC 3</t>
  </si>
  <si>
    <t>Select Parameters and Stages (Monitoring Locations) and Enter Limits Contained in Your Permit</t>
  </si>
  <si>
    <t>Outfall No.</t>
  </si>
  <si>
    <t>Flow (mgd) (50050)</t>
  </si>
  <si>
    <t>Total Residual Chlorine (TRC) (50060)</t>
  </si>
  <si>
    <t>pH (400)</t>
  </si>
  <si>
    <t>Dissolved Oxygen (300)</t>
  </si>
  <si>
    <t>BOD5 (310)</t>
  </si>
  <si>
    <t>CBOD5 (80082)</t>
  </si>
  <si>
    <t>Total Suspended Solids (530)</t>
  </si>
  <si>
    <t>Ammonia-Nitrogen (610)</t>
  </si>
  <si>
    <t>Total Nitrogen (600)</t>
  </si>
  <si>
    <t>Total Phosphorus (665)</t>
  </si>
  <si>
    <t>1,1,1,2-Tetrachloroethane (77562)</t>
  </si>
  <si>
    <t>1,1,1-Trichloroethane (34506)</t>
  </si>
  <si>
    <t>1,1,2,2-Tetrachloroethane (34516)</t>
  </si>
  <si>
    <t>1,1,2-Trichloro-1,2,2-Trifloroethane (77652)</t>
  </si>
  <si>
    <t>1,1,2-Trichloroethane (34511)</t>
  </si>
  <si>
    <t>1,1-Dichloro-1,2,2,2-Tetrafluoroethane (CFC-114a) (38675)</t>
  </si>
  <si>
    <t>1,1-Dichloro-2,2,2-Trifluoroethane (HCFC-123) (38671)</t>
  </si>
  <si>
    <t>1,1-Dichloro-2,2-Diethoxyethane (49888)</t>
  </si>
  <si>
    <t>1,1-Dichloroethane (34496)</t>
  </si>
  <si>
    <t>1,1-Dichloroethylene (34501)</t>
  </si>
  <si>
    <t>1,2,3-Trichloropropane (77443)</t>
  </si>
  <si>
    <t>1,2,4-Trichlorobenzene (34551)</t>
  </si>
  <si>
    <t>1,2,4-Trimethylbenzene (77222)</t>
  </si>
  <si>
    <t>1,2-Dibromoethane (77651)</t>
  </si>
  <si>
    <t>1,2-Dichlorobenzene (34536)</t>
  </si>
  <si>
    <t>1,2-Dichloroethane (32103)</t>
  </si>
  <si>
    <t>1,2-Dichloropropane (34541)</t>
  </si>
  <si>
    <t>1,2-Diphenylhydrazine (34346)</t>
  </si>
  <si>
    <t>1,3,5-Trimethylbenzene (77226)</t>
  </si>
  <si>
    <t>1,3-Dichlorobenzene (34566)</t>
  </si>
  <si>
    <t>1,3-Dichloropropylene (77163)</t>
  </si>
  <si>
    <t>1,4-Dichlorobenzene (34571)</t>
  </si>
  <si>
    <t>1,4-Dioxane (82388)</t>
  </si>
  <si>
    <t>1-Propanol (77018)</t>
  </si>
  <si>
    <t>2,2-Dimethoxypropane (51070)</t>
  </si>
  <si>
    <t>2,3,4,6-Tetrachlorophenol (77770)</t>
  </si>
  <si>
    <t>2,3,7,8-TCDD (34675)</t>
  </si>
  <si>
    <t>2,3,7,8-TCDF (38691)</t>
  </si>
  <si>
    <t>2,4,5-Trichlorophenol (77687)</t>
  </si>
  <si>
    <t>2,4,6-Trichlorophenol (34621)</t>
  </si>
  <si>
    <t>2,4-Dichlorophenol (34601)</t>
  </si>
  <si>
    <t>2,4-Dichlorophenoxyacetic Acid (39730)</t>
  </si>
  <si>
    <t>2,4-Dimethylphenol (34606)</t>
  </si>
  <si>
    <t>2,4-Dinitrophenol (34616)</t>
  </si>
  <si>
    <t>2,4-Dinitrotoluene (34611)</t>
  </si>
  <si>
    <t>2,6-Dinitrotoluene (34626)</t>
  </si>
  <si>
    <t>2-Butanone (78356)</t>
  </si>
  <si>
    <t>2-Chloroaniline (77287)</t>
  </si>
  <si>
    <t>2-Chloroethyl Vinyl Ether (34576)</t>
  </si>
  <si>
    <t>2-Chloronaphthalene (34581)</t>
  </si>
  <si>
    <t>2-Chlorophenol (34586)</t>
  </si>
  <si>
    <t>2-Ethylbenzenamine (49889)</t>
  </si>
  <si>
    <t>2-Ethylhexanol (51175)</t>
  </si>
  <si>
    <t>2-Hexanone (77103)</t>
  </si>
  <si>
    <t>2-Methylnapthalene (77416)</t>
  </si>
  <si>
    <t>2-Methylphenol (78395)</t>
  </si>
  <si>
    <t>2-Nitrophenol (34591)</t>
  </si>
  <si>
    <t>3,3-Dichlorobenzidine (34631)</t>
  </si>
  <si>
    <t>3,4,5-Trichlorocatechol (73037)</t>
  </si>
  <si>
    <t>3,4,5-Trichloroguaiacol (61024)</t>
  </si>
  <si>
    <t>3,4,6-Trichlorocatechol (51024)</t>
  </si>
  <si>
    <t>3,4,6-Trichloroguaiacol (51022)</t>
  </si>
  <si>
    <t>3,4-Benzofluoranthene (79531)</t>
  </si>
  <si>
    <t>3-Trifluoromethyl-4-Nitrophenol (TFM) (82563)</t>
  </si>
  <si>
    <t>4,4-DDD (39310)</t>
  </si>
  <si>
    <t>4,4-DDE (39320)</t>
  </si>
  <si>
    <t>4,4-DDT (39300)</t>
  </si>
  <si>
    <t>4,5,6-Trichloroguaiacol (73088)</t>
  </si>
  <si>
    <t>4,6-Dinitrophenol-o-Cresol (34657)</t>
  </si>
  <si>
    <t>4-Bromophenylphenylether (34636)</t>
  </si>
  <si>
    <t>4-Chlorobenzotrifluoride (78143)</t>
  </si>
  <si>
    <t>4-Chlorophenyl Phenyl Ether (34641)</t>
  </si>
  <si>
    <t>4-Methyl-2,6-Di-Tert-Butylphenol (51036)</t>
  </si>
  <si>
    <t>4-Methyl-2-pentanone (78133)</t>
  </si>
  <si>
    <t>4-Nitrophenol (34646)</t>
  </si>
  <si>
    <t>4-t-Amyl-2-Chlorophenol (51038)</t>
  </si>
  <si>
    <t>5-Methyl-2-Hexanone (77179)</t>
  </si>
  <si>
    <t>Acenaphthene (34205)</t>
  </si>
  <si>
    <t>Acenaphthylene (34200)</t>
  </si>
  <si>
    <t>Acetaldehyde (77001)</t>
  </si>
  <si>
    <t>Acetic Acid (697)</t>
  </si>
  <si>
    <t>Acetone (81552)</t>
  </si>
  <si>
    <t>Acetonitrile (73207)</t>
  </si>
  <si>
    <t>Acetophenone (81553)</t>
  </si>
  <si>
    <t>Acid Compounds (32020)</t>
  </si>
  <si>
    <t>Acrolein (34210)</t>
  </si>
  <si>
    <t>Acrylamide (50796)</t>
  </si>
  <si>
    <t>Acrylonitrile (34215)</t>
  </si>
  <si>
    <t>Acute toxicity (Ceriodaphnia) (61425)</t>
  </si>
  <si>
    <t>Acute toxicity (Pimephales) (61427)</t>
  </si>
  <si>
    <t>Adsorbable Organic Halides (AOX) (79855)</t>
  </si>
  <si>
    <t>Aldrin (39330)</t>
  </si>
  <si>
    <t>alpha-BHC (39336)</t>
  </si>
  <si>
    <t>alpha-Endosulfan (34361)</t>
  </si>
  <si>
    <t>Amyl Alcohol (51003)</t>
  </si>
  <si>
    <t>Aniline (77089)</t>
  </si>
  <si>
    <t>Anthracene (34220)</t>
  </si>
  <si>
    <t>a-Terpineol (77493)</t>
  </si>
  <si>
    <t>Backwash Cycles (Total Number) (82629)</t>
  </si>
  <si>
    <t>Base Neutrals &amp; Acids (76028)</t>
  </si>
  <si>
    <t>Benzene (34030)</t>
  </si>
  <si>
    <t>Benzenesulphonic Acid (77517)</t>
  </si>
  <si>
    <t>Benzidine (39120)</t>
  </si>
  <si>
    <t>Benzo(a)Anthracene (34526)</t>
  </si>
  <si>
    <t>Benzo(a)Pyrene (34247)</t>
  </si>
  <si>
    <t>Benzo(ghi)Perylene (34521)</t>
  </si>
  <si>
    <t>Benzo(k)Fluoranthene (34242)</t>
  </si>
  <si>
    <t>Benzoic Acid (77247)</t>
  </si>
  <si>
    <t>Benzyl Alcohol (77147)</t>
  </si>
  <si>
    <t>beta-BHC (39338)</t>
  </si>
  <si>
    <t>beta-Endosulfan (79618)</t>
  </si>
  <si>
    <t>Bicarbonate (440)</t>
  </si>
  <si>
    <t>Bis(2-Chloroethoxy)Methane (34278)</t>
  </si>
  <si>
    <t>Bis(2-Chloroethyl)Ether (34273)</t>
  </si>
  <si>
    <t>Bis(2-Chloroisopropyl)Ether (34283)</t>
  </si>
  <si>
    <t>Bis(2-Ethylhexyl)Phthalate (39100)</t>
  </si>
  <si>
    <t>BOD5 % Removal (81010)</t>
  </si>
  <si>
    <t>Bromide (71870)</t>
  </si>
  <si>
    <t>Bromine (71871)</t>
  </si>
  <si>
    <t>Bromine Chloride (71872)</t>
  </si>
  <si>
    <t>Bromobenzene (81555)</t>
  </si>
  <si>
    <t>Bromoform (32104)</t>
  </si>
  <si>
    <t>Butyl Benzyl Phthalate (34292)</t>
  </si>
  <si>
    <t>Camphor (81324)</t>
  </si>
  <si>
    <t>Carbazole (77571)</t>
  </si>
  <si>
    <t>Carbon Disulfide (77041)</t>
  </si>
  <si>
    <t>Carbon Tetrachloride (32102)</t>
  </si>
  <si>
    <t>CBOD20 (80087)</t>
  </si>
  <si>
    <t>CBOD5 % Removal (80091)</t>
  </si>
  <si>
    <t>Convert text limits to values to compare with Ch 16 DLs</t>
  </si>
  <si>
    <t>Chemical Oxygen Demand (340)</t>
  </si>
  <si>
    <t>Chlordane (51032)</t>
  </si>
  <si>
    <t>Chloride (940)</t>
  </si>
  <si>
    <t>Chlorination Duration (78739)</t>
  </si>
  <si>
    <t>Chlorobenzene (34301)</t>
  </si>
  <si>
    <t>Chlorodibromomethane (34306)</t>
  </si>
  <si>
    <t>Chlorodifluoromethane (45028)</t>
  </si>
  <si>
    <t>Chloroethane (85811)</t>
  </si>
  <si>
    <t>Chloroform (32106)</t>
  </si>
  <si>
    <t>Chlorpyrifos (77969)</t>
  </si>
  <si>
    <t>Chronic toxicity (Ceriodaphnia) (61426)</t>
  </si>
  <si>
    <t>Chronic toxicity (Pimephales) (61428)</t>
  </si>
  <si>
    <t>Chrysene (34320)</t>
  </si>
  <si>
    <t>cis-1,2-Dichloroethylene (77093)</t>
  </si>
  <si>
    <t>cis-1,3-Dichloropropene (34704)</t>
  </si>
  <si>
    <t>Clamtrol CT-1 (4251)</t>
  </si>
  <si>
    <t>Clamtrol CT-2 (49886)</t>
  </si>
  <si>
    <t>Clamtrol CT-4 (49887)</t>
  </si>
  <si>
    <t>Color (Pt-Co Units) (80)</t>
  </si>
  <si>
    <t>Conductivity (94)</t>
  </si>
  <si>
    <t>Cumene (77223)</t>
  </si>
  <si>
    <t>Cyclohexane (81570)</t>
  </si>
  <si>
    <t>delta-BHC (34198)</t>
  </si>
  <si>
    <t>Di(2-Ethylhexyl)Adipate (51174)</t>
  </si>
  <si>
    <t>Diazinon (39570)</t>
  </si>
  <si>
    <t>Dibenzo(a,h)Anthrancene (34556)</t>
  </si>
  <si>
    <t>Dibromochloromethane (77779)</t>
  </si>
  <si>
    <t>Dibromomethane (38679)</t>
  </si>
  <si>
    <t>Dichloro-4-(1,1-Dimethylpropyl) Phenol (51039)</t>
  </si>
  <si>
    <t>Dichlorobenzene (81524)</t>
  </si>
  <si>
    <t>Dichlorobromomethane (32101)</t>
  </si>
  <si>
    <t>Dichlorodifluoromethane (34668)</t>
  </si>
  <si>
    <t>Dichloroethane (81680)</t>
  </si>
  <si>
    <t>Dichlorofluoromethane (70010)</t>
  </si>
  <si>
    <t>Dieldrin (39380)</t>
  </si>
  <si>
    <t>Diesel Range Organics (49922)</t>
  </si>
  <si>
    <t>Diethyl Ether (81576)</t>
  </si>
  <si>
    <t>Diethyl Phthalate (34336)</t>
  </si>
  <si>
    <t>Diethylamine (77030)</t>
  </si>
  <si>
    <t>Diethylene Glycol (51555)</t>
  </si>
  <si>
    <t>Dimethyl Disulfide (81580)</t>
  </si>
  <si>
    <t>Dimethyl Phthalate (34341)</t>
  </si>
  <si>
    <t>Dimethyl Sulfoxide (77042)</t>
  </si>
  <si>
    <t>Dimethylformamide (77110)</t>
  </si>
  <si>
    <t>Dimethylpropylphenol (51037)</t>
  </si>
  <si>
    <t>Di-n-Butyl Phthalate (39110)</t>
  </si>
  <si>
    <t>Dinitrotoluene (81533)</t>
  </si>
  <si>
    <t>Di-n-Octyl Phthalate (34596)</t>
  </si>
  <si>
    <t>Dinonylphthalate (45670)</t>
  </si>
  <si>
    <t>Dioxin (3610)</t>
  </si>
  <si>
    <t>Dissolved Copper (1040)</t>
  </si>
  <si>
    <t>Dissolved Iron (1046)</t>
  </si>
  <si>
    <t>Dissolved Magnesium (925)</t>
  </si>
  <si>
    <t>Dissolved Molybdenum (1060)</t>
  </si>
  <si>
    <t>Dissolved Phosphorus (666)</t>
  </si>
  <si>
    <t>Dissolved Selenium (1145)</t>
  </si>
  <si>
    <t>Dissolved Sulfide (746)</t>
  </si>
  <si>
    <t>Dissolved Thallium (1057)</t>
  </si>
  <si>
    <t>Duration of Discharge (81381)</t>
  </si>
  <si>
    <t>Endosulfan (39388)</t>
  </si>
  <si>
    <t>Endosulfan Sulfate (34351)</t>
  </si>
  <si>
    <t>Endrin (39390)</t>
  </si>
  <si>
    <t>Endrin Aldehyde (34366)</t>
  </si>
  <si>
    <t>Ethanol (77004)</t>
  </si>
  <si>
    <t>Ethyl Acetate (81585)</t>
  </si>
  <si>
    <t>Ethylbenzene (34371)</t>
  </si>
  <si>
    <t>Ethylene Glycol (81688)</t>
  </si>
  <si>
    <t>Fecal Coliform (74055)</t>
  </si>
  <si>
    <t>Filter Backwash Discharges/Day (51170)</t>
  </si>
  <si>
    <t>Fluoranthene (34376)</t>
  </si>
  <si>
    <t xml:space="preserve">I certify under penalty of law that this document was prepared under my direction or supervision in accordance with a system designed to assure that qualified personnel gather and evaluate the information submitted. Based on my inquiry of the person or persons who manage the system or those persons directly responsible for gathering the information, the information submitted is, to the best of my knowledge and belief, true, accurate and complete.  I am aware that there are significant penalties for submitting false information, including the possibility of fine and imprisonment for knowing violations.  See 18 Pa. C.S. § 4904 (relating to unsworn falsification). </t>
  </si>
  <si>
    <t>Fluorene (34381)</t>
  </si>
  <si>
    <t>Fluoride (951)</t>
  </si>
  <si>
    <t>Fluoroborates (952)</t>
  </si>
  <si>
    <t>Formaldehyde (71880)</t>
  </si>
  <si>
    <t>Free Available Chlorine (50064)</t>
  </si>
  <si>
    <t>Free Available Cyanide (51173)</t>
  </si>
  <si>
    <t>gamma-BHC (39344)</t>
  </si>
  <si>
    <t>Gasoline Range Organics (4584)</t>
  </si>
  <si>
    <t>Gross Alpha Radioactivity (80029)</t>
  </si>
  <si>
    <t>Hardness, Total (as CaCO3) (900)</t>
  </si>
  <si>
    <t>Heat Rejection Rate (MBTUs/day) (17)</t>
  </si>
  <si>
    <t>Heat Rejection Rate (MBTUs/hr) (15)</t>
  </si>
  <si>
    <t>Hemitite Production (51169)</t>
  </si>
  <si>
    <t>Heptachlor (39410)</t>
  </si>
  <si>
    <t>Heptachlor Epoxide (39420)</t>
  </si>
  <si>
    <t>Heptane (78198)</t>
  </si>
  <si>
    <t>Hexachlorobenzene (39700)</t>
  </si>
  <si>
    <t>Hexachlorobutadiene (39702)</t>
  </si>
  <si>
    <t>Hexachlorocyclopentadiene (34386)</t>
  </si>
  <si>
    <t>Hexachloroethane (34396)</t>
  </si>
  <si>
    <t>Hexane (81590)</t>
  </si>
  <si>
    <t>Hexavalent Chromium (1032)</t>
  </si>
  <si>
    <t>Hourly Temperature Change (74029)</t>
  </si>
  <si>
    <t>Hydrazine (81313)</t>
  </si>
  <si>
    <t>Hydrogen Peroxide (139)</t>
  </si>
  <si>
    <t>Hydrogen Sulfide (71875)</t>
  </si>
  <si>
    <t>Indeno(1,2,3-cd)Pyrene (34403)</t>
  </si>
  <si>
    <t>Isobutyraldehyde (51001)</t>
  </si>
  <si>
    <t>Isooctane (45019)</t>
  </si>
  <si>
    <t>Isophorone (34408)</t>
  </si>
  <si>
    <t>Isopropanol (77015)</t>
  </si>
  <si>
    <t>Isopropyl Acetate (45013)</t>
  </si>
  <si>
    <t>Isopropyl Ether (77117)</t>
  </si>
  <si>
    <t>Kappa Number (51019)</t>
  </si>
  <si>
    <t>MBAS (47021)</t>
  </si>
  <si>
    <t>m-Benzenedisulfonic Acid (51360)</t>
  </si>
  <si>
    <t>Methyl Bromide (38677)</t>
  </si>
  <si>
    <t>Methyl Cellosolve (4147)</t>
  </si>
  <si>
    <t>Methyl Chloride (34418)</t>
  </si>
  <si>
    <t>Methyl Cyclopentane (51074)</t>
  </si>
  <si>
    <t>Methyl Ethyl Ketone (81595)</t>
  </si>
  <si>
    <t>Methyl Formate (51000)</t>
  </si>
  <si>
    <t>Methyl Isobutyl Ketone (81596)</t>
  </si>
  <si>
    <t>Methylene Chloride (34423)</t>
  </si>
  <si>
    <t>Metolachlor (39356)</t>
  </si>
  <si>
    <t>Minimum Stream Flow (91)</t>
  </si>
  <si>
    <t>Mirex (39755)</t>
  </si>
  <si>
    <t>MTBE (22417)</t>
  </si>
  <si>
    <t>N-(Methylpropylidenepropamine) (51034)</t>
  </si>
  <si>
    <t>N,N-Dimethyl-1-Butanamine (51033)</t>
  </si>
  <si>
    <t>N,N-Dimethylacetamide (81332)</t>
  </si>
  <si>
    <t>N,N-Dimethylaniline (49543)</t>
  </si>
  <si>
    <t>Nalco Macrotrol 9210 (51029)</t>
  </si>
  <si>
    <t>n-Amyl Acetate (51002)</t>
  </si>
  <si>
    <t>Naphthalene (34696)</t>
  </si>
  <si>
    <t>n-Butyl Acetate (77189)</t>
  </si>
  <si>
    <t>n-Butylbenzene (77342)</t>
  </si>
  <si>
    <t>n-Decane (77427)</t>
  </si>
  <si>
    <t>N-Ethylaniline (51077)</t>
  </si>
  <si>
    <t>N-Ethylbenzenamine (77234)</t>
  </si>
  <si>
    <t>Nitrate as N (620)</t>
  </si>
  <si>
    <t>Nitrate-Nitrite as N (630)</t>
  </si>
  <si>
    <t>Nitrite as N (615)</t>
  </si>
  <si>
    <t>Nitrobenzene (34447)</t>
  </si>
  <si>
    <t>N-Methylbenzenamine (49924)</t>
  </si>
  <si>
    <t>Statistics for DMR</t>
  </si>
  <si>
    <t>Symbol</t>
  </si>
  <si>
    <t>C3</t>
  </si>
  <si>
    <t>C4</t>
  </si>
  <si>
    <t>Geomean:</t>
  </si>
  <si>
    <t>Min (raw data):</t>
  </si>
  <si>
    <t>Min (transformed):</t>
  </si>
  <si>
    <t>Use &lt; for Min?</t>
  </si>
  <si>
    <t>Max (raw data):</t>
  </si>
  <si>
    <t>Max (transformed):</t>
  </si>
  <si>
    <t>Use &lt; for Max?</t>
  </si>
  <si>
    <t>Week 1 Avg</t>
  </si>
  <si>
    <t>Week 2 Avg</t>
  </si>
  <si>
    <t>Week 3 Avg</t>
  </si>
  <si>
    <t>Week 4 Avg</t>
  </si>
  <si>
    <t>Week 5 Avg</t>
  </si>
  <si>
    <t>Max</t>
  </si>
  <si>
    <t>Use &lt;?</t>
  </si>
  <si>
    <t>RI</t>
  </si>
  <si>
    <t>=</t>
  </si>
  <si>
    <t>0B</t>
  </si>
  <si>
    <t>0E</t>
  </si>
  <si>
    <t>B</t>
  </si>
  <si>
    <t>BM</t>
  </si>
  <si>
    <t>EM</t>
  </si>
  <si>
    <t>G</t>
  </si>
  <si>
    <t>G2</t>
  </si>
  <si>
    <t>II</t>
  </si>
  <si>
    <t>IM</t>
  </si>
  <si>
    <t>K</t>
  </si>
  <si>
    <t>PI</t>
  </si>
  <si>
    <t>PR</t>
  </si>
  <si>
    <t>SW</t>
  </si>
  <si>
    <t>Stagecode</t>
  </si>
  <si>
    <t>Parametershort</t>
  </si>
  <si>
    <t>Avg Mo Conc:</t>
  </si>
  <si>
    <t>Avg Mo Load</t>
  </si>
  <si>
    <t>Final Avg Mo Load:</t>
  </si>
  <si>
    <t>Total Mo Load</t>
  </si>
  <si>
    <t>Final Total Mo Load:</t>
  </si>
  <si>
    <t>Decimal places, as reported</t>
  </si>
  <si>
    <t>Max:</t>
  </si>
  <si>
    <t>E = Limit is Report or is Empty</t>
  </si>
  <si>
    <t>pH</t>
  </si>
  <si>
    <t>TRC</t>
  </si>
  <si>
    <t>Dissolved Oxygen</t>
  </si>
  <si>
    <t>CBOD5</t>
  </si>
  <si>
    <t>BOD5</t>
  </si>
  <si>
    <t>TSS</t>
  </si>
  <si>
    <t>Fecal Coliform</t>
  </si>
  <si>
    <t>Total Nitrogen</t>
  </si>
  <si>
    <t>Total Phosphorus</t>
  </si>
  <si>
    <t>TKN</t>
  </si>
  <si>
    <r>
      <t>NH</t>
    </r>
    <r>
      <rPr>
        <vertAlign val="subscript"/>
        <sz val="8"/>
        <rFont val="Arial"/>
        <family val="2"/>
      </rPr>
      <t>3</t>
    </r>
    <r>
      <rPr>
        <sz val="8"/>
        <rFont val="Arial"/>
        <family val="2"/>
      </rPr>
      <t>-N</t>
    </r>
  </si>
  <si>
    <r>
      <t>NO</t>
    </r>
    <r>
      <rPr>
        <vertAlign val="subscript"/>
        <sz val="8"/>
        <rFont val="Arial"/>
        <family val="2"/>
      </rPr>
      <t>2</t>
    </r>
    <r>
      <rPr>
        <sz val="8"/>
        <rFont val="Arial"/>
        <family val="2"/>
      </rPr>
      <t>-N</t>
    </r>
  </si>
  <si>
    <r>
      <t>NO</t>
    </r>
    <r>
      <rPr>
        <vertAlign val="subscript"/>
        <sz val="8"/>
        <rFont val="Arial"/>
        <family val="2"/>
      </rPr>
      <t>3</t>
    </r>
    <r>
      <rPr>
        <sz val="8"/>
        <rFont val="Arial"/>
        <family val="2"/>
      </rPr>
      <t>-N</t>
    </r>
  </si>
  <si>
    <r>
      <t>NO</t>
    </r>
    <r>
      <rPr>
        <vertAlign val="subscript"/>
        <sz val="8"/>
        <rFont val="Arial"/>
        <family val="2"/>
      </rPr>
      <t>2</t>
    </r>
    <r>
      <rPr>
        <sz val="8"/>
        <rFont val="Arial"/>
        <family val="2"/>
      </rPr>
      <t>-N + NO</t>
    </r>
    <r>
      <rPr>
        <vertAlign val="subscript"/>
        <sz val="8"/>
        <rFont val="Arial"/>
        <family val="2"/>
      </rPr>
      <t>3</t>
    </r>
    <r>
      <rPr>
        <sz val="8"/>
        <rFont val="Arial"/>
        <family val="2"/>
      </rPr>
      <t>-N</t>
    </r>
  </si>
  <si>
    <t>1,1,1,2-Tetrachloroethane</t>
  </si>
  <si>
    <t>1,1,1-Trichloroethane</t>
  </si>
  <si>
    <t>1,1,2,2-Tetrachloroethane</t>
  </si>
  <si>
    <t>1,1,2-Trichloro-1,2,2-Trifloroethane</t>
  </si>
  <si>
    <t>1,1,2-Trichloroethane</t>
  </si>
  <si>
    <t>CFC-114a</t>
  </si>
  <si>
    <t>HCFC-123</t>
  </si>
  <si>
    <t>1,1-Dichloro-2,2-Diethoxyethane</t>
  </si>
  <si>
    <t>1,1-Dichloroethane</t>
  </si>
  <si>
    <t>1,1-Dichloroethylene</t>
  </si>
  <si>
    <t>1,2,3-Trichloropropane</t>
  </si>
  <si>
    <t>1,2,4-Trichlorobenzene</t>
  </si>
  <si>
    <t>1,2,4-Trimethylbenzene</t>
  </si>
  <si>
    <t>1,2-Dibromoethane</t>
  </si>
  <si>
    <t>1,2-Dichlorobenzene</t>
  </si>
  <si>
    <t>1,2-Dichloroethane</t>
  </si>
  <si>
    <t>1,2-Dichloropropane</t>
  </si>
  <si>
    <t>1,2-Diphenylhydrazine</t>
  </si>
  <si>
    <t>1,3,5-Trimethylbenzene</t>
  </si>
  <si>
    <t>1,3-Dichlorobenzene</t>
  </si>
  <si>
    <t>1,3-Dichloropropylene</t>
  </si>
  <si>
    <t>1,4-Dichlorobenzene</t>
  </si>
  <si>
    <t>1,4-Dioxane</t>
  </si>
  <si>
    <t>1-Propanol</t>
  </si>
  <si>
    <t>2,2-Dimethoxypropane</t>
  </si>
  <si>
    <t>2,3,4,6-Tetrachlorophenol</t>
  </si>
  <si>
    <t>2,3,7,8-TCDD</t>
  </si>
  <si>
    <t>2,3,7,8-TCDF</t>
  </si>
  <si>
    <t>2,4,5-Trichlorophenol</t>
  </si>
  <si>
    <t>2,4,6-Trichlorophenol</t>
  </si>
  <si>
    <t>2,4-Dichlorophenol</t>
  </si>
  <si>
    <t>2,4-Dichlorophenoxyacetic Acid</t>
  </si>
  <si>
    <t>2,4-Dimethylphenol</t>
  </si>
  <si>
    <t>2,4-Dinitrophenol</t>
  </si>
  <si>
    <t>2,4-Dinitrotoluene</t>
  </si>
  <si>
    <t>2,6-Dinitrotoluene</t>
  </si>
  <si>
    <t>2-Butanone</t>
  </si>
  <si>
    <t>2-Chloroaniline</t>
  </si>
  <si>
    <t>2-Chloroethyl Vinyl Ether</t>
  </si>
  <si>
    <t>2-Chloronaphthalene</t>
  </si>
  <si>
    <t>2-Chlorophenol</t>
  </si>
  <si>
    <t>2-Ethylbenzenamine</t>
  </si>
  <si>
    <t>2-Ethylhexanol</t>
  </si>
  <si>
    <t>2-Hexanone</t>
  </si>
  <si>
    <t>2-Methylnapthalene</t>
  </si>
  <si>
    <t>2-Methylphenol</t>
  </si>
  <si>
    <t>2-Nitrophenol</t>
  </si>
  <si>
    <t>3,3-Dichlorobenzidine</t>
  </si>
  <si>
    <t>3,4,5-Trichlorocatechol</t>
  </si>
  <si>
    <t>3,4,5-Trichloroguaiacol</t>
  </si>
  <si>
    <t>3,4,6-Trichlorocatechol</t>
  </si>
  <si>
    <t>3,4,6-Trichloroguaiacol</t>
  </si>
  <si>
    <t>3,4-Benzofluoranthene</t>
  </si>
  <si>
    <t>3-Trifluoromethyl-4-Nitrophenol (TFM)</t>
  </si>
  <si>
    <t>4,4-DDD</t>
  </si>
  <si>
    <t>4,4-DDE</t>
  </si>
  <si>
    <t>4,4-DDT</t>
  </si>
  <si>
    <t>4,5,6-Trichloroguaiacol</t>
  </si>
  <si>
    <t>4,6-Dinitrophenol-o-Cresol</t>
  </si>
  <si>
    <t>4-Bromophenylphenylether</t>
  </si>
  <si>
    <t>4-Chlorobenzotrifluoride</t>
  </si>
  <si>
    <t>4-Chlorophenyl Phenyl Ether</t>
  </si>
  <si>
    <t>4-Methyl-2,6-Di-Tert-Butylphenol</t>
  </si>
  <si>
    <t>4-Methyl-2-pentanone</t>
  </si>
  <si>
    <t>4-Nitrophenol</t>
  </si>
  <si>
    <t>4-t-Amyl-2-Chlorophenol</t>
  </si>
  <si>
    <t>5-Methyl-2-Hexanone</t>
  </si>
  <si>
    <t>Acenaphthene</t>
  </si>
  <si>
    <t>Acenaphthylene</t>
  </si>
  <si>
    <t>Acetaldehyde</t>
  </si>
  <si>
    <t>Acetic Acid</t>
  </si>
  <si>
    <t>Acetone</t>
  </si>
  <si>
    <t>Acetonitrile</t>
  </si>
  <si>
    <t>Acetophenone</t>
  </si>
  <si>
    <t>Acid Compounds</t>
  </si>
  <si>
    <t>Acrolein</t>
  </si>
  <si>
    <t>Acrylamide</t>
  </si>
  <si>
    <t>Acrylonitrile</t>
  </si>
  <si>
    <t>Acute toxicity (Ceriodaphnia)</t>
  </si>
  <si>
    <t>Acute toxicity (Pimephales)</t>
  </si>
  <si>
    <t>AOX</t>
  </si>
  <si>
    <t>Aldrin</t>
  </si>
  <si>
    <t>alpha-BHC</t>
  </si>
  <si>
    <t>alpha-Endosulfan</t>
  </si>
  <si>
    <t>Amyl Alcohol</t>
  </si>
  <si>
    <t>Aniline</t>
  </si>
  <si>
    <t>Anthracene</t>
  </si>
  <si>
    <t>a-Terpineol</t>
  </si>
  <si>
    <t>Backwash Cycles</t>
  </si>
  <si>
    <t>Base Neutrals &amp; Acids</t>
  </si>
  <si>
    <t>Benzene</t>
  </si>
  <si>
    <t>Benzenesulphonic Acid</t>
  </si>
  <si>
    <t>Benzidine</t>
  </si>
  <si>
    <t>Benzo(a)Anthracene</t>
  </si>
  <si>
    <t>Benzo(a)Pyrene</t>
  </si>
  <si>
    <t>Benzo(ghi)Perylene</t>
  </si>
  <si>
    <t>Benzo(k)Fluoranthene</t>
  </si>
  <si>
    <t>Benzoic Acid</t>
  </si>
  <si>
    <t>Benzyl Alcohol</t>
  </si>
  <si>
    <t>beta-BHC</t>
  </si>
  <si>
    <t>beta-Endosulfan</t>
  </si>
  <si>
    <t>Bicarbonate</t>
  </si>
  <si>
    <t>Bis(2-Chloroethoxy)Methane</t>
  </si>
  <si>
    <t>Bis(2-Chloroethyl)Ether</t>
  </si>
  <si>
    <t>Bis(2-Chloroisopropyl)Ether</t>
  </si>
  <si>
    <t>Bis(2-Ethylhexyl)Phthalate</t>
  </si>
  <si>
    <t>BOD5 % Removal</t>
  </si>
  <si>
    <t>Bromide</t>
  </si>
  <si>
    <t>Bromine</t>
  </si>
  <si>
    <t>Bromine Chloride</t>
  </si>
  <si>
    <t>Bromobenzene</t>
  </si>
  <si>
    <t>Bromoform</t>
  </si>
  <si>
    <t>Butyl Benzyl Phthalate</t>
  </si>
  <si>
    <t>Camphor</t>
  </si>
  <si>
    <t>Carbazole</t>
  </si>
  <si>
    <t>Carbon Disulfide</t>
  </si>
  <si>
    <t>Carbon Tetrachloride</t>
  </si>
  <si>
    <t>CBOD20</t>
  </si>
  <si>
    <t>CBOD5 % Removal</t>
  </si>
  <si>
    <t>COD</t>
  </si>
  <si>
    <t>Chlordane</t>
  </si>
  <si>
    <t>Chloride</t>
  </si>
  <si>
    <t>Chlorination Duration</t>
  </si>
  <si>
    <t>Chlorobenzene</t>
  </si>
  <si>
    <t>Chlorodibromomethane</t>
  </si>
  <si>
    <t>Chlorodifluoromethane</t>
  </si>
  <si>
    <t>Chloroethane</t>
  </si>
  <si>
    <t>Chloroform</t>
  </si>
  <si>
    <t>Chlorpyrifos</t>
  </si>
  <si>
    <t>Chronic toxicity (Ceriodaphnia)</t>
  </si>
  <si>
    <t>Chronic toxicity (Pimephales)</t>
  </si>
  <si>
    <t>Chrysene</t>
  </si>
  <si>
    <t>cis-1,2-Dichloroethylene</t>
  </si>
  <si>
    <t>cis-1,3-Dichloropropene</t>
  </si>
  <si>
    <t>Clamtrol CT-1</t>
  </si>
  <si>
    <t>Clamtrol CT-2</t>
  </si>
  <si>
    <t>Clamtrol CT-4</t>
  </si>
  <si>
    <t>Color</t>
  </si>
  <si>
    <t>Conductivity</t>
  </si>
  <si>
    <t>Cumene</t>
  </si>
  <si>
    <t>Cyclohexane</t>
  </si>
  <si>
    <t>delta-BHC</t>
  </si>
  <si>
    <t>Di(2-Ethylhexyl)Adipate</t>
  </si>
  <si>
    <t>Diazinon</t>
  </si>
  <si>
    <t>Dibenzo(a,h)Anthrancene</t>
  </si>
  <si>
    <t>Dibromochloromethane</t>
  </si>
  <si>
    <t>Dibromomethane</t>
  </si>
  <si>
    <t>Dichloro-4-(1,1-Dimethylpropyl) Phenol</t>
  </si>
  <si>
    <t>Dichlorobenzene</t>
  </si>
  <si>
    <t>Dichlorobromomethane</t>
  </si>
  <si>
    <t>Dichlorodifluoromethane</t>
  </si>
  <si>
    <t>Dichloroethane</t>
  </si>
  <si>
    <t>Dichlorofluoromethane</t>
  </si>
  <si>
    <t>Dieldrin</t>
  </si>
  <si>
    <t>Diesel Range Organics</t>
  </si>
  <si>
    <t>Diethyl Ether</t>
  </si>
  <si>
    <t>Diethyl Phthalate</t>
  </si>
  <si>
    <t>Diethylamine</t>
  </si>
  <si>
    <t>Diethylene Glycol</t>
  </si>
  <si>
    <t>Dimethyl Disulfide</t>
  </si>
  <si>
    <t>Dimethyl Phthalate</t>
  </si>
  <si>
    <t>Dimethyl Sulfoxide</t>
  </si>
  <si>
    <t>Dimethylformamide</t>
  </si>
  <si>
    <t>Dimethylpropylphenol</t>
  </si>
  <si>
    <t>Di-n-Butyl Phthalate</t>
  </si>
  <si>
    <t>Dinitrotoluene</t>
  </si>
  <si>
    <t>Di-n-Octyl Phthalate</t>
  </si>
  <si>
    <t>Dinonylphthalate</t>
  </si>
  <si>
    <t>Dioxin</t>
  </si>
  <si>
    <t>Dissolved Copper</t>
  </si>
  <si>
    <t>Dissolved Iron</t>
  </si>
  <si>
    <t>Dissolved Magnesium</t>
  </si>
  <si>
    <t>Dissolved Molybdenum</t>
  </si>
  <si>
    <t>Dissolved Phosphorus</t>
  </si>
  <si>
    <t>Dissolved Selenium</t>
  </si>
  <si>
    <t>Dissolved Sulfide</t>
  </si>
  <si>
    <t>Dissolved Thallium</t>
  </si>
  <si>
    <t>Duration of Discharge</t>
  </si>
  <si>
    <t>Endosulfan</t>
  </si>
  <si>
    <t>Endosulfan Sulfate</t>
  </si>
  <si>
    <t>Endrin</t>
  </si>
  <si>
    <t>Endrin Aldehyde</t>
  </si>
  <si>
    <t>Ethanol</t>
  </si>
  <si>
    <t>Ethyl Acetate</t>
  </si>
  <si>
    <t>Ethylbenzene</t>
  </si>
  <si>
    <t>Ethylene Glycol</t>
  </si>
  <si>
    <t>Filter Backwash Discharges/Day</t>
  </si>
  <si>
    <t>Fluoranthene</t>
  </si>
  <si>
    <t>Fluorene</t>
  </si>
  <si>
    <t>Fluoride</t>
  </si>
  <si>
    <t>Fluoroborates</t>
  </si>
  <si>
    <t>Formaldehyde</t>
  </si>
  <si>
    <t>Free Available Chlorine</t>
  </si>
  <si>
    <t>Free Available Cyanide</t>
  </si>
  <si>
    <t>gamma-BHC</t>
  </si>
  <si>
    <t>Gasoline Range Organics</t>
  </si>
  <si>
    <t>Gross Alpha Radioactivity</t>
  </si>
  <si>
    <t>Total Hardness (as CaCO3)</t>
  </si>
  <si>
    <t>Heat Rejection Rate (MBTUs/day)</t>
  </si>
  <si>
    <t>Heat Rejection Rate (MBTUs/hr)</t>
  </si>
  <si>
    <t>Hemitite Production</t>
  </si>
  <si>
    <t>Heptachlor</t>
  </si>
  <si>
    <t>Heptachlor Epoxide</t>
  </si>
  <si>
    <t>Heptane</t>
  </si>
  <si>
    <t>Hexachlorobenzene</t>
  </si>
  <si>
    <t>Hexachlorobutadiene</t>
  </si>
  <si>
    <t>Hexachlorocyclopentadiene</t>
  </si>
  <si>
    <t>Hexachloroethane</t>
  </si>
  <si>
    <t>Hexane</t>
  </si>
  <si>
    <t>Hexavalent Chromium</t>
  </si>
  <si>
    <t>Hourly Temperature Change</t>
  </si>
  <si>
    <t>Hydrazine</t>
  </si>
  <si>
    <t>Hydrogen Peroxide</t>
  </si>
  <si>
    <t>Hydrogen Sulfide</t>
  </si>
  <si>
    <t>Indeno(1,2,3-cd)Pyrene</t>
  </si>
  <si>
    <t>Isobutyraldehyde</t>
  </si>
  <si>
    <t>Isooctane</t>
  </si>
  <si>
    <t>Isophorone</t>
  </si>
  <si>
    <t>Isopropanol</t>
  </si>
  <si>
    <t>Isopropyl Acetate</t>
  </si>
  <si>
    <t>Isopropyl Ether</t>
  </si>
  <si>
    <t>Kappa Number</t>
  </si>
  <si>
    <t>MBAS</t>
  </si>
  <si>
    <t>m-Benzenedisulfonic Acid</t>
  </si>
  <si>
    <t>Methyl Bromide</t>
  </si>
  <si>
    <t>Methyl Cellosolve</t>
  </si>
  <si>
    <t>Methyl Chloride</t>
  </si>
  <si>
    <t>Methyl Cyclopentane</t>
  </si>
  <si>
    <t>Methyl Ethyl Ketone</t>
  </si>
  <si>
    <t>Methyl Formate</t>
  </si>
  <si>
    <t>Methyl Isobutyl Ketone</t>
  </si>
  <si>
    <t>Methylene Chloride</t>
  </si>
  <si>
    <t>Metolachlor</t>
  </si>
  <si>
    <t>Minimum Stream Flow</t>
  </si>
  <si>
    <t>Mirex</t>
  </si>
  <si>
    <t>MTBE</t>
  </si>
  <si>
    <t xml:space="preserve">% </t>
  </si>
  <si>
    <t>If your permit contains limits in terms of micrograms, nanograms or picograms per liter (μg/l, ng/l or pg/l), please convert this to mg/l for entry into the Limits worksheet.</t>
  </si>
  <si>
    <t>Chesapeake Bay nutrient parameters for Total Monthly Loading statistics (e.g., Total Nitrogen, parameter code 51445) cannot be selected on the Limits worksheet.  However, you can select the concentration-based parameter that is equivalent (e.g., Total Nitrogen, parameter code 600), enter flows and concentration values, and Total Monthly Loading statistics will be calculated.</t>
  </si>
  <si>
    <t>N-(Methylpropylidenepropamine)</t>
  </si>
  <si>
    <t>N,N-Dimethyl-1-Butanamine</t>
  </si>
  <si>
    <t>N,N-Dimethylacetamide</t>
  </si>
  <si>
    <t>N,N-Dimethylaniline</t>
  </si>
  <si>
    <t>Nalco Macrotrol 9210</t>
  </si>
  <si>
    <t>n-Amyl Acetate</t>
  </si>
  <si>
    <t>Naphthalene</t>
  </si>
  <si>
    <t>n-Butyl Acetate</t>
  </si>
  <si>
    <t>n-Butylbenzene</t>
  </si>
  <si>
    <t>n-Decane</t>
  </si>
  <si>
    <t>N-Ethylaniline</t>
  </si>
  <si>
    <t>N-Ethylbenzenamine</t>
  </si>
  <si>
    <t>Nitrobenzene</t>
  </si>
  <si>
    <t>N-Methylbenzenamine</t>
  </si>
  <si>
    <t>N-Nitrosodimethylamine</t>
  </si>
  <si>
    <t>N-Nitrosodi-N-Propylamine</t>
  </si>
  <si>
    <t>N-Nitrosodiphenylamine</t>
  </si>
  <si>
    <t>n-Octadecane</t>
  </si>
  <si>
    <t>n-Octane</t>
  </si>
  <si>
    <t>n-Propyl Bromide</t>
  </si>
  <si>
    <t>n-Propylbenzene</t>
  </si>
  <si>
    <t>o-Cresol</t>
  </si>
  <si>
    <t>Octachlorocyclopentene</t>
  </si>
  <si>
    <t>Oil and Grease</t>
  </si>
  <si>
    <t>Orthophosphate</t>
  </si>
  <si>
    <t>Osmotic Pressure</t>
  </si>
  <si>
    <t>Oxalic Acid</t>
  </si>
  <si>
    <t>Ozone, Residual</t>
  </si>
  <si>
    <t>Particulate Organic Carbon</t>
  </si>
  <si>
    <t>PCB-1016</t>
  </si>
  <si>
    <t>PCB-1221</t>
  </si>
  <si>
    <t>PCB-1232</t>
  </si>
  <si>
    <t>PCB-1242</t>
  </si>
  <si>
    <t>PCB-1248</t>
  </si>
  <si>
    <t>PCB-1254</t>
  </si>
  <si>
    <t>PCB-1260</t>
  </si>
  <si>
    <t>PCBs (Dry Weather)</t>
  </si>
  <si>
    <t>PCBs (Wet Weather)</t>
  </si>
  <si>
    <t>P-Chloroaniline</t>
  </si>
  <si>
    <t>p-Chloro-m-Cresol</t>
  </si>
  <si>
    <t>p-Cresol</t>
  </si>
  <si>
    <t>Pentachlorobenzene</t>
  </si>
  <si>
    <t>Pentachlorophenol</t>
  </si>
  <si>
    <t>Phenanthrene</t>
  </si>
  <si>
    <t>Phenol</t>
  </si>
  <si>
    <t>Phthalic Anhydride</t>
  </si>
  <si>
    <t>Polybrominated Biphenyls</t>
  </si>
  <si>
    <t>PAHs</t>
  </si>
  <si>
    <t>Potassium Permanganate</t>
  </si>
  <si>
    <t>p-Phenolsulfonic acid</t>
  </si>
  <si>
    <t>Propionic Acid</t>
  </si>
  <si>
    <t>Propylene Glycol</t>
  </si>
  <si>
    <t>Purgeable Aromatics (Method 602)</t>
  </si>
  <si>
    <t>Purgeable Halocarbons</t>
  </si>
  <si>
    <t>p-Xylene</t>
  </si>
  <si>
    <t>Pyrene</t>
  </si>
  <si>
    <t>Pyridine</t>
  </si>
  <si>
    <t>Radium-226 and Radium-228</t>
  </si>
  <si>
    <t>Rainfall (in)</t>
  </si>
  <si>
    <t>Resorcinol</t>
  </si>
  <si>
    <t>Specific Conductance</t>
  </si>
  <si>
    <t>Spectrus CT 1300</t>
  </si>
  <si>
    <t>Spectrus OX 1200</t>
  </si>
  <si>
    <t>Spinosad (DE-105)</t>
  </si>
  <si>
    <t>Stream Flow, End of Discharge</t>
  </si>
  <si>
    <t>Stream Flow, Start of Discharge</t>
  </si>
  <si>
    <t>Styrene</t>
  </si>
  <si>
    <t>Sulfate</t>
  </si>
  <si>
    <t>Sulfite</t>
  </si>
  <si>
    <t>Surfynol 104E</t>
  </si>
  <si>
    <t>Syltherm</t>
  </si>
  <si>
    <t>t-Amyl Methyl Ether</t>
  </si>
  <si>
    <t>t-Butyl Alcohol</t>
  </si>
  <si>
    <t>Temperature</t>
  </si>
  <si>
    <t>Temperature Delta (Discharge - Intake)</t>
  </si>
  <si>
    <t>Tetrachlorocatechol</t>
  </si>
  <si>
    <t>Tetrachloroethylene</t>
  </si>
  <si>
    <t>Tetrachloroguaiacol</t>
  </si>
  <si>
    <t>Tetrahydrofuran</t>
  </si>
  <si>
    <t>Tetramethylurea</t>
  </si>
  <si>
    <t>Toluene</t>
  </si>
  <si>
    <t>Total Acidity (as CaCO3)</t>
  </si>
  <si>
    <t>Total Alkalinity (as CaCO3)</t>
  </si>
  <si>
    <t>Total Aluminum</t>
  </si>
  <si>
    <t>Total Antimony</t>
  </si>
  <si>
    <t>Total Arsenic</t>
  </si>
  <si>
    <t>Total Barium</t>
  </si>
  <si>
    <t>Total Beryllium</t>
  </si>
  <si>
    <t>Total Beta</t>
  </si>
  <si>
    <t>Total Boron</t>
  </si>
  <si>
    <t>Total BTEX</t>
  </si>
  <si>
    <t>Total Cadmium</t>
  </si>
  <si>
    <t>Total Calcium</t>
  </si>
  <si>
    <t>Total Chlorides and sulfates</t>
  </si>
  <si>
    <t>Total Chromium</t>
  </si>
  <si>
    <t>Total Chromium (III)</t>
  </si>
  <si>
    <t>Total Cobalt</t>
  </si>
  <si>
    <t>Total Coliform</t>
  </si>
  <si>
    <t>Total Copper</t>
  </si>
  <si>
    <t>Total Cyanide</t>
  </si>
  <si>
    <t>Total DDT</t>
  </si>
  <si>
    <t>TDS</t>
  </si>
  <si>
    <t>Total Glycol</t>
  </si>
  <si>
    <t>Total Gold</t>
  </si>
  <si>
    <t>Total Iron</t>
  </si>
  <si>
    <t>Total Lead</t>
  </si>
  <si>
    <t>Total Lithium</t>
  </si>
  <si>
    <t>Total Magnesium</t>
  </si>
  <si>
    <t>Total Manganese</t>
  </si>
  <si>
    <t>Total Mercury</t>
  </si>
  <si>
    <t>Total Methanol</t>
  </si>
  <si>
    <t>Total Molybdenum</t>
  </si>
  <si>
    <t>Total Nickel</t>
  </si>
  <si>
    <t>Total Organic Carbon</t>
  </si>
  <si>
    <t>Total Palladium</t>
  </si>
  <si>
    <t>Total PCBs</t>
  </si>
  <si>
    <t>Total Phenolics</t>
  </si>
  <si>
    <t>Total Phospate</t>
  </si>
  <si>
    <t>Total Platinum</t>
  </si>
  <si>
    <t>Total Potassium</t>
  </si>
  <si>
    <t>Total Priority Pollutants</t>
  </si>
  <si>
    <t>Total Purgeable Organics</t>
  </si>
  <si>
    <t>Total Residual Halogens</t>
  </si>
  <si>
    <t>Total Residual Oxidants</t>
  </si>
  <si>
    <t>Total Selenium</t>
  </si>
  <si>
    <t>Total Silver</t>
  </si>
  <si>
    <t>Total Sodium</t>
  </si>
  <si>
    <t>Total Solids</t>
  </si>
  <si>
    <t>Total Strontium</t>
  </si>
  <si>
    <t>Total Sulfide</t>
  </si>
  <si>
    <t>Total Tantalum</t>
  </si>
  <si>
    <t>Total Tellurium</t>
  </si>
  <si>
    <t>Total Thallium</t>
  </si>
  <si>
    <t>Total Tin</t>
  </si>
  <si>
    <t>Total Titanium</t>
  </si>
  <si>
    <t>Total Toxic Organics</t>
  </si>
  <si>
    <t>Total Tritium</t>
  </si>
  <si>
    <t>Total Tungsten</t>
  </si>
  <si>
    <t>Total Vanadium</t>
  </si>
  <si>
    <t>Total Volume</t>
  </si>
  <si>
    <t>Total Xylenes</t>
  </si>
  <si>
    <t>Total Zinc</t>
  </si>
  <si>
    <t>Toxaphene</t>
  </si>
  <si>
    <t>trans-1,2-Dichloroethylene</t>
  </si>
  <si>
    <t>trans-1,3-Dichloropropene</t>
  </si>
  <si>
    <t>Tributylamine</t>
  </si>
  <si>
    <t>Trichloroethylene</t>
  </si>
  <si>
    <t>Trichlorofluoromethane</t>
  </si>
  <si>
    <t>Trichlorosyringol</t>
  </si>
  <si>
    <t>Triethylamine</t>
  </si>
  <si>
    <t>Trihalomethanes</t>
  </si>
  <si>
    <t>Trimethyl Benzene</t>
  </si>
  <si>
    <t>Trimethylorthoacetate</t>
  </si>
  <si>
    <t>Trimethylorthoformate</t>
  </si>
  <si>
    <t>Tripropylorthoformate</t>
  </si>
  <si>
    <t>Tris(2,3-Dibromopropyl)Phosphate</t>
  </si>
  <si>
    <t>TRPH</t>
  </si>
  <si>
    <t>TSS % Removal</t>
  </si>
  <si>
    <t>Turbidity</t>
  </si>
  <si>
    <t>Ultimate Oxygen Demand</t>
  </si>
  <si>
    <t>Urea</t>
  </si>
  <si>
    <t>UV Dosage</t>
  </si>
  <si>
    <t>UV Intensity</t>
  </si>
  <si>
    <t>UV Transmittance</t>
  </si>
  <si>
    <t>Vinyl Chloride</t>
  </si>
  <si>
    <t xml:space="preserve">Parameter </t>
  </si>
  <si>
    <t xml:space="preserve">Stage </t>
  </si>
  <si>
    <t>Step 3 - determine max avg wkly conc statistics</t>
  </si>
  <si>
    <t>No. Results (Month)</t>
  </si>
  <si>
    <t>Sum (Week 1)</t>
  </si>
  <si>
    <t>Sum (Month)</t>
  </si>
  <si>
    <t>All Results &lt; (Month)</t>
  </si>
  <si>
    <t>Sum (Week 2)</t>
  </si>
  <si>
    <t>Sum (Week 3)</t>
  </si>
  <si>
    <t>Sum (Week 4)</t>
  </si>
  <si>
    <t>Sum (Week 5)</t>
  </si>
  <si>
    <t>Use &gt; symbol for Geo Mean</t>
  </si>
  <si>
    <t>Sum</t>
  </si>
  <si>
    <t>Step 7 - transform data for bacteria "&gt;" results</t>
  </si>
  <si>
    <t>Use &gt; for Max?</t>
  </si>
  <si>
    <t>Use &gt; for Min?</t>
  </si>
  <si>
    <t>Limits Worksheet</t>
  </si>
  <si>
    <t>1.</t>
  </si>
  <si>
    <t>2.</t>
  </si>
  <si>
    <t>3.</t>
  </si>
  <si>
    <t>Paper and electronic DMRs contain five columns or fields for data entry.  In the Limits worksheet, the columns are named "Load 1", "Load 2", "Conc 1", "Conc 2", and "Conc 3".  Enter permit limit values in the row for "LIMIT" and the appropriate column.  If there is a "Monitor &amp; Report" requirement only, type "Report".  If there is no limit or monitoring required for the column, leave it blank.  You can also select Statistical Codes from the lists below each limit field, though this is not required.</t>
  </si>
  <si>
    <t>Enter Facility Name, Municipality, County (select from list), Watershed No., Month (select number from list), Year (select from list), Permit No., and Permit Expiration Date (leave blank if not applicable).  Also, report all laboratories where samples were analyzed during the month, including on-site analysis.</t>
  </si>
  <si>
    <t>If you have entered a limit value for either Load 1 or Load 2 for a parameter, you must select a value for Units in the "Quantity or Loading" column.  If you have entered a limit value for either Conc 1, Conc 2 or Conc 3 for a parameter, you must select a value for Units in the "Quality or Concentration" column.  If a parameter does not, for example, have a limit value (including "Report") for Load 1 or Load 2, the Units value may remain blank.</t>
  </si>
  <si>
    <t>4.</t>
  </si>
  <si>
    <t>In the column named "Parameter / Stage", select each parameter and its associated stage (monitoring location) from your permit or eDMR report that corresponds to the selected Outfall.  Parameter names include the Parameter Code in parentheses.  Common parameters are listed first, and then are listed alphabetically.  Up to 30 parameters, including Flow, can be selected per Outfall.  Stage names include the Stage Code in parentheses.  Codes are shown to help you match your selections with the eDMR data entry screen.  In the event a parameter or stage on your eDMR report is not available, please contact DEP at (717) 787-6744.  It is assumed that Flow - Final Effluent is in your permit.  This assumption is necessary for loading calculations, where applicable.  If you are not required to measure flow in your permit for the outfall, please ignore it.  If you are required to monitor a bacterial parameter (e.g., Fecal Coliform), it is recommended that you select this parameter immediately below "Flow" as explained below (No. 3, Daily Effluent Monitoring Worksheet).</t>
  </si>
  <si>
    <t>Parameters (abbreviated), stages (stage code), and units will be displayed in the order selected on the Limits worksheet.  The Qualifier ("Q") columns allow you to select the "&lt;" symbol.  In addition, the first "Q" column to the right of Flow allows you to select the "&lt;" symbol as well as the "&gt;" symbol.  By policy, DEP accepts the use of the "&gt;" symbol only for bacterial results.  Therefore, if you have a bacterial parameter in your permit, it is recommended that you select it after Flow in the Limits worksheet.</t>
  </si>
  <si>
    <t>5.</t>
  </si>
  <si>
    <t>6.</t>
  </si>
  <si>
    <t>Notes:</t>
  </si>
  <si>
    <t>Enter the Outfall Number from your permit or eDMR report.</t>
  </si>
  <si>
    <t>N-Nitrosodimethylamine (34438)</t>
  </si>
  <si>
    <t>N-Nitrosodi-N-Propylamine (34428)</t>
  </si>
  <si>
    <t>*****</t>
  </si>
  <si>
    <t>Ch 16 DL</t>
  </si>
  <si>
    <t>Reference Data</t>
  </si>
  <si>
    <t>&lt; Ch 16 DL Flag</t>
  </si>
  <si>
    <t>Ch16DLmg/l</t>
  </si>
  <si>
    <t>N-Nitrosodiphenylamine (34433)</t>
  </si>
  <si>
    <t>n-Octadecane (77804)</t>
  </si>
  <si>
    <t>n-Octane (77183)</t>
  </si>
  <si>
    <t>n-Propyl Bromide (51572)</t>
  </si>
  <si>
    <t>n-Propylbenzene (77224)</t>
  </si>
  <si>
    <t>o-Cresol (51046)</t>
  </si>
  <si>
    <t>Octachlorocyclopentene (77889)</t>
  </si>
  <si>
    <t>Oil and Grease (556)</t>
  </si>
  <si>
    <t>Orthophosphate (4175)</t>
  </si>
  <si>
    <t>Osmotic Pressure (82550)</t>
  </si>
  <si>
    <t>Oxalic Acid (77081)</t>
  </si>
  <si>
    <t>Ozone, Residual (387)</t>
  </si>
  <si>
    <t>Particulate Organic Carbon (51599)</t>
  </si>
  <si>
    <t>PCB-1016 (34671)</t>
  </si>
  <si>
    <t>PCB-1221 (39488)</t>
  </si>
  <si>
    <t>PCB-1232 (39492)</t>
  </si>
  <si>
    <t>PCB-1242 (39496)</t>
  </si>
  <si>
    <t>PCB-1248 (39500)</t>
  </si>
  <si>
    <t>PCB-1254 (39504)</t>
  </si>
  <si>
    <t>PCB-1260 (39508)</t>
  </si>
  <si>
    <t>PCBs (Dry Weather) (51557)</t>
  </si>
  <si>
    <t>PCBs (Wet Weather) (51556)</t>
  </si>
  <si>
    <t>P-Chloroaniline (73529)</t>
  </si>
  <si>
    <t>p-Chloro-m-Cresol (34452)</t>
  </si>
  <si>
    <t>p-Cresol (77146)</t>
  </si>
  <si>
    <t>Pentachlorobenzene (77793)</t>
  </si>
  <si>
    <t>Pentachlorophenol (39032)</t>
  </si>
  <si>
    <t>Phenanthrene (34461)</t>
  </si>
  <si>
    <t>Phenol (34694)</t>
  </si>
  <si>
    <t>Phthalic Anhydride (77453)</t>
  </si>
  <si>
    <t>Polybrominated Biphenyls (39521)</t>
  </si>
  <si>
    <t>Polynuclear Aromatic Hydrocarbons (22456)</t>
  </si>
  <si>
    <t>Potassium Permanganate (51068)</t>
  </si>
  <si>
    <t>p-Phenolsulfonic acid (51340)</t>
  </si>
  <si>
    <t>Propionic Acid (77031)</t>
  </si>
  <si>
    <t>Propylene Glycol (61163)</t>
  </si>
  <si>
    <t>Purgeable Aromatics (Method 602) (3771)</t>
  </si>
  <si>
    <t>Purgeable Halocarbons (39084)</t>
  </si>
  <si>
    <t>p-Xylene (34728)</t>
  </si>
  <si>
    <t>Pyrene (34469)</t>
  </si>
  <si>
    <t>Pyridine (77045)</t>
  </si>
  <si>
    <t>Radium-226 and Radium-228, Total (11503)</t>
  </si>
  <si>
    <t>Rainfall (in) (46529)</t>
  </si>
  <si>
    <t>Resorcinol (77164)</t>
  </si>
  <si>
    <t>Specific Conductance (95)</t>
  </si>
  <si>
    <t>Spectrus CT 1300 (51030)</t>
  </si>
  <si>
    <t>Spectrus OX 1200 (51497)</t>
  </si>
  <si>
    <t>Spinosad (DE-105) (51006)</t>
  </si>
  <si>
    <t>Stream Flow, End of Discharge (51579)</t>
  </si>
  <si>
    <t>Stream Flow, Start of Discharge (51578)</t>
  </si>
  <si>
    <t>Styrene (81708)</t>
  </si>
  <si>
    <t>Sulfate (945)</t>
  </si>
  <si>
    <t>Sulfite (740)</t>
  </si>
  <si>
    <t>Surfynol 104E (51176)</t>
  </si>
  <si>
    <t>Syltherm (51075)</t>
  </si>
  <si>
    <t>t-Amyl Methyl Ether (22421)</t>
  </si>
  <si>
    <t>t-Butyl Alcohol (51071)</t>
  </si>
  <si>
    <t>Temperature (°F) (11)</t>
  </si>
  <si>
    <t>Temperature Delta (Discharge - Intake) (°F) (18)</t>
  </si>
  <si>
    <t>Tetrachlorocatechol (73050)</t>
  </si>
  <si>
    <t>Tetrachloroethylene (34475)</t>
  </si>
  <si>
    <t>Tetrachloroguaiacol (73047)</t>
  </si>
  <si>
    <t>Tetrahydrofuran (81607)</t>
  </si>
  <si>
    <t>Tetramethylurea (49890)</t>
  </si>
  <si>
    <t>Toluene (34010)</t>
  </si>
  <si>
    <t>Total Acidity (as CaCO3) (435)</t>
  </si>
  <si>
    <t>Total Alkalinity (as CaCO3) (410)</t>
  </si>
  <si>
    <t>Total Aluminum (1105)</t>
  </si>
  <si>
    <t>Total Antimony (1097)</t>
  </si>
  <si>
    <t>Total Arsenic (1002)</t>
  </si>
  <si>
    <t>Total Barium (1007)</t>
  </si>
  <si>
    <t>Total Beryllium (1012)</t>
  </si>
  <si>
    <t>Total Beta (3501)</t>
  </si>
  <si>
    <t>Total Boron (1022)</t>
  </si>
  <si>
    <t>Total BTEX (30383)</t>
  </si>
  <si>
    <t>Total Cadmium (1027)</t>
  </si>
  <si>
    <t>Total Calcium (916)</t>
  </si>
  <si>
    <t>Total Chlorides and sulfates (82209)</t>
  </si>
  <si>
    <t>Total Chromium (1034)</t>
  </si>
  <si>
    <t>Total Chromium (III) (1033)</t>
  </si>
  <si>
    <t>Total Cobalt (1037)</t>
  </si>
  <si>
    <t>Total Coliform (74056)</t>
  </si>
  <si>
    <t>Total Copper (1042)</t>
  </si>
  <si>
    <t>Total Cyanide (720)</t>
  </si>
  <si>
    <t>Total DDT (39370)</t>
  </si>
  <si>
    <t>Total Dissolved Solids (70295)</t>
  </si>
  <si>
    <t>Total Glycol (49489)</t>
  </si>
  <si>
    <t>Total Gold (71910)</t>
  </si>
  <si>
    <t>Average Weekly Statistics</t>
  </si>
  <si>
    <t>Week 1 (Conc):</t>
  </si>
  <si>
    <t>Week 2 (Conc):</t>
  </si>
  <si>
    <t>Week 3 (Conc):</t>
  </si>
  <si>
    <t>Week 4 (Conc):</t>
  </si>
  <si>
    <t>Week 5 (Conc):</t>
  </si>
  <si>
    <t>Week 1 (Load):</t>
  </si>
  <si>
    <t>Week 2 (Load):</t>
  </si>
  <si>
    <t>Week 3 (Load):</t>
  </si>
  <si>
    <t>Week 4 (Load):</t>
  </si>
  <si>
    <t>Week 5 (Load):</t>
  </si>
  <si>
    <t>Total Iron (1045)</t>
  </si>
  <si>
    <t>Total Kjeldahl Nitrogen (625)</t>
  </si>
  <si>
    <t>Total Lead (1051)</t>
  </si>
  <si>
    <t>Total Lithium (1132)</t>
  </si>
  <si>
    <t>Total Magnesium (927)</t>
  </si>
  <si>
    <t>Total Manganese (1055)</t>
  </si>
  <si>
    <t>Total Mercury (71900)</t>
  </si>
  <si>
    <t>Total Methanol (77885)</t>
  </si>
  <si>
    <t>Total Molybdenum (1062)</t>
  </si>
  <si>
    <t>Total Nickel (1067)</t>
  </si>
  <si>
    <t>Total Organic Carbon (680)</t>
  </si>
  <si>
    <t>Total Palladium (1210)</t>
  </si>
  <si>
    <t>Total PCBs (39516)</t>
  </si>
  <si>
    <t>Total Phenolics (32730)</t>
  </si>
  <si>
    <t>Total Phospate (650)</t>
  </si>
  <si>
    <t>Total Platinum (1171)</t>
  </si>
  <si>
    <t>Total Potassium (937)</t>
  </si>
  <si>
    <t>Total Priority Pollutants (50008)</t>
  </si>
  <si>
    <t>Total Purgeable Organics (76029)</t>
  </si>
  <si>
    <t>Total Residual Halogens (61194)</t>
  </si>
  <si>
    <t>Total Residual Oxidants (34044)</t>
  </si>
  <si>
    <t>Total Selenium (1147)</t>
  </si>
  <si>
    <t>Total Silver (1077)</t>
  </si>
  <si>
    <t>Total Sodium (929)</t>
  </si>
  <si>
    <t>Total Solids (500)</t>
  </si>
  <si>
    <t>Total Strontium (1082)</t>
  </si>
  <si>
    <t>Total Sulfide (745)</t>
  </si>
  <si>
    <t>Total Tantalum (82318)</t>
  </si>
  <si>
    <t>Total Tellurium (1064)</t>
  </si>
  <si>
    <t>Total Thallium (1059)</t>
  </si>
  <si>
    <t>Total Tin (1102)</t>
  </si>
  <si>
    <t>Total Titanium (1152)</t>
  </si>
  <si>
    <t>Total Toxic Organics (78141)</t>
  </si>
  <si>
    <t>Total Tritium (82126)</t>
  </si>
  <si>
    <t>Total Tungsten (1154)</t>
  </si>
  <si>
    <t>Total Vanadium (1087)</t>
  </si>
  <si>
    <t>Total Volume (52370)</t>
  </si>
  <si>
    <t>Total Xylenes (81551)</t>
  </si>
  <si>
    <t>Total Zinc (1092)</t>
  </si>
  <si>
    <t>Toxaphene (39400)</t>
  </si>
  <si>
    <t>trans-1,2-Dichloroethylene (34546)</t>
  </si>
  <si>
    <t>trans-1,3-Dichloropropene (34699)</t>
  </si>
  <si>
    <t>Tributylamine (78734)</t>
  </si>
  <si>
    <t>Trichloroethylene (39180)</t>
  </si>
  <si>
    <t>Trichlorofluoromethane (34488)</t>
  </si>
  <si>
    <t>Trichlorosyringol (73054)</t>
  </si>
  <si>
    <t>Triethylamine (77111)</t>
  </si>
  <si>
    <t>Trihalomethanes (82080)</t>
  </si>
  <si>
    <t>Trimethyl Benzene (78136)</t>
  </si>
  <si>
    <t>Trimethylorthoacetate (50022)</t>
  </si>
  <si>
    <t>Trimethylorthoformate (51076)</t>
  </si>
  <si>
    <t>Tripropylorthoformate (50021)</t>
  </si>
  <si>
    <t>Tris(2,3-Dibromopropyl)Phosphate (22410)</t>
  </si>
  <si>
    <t>TRPH (45501)</t>
  </si>
  <si>
    <t>TSS % Removal (81011)</t>
  </si>
  <si>
    <t>Turbidity (NTU) (70)</t>
  </si>
  <si>
    <t>Ultimate Oxygen Demand (181)</t>
  </si>
  <si>
    <t>Urea (71800)</t>
  </si>
  <si>
    <t>UV Dosage (61938)</t>
  </si>
  <si>
    <t>UV Intensity (49607)</t>
  </si>
  <si>
    <t>UV Transmittance (%) (51043)</t>
  </si>
  <si>
    <t>Vinyl Chloride (39175)</t>
  </si>
  <si>
    <t>Ambient (=)</t>
  </si>
  <si>
    <t>Intake (0)</t>
  </si>
  <si>
    <t>Intake - Day 1 thru 15 (0B)</t>
  </si>
  <si>
    <t>Intake - Day 16 thru End of Month (0E)</t>
  </si>
  <si>
    <t>Final Effluent (1)</t>
  </si>
  <si>
    <t>Effluent Net (2)</t>
  </si>
  <si>
    <t>Downstream Monitoring (6)</t>
  </si>
  <si>
    <t>Prior to Disinfection (B )</t>
  </si>
  <si>
    <t>Final Effluent - Day 1 thru 15 (BM)</t>
  </si>
  <si>
    <t>Final Effluent - Day 16 thru End of Month (EM)</t>
  </si>
  <si>
    <t>Influent (G )</t>
  </si>
  <si>
    <t>Groundwater (G2)</t>
  </si>
  <si>
    <t>Industrial Influent (II)</t>
  </si>
  <si>
    <t>Instream Monitoring (IM)</t>
  </si>
  <si>
    <t>Percent Removal (K )</t>
  </si>
  <si>
    <t>Prior to Irrigation (PI)</t>
  </si>
  <si>
    <t>Prior to Reuse (PR)</t>
  </si>
  <si>
    <t>Internal Monitoring Point (R )</t>
  </si>
  <si>
    <t>Raw Sewage Influent (RI)</t>
  </si>
  <si>
    <t>Other Stormwater (SW)</t>
  </si>
  <si>
    <t>Average</t>
  </si>
  <si>
    <t>Average Monthly</t>
  </si>
  <si>
    <t>Daily Average</t>
  </si>
  <si>
    <t>Daily Minimum</t>
  </si>
  <si>
    <t>Daily Maximum</t>
  </si>
  <si>
    <t>Daily Minimum Average</t>
  </si>
  <si>
    <t>Geometric Mean</t>
  </si>
  <si>
    <t>Instantaneous Maximum</t>
  </si>
  <si>
    <t>Instantaneous Minimum</t>
  </si>
  <si>
    <t>Maximum</t>
  </si>
  <si>
    <t>Minimum Monthly % Removal</t>
  </si>
  <si>
    <t>Minimum</t>
  </si>
  <si>
    <t>Total Monthly</t>
  </si>
  <si>
    <t>Weekly Average</t>
  </si>
  <si>
    <t>Load 2</t>
  </si>
  <si>
    <t>Conc 1</t>
  </si>
  <si>
    <t>Conc 2</t>
  </si>
  <si>
    <t>Conc 3</t>
  </si>
  <si>
    <t>lbs/mo</t>
  </si>
  <si>
    <t>CFU/100 ml</t>
  </si>
  <si>
    <t>mjoule/cm²</t>
  </si>
  <si>
    <t>minutes</t>
  </si>
  <si>
    <t>(Note - Flow is assumed.  If it does not apply, please ignore).</t>
  </si>
  <si>
    <t>Month:</t>
  </si>
  <si>
    <t>Year:</t>
  </si>
  <si>
    <t xml:space="preserve"> </t>
  </si>
  <si>
    <t>Week</t>
  </si>
  <si>
    <t>Date</t>
  </si>
  <si>
    <t>Facility Name:</t>
  </si>
  <si>
    <t>Municipality:</t>
  </si>
  <si>
    <t>County:</t>
  </si>
  <si>
    <t>Outfall:</t>
  </si>
  <si>
    <t>Watershed:</t>
  </si>
  <si>
    <t>Prepared By:</t>
  </si>
  <si>
    <t>License No.:</t>
  </si>
  <si>
    <t>Title:</t>
  </si>
  <si>
    <t>Date:</t>
  </si>
  <si>
    <t xml:space="preserve"> Day</t>
  </si>
  <si>
    <t>SUPPLEMENTAL REPORT</t>
  </si>
  <si>
    <t>Permit No.:</t>
  </si>
  <si>
    <t>INSTRUCTIONS FOR COMPLETING</t>
  </si>
  <si>
    <t>Type the name of the person who prepared the form, the person's job title, DEP License No. (if applicable), and date the form was completed after reading the certification statement.</t>
  </si>
  <si>
    <t>DAILY EFFLUENT MONITORING</t>
  </si>
  <si>
    <t>Flow</t>
  </si>
  <si>
    <t>MGD</t>
  </si>
  <si>
    <t>mg/L</t>
  </si>
  <si>
    <t>µg/L</t>
  </si>
  <si>
    <t>ng/L</t>
  </si>
  <si>
    <t>pg/L</t>
  </si>
  <si>
    <t>S.U.</t>
  </si>
  <si>
    <t>ºF</t>
  </si>
  <si>
    <t>°F/hr</t>
  </si>
  <si>
    <t>ºC</t>
  </si>
  <si>
    <t>MBTUs/day</t>
  </si>
  <si>
    <t>MBTUs/hr</t>
  </si>
  <si>
    <t>%</t>
  </si>
  <si>
    <t>TUa</t>
  </si>
  <si>
    <t>TUc</t>
  </si>
  <si>
    <t>CFU/100 mL</t>
  </si>
  <si>
    <t>No.</t>
  </si>
  <si>
    <t>Pt-Co Units</t>
  </si>
  <si>
    <r>
      <t>mjoules/cm</t>
    </r>
    <r>
      <rPr>
        <vertAlign val="superscript"/>
        <sz val="8"/>
        <rFont val="Arial"/>
        <family val="2"/>
      </rPr>
      <t>2</t>
    </r>
  </si>
  <si>
    <t>mOs/kg</t>
  </si>
  <si>
    <t>NTU</t>
  </si>
  <si>
    <t>µmhos/cm</t>
  </si>
  <si>
    <t>cfs</t>
  </si>
  <si>
    <t>gal</t>
  </si>
  <si>
    <t>pCi/L</t>
  </si>
  <si>
    <t>mg/kg</t>
  </si>
  <si>
    <t>µg/kg</t>
  </si>
  <si>
    <t>tons/day</t>
  </si>
  <si>
    <t>hours</t>
  </si>
  <si>
    <t>SVI</t>
  </si>
  <si>
    <t>&lt;</t>
  </si>
  <si>
    <t>&gt;</t>
  </si>
  <si>
    <t>Q</t>
  </si>
  <si>
    <t>SU</t>
  </si>
  <si>
    <t>C1</t>
  </si>
  <si>
    <t>C2</t>
  </si>
  <si>
    <t>lbs</t>
  </si>
  <si>
    <t>lbs/day</t>
  </si>
  <si>
    <t>Parameter</t>
  </si>
  <si>
    <t xml:space="preserve">Total Monthly (Load):  </t>
  </si>
  <si>
    <t xml:space="preserve">Max Avg Weekly (Load):  </t>
  </si>
  <si>
    <t xml:space="preserve">Avg Monthly (Load):  </t>
  </si>
  <si>
    <t xml:space="preserve">Daily Maximum (Conc):   </t>
  </si>
  <si>
    <t xml:space="preserve">Daily Maximum (Load):   </t>
  </si>
  <si>
    <t xml:space="preserve">Daily Minimum (Conc.):   </t>
  </si>
  <si>
    <t xml:space="preserve">Daily Minimum (Load):   </t>
  </si>
  <si>
    <t>At Least 1 &lt; (Week 1)</t>
  </si>
  <si>
    <t>At Least 1 &lt; (Week 2)</t>
  </si>
  <si>
    <t>At Least 1 &lt; (Week 3)</t>
  </si>
  <si>
    <t>At Least 1 &lt; (Week 4)</t>
  </si>
  <si>
    <t>At Least 1 &lt; (Week 5)</t>
  </si>
  <si>
    <t>At Least 1 &lt; (Month)</t>
  </si>
  <si>
    <t>&gt; for Bacteria only (2nd column)</t>
  </si>
  <si>
    <t>Week 1 Adj</t>
  </si>
  <si>
    <t>Week 2 Adj</t>
  </si>
  <si>
    <t>Week 3 Adj</t>
  </si>
  <si>
    <t>Week 4 Adj</t>
  </si>
  <si>
    <t>Week 5 Adj</t>
  </si>
  <si>
    <t>Step 2 - determine final values for concentration average statistics; full RL or 0 for non-detects</t>
  </si>
  <si>
    <t>Step 8 - determine max and min concentrations</t>
  </si>
  <si>
    <t>Step 9 - determine max and min loads</t>
  </si>
  <si>
    <t>Final Max:</t>
  </si>
  <si>
    <t>Final Min:</t>
  </si>
  <si>
    <t>Step 4 - determine max avg wkly load statistics</t>
  </si>
  <si>
    <t>Final Wkly Avg</t>
  </si>
  <si>
    <t>Step 5 - Determine raw loading data</t>
  </si>
  <si>
    <t>Step 6 - Determine final loading statistics for Avg and Total Monthly</t>
  </si>
  <si>
    <t>Decimal Places</t>
  </si>
  <si>
    <t>Westmoreland</t>
  </si>
  <si>
    <t>Snyder</t>
  </si>
  <si>
    <t>Venango</t>
  </si>
  <si>
    <t>Washington</t>
  </si>
  <si>
    <t>Sullivan</t>
  </si>
  <si>
    <t>Tioga</t>
  </si>
  <si>
    <t>York</t>
  </si>
  <si>
    <t>This spreadsheet is used for recording daily sample results for effluent (although other stages can be selected), and includes DEP-approved calculations and handling of rounding and significant figures for reporting*.  The calculations are provided for convenience and do not automatically populate into online eDMR reports.</t>
  </si>
  <si>
    <r>
      <t xml:space="preserve">On each day in which a sample is collected for analysis, enter the result in the column corresponding to the parameter analyzed.  </t>
    </r>
    <r>
      <rPr>
        <b/>
        <sz val="10"/>
        <rFont val="Arial"/>
        <family val="2"/>
      </rPr>
      <t>Enter the result exactly as reported by the laboratory or determined by on-site equipment</t>
    </r>
    <r>
      <rPr>
        <sz val="10"/>
        <rFont val="Arial"/>
        <family val="2"/>
      </rPr>
      <t>.  If the result is reported as a "non-detect" result, enter the laboratory's reporting limit for the result and select the "less than" (&lt;) symbol from the lists in the "Q" columns.  For bacteria, if the result is "0", enter "1".</t>
    </r>
  </si>
  <si>
    <t>Statistics are computed at the bottom of the form.  If a limit value exists for the statistic, the decimal places of the statistic will match that of the limit.  If a limit value does not exist, the statistic will present the maximum number of decimal places from the reported results.  Note - for maximum weekly average results, week 5 is not included in the results unless week 5 is a full week (7 days).</t>
  </si>
  <si>
    <t>Step 1 - Evaluate non-detects in data set (to determine whether to use &lt; symbol in statistics) - use when limit &gt;= most sensitive DL</t>
  </si>
  <si>
    <t>Limit &lt; DL?</t>
  </si>
  <si>
    <t>DL</t>
  </si>
  <si>
    <t>Step 10 - Evaluate non-detects in data set (to determine whether to use &lt; symbol in statistics) - use when limit &lt; most sensitive DL</t>
  </si>
  <si>
    <t>Include &lt; for Avg Mo (Final)?</t>
  </si>
  <si>
    <t>Max Conc Week No.</t>
  </si>
  <si>
    <t>No. Results (Week 1)</t>
  </si>
  <si>
    <t>All Results &lt; (Week 1)</t>
  </si>
  <si>
    <t>No. Results (Week 2)</t>
  </si>
  <si>
    <t>All Results &lt; (Week 2)</t>
  </si>
  <si>
    <t>All Results &lt; (Week 3)</t>
  </si>
  <si>
    <t>No. Results (Week 3)</t>
  </si>
  <si>
    <t>No. Results (Week 4)</t>
  </si>
  <si>
    <t>All Results &lt; (Week 4)</t>
  </si>
  <si>
    <t>No. Results (Week 5)</t>
  </si>
  <si>
    <t>All Results &lt; (Week 5)</t>
  </si>
  <si>
    <t>Include &lt; (Step 10 only)?</t>
  </si>
  <si>
    <t>No. "A" (Limit &lt; DL, Value "&lt;" and &lt;= DL) - Month</t>
  </si>
  <si>
    <t>No. "B" (Limit &lt; DL, Value "&lt;" and &gt; DL) - Month</t>
  </si>
  <si>
    <t>No. "C" (Limit &lt; DL, Value not "&lt;") - Month</t>
  </si>
  <si>
    <t>No. "A" (Limit &lt; DL, Value "&lt;" and &lt;= DL) - Max Week</t>
  </si>
  <si>
    <t>No. "B" (Limit &lt; DL, Value "&lt;" and &gt; DL) - Max Week</t>
  </si>
  <si>
    <t>No. "C" (Limit &lt; DL, Value not "&lt;") - Max Week</t>
  </si>
  <si>
    <t>Include &lt; for Avg Wkly (Conc) (Final)?</t>
  </si>
  <si>
    <t>Max Load Week No.</t>
  </si>
  <si>
    <t>Include &lt; for Avg Wkly (Load) (Final)?</t>
  </si>
  <si>
    <t>For Average Weekly Statistics:</t>
  </si>
  <si>
    <t>No. "A" (Limit &lt; DL, Value "&lt;" and &lt;= DL) - Week 1</t>
  </si>
  <si>
    <t>No. "B" (Limit &lt; DL, Value "&lt;" and &gt; DL) - Week 1</t>
  </si>
  <si>
    <t>No. "C" (Limit &lt; DL, Value not "&lt;") - Week 1</t>
  </si>
  <si>
    <t>Include &lt; for Avg Wkly 1 (Conc) (Final)?</t>
  </si>
  <si>
    <t>No. "A" (Limit &lt; DL, Value "&lt;" and &lt;= DL) - Week 2</t>
  </si>
  <si>
    <t>No. "B" (Limit &lt; DL, Value "&lt;" and &gt; DL) - Week 2</t>
  </si>
  <si>
    <t>No. "C" (Limit &lt; DL, Value not "&lt;") - Week 2</t>
  </si>
  <si>
    <t>Include &lt; for Avg Wkly 2 (Conc) (Final)?</t>
  </si>
  <si>
    <t>No. "A" (Limit &lt; DL, Value "&lt;" and &lt;= DL) - Week 3</t>
  </si>
  <si>
    <t>No. "B" (Limit &lt; DL, Value "&lt;" and &gt; DL) - Week 3</t>
  </si>
  <si>
    <t>No. "C" (Limit &lt; DL, Value not "&lt;") - Week 3</t>
  </si>
  <si>
    <t>No. "A" (Limit &lt; DL, Value "&lt;" and &lt;= DL) - Week 4</t>
  </si>
  <si>
    <t>No. "B" (Limit &lt; DL, Value "&lt;" and &gt; DL) - Week 4</t>
  </si>
  <si>
    <t>No. "C" (Limit &lt; DL, Value not "&lt;") - Week 4</t>
  </si>
  <si>
    <t>No. "A" (Limit &lt; DL, Value "&lt;" and &lt;= DL) - Week 5</t>
  </si>
  <si>
    <t>Include &lt; for Avg Wkly 3 (Conc) (Final)?</t>
  </si>
  <si>
    <t>Include &lt; for Avg Wkly 4 (Conc) (Final)?</t>
  </si>
  <si>
    <t>No. "B" (Limit &lt; DL, Value "&lt;" and &gt; DL) - Week 5</t>
  </si>
  <si>
    <t>No. "C" (Limit &lt; DL, Value not "&lt;") - Week 5</t>
  </si>
  <si>
    <t>Include &lt; for Avg Wkly 5 (Conc) (Final)?</t>
  </si>
  <si>
    <t>Report</t>
  </si>
  <si>
    <t>Flow (50050)</t>
  </si>
  <si>
    <t>3800-FM-BCW0435  3/2012</t>
  </si>
  <si>
    <t>3800-FM-BCW0435  3/2012, Instructions</t>
  </si>
  <si>
    <t>Haloacetic Acids</t>
  </si>
  <si>
    <t>Haloacetic Acids (51535)</t>
  </si>
  <si>
    <t>Monobromoacetic Acid (51606)</t>
  </si>
  <si>
    <t>Monobromoacetic Acid</t>
  </si>
  <si>
    <t>Monochloroacetic Acid (78213)</t>
  </si>
  <si>
    <t>Monochloroacetic Acid</t>
  </si>
  <si>
    <t>Dibromoacetic Acid (82721)</t>
  </si>
  <si>
    <t>Dibromoacetic Acid</t>
  </si>
  <si>
    <t>Dichloroacetic Acid (51605)</t>
  </si>
  <si>
    <t>Dichloroacetic Acid</t>
  </si>
  <si>
    <t>Trichloroacetic Acid (82723)</t>
  </si>
  <si>
    <t>Trichloroacetic Acid</t>
  </si>
  <si>
    <t>mW/cm²</t>
  </si>
  <si>
    <t>UV Functional</t>
  </si>
  <si>
    <t>Y/N</t>
  </si>
  <si>
    <t>C5</t>
  </si>
  <si>
    <t>If you have a requirement to report on the functioning of your ultraviolet disinfection (UV) system (i.e., "UV Functional" parameter), you should select units of "Y/N" in the Limits worksheet and report values of "1" for Yes (UV Functional) and "&lt; 1" for No (UV Not Functional) in the Daily worksheet.</t>
  </si>
  <si>
    <t>Net Alkalinity (51922)</t>
  </si>
  <si>
    <t xml:space="preserve">Net Alkalinity </t>
  </si>
  <si>
    <t>PFOA (51521)</t>
  </si>
  <si>
    <t>PFOA</t>
  </si>
  <si>
    <t>PFOS (51526)</t>
  </si>
  <si>
    <t>PFOS</t>
  </si>
  <si>
    <t>Total PFOA and PFOS (51526)</t>
  </si>
  <si>
    <t>Total PFOA and PFOS</t>
  </si>
  <si>
    <t>1,2,3,4-Tetrachlorobenzene (77736)</t>
  </si>
  <si>
    <t xml:space="preserve">1,2,3,4-Tetrachlorobenzene </t>
  </si>
  <si>
    <t>1,2,4,5-Tetrachlorobenzene (77734)</t>
  </si>
  <si>
    <t xml:space="preserve">1,2,4,5-Tetrachlorobenzene </t>
  </si>
  <si>
    <t>E. Coli (51040)</t>
  </si>
  <si>
    <t>E. Coli</t>
  </si>
  <si>
    <t>Total Inorganic Nitrogen (00640)</t>
  </si>
  <si>
    <t>Total Inorganic Nitrogen</t>
  </si>
  <si>
    <t>Nalco H150M (51698)</t>
  </si>
  <si>
    <t>Nalco H150M</t>
  </si>
  <si>
    <r>
      <t>* A</t>
    </r>
    <r>
      <rPr>
        <i/>
        <sz val="10"/>
        <rFont val="Arial"/>
        <family val="2"/>
      </rPr>
      <t>ll attempts have been made in developing this spreadsheet to follow procedures contained in "Discharge Monitoring Reports Overview and Summary" (3800-BK-DEP3047).  Please check the Supplemental Forms website for updates to this spreadsheet periodically and contact DEP at 717-787-2137 with questions.  If your permit requires that you follow different procedures, you must follow your permit.</t>
    </r>
  </si>
  <si>
    <t>µWsec/cm²</t>
  </si>
  <si>
    <t>mWsec/cm²</t>
  </si>
  <si>
    <t>Total Organic Halogens (52120)</t>
  </si>
  <si>
    <t>tert-Butylbenzene (77353)</t>
  </si>
  <si>
    <t xml:space="preserve">tert-Butylbenzene </t>
  </si>
  <si>
    <t>sec-Butylbenzene (77350)</t>
  </si>
  <si>
    <t xml:space="preserve">sec-Butylbenzene </t>
  </si>
  <si>
    <t xml:space="preserve">Total Organic Halogens </t>
  </si>
  <si>
    <t>HFPO-DA (52612)</t>
  </si>
  <si>
    <t>HFPO-DA</t>
  </si>
  <si>
    <t>PFBS (52602)</t>
  </si>
  <si>
    <t>PFBS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</si>
</sst>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
    <numFmt numFmtId="165" formatCode="[$-409]mmmm\ d\,\ yyyy;@"/>
    <numFmt numFmtId="166" formatCode="ddd"/>
    <numFmt numFmtId="167" formatCode="m/d/yy;@"/>
    <numFmt numFmtId="168" formatCode="0.000"/>
    <numFmt numFmtId="169" formatCode="###0.0####"/>
    <numFmt numFmtId="170" formatCode="###0.0###"/>
    <numFmt numFmtId="171" formatCode="###,###"/>
    <numFmt numFmtId="172" formatCode="#,##0.0000000"/>
    <numFmt numFmtId="173" formatCode="######0.0#########"/>
  </numFmts>
  <fonts count="46" x14ac:knownFonts="1">
    <font>
      <sz val="10"/>
      <name val="Arial"/>
    </font>
    <font>
      <sz val="10"/>
      <name val="Arial"/>
      <family val="2"/>
    </font>
    <font>
      <b/>
      <sz val="10"/>
      <name val="Arial"/>
      <family val="2"/>
    </font>
    <font>
      <b/>
      <sz val="8"/>
      <name val="Arial"/>
      <family val="2"/>
    </font>
    <font>
      <sz val="8"/>
      <name val="Arial"/>
      <family val="2"/>
    </font>
    <font>
      <sz val="8"/>
      <name val="Arial"/>
      <family val="2"/>
    </font>
    <font>
      <b/>
      <sz val="8"/>
      <name val="Arial"/>
      <family val="2"/>
    </font>
    <font>
      <i/>
      <sz val="8"/>
      <name val="Arial"/>
      <family val="2"/>
    </font>
    <font>
      <sz val="7"/>
      <name val="Arial"/>
      <family val="2"/>
    </font>
    <font>
      <b/>
      <sz val="11"/>
      <name val="Arial"/>
      <family val="2"/>
    </font>
    <font>
      <sz val="10"/>
      <name val="Arial"/>
      <family val="2"/>
    </font>
    <font>
      <b/>
      <sz val="7"/>
      <name val="Arial"/>
      <family val="2"/>
    </font>
    <font>
      <b/>
      <sz val="10"/>
      <name val="Arial"/>
      <family val="2"/>
    </font>
    <font>
      <sz val="10"/>
      <name val="Arial"/>
      <family val="2"/>
    </font>
    <font>
      <sz val="7"/>
      <name val="Arial"/>
      <family val="2"/>
    </font>
    <font>
      <sz val="6"/>
      <color indexed="9"/>
      <name val="Arial"/>
      <family val="2"/>
    </font>
    <font>
      <vertAlign val="superscript"/>
      <sz val="8"/>
      <name val="Arial"/>
      <family val="2"/>
    </font>
    <font>
      <b/>
      <sz val="7"/>
      <name val="Arial"/>
      <family val="2"/>
    </font>
    <font>
      <b/>
      <sz val="9"/>
      <name val="Arial"/>
      <family val="2"/>
    </font>
    <font>
      <sz val="8"/>
      <color indexed="81"/>
      <name val="Tahoma"/>
      <family val="2"/>
    </font>
    <font>
      <b/>
      <sz val="8"/>
      <color indexed="81"/>
      <name val="Arial"/>
      <family val="2"/>
    </font>
    <font>
      <b/>
      <u/>
      <sz val="10"/>
      <name val="Arial"/>
      <family val="2"/>
    </font>
    <font>
      <vertAlign val="subscript"/>
      <sz val="10"/>
      <name val="Arial"/>
      <family val="2"/>
    </font>
    <font>
      <i/>
      <sz val="10"/>
      <name val="Arial"/>
      <family val="2"/>
    </font>
    <font>
      <sz val="8"/>
      <name val="Arial"/>
      <family val="2"/>
    </font>
    <font>
      <b/>
      <sz val="8"/>
      <name val="Arial"/>
      <family val="2"/>
    </font>
    <font>
      <sz val="8"/>
      <color indexed="10"/>
      <name val="Arial"/>
      <family val="2"/>
    </font>
    <font>
      <sz val="9"/>
      <name val="Arial"/>
      <family val="2"/>
    </font>
    <font>
      <b/>
      <sz val="8"/>
      <color indexed="81"/>
      <name val="Tahoma"/>
      <family val="2"/>
    </font>
    <font>
      <sz val="8"/>
      <color indexed="10"/>
      <name val="Arial"/>
      <family val="2"/>
    </font>
    <font>
      <b/>
      <sz val="10"/>
      <color indexed="10"/>
      <name val="Arial"/>
      <family val="2"/>
    </font>
    <font>
      <vertAlign val="subscript"/>
      <sz val="8"/>
      <name val="Arial"/>
      <family val="2"/>
    </font>
    <font>
      <sz val="8"/>
      <color indexed="10"/>
      <name val="Arial"/>
      <family val="2"/>
    </font>
    <font>
      <b/>
      <sz val="10"/>
      <color indexed="10"/>
      <name val="Arial"/>
      <family val="2"/>
    </font>
    <font>
      <b/>
      <sz val="8"/>
      <color indexed="10"/>
      <name val="Arial"/>
      <family val="2"/>
    </font>
    <font>
      <sz val="10"/>
      <color indexed="10"/>
      <name val="Arial"/>
      <family val="2"/>
    </font>
    <font>
      <b/>
      <sz val="10"/>
      <color indexed="9"/>
      <name val="Arial"/>
      <family val="2"/>
    </font>
    <font>
      <b/>
      <sz val="7"/>
      <color indexed="9"/>
      <name val="Arial"/>
      <family val="2"/>
    </font>
    <font>
      <b/>
      <i/>
      <sz val="8"/>
      <color indexed="9"/>
      <name val="Arial"/>
      <family val="2"/>
    </font>
    <font>
      <sz val="6"/>
      <color indexed="10"/>
      <name val="Arial"/>
      <family val="2"/>
    </font>
    <font>
      <b/>
      <sz val="8"/>
      <color indexed="10"/>
      <name val="Arial"/>
      <family val="2"/>
    </font>
    <font>
      <sz val="7"/>
      <name val="Arial"/>
      <family val="2"/>
    </font>
    <font>
      <b/>
      <sz val="8"/>
      <color rgb="FFFF0000"/>
      <name val="Arial"/>
      <family val="2"/>
    </font>
    <font>
      <sz val="6"/>
      <color rgb="FFFF0000"/>
      <name val="Arial"/>
      <family val="2"/>
    </font>
    <font>
      <sz val="6"/>
      <name val="Arial"/>
      <family val="2"/>
    </font>
    <font>
      <b/>
      <sz val="6"/>
      <name val="Arial"/>
      <family val="2"/>
    </font>
  </fonts>
  <fills count="7">
    <fill>
      <patternFill patternType="none"/>
    </fill>
    <fill>
      <patternFill patternType="gray125"/>
    </fill>
    <fill>
      <patternFill patternType="solid">
        <fgColor indexed="9"/>
        <bgColor indexed="64"/>
      </patternFill>
    </fill>
    <fill>
      <patternFill patternType="solid">
        <fgColor indexed="56"/>
        <bgColor indexed="64"/>
      </patternFill>
    </fill>
    <fill>
      <patternFill patternType="solid">
        <fgColor indexed="55"/>
        <bgColor indexed="64"/>
      </patternFill>
    </fill>
    <fill>
      <patternFill patternType="solid">
        <fgColor theme="0"/>
        <bgColor indexed="64"/>
      </patternFill>
    </fill>
    <fill>
      <patternFill patternType="solid">
        <fgColor rgb="FF003366"/>
        <bgColor indexed="64"/>
      </patternFill>
    </fill>
  </fills>
  <borders count="83">
    <border>
      <left/>
      <right/>
      <top/>
      <bottom/>
      <diagonal/>
    </border>
    <border>
      <left style="thick">
        <color indexed="64"/>
      </left>
      <right/>
      <top/>
      <bottom/>
      <diagonal/>
    </border>
    <border>
      <left/>
      <right/>
      <top/>
      <bottom style="thick">
        <color indexed="64"/>
      </bottom>
      <diagonal/>
    </border>
    <border>
      <left style="double">
        <color indexed="64"/>
      </left>
      <right/>
      <top style="thick">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double">
        <color indexed="64"/>
      </left>
      <right style="thin">
        <color indexed="64"/>
      </right>
      <top/>
      <bottom style="hair">
        <color indexed="64"/>
      </bottom>
      <diagonal/>
    </border>
    <border>
      <left/>
      <right/>
      <top style="double">
        <color indexed="64"/>
      </top>
      <bottom/>
      <diagonal/>
    </border>
    <border>
      <left style="thick">
        <color indexed="64"/>
      </left>
      <right style="thin">
        <color indexed="64"/>
      </right>
      <top style="thick">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double">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double">
        <color indexed="64"/>
      </right>
      <top style="double">
        <color indexed="64"/>
      </top>
      <bottom style="thick">
        <color indexed="64"/>
      </bottom>
      <diagonal/>
    </border>
    <border>
      <left style="double">
        <color indexed="64"/>
      </left>
      <right/>
      <top/>
      <bottom style="thin">
        <color indexed="64"/>
      </bottom>
      <diagonal/>
    </border>
    <border>
      <left style="double">
        <color indexed="64"/>
      </left>
      <right style="thin">
        <color indexed="64"/>
      </right>
      <top style="medium">
        <color indexed="23"/>
      </top>
      <bottom style="thick">
        <color indexed="64"/>
      </bottom>
      <diagonal/>
    </border>
    <border>
      <left style="double">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double">
        <color indexed="64"/>
      </right>
      <top style="thin">
        <color indexed="64"/>
      </top>
      <bottom style="thick">
        <color indexed="64"/>
      </bottom>
      <diagonal/>
    </border>
    <border>
      <left style="double">
        <color indexed="64"/>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ck">
        <color indexed="64"/>
      </left>
      <right/>
      <top/>
      <bottom style="medium">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hair">
        <color indexed="64"/>
      </bottom>
      <diagonal/>
    </border>
    <border>
      <left/>
      <right style="thick">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right style="double">
        <color indexed="64"/>
      </right>
      <top/>
      <bottom/>
      <diagonal/>
    </border>
    <border>
      <left style="thin">
        <color indexed="64"/>
      </left>
      <right style="thin">
        <color indexed="64"/>
      </right>
      <top style="medium">
        <color indexed="23"/>
      </top>
      <bottom style="thick">
        <color indexed="64"/>
      </bottom>
      <diagonal/>
    </border>
    <border>
      <left style="thin">
        <color indexed="64"/>
      </left>
      <right style="double">
        <color indexed="64"/>
      </right>
      <top/>
      <bottom style="hair">
        <color indexed="64"/>
      </bottom>
      <diagonal/>
    </border>
    <border>
      <left style="thin">
        <color indexed="64"/>
      </left>
      <right style="double">
        <color indexed="64"/>
      </right>
      <top style="medium">
        <color indexed="23"/>
      </top>
      <bottom style="thick">
        <color indexed="64"/>
      </bottom>
      <diagonal/>
    </border>
    <border>
      <left style="medium">
        <color auto="1"/>
      </left>
      <right/>
      <top style="medium">
        <color auto="1"/>
      </top>
      <bottom/>
      <diagonal/>
    </border>
    <border>
      <left/>
      <right/>
      <top style="medium">
        <color auto="1"/>
      </top>
      <bottom/>
      <diagonal/>
    </border>
    <border>
      <left style="thin">
        <color indexed="64"/>
      </left>
      <right style="double">
        <color indexed="64"/>
      </right>
      <top style="thick">
        <color indexed="64"/>
      </top>
      <bottom style="hair">
        <color indexed="64"/>
      </bottom>
      <diagonal/>
    </border>
    <border>
      <left style="thin">
        <color indexed="64"/>
      </left>
      <right style="double">
        <color indexed="64"/>
      </right>
      <top style="hair">
        <color indexed="64"/>
      </top>
      <bottom style="thick">
        <color indexed="64"/>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486">
    <xf numFmtId="0" fontId="0" fillId="0" borderId="0" xfId="0"/>
    <xf numFmtId="0" fontId="4" fillId="0" borderId="0" xfId="0" applyFont="1"/>
    <xf numFmtId="0" fontId="4" fillId="0" borderId="0" xfId="0" applyFont="1" applyBorder="1"/>
    <xf numFmtId="0" fontId="4" fillId="0" borderId="0" xfId="0" applyFont="1" applyFill="1"/>
    <xf numFmtId="0" fontId="0" fillId="0" borderId="0" xfId="0" applyFill="1"/>
    <xf numFmtId="0" fontId="0" fillId="2" borderId="0" xfId="0" applyFill="1" applyBorder="1"/>
    <xf numFmtId="0" fontId="2" fillId="2" borderId="0" xfId="0" applyFont="1" applyFill="1" applyBorder="1" applyAlignment="1">
      <alignment horizontal="center"/>
    </xf>
    <xf numFmtId="0" fontId="4" fillId="0" borderId="0" xfId="0" applyFont="1" applyAlignment="1">
      <alignment horizontal="center"/>
    </xf>
    <xf numFmtId="0" fontId="4" fillId="0" borderId="0" xfId="0" applyFont="1" applyAlignment="1">
      <alignment horizontal="left"/>
    </xf>
    <xf numFmtId="0" fontId="0" fillId="2" borderId="0" xfId="0" applyFill="1" applyBorder="1" applyAlignment="1">
      <alignment horizontal="center"/>
    </xf>
    <xf numFmtId="0" fontId="3" fillId="0" borderId="0" xfId="0" applyFont="1" applyAlignment="1">
      <alignment horizontal="center"/>
    </xf>
    <xf numFmtId="0" fontId="2" fillId="2" borderId="0" xfId="0" applyFont="1" applyFill="1" applyBorder="1" applyAlignment="1">
      <alignment horizontal="center" vertical="center"/>
    </xf>
    <xf numFmtId="0" fontId="2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0" fillId="2" borderId="0" xfId="0" applyFill="1" applyBorder="1" applyAlignment="1">
      <alignment horizontal="left"/>
    </xf>
    <xf numFmtId="0" fontId="4" fillId="2" borderId="0" xfId="0" applyFont="1" applyFill="1" applyBorder="1" applyAlignment="1">
      <alignment horizontal="center"/>
    </xf>
    <xf numFmtId="0" fontId="0" fillId="0" borderId="0" xfId="0" applyAlignment="1">
      <alignment horizontal="left"/>
    </xf>
    <xf numFmtId="0" fontId="0" fillId="0" borderId="0" xfId="0" applyBorder="1"/>
    <xf numFmtId="0" fontId="0" fillId="0" borderId="0" xfId="0" applyFill="1" applyBorder="1"/>
    <xf numFmtId="0" fontId="0" fillId="0" borderId="1" xfId="0" applyFill="1" applyBorder="1" applyAlignment="1">
      <alignment horizontal="center"/>
    </xf>
    <xf numFmtId="0" fontId="4" fillId="0" borderId="2" xfId="0" applyFont="1" applyFill="1" applyBorder="1" applyAlignment="1">
      <alignment horizontal="center"/>
    </xf>
    <xf numFmtId="0" fontId="24" fillId="0" borderId="0" xfId="0" applyFont="1"/>
    <xf numFmtId="0" fontId="2" fillId="2" borderId="0" xfId="0" applyFont="1" applyFill="1" applyBorder="1" applyAlignment="1">
      <alignment horizontal="left"/>
    </xf>
    <xf numFmtId="0" fontId="18" fillId="0" borderId="0" xfId="0" applyFont="1" applyFill="1" applyBorder="1" applyAlignment="1" applyProtection="1">
      <alignment horizontal="left"/>
      <protection locked="0"/>
    </xf>
    <xf numFmtId="0" fontId="18" fillId="0" borderId="0" xfId="0" applyFont="1" applyFill="1" applyBorder="1" applyAlignment="1" applyProtection="1">
      <alignment horizontal="center"/>
      <protection locked="0"/>
    </xf>
    <xf numFmtId="0" fontId="0" fillId="0" borderId="0" xfId="0" applyBorder="1" applyAlignment="1">
      <alignment horizontal="center"/>
    </xf>
    <xf numFmtId="0" fontId="30" fillId="0" borderId="0" xfId="0" applyFont="1" applyBorder="1"/>
    <xf numFmtId="0" fontId="25" fillId="0" borderId="0" xfId="0" applyFont="1" applyFill="1" applyBorder="1" applyAlignment="1" applyProtection="1">
      <alignment horizontal="center"/>
      <protection locked="0"/>
    </xf>
    <xf numFmtId="0" fontId="24" fillId="0" borderId="0" xfId="0" applyFont="1" applyBorder="1" applyAlignment="1">
      <alignment horizontal="center"/>
    </xf>
    <xf numFmtId="169" fontId="4" fillId="0" borderId="3" xfId="0" applyNumberFormat="1" applyFont="1" applyFill="1" applyBorder="1" applyAlignment="1" applyProtection="1">
      <alignment horizontal="center"/>
      <protection locked="0"/>
    </xf>
    <xf numFmtId="169" fontId="4" fillId="0" borderId="4" xfId="0" applyNumberFormat="1" applyFont="1" applyFill="1" applyBorder="1" applyAlignment="1" applyProtection="1">
      <alignment horizontal="center"/>
      <protection locked="0"/>
    </xf>
    <xf numFmtId="169" fontId="4" fillId="0" borderId="5" xfId="0" applyNumberFormat="1" applyFont="1" applyFill="1" applyBorder="1" applyAlignment="1" applyProtection="1">
      <alignment horizontal="center"/>
      <protection locked="0"/>
    </xf>
    <xf numFmtId="0" fontId="33" fillId="0" borderId="0" xfId="0" applyFont="1"/>
    <xf numFmtId="0" fontId="3" fillId="0" borderId="0" xfId="0" applyFont="1" applyAlignment="1">
      <alignment horizontal="right"/>
    </xf>
    <xf numFmtId="0" fontId="34" fillId="0" borderId="0" xfId="0" applyFont="1" applyAlignment="1">
      <alignment horizontal="left"/>
    </xf>
    <xf numFmtId="0" fontId="0" fillId="2" borderId="6" xfId="0" applyFill="1" applyBorder="1" applyAlignment="1">
      <alignment horizontal="center"/>
    </xf>
    <xf numFmtId="0" fontId="0" fillId="2" borderId="7" xfId="0" applyFill="1" applyBorder="1" applyAlignment="1">
      <alignment horizontal="center"/>
    </xf>
    <xf numFmtId="0" fontId="0" fillId="2" borderId="1" xfId="0" applyFill="1" applyBorder="1" applyAlignment="1">
      <alignment horizontal="center"/>
    </xf>
    <xf numFmtId="0" fontId="0" fillId="2" borderId="0" xfId="0" applyFill="1"/>
    <xf numFmtId="0" fontId="15" fillId="2" borderId="0" xfId="0" applyFont="1" applyFill="1" applyBorder="1" applyAlignment="1" applyProtection="1">
      <alignment horizontal="center"/>
    </xf>
    <xf numFmtId="0" fontId="6" fillId="2" borderId="0" xfId="0" applyFont="1" applyFill="1" applyBorder="1" applyAlignment="1">
      <alignment horizontal="left"/>
    </xf>
    <xf numFmtId="0" fontId="18" fillId="2" borderId="10" xfId="0" applyFont="1" applyFill="1" applyBorder="1" applyAlignment="1">
      <alignment horizontal="left"/>
    </xf>
    <xf numFmtId="169" fontId="3" fillId="0" borderId="11" xfId="0" applyNumberFormat="1" applyFont="1" applyFill="1" applyBorder="1" applyAlignment="1" applyProtection="1">
      <alignment horizontal="center"/>
      <protection locked="0"/>
    </xf>
    <xf numFmtId="173" fontId="4" fillId="0" borderId="12" xfId="0" applyNumberFormat="1" applyFont="1" applyFill="1" applyBorder="1" applyAlignment="1" applyProtection="1">
      <alignment horizontal="center"/>
      <protection locked="0"/>
    </xf>
    <xf numFmtId="169" fontId="3" fillId="0" borderId="12" xfId="0" applyNumberFormat="1" applyFont="1" applyFill="1" applyBorder="1" applyAlignment="1" applyProtection="1">
      <alignment horizontal="center"/>
      <protection locked="0"/>
    </xf>
    <xf numFmtId="169" fontId="3" fillId="0" borderId="13" xfId="0" applyNumberFormat="1" applyFont="1" applyFill="1" applyBorder="1" applyAlignment="1" applyProtection="1">
      <alignment horizontal="center"/>
      <protection locked="0"/>
    </xf>
    <xf numFmtId="173" fontId="4" fillId="0" borderId="13" xfId="0" applyNumberFormat="1" applyFont="1" applyFill="1" applyBorder="1" applyAlignment="1" applyProtection="1">
      <alignment horizontal="center"/>
      <protection locked="0"/>
    </xf>
    <xf numFmtId="0" fontId="4" fillId="0" borderId="14" xfId="0" applyFont="1" applyFill="1" applyBorder="1" applyAlignment="1" applyProtection="1">
      <alignment horizontal="center"/>
    </xf>
    <xf numFmtId="0" fontId="4" fillId="0" borderId="15" xfId="0" applyFont="1" applyFill="1" applyBorder="1" applyAlignment="1" applyProtection="1">
      <alignment horizontal="center"/>
    </xf>
    <xf numFmtId="0" fontId="4" fillId="0" borderId="16" xfId="0" applyFont="1" applyFill="1" applyBorder="1" applyAlignment="1" applyProtection="1">
      <alignment horizontal="center"/>
    </xf>
    <xf numFmtId="0" fontId="37" fillId="3" borderId="17" xfId="0" applyFont="1" applyFill="1" applyBorder="1" applyAlignment="1" applyProtection="1">
      <alignment horizontal="left"/>
    </xf>
    <xf numFmtId="0" fontId="37" fillId="3" borderId="17" xfId="0" applyFont="1" applyFill="1" applyBorder="1" applyAlignment="1" applyProtection="1">
      <alignment horizontal="center"/>
    </xf>
    <xf numFmtId="0" fontId="24" fillId="2" borderId="1" xfId="0" applyFont="1" applyFill="1" applyBorder="1" applyAlignment="1">
      <alignment horizontal="center"/>
    </xf>
    <xf numFmtId="0" fontId="4" fillId="0" borderId="0" xfId="0" applyFont="1" applyBorder="1" applyAlignment="1">
      <alignment horizontal="center"/>
    </xf>
    <xf numFmtId="0" fontId="3" fillId="0" borderId="18" xfId="0" applyNumberFormat="1" applyFont="1" applyFill="1" applyBorder="1" applyAlignment="1">
      <alignment horizontal="center"/>
    </xf>
    <xf numFmtId="0" fontId="3" fillId="0" borderId="11" xfId="0" applyNumberFormat="1" applyFont="1" applyFill="1" applyBorder="1" applyAlignment="1">
      <alignment horizontal="center"/>
    </xf>
    <xf numFmtId="0" fontId="3" fillId="0" borderId="19" xfId="0" applyNumberFormat="1" applyFont="1" applyFill="1" applyBorder="1" applyAlignment="1">
      <alignment horizontal="center"/>
    </xf>
    <xf numFmtId="0" fontId="3" fillId="0" borderId="12" xfId="0" applyNumberFormat="1" applyFont="1" applyFill="1" applyBorder="1" applyAlignment="1">
      <alignment horizontal="center"/>
    </xf>
    <xf numFmtId="0" fontId="3" fillId="0" borderId="20" xfId="0" applyNumberFormat="1" applyFont="1" applyFill="1" applyBorder="1" applyAlignment="1">
      <alignment horizontal="center"/>
    </xf>
    <xf numFmtId="0" fontId="3" fillId="0" borderId="21" xfId="0" applyNumberFormat="1" applyFont="1" applyFill="1" applyBorder="1" applyAlignment="1">
      <alignment horizontal="center"/>
    </xf>
    <xf numFmtId="0" fontId="37" fillId="3" borderId="22" xfId="0" applyFont="1" applyFill="1" applyBorder="1" applyAlignment="1" applyProtection="1">
      <alignment horizontal="left"/>
    </xf>
    <xf numFmtId="0" fontId="37" fillId="3" borderId="23" xfId="0" applyFont="1" applyFill="1" applyBorder="1" applyAlignment="1" applyProtection="1">
      <alignment horizontal="left"/>
    </xf>
    <xf numFmtId="172" fontId="37" fillId="3" borderId="23" xfId="0" applyNumberFormat="1" applyFont="1" applyFill="1" applyBorder="1" applyAlignment="1" applyProtection="1">
      <alignment horizontal="left"/>
    </xf>
    <xf numFmtId="171" fontId="37" fillId="3" borderId="23" xfId="0" applyNumberFormat="1" applyFont="1" applyFill="1" applyBorder="1" applyAlignment="1" applyProtection="1">
      <alignment horizontal="left"/>
    </xf>
    <xf numFmtId="0" fontId="4" fillId="2" borderId="2" xfId="0" applyFont="1" applyFill="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 xfId="0" applyFont="1" applyBorder="1" applyAlignment="1">
      <alignment horizontal="center"/>
    </xf>
    <xf numFmtId="0" fontId="4" fillId="0" borderId="26" xfId="0" applyFont="1" applyBorder="1" applyAlignment="1">
      <alignment horizontal="center"/>
    </xf>
    <xf numFmtId="0" fontId="4" fillId="0" borderId="2" xfId="0" applyFont="1" applyBorder="1" applyAlignment="1">
      <alignment horizontal="center"/>
    </xf>
    <xf numFmtId="0" fontId="26" fillId="0" borderId="0" xfId="0" applyFont="1" applyAlignment="1">
      <alignment horizontal="right"/>
    </xf>
    <xf numFmtId="0" fontId="25" fillId="0" borderId="0" xfId="0" applyFont="1" applyAlignment="1">
      <alignment horizontal="center"/>
    </xf>
    <xf numFmtId="0" fontId="24" fillId="0" borderId="6" xfId="0" applyFont="1" applyBorder="1" applyAlignment="1">
      <alignment horizontal="center"/>
    </xf>
    <xf numFmtId="0" fontId="24" fillId="0" borderId="7" xfId="0" applyFont="1" applyBorder="1" applyAlignment="1">
      <alignment horizontal="center"/>
    </xf>
    <xf numFmtId="0" fontId="24" fillId="0" borderId="1" xfId="0" applyFont="1" applyBorder="1"/>
    <xf numFmtId="0" fontId="24" fillId="0" borderId="0" xfId="0" applyFont="1" applyBorder="1"/>
    <xf numFmtId="0" fontId="24" fillId="0" borderId="1" xfId="0" applyFont="1" applyBorder="1" applyAlignment="1">
      <alignment horizontal="center"/>
    </xf>
    <xf numFmtId="0" fontId="24" fillId="0" borderId="1" xfId="0" applyNumberFormat="1" applyFont="1" applyBorder="1" applyAlignment="1">
      <alignment horizontal="center"/>
    </xf>
    <xf numFmtId="0" fontId="24" fillId="0" borderId="26" xfId="0" applyFont="1" applyBorder="1" applyAlignment="1">
      <alignment horizontal="center"/>
    </xf>
    <xf numFmtId="0" fontId="24" fillId="0" borderId="2" xfId="0" applyFont="1" applyBorder="1"/>
    <xf numFmtId="0" fontId="4" fillId="0" borderId="7" xfId="0" applyFont="1" applyFill="1" applyBorder="1" applyAlignment="1">
      <alignment horizontal="center"/>
    </xf>
    <xf numFmtId="0" fontId="3" fillId="0" borderId="1" xfId="0" applyFont="1" applyBorder="1" applyAlignment="1">
      <alignment horizontal="center"/>
    </xf>
    <xf numFmtId="0" fontId="3" fillId="0" borderId="0" xfId="0" applyFont="1" applyBorder="1" applyAlignment="1">
      <alignment horizontal="center"/>
    </xf>
    <xf numFmtId="173" fontId="4" fillId="0" borderId="1" xfId="0" applyNumberFormat="1" applyFont="1" applyBorder="1" applyAlignment="1">
      <alignment horizontal="center"/>
    </xf>
    <xf numFmtId="173" fontId="4" fillId="0" borderId="0" xfId="0" applyNumberFormat="1" applyFont="1" applyBorder="1" applyAlignment="1">
      <alignment horizontal="center"/>
    </xf>
    <xf numFmtId="173" fontId="3" fillId="0" borderId="1" xfId="0" applyNumberFormat="1" applyFont="1" applyBorder="1" applyAlignment="1">
      <alignment horizontal="center"/>
    </xf>
    <xf numFmtId="173" fontId="3" fillId="0" borderId="0" xfId="0" applyNumberFormat="1" applyFont="1" applyBorder="1" applyAlignment="1">
      <alignment horizontal="center"/>
    </xf>
    <xf numFmtId="0" fontId="3" fillId="0" borderId="26" xfId="0" applyFont="1" applyBorder="1" applyAlignment="1">
      <alignment horizontal="center"/>
    </xf>
    <xf numFmtId="0" fontId="3" fillId="0" borderId="2" xfId="0" applyFont="1" applyBorder="1" applyAlignment="1">
      <alignment horizontal="center"/>
    </xf>
    <xf numFmtId="0" fontId="4" fillId="0" borderId="6" xfId="0" applyFont="1" applyFill="1" applyBorder="1" applyAlignment="1">
      <alignment horizontal="center"/>
    </xf>
    <xf numFmtId="0" fontId="0" fillId="0" borderId="1" xfId="0" applyFill="1" applyBorder="1"/>
    <xf numFmtId="0" fontId="0" fillId="0" borderId="1" xfId="0" applyBorder="1"/>
    <xf numFmtId="0" fontId="4" fillId="0" borderId="26" xfId="0" applyFont="1" applyFill="1" applyBorder="1" applyAlignment="1">
      <alignment horizontal="center"/>
    </xf>
    <xf numFmtId="0" fontId="24" fillId="0" borderId="7" xfId="0" applyFont="1" applyFill="1" applyBorder="1" applyAlignment="1">
      <alignment horizontal="center"/>
    </xf>
    <xf numFmtId="0" fontId="24" fillId="0" borderId="1" xfId="0" applyFont="1" applyFill="1" applyBorder="1" applyAlignment="1">
      <alignment horizontal="center"/>
    </xf>
    <xf numFmtId="0" fontId="4" fillId="0" borderId="28" xfId="0" applyFont="1" applyBorder="1" applyAlignment="1">
      <alignment horizontal="center" wrapText="1"/>
    </xf>
    <xf numFmtId="0" fontId="4" fillId="0" borderId="29" xfId="0" applyFont="1" applyBorder="1"/>
    <xf numFmtId="0" fontId="4" fillId="0" borderId="29" xfId="0" applyFont="1" applyBorder="1" applyAlignment="1">
      <alignment horizontal="center"/>
    </xf>
    <xf numFmtId="0" fontId="4" fillId="0" borderId="29" xfId="0" applyNumberFormat="1" applyFont="1" applyBorder="1" applyAlignment="1">
      <alignment horizontal="center"/>
    </xf>
    <xf numFmtId="0" fontId="4" fillId="0" borderId="30" xfId="0" applyFont="1" applyBorder="1" applyAlignment="1">
      <alignment horizontal="center"/>
    </xf>
    <xf numFmtId="0" fontId="25" fillId="0" borderId="0" xfId="0" applyFont="1" applyBorder="1" applyAlignment="1">
      <alignment horizontal="center"/>
    </xf>
    <xf numFmtId="0" fontId="25" fillId="0" borderId="25" xfId="0" applyFont="1" applyBorder="1" applyAlignment="1">
      <alignment horizontal="center"/>
    </xf>
    <xf numFmtId="173" fontId="24" fillId="0" borderId="0" xfId="0" applyNumberFormat="1" applyFont="1" applyBorder="1" applyAlignment="1">
      <alignment horizontal="center"/>
    </xf>
    <xf numFmtId="173" fontId="25" fillId="0" borderId="0" xfId="0" applyNumberFormat="1" applyFont="1" applyBorder="1" applyAlignment="1">
      <alignment horizontal="center"/>
    </xf>
    <xf numFmtId="0" fontId="26" fillId="0" borderId="0" xfId="0" applyFont="1" applyAlignment="1">
      <alignment horizontal="left"/>
    </xf>
    <xf numFmtId="0" fontId="4" fillId="2" borderId="0" xfId="0" applyFont="1" applyFill="1" applyBorder="1" applyAlignment="1">
      <alignment horizontal="right"/>
    </xf>
    <xf numFmtId="0" fontId="0" fillId="2" borderId="0" xfId="0" applyFill="1" applyBorder="1" applyAlignment="1">
      <alignment horizontal="right"/>
    </xf>
    <xf numFmtId="2" fontId="1" fillId="2" borderId="0" xfId="0" applyNumberFormat="1" applyFont="1" applyFill="1" applyBorder="1" applyAlignment="1"/>
    <xf numFmtId="2" fontId="5" fillId="2" borderId="0" xfId="0" applyNumberFormat="1" applyFont="1" applyFill="1" applyBorder="1" applyAlignment="1">
      <alignment horizontal="center"/>
    </xf>
    <xf numFmtId="0" fontId="14" fillId="2" borderId="0" xfId="0" applyFont="1" applyFill="1" applyBorder="1" applyAlignment="1" applyProtection="1">
      <alignment horizontal="left"/>
    </xf>
    <xf numFmtId="0" fontId="5" fillId="2" borderId="0" xfId="0" applyFont="1" applyFill="1" applyBorder="1" applyAlignment="1" applyProtection="1">
      <alignment horizontal="justify" vertical="center" wrapText="1"/>
      <protection locked="0"/>
    </xf>
    <xf numFmtId="0" fontId="5" fillId="2" borderId="0"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left"/>
      <protection locked="0"/>
    </xf>
    <xf numFmtId="0" fontId="12" fillId="2" borderId="0" xfId="0" applyFont="1" applyFill="1" applyBorder="1" applyAlignment="1" applyProtection="1">
      <alignment horizontal="left"/>
      <protection locked="0"/>
    </xf>
    <xf numFmtId="0" fontId="13" fillId="2" borderId="0" xfId="0" applyFont="1" applyFill="1" applyBorder="1" applyAlignment="1" applyProtection="1">
      <alignment horizontal="left"/>
      <protection locked="0"/>
    </xf>
    <xf numFmtId="0" fontId="5" fillId="2" borderId="0" xfId="0" applyFont="1" applyFill="1" applyBorder="1" applyAlignment="1" applyProtection="1">
      <alignment horizontal="left"/>
      <protection locked="0"/>
    </xf>
    <xf numFmtId="0" fontId="4" fillId="2" borderId="2" xfId="0" applyFont="1" applyFill="1" applyBorder="1"/>
    <xf numFmtId="0" fontId="0" fillId="2" borderId="2" xfId="0" applyFill="1" applyBorder="1"/>
    <xf numFmtId="0" fontId="4" fillId="0" borderId="28" xfId="0" applyFont="1" applyBorder="1" applyAlignment="1">
      <alignment horizontal="center"/>
    </xf>
    <xf numFmtId="0" fontId="0" fillId="2" borderId="7" xfId="0" applyFill="1" applyBorder="1" applyAlignment="1">
      <alignment horizontal="left"/>
    </xf>
    <xf numFmtId="0" fontId="0" fillId="2" borderId="24" xfId="0" applyFill="1" applyBorder="1" applyAlignment="1">
      <alignment horizontal="center"/>
    </xf>
    <xf numFmtId="0" fontId="0" fillId="2" borderId="25" xfId="0" applyFill="1" applyBorder="1" applyAlignment="1">
      <alignment horizontal="center"/>
    </xf>
    <xf numFmtId="0" fontId="0" fillId="2" borderId="2" xfId="0" applyFill="1" applyBorder="1" applyAlignment="1">
      <alignment horizontal="left"/>
    </xf>
    <xf numFmtId="0" fontId="0" fillId="2" borderId="2" xfId="0" applyFill="1" applyBorder="1" applyAlignment="1">
      <alignment horizontal="center"/>
    </xf>
    <xf numFmtId="0" fontId="0" fillId="2" borderId="27" xfId="0" applyFill="1" applyBorder="1" applyAlignment="1">
      <alignment horizontal="center"/>
    </xf>
    <xf numFmtId="14" fontId="12" fillId="2" borderId="0" xfId="0" applyNumberFormat="1" applyFont="1" applyFill="1" applyBorder="1" applyAlignment="1" applyProtection="1">
      <alignment horizontal="left"/>
      <protection locked="0"/>
    </xf>
    <xf numFmtId="173" fontId="4" fillId="0" borderId="31" xfId="0" applyNumberFormat="1" applyFont="1" applyFill="1" applyBorder="1" applyAlignment="1" applyProtection="1">
      <alignment horizontal="center"/>
      <protection locked="0"/>
    </xf>
    <xf numFmtId="173" fontId="4" fillId="0" borderId="32" xfId="0" applyNumberFormat="1" applyFont="1" applyFill="1" applyBorder="1" applyAlignment="1" applyProtection="1">
      <alignment horizontal="center"/>
      <protection locked="0"/>
    </xf>
    <xf numFmtId="170" fontId="3" fillId="0" borderId="11" xfId="0" applyNumberFormat="1" applyFont="1" applyFill="1" applyBorder="1" applyAlignment="1">
      <alignment horizontal="center"/>
    </xf>
    <xf numFmtId="170" fontId="3" fillId="0" borderId="12" xfId="0" applyNumberFormat="1" applyFont="1" applyFill="1" applyBorder="1" applyAlignment="1">
      <alignment horizontal="center"/>
    </xf>
    <xf numFmtId="168" fontId="3" fillId="0" borderId="12" xfId="0" applyNumberFormat="1" applyFont="1" applyFill="1" applyBorder="1" applyAlignment="1">
      <alignment horizontal="center"/>
    </xf>
    <xf numFmtId="171" fontId="3" fillId="0" borderId="12" xfId="0" applyNumberFormat="1" applyFont="1" applyFill="1" applyBorder="1" applyAlignment="1">
      <alignment horizontal="center"/>
    </xf>
    <xf numFmtId="170" fontId="3" fillId="0" borderId="21" xfId="0" applyNumberFormat="1" applyFont="1" applyFill="1" applyBorder="1" applyAlignment="1">
      <alignment horizontal="center"/>
    </xf>
    <xf numFmtId="0" fontId="1" fillId="2" borderId="0" xfId="0" applyFont="1" applyFill="1" applyBorder="1"/>
    <xf numFmtId="0" fontId="1" fillId="0" borderId="0" xfId="0" applyFont="1"/>
    <xf numFmtId="0" fontId="0" fillId="2" borderId="0" xfId="0" applyFill="1" applyBorder="1" applyAlignment="1">
      <alignment horizontal="justify"/>
    </xf>
    <xf numFmtId="49" fontId="2" fillId="2" borderId="0" xfId="0" applyNumberFormat="1" applyFont="1" applyFill="1" applyBorder="1" applyAlignment="1">
      <alignment horizontal="justify"/>
    </xf>
    <xf numFmtId="49" fontId="2" fillId="2" borderId="0" xfId="0" applyNumberFormat="1" applyFont="1" applyFill="1" applyAlignment="1">
      <alignment horizontal="left" wrapText="1"/>
    </xf>
    <xf numFmtId="49" fontId="2" fillId="2" borderId="0" xfId="0" applyNumberFormat="1" applyFont="1" applyFill="1" applyAlignment="1">
      <alignment horizontal="justify" wrapText="1"/>
    </xf>
    <xf numFmtId="49" fontId="2" fillId="2" borderId="0" xfId="0" applyNumberFormat="1" applyFont="1" applyFill="1"/>
    <xf numFmtId="0" fontId="0" fillId="2" borderId="0" xfId="0" applyFill="1" applyAlignment="1">
      <alignment horizontal="justify"/>
    </xf>
    <xf numFmtId="0" fontId="24" fillId="0" borderId="34" xfId="0" applyFont="1" applyBorder="1" applyAlignment="1" applyProtection="1">
      <alignment horizontal="center" vertical="center"/>
    </xf>
    <xf numFmtId="0" fontId="8" fillId="0" borderId="35" xfId="0" applyFont="1" applyFill="1" applyBorder="1" applyAlignment="1" applyProtection="1">
      <alignment horizontal="center"/>
    </xf>
    <xf numFmtId="0" fontId="8" fillId="0" borderId="36" xfId="0" applyFont="1" applyFill="1" applyBorder="1" applyAlignment="1" applyProtection="1">
      <alignment horizontal="center"/>
    </xf>
    <xf numFmtId="0" fontId="11" fillId="0" borderId="37" xfId="0" applyFont="1" applyFill="1" applyBorder="1" applyAlignment="1" applyProtection="1">
      <alignment horizontal="center"/>
    </xf>
    <xf numFmtId="0" fontId="8" fillId="0" borderId="37" xfId="0" applyFont="1" applyFill="1" applyBorder="1" applyAlignment="1" applyProtection="1">
      <alignment horizontal="center"/>
    </xf>
    <xf numFmtId="0" fontId="8" fillId="0" borderId="38" xfId="0" applyFont="1" applyFill="1" applyBorder="1" applyAlignment="1" applyProtection="1">
      <alignment horizontal="center"/>
    </xf>
    <xf numFmtId="49" fontId="2" fillId="2" borderId="0" xfId="0" applyNumberFormat="1" applyFont="1" applyFill="1" applyBorder="1" applyAlignment="1">
      <alignment horizontal="left"/>
    </xf>
    <xf numFmtId="0" fontId="0" fillId="2" borderId="0" xfId="0" applyFill="1" applyBorder="1" applyAlignment="1" applyProtection="1">
      <alignment horizontal="center"/>
    </xf>
    <xf numFmtId="0" fontId="18" fillId="2" borderId="0" xfId="0" applyFont="1" applyFill="1" applyBorder="1" applyAlignment="1" applyProtection="1">
      <alignment horizontal="left"/>
    </xf>
    <xf numFmtId="0" fontId="25" fillId="0" borderId="39" xfId="0" applyFont="1" applyFill="1" applyBorder="1" applyAlignment="1" applyProtection="1">
      <alignment horizontal="center" vertical="center" wrapText="1"/>
    </xf>
    <xf numFmtId="0" fontId="0" fillId="2" borderId="0" xfId="0" applyFill="1" applyAlignment="1">
      <alignment horizontal="center"/>
    </xf>
    <xf numFmtId="49" fontId="25" fillId="0" borderId="0" xfId="0" applyNumberFormat="1" applyFont="1" applyFill="1" applyBorder="1" applyAlignment="1" applyProtection="1">
      <alignment horizontal="center"/>
      <protection locked="0"/>
    </xf>
    <xf numFmtId="0" fontId="24" fillId="2" borderId="0" xfId="0" applyFont="1" applyFill="1" applyAlignment="1">
      <alignment horizontal="center"/>
    </xf>
    <xf numFmtId="0" fontId="4" fillId="0" borderId="1" xfId="0" applyNumberFormat="1" applyFont="1" applyBorder="1" applyAlignment="1">
      <alignment horizontal="center"/>
    </xf>
    <xf numFmtId="0" fontId="39" fillId="0" borderId="0" xfId="0" applyFont="1" applyFill="1" applyBorder="1" applyAlignment="1">
      <alignment horizontal="right"/>
    </xf>
    <xf numFmtId="0" fontId="24" fillId="0" borderId="7" xfId="0" applyNumberFormat="1" applyFont="1" applyBorder="1" applyAlignment="1">
      <alignment horizontal="center"/>
    </xf>
    <xf numFmtId="0" fontId="24" fillId="0" borderId="0" xfId="0" applyNumberFormat="1" applyFont="1" applyBorder="1" applyAlignment="1">
      <alignment horizontal="center"/>
    </xf>
    <xf numFmtId="0" fontId="2" fillId="2" borderId="0" xfId="0" applyFont="1" applyFill="1" applyBorder="1" applyAlignment="1">
      <alignment horizontal="center"/>
    </xf>
    <xf numFmtId="0" fontId="43" fillId="0" borderId="0" xfId="0" applyFont="1" applyAlignment="1">
      <alignment horizontal="right"/>
    </xf>
    <xf numFmtId="0" fontId="42" fillId="0" borderId="77" xfId="0" applyFont="1" applyBorder="1" applyAlignment="1">
      <alignment horizontal="left"/>
    </xf>
    <xf numFmtId="0" fontId="4" fillId="0" borderId="78" xfId="0" applyFont="1" applyBorder="1" applyAlignment="1">
      <alignment horizontal="center"/>
    </xf>
    <xf numFmtId="0" fontId="0" fillId="0" borderId="78" xfId="0" applyBorder="1"/>
    <xf numFmtId="0" fontId="4" fillId="0" borderId="51" xfId="0" applyFont="1" applyBorder="1" applyAlignment="1">
      <alignment horizontal="center"/>
    </xf>
    <xf numFmtId="0" fontId="42" fillId="0" borderId="0" xfId="0" applyFont="1" applyAlignment="1">
      <alignment horizontal="center"/>
    </xf>
    <xf numFmtId="0" fontId="44" fillId="0" borderId="0" xfId="0" applyFont="1"/>
    <xf numFmtId="0" fontId="44" fillId="0" borderId="0" xfId="0" applyFont="1" applyAlignment="1">
      <alignment horizontal="center"/>
    </xf>
    <xf numFmtId="0" fontId="45" fillId="0" borderId="0" xfId="0" applyFont="1" applyAlignment="1">
      <alignment horizontal="center"/>
    </xf>
    <xf numFmtId="0" fontId="45" fillId="0" borderId="0" xfId="0" applyFont="1" applyAlignment="1">
      <alignment horizontal="right"/>
    </xf>
    <xf numFmtId="0" fontId="37" fillId="3" borderId="33" xfId="0" applyFont="1" applyFill="1" applyBorder="1" applyAlignment="1" applyProtection="1">
      <alignment horizontal="left"/>
    </xf>
    <xf numFmtId="0" fontId="3" fillId="0" borderId="79" xfId="0" applyNumberFormat="1" applyFont="1" applyFill="1" applyBorder="1" applyAlignment="1">
      <alignment horizontal="center"/>
    </xf>
    <xf numFmtId="0" fontId="3" fillId="0" borderId="31" xfId="0" applyNumberFormat="1" applyFont="1" applyFill="1" applyBorder="1" applyAlignment="1">
      <alignment horizontal="center"/>
    </xf>
    <xf numFmtId="0" fontId="3" fillId="0" borderId="80" xfId="0" applyNumberFormat="1" applyFont="1" applyFill="1" applyBorder="1" applyAlignment="1">
      <alignment horizontal="center"/>
    </xf>
    <xf numFmtId="0" fontId="0" fillId="2" borderId="0" xfId="0" applyFill="1" applyBorder="1" applyAlignment="1" applyProtection="1">
      <alignment horizontal="left"/>
    </xf>
    <xf numFmtId="0" fontId="2" fillId="2" borderId="9" xfId="0" applyFont="1" applyFill="1" applyBorder="1" applyAlignment="1" applyProtection="1">
      <alignment horizontal="left"/>
    </xf>
    <xf numFmtId="0" fontId="2" fillId="2" borderId="0" xfId="0" applyFont="1" applyFill="1" applyBorder="1" applyAlignment="1" applyProtection="1">
      <alignment horizontal="left"/>
    </xf>
    <xf numFmtId="0" fontId="0" fillId="2" borderId="0" xfId="0" applyFill="1" applyBorder="1" applyProtection="1"/>
    <xf numFmtId="0" fontId="8" fillId="2" borderId="7" xfId="0" applyFont="1" applyFill="1" applyBorder="1" applyAlignment="1" applyProtection="1">
      <alignment horizontal="left"/>
    </xf>
    <xf numFmtId="0" fontId="8" fillId="2" borderId="0" xfId="0" applyFont="1" applyFill="1" applyBorder="1" applyAlignment="1" applyProtection="1">
      <alignment horizontal="left"/>
    </xf>
    <xf numFmtId="0" fontId="9" fillId="2" borderId="0" xfId="0" applyFont="1" applyFill="1" applyBorder="1" applyAlignment="1" applyProtection="1">
      <alignment horizontal="left"/>
    </xf>
    <xf numFmtId="0" fontId="0" fillId="2" borderId="0" xfId="0" applyFill="1" applyBorder="1" applyAlignment="1" applyProtection="1">
      <alignment horizontal="center" vertical="center"/>
    </xf>
    <xf numFmtId="0" fontId="0" fillId="2" borderId="0" xfId="0" applyFill="1" applyProtection="1"/>
    <xf numFmtId="0" fontId="10" fillId="2" borderId="0" xfId="0" applyFont="1" applyFill="1" applyBorder="1" applyAlignment="1" applyProtection="1">
      <alignment horizontal="left"/>
    </xf>
    <xf numFmtId="0" fontId="0" fillId="2" borderId="0" xfId="0" applyFill="1" applyBorder="1" applyAlignment="1" applyProtection="1"/>
    <xf numFmtId="0" fontId="10" fillId="2" borderId="0" xfId="0" applyFont="1" applyFill="1" applyBorder="1" applyAlignment="1" applyProtection="1">
      <alignment horizontal="center"/>
    </xf>
    <xf numFmtId="165" fontId="2" fillId="2" borderId="0" xfId="0" applyNumberFormat="1" applyFont="1" applyFill="1" applyBorder="1" applyAlignment="1" applyProtection="1">
      <alignment horizontal="left"/>
    </xf>
    <xf numFmtId="0" fontId="18" fillId="2" borderId="10" xfId="0" applyFont="1" applyFill="1" applyBorder="1" applyAlignment="1" applyProtection="1">
      <alignment horizontal="left"/>
    </xf>
    <xf numFmtId="0" fontId="4" fillId="0" borderId="0" xfId="0" applyFont="1" applyBorder="1" applyAlignment="1">
      <alignment horizontal="center"/>
    </xf>
    <xf numFmtId="0" fontId="0" fillId="2" borderId="0" xfId="0" applyFill="1" applyBorder="1" applyAlignment="1">
      <alignment horizontal="center"/>
    </xf>
    <xf numFmtId="0" fontId="8" fillId="5" borderId="7" xfId="0" applyFont="1" applyFill="1" applyBorder="1" applyAlignment="1" applyProtection="1">
      <alignment horizontal="left"/>
    </xf>
    <xf numFmtId="0" fontId="8" fillId="5" borderId="0" xfId="0" applyFont="1" applyFill="1" applyBorder="1" applyAlignment="1" applyProtection="1">
      <alignment horizontal="left"/>
    </xf>
    <xf numFmtId="0" fontId="9" fillId="5" borderId="0" xfId="0" applyFont="1" applyFill="1" applyBorder="1" applyAlignment="1" applyProtection="1">
      <alignment horizontal="left"/>
    </xf>
    <xf numFmtId="0" fontId="0" fillId="5" borderId="0" xfId="0" applyFill="1" applyBorder="1" applyAlignment="1" applyProtection="1">
      <alignment horizontal="left"/>
    </xf>
    <xf numFmtId="0" fontId="0" fillId="5" borderId="0" xfId="0" applyFill="1" applyBorder="1" applyProtection="1"/>
    <xf numFmtId="0" fontId="0" fillId="5" borderId="0" xfId="0" applyFill="1" applyBorder="1" applyAlignment="1" applyProtection="1"/>
    <xf numFmtId="0" fontId="0" fillId="5" borderId="0" xfId="0" applyFill="1"/>
    <xf numFmtId="0" fontId="4" fillId="5" borderId="0" xfId="0" applyFont="1" applyFill="1" applyAlignment="1">
      <alignment horizontal="center"/>
    </xf>
    <xf numFmtId="0" fontId="4" fillId="5" borderId="7" xfId="0" applyFont="1" applyFill="1" applyBorder="1" applyAlignment="1">
      <alignment horizontal="center"/>
    </xf>
    <xf numFmtId="0" fontId="4" fillId="5" borderId="0" xfId="0" applyFont="1" applyFill="1" applyBorder="1" applyAlignment="1">
      <alignment horizontal="center"/>
    </xf>
    <xf numFmtId="0" fontId="18" fillId="0" borderId="10" xfId="0" applyFont="1" applyFill="1" applyBorder="1" applyAlignment="1" applyProtection="1">
      <alignment horizontal="left"/>
    </xf>
    <xf numFmtId="2" fontId="1" fillId="0" borderId="0" xfId="0" applyNumberFormat="1" applyFont="1" applyFill="1" applyBorder="1" applyAlignment="1"/>
    <xf numFmtId="0" fontId="14" fillId="0" borderId="0" xfId="0" applyFont="1" applyFill="1" applyBorder="1" applyAlignment="1" applyProtection="1">
      <alignment horizontal="left"/>
    </xf>
    <xf numFmtId="0" fontId="5" fillId="0" borderId="0" xfId="0" applyFont="1" applyFill="1" applyBorder="1" applyAlignment="1" applyProtection="1">
      <alignment horizontal="justify" vertical="center" wrapText="1"/>
      <protection locked="0"/>
    </xf>
    <xf numFmtId="0" fontId="13" fillId="0" borderId="0" xfId="0" applyFont="1" applyFill="1" applyBorder="1" applyAlignment="1" applyProtection="1">
      <alignment horizontal="left"/>
      <protection locked="0"/>
    </xf>
    <xf numFmtId="0" fontId="4" fillId="0" borderId="2" xfId="0" applyFont="1" applyFill="1" applyBorder="1"/>
    <xf numFmtId="0" fontId="4" fillId="0" borderId="0" xfId="0" applyFont="1" applyFill="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xf>
    <xf numFmtId="0" fontId="37" fillId="6" borderId="23" xfId="0" applyFont="1" applyFill="1" applyBorder="1" applyAlignment="1" applyProtection="1">
      <alignment horizontal="left"/>
    </xf>
    <xf numFmtId="0" fontId="3" fillId="5" borderId="2" xfId="0" applyFont="1" applyFill="1" applyBorder="1" applyAlignment="1">
      <alignment horizontal="center"/>
    </xf>
    <xf numFmtId="0" fontId="44" fillId="0" borderId="0" xfId="0" applyFont="1" applyBorder="1"/>
    <xf numFmtId="0" fontId="34" fillId="0" borderId="0" xfId="0" applyFont="1" applyBorder="1" applyAlignment="1">
      <alignment horizontal="left"/>
    </xf>
    <xf numFmtId="0" fontId="32" fillId="0" borderId="0" xfId="0" applyFont="1" applyBorder="1" applyAlignment="1">
      <alignment horizontal="center"/>
    </xf>
    <xf numFmtId="0" fontId="35" fillId="0" borderId="0" xfId="0" applyFont="1" applyBorder="1"/>
    <xf numFmtId="0" fontId="40" fillId="0" borderId="0" xfId="0" applyFont="1" applyBorder="1"/>
    <xf numFmtId="0" fontId="29" fillId="0" borderId="0" xfId="0" applyFont="1" applyBorder="1"/>
    <xf numFmtId="0" fontId="34" fillId="0" borderId="0" xfId="0" applyFont="1" applyBorder="1"/>
    <xf numFmtId="0" fontId="32" fillId="0" borderId="0" xfId="0" applyFont="1" applyBorder="1"/>
    <xf numFmtId="0" fontId="29" fillId="0" borderId="0" xfId="0" applyFont="1" applyBorder="1" applyAlignment="1">
      <alignment horizontal="center"/>
    </xf>
    <xf numFmtId="0" fontId="42" fillId="0" borderId="0" xfId="0" applyFont="1" applyBorder="1" applyAlignment="1">
      <alignment horizontal="left"/>
    </xf>
    <xf numFmtId="0" fontId="44" fillId="0" borderId="0" xfId="0" applyFont="1" applyBorder="1" applyAlignment="1">
      <alignment horizontal="left"/>
    </xf>
    <xf numFmtId="0" fontId="26" fillId="0" borderId="0" xfId="0" applyFont="1" applyBorder="1" applyAlignment="1">
      <alignment horizontal="right"/>
    </xf>
    <xf numFmtId="0" fontId="17" fillId="0" borderId="0" xfId="0" applyFont="1" applyBorder="1" applyAlignment="1">
      <alignment wrapText="1"/>
    </xf>
    <xf numFmtId="168" fontId="3" fillId="0" borderId="0" xfId="0" applyNumberFormat="1" applyFont="1" applyBorder="1" applyAlignment="1">
      <alignment horizontal="center"/>
    </xf>
    <xf numFmtId="3" fontId="4" fillId="0" borderId="0" xfId="0" applyNumberFormat="1" applyFont="1" applyBorder="1" applyAlignment="1">
      <alignment horizontal="center"/>
    </xf>
    <xf numFmtId="0" fontId="44" fillId="0" borderId="0" xfId="0" applyFont="1" applyBorder="1" applyAlignment="1">
      <alignment horizontal="center"/>
    </xf>
    <xf numFmtId="14" fontId="4" fillId="0" borderId="0" xfId="0" applyNumberFormat="1" applyFont="1" applyBorder="1" applyAlignment="1">
      <alignment horizontal="center"/>
    </xf>
    <xf numFmtId="15" fontId="4" fillId="0" borderId="0" xfId="0" applyNumberFormat="1" applyFont="1" applyBorder="1" applyAlignment="1">
      <alignment horizontal="center"/>
    </xf>
    <xf numFmtId="0" fontId="39" fillId="0" borderId="0" xfId="0" applyFont="1" applyBorder="1" applyAlignment="1">
      <alignment horizontal="right"/>
    </xf>
    <xf numFmtId="0" fontId="10" fillId="0" borderId="0" xfId="0" applyFont="1" applyBorder="1"/>
    <xf numFmtId="0" fontId="39" fillId="0" borderId="0" xfId="0" applyFont="1" applyBorder="1"/>
    <xf numFmtId="0" fontId="43" fillId="0" borderId="0" xfId="0" applyFont="1" applyBorder="1" applyAlignment="1">
      <alignment horizontal="right"/>
    </xf>
    <xf numFmtId="0" fontId="39" fillId="0" borderId="0" xfId="0" applyFont="1" applyFill="1" applyBorder="1"/>
    <xf numFmtId="0" fontId="42" fillId="0" borderId="0" xfId="0" applyFont="1" applyBorder="1" applyAlignment="1">
      <alignment horizontal="center"/>
    </xf>
    <xf numFmtId="0" fontId="26" fillId="0" borderId="0" xfId="0" applyFont="1" applyBorder="1" applyAlignment="1">
      <alignment horizontal="left"/>
    </xf>
    <xf numFmtId="0" fontId="0" fillId="5" borderId="25" xfId="0" applyFill="1" applyBorder="1"/>
    <xf numFmtId="2" fontId="5" fillId="5" borderId="25" xfId="0" applyNumberFormat="1" applyFont="1" applyFill="1" applyBorder="1" applyAlignment="1">
      <alignment horizontal="center"/>
    </xf>
    <xf numFmtId="0" fontId="14" fillId="5" borderId="25" xfId="0" applyFont="1" applyFill="1" applyBorder="1" applyAlignment="1" applyProtection="1">
      <alignment horizontal="left"/>
    </xf>
    <xf numFmtId="0" fontId="5" fillId="5" borderId="25" xfId="0" applyFont="1" applyFill="1" applyBorder="1" applyAlignment="1" applyProtection="1">
      <alignment horizontal="justify" vertical="center" wrapText="1"/>
      <protection locked="0"/>
    </xf>
    <xf numFmtId="0" fontId="5" fillId="5" borderId="25" xfId="0" applyFont="1" applyFill="1" applyBorder="1" applyAlignment="1" applyProtection="1">
      <alignment horizontal="left"/>
      <protection locked="0"/>
    </xf>
    <xf numFmtId="0" fontId="4" fillId="5" borderId="27" xfId="0" applyFont="1" applyFill="1" applyBorder="1"/>
    <xf numFmtId="0" fontId="0" fillId="5" borderId="81" xfId="0" applyFill="1" applyBorder="1"/>
    <xf numFmtId="0" fontId="24" fillId="5" borderId="81" xfId="0" applyFont="1" applyFill="1" applyBorder="1" applyAlignment="1">
      <alignment horizontal="center"/>
    </xf>
    <xf numFmtId="0" fontId="4" fillId="5" borderId="81" xfId="0" applyFont="1" applyFill="1" applyBorder="1" applyAlignment="1">
      <alignment horizontal="center"/>
    </xf>
    <xf numFmtId="0" fontId="4" fillId="5" borderId="0" xfId="0" applyFont="1" applyFill="1" applyAlignment="1">
      <alignment horizontal="center"/>
    </xf>
    <xf numFmtId="0" fontId="24" fillId="5" borderId="0" xfId="0" applyFont="1" applyFill="1" applyAlignment="1">
      <alignment horizontal="center"/>
    </xf>
    <xf numFmtId="0" fontId="24" fillId="5" borderId="0" xfId="0" applyFont="1" applyFill="1"/>
    <xf numFmtId="0" fontId="0" fillId="5" borderId="0" xfId="0" applyFill="1" applyAlignment="1">
      <alignment horizontal="center"/>
    </xf>
    <xf numFmtId="0" fontId="29" fillId="5" borderId="0" xfId="0" applyFont="1" applyFill="1" applyAlignment="1">
      <alignment horizontal="center"/>
    </xf>
    <xf numFmtId="0" fontId="26" fillId="5" borderId="0" xfId="0" applyFont="1" applyFill="1" applyAlignment="1">
      <alignment horizontal="center"/>
    </xf>
    <xf numFmtId="0" fontId="26" fillId="5" borderId="0" xfId="0" applyFont="1" applyFill="1" applyAlignment="1">
      <alignment horizontal="left" vertical="center"/>
    </xf>
    <xf numFmtId="0" fontId="26" fillId="5" borderId="0" xfId="0" applyFont="1" applyFill="1" applyAlignment="1">
      <alignment horizontal="center" vertical="center"/>
    </xf>
    <xf numFmtId="0" fontId="29" fillId="5" borderId="0" xfId="0" applyFont="1" applyFill="1"/>
    <xf numFmtId="0" fontId="29" fillId="5" borderId="0" xfId="0" applyFont="1" applyFill="1" applyAlignment="1">
      <alignment horizontal="left"/>
    </xf>
    <xf numFmtId="0" fontId="32" fillId="5" borderId="0" xfId="0" applyFont="1" applyFill="1" applyAlignment="1">
      <alignment horizontal="center"/>
    </xf>
    <xf numFmtId="0" fontId="4" fillId="5" borderId="0" xfId="0" applyFont="1" applyFill="1" applyAlignment="1">
      <alignment horizontal="left"/>
    </xf>
    <xf numFmtId="0" fontId="4" fillId="5" borderId="0" xfId="0" applyFont="1" applyFill="1"/>
    <xf numFmtId="0" fontId="2" fillId="2" borderId="0" xfId="0" applyFont="1" applyFill="1" applyBorder="1" applyAlignment="1">
      <alignment horizontal="center" vertical="center"/>
    </xf>
    <xf numFmtId="0" fontId="2" fillId="2" borderId="8" xfId="0" applyFont="1" applyFill="1" applyBorder="1" applyAlignment="1" applyProtection="1">
      <alignment horizontal="left"/>
      <protection locked="0"/>
    </xf>
    <xf numFmtId="0" fontId="8" fillId="2" borderId="7" xfId="0" applyFont="1" applyFill="1" applyBorder="1" applyAlignment="1" applyProtection="1">
      <alignment horizontal="center"/>
    </xf>
    <xf numFmtId="0" fontId="36" fillId="2" borderId="0" xfId="0" applyFont="1" applyFill="1" applyBorder="1" applyAlignment="1" applyProtection="1">
      <alignment horizontal="left"/>
    </xf>
    <xf numFmtId="0" fontId="8" fillId="5" borderId="24" xfId="0" applyFont="1" applyFill="1" applyBorder="1" applyAlignment="1" applyProtection="1">
      <alignment horizontal="left"/>
    </xf>
    <xf numFmtId="0" fontId="0" fillId="2" borderId="7" xfId="0" applyFill="1" applyBorder="1" applyProtection="1"/>
    <xf numFmtId="0" fontId="0" fillId="2" borderId="7" xfId="0" applyFill="1" applyBorder="1" applyAlignment="1" applyProtection="1">
      <alignment horizontal="center"/>
    </xf>
    <xf numFmtId="0" fontId="0" fillId="0" borderId="0" xfId="0" applyBorder="1" applyProtection="1"/>
    <xf numFmtId="0" fontId="26" fillId="0" borderId="0" xfId="0" applyFont="1" applyBorder="1" applyAlignment="1" applyProtection="1">
      <alignment horizontal="center"/>
    </xf>
    <xf numFmtId="0" fontId="4" fillId="0" borderId="0" xfId="0" applyFont="1" applyBorder="1" applyAlignment="1" applyProtection="1">
      <alignment horizontal="center"/>
    </xf>
    <xf numFmtId="0" fontId="24" fillId="0" borderId="0" xfId="0" applyFont="1" applyBorder="1" applyProtection="1"/>
    <xf numFmtId="0" fontId="4" fillId="0" borderId="0" xfId="0" applyFont="1" applyBorder="1" applyProtection="1"/>
    <xf numFmtId="0" fontId="24" fillId="0" borderId="0" xfId="0" applyFont="1" applyBorder="1" applyAlignment="1" applyProtection="1">
      <alignment horizontal="center"/>
    </xf>
    <xf numFmtId="0" fontId="44" fillId="0" borderId="0" xfId="0" applyFont="1" applyBorder="1" applyProtection="1"/>
    <xf numFmtId="0" fontId="8" fillId="5" borderId="25" xfId="0" applyFont="1" applyFill="1" applyBorder="1" applyAlignment="1" applyProtection="1">
      <alignment horizontal="left"/>
    </xf>
    <xf numFmtId="0" fontId="3" fillId="0" borderId="0" xfId="0" applyFont="1" applyBorder="1" applyAlignment="1" applyProtection="1">
      <alignment horizontal="center"/>
    </xf>
    <xf numFmtId="0" fontId="9" fillId="5" borderId="25" xfId="0" applyFont="1" applyFill="1" applyBorder="1" applyAlignment="1" applyProtection="1">
      <alignment horizontal="left"/>
    </xf>
    <xf numFmtId="0" fontId="0" fillId="5" borderId="25" xfId="0" applyFill="1" applyBorder="1" applyAlignment="1" applyProtection="1">
      <alignment horizontal="left"/>
    </xf>
    <xf numFmtId="164" fontId="2" fillId="2" borderId="0" xfId="0" applyNumberFormat="1" applyFont="1" applyFill="1" applyBorder="1" applyAlignment="1" applyProtection="1">
      <alignment horizontal="left"/>
    </xf>
    <xf numFmtId="0" fontId="0" fillId="5" borderId="25" xfId="0" applyFill="1" applyBorder="1" applyProtection="1"/>
    <xf numFmtId="165" fontId="2" fillId="5" borderId="25" xfId="0" applyNumberFormat="1" applyFont="1" applyFill="1" applyBorder="1" applyAlignment="1" applyProtection="1">
      <alignment horizontal="left"/>
    </xf>
    <xf numFmtId="0" fontId="4" fillId="5" borderId="0" xfId="0" applyFont="1" applyFill="1" applyAlignment="1">
      <alignment horizontal="center"/>
    </xf>
    <xf numFmtId="0" fontId="4" fillId="5" borderId="0" xfId="0" applyFont="1" applyFill="1" applyAlignment="1">
      <alignment horizontal="center"/>
    </xf>
    <xf numFmtId="0" fontId="0" fillId="5" borderId="0" xfId="0" applyFill="1" applyBorder="1" applyAlignment="1">
      <alignment horizontal="center"/>
    </xf>
    <xf numFmtId="49" fontId="2" fillId="5" borderId="0" xfId="0" applyNumberFormat="1" applyFont="1" applyFill="1" applyBorder="1" applyAlignment="1">
      <alignment horizontal="left"/>
    </xf>
    <xf numFmtId="0" fontId="0" fillId="5" borderId="0" xfId="0" applyFill="1" applyAlignment="1">
      <alignment wrapText="1" readingOrder="1"/>
    </xf>
    <xf numFmtId="0" fontId="10" fillId="5" borderId="0" xfId="0" applyFont="1" applyFill="1" applyAlignment="1">
      <alignment horizontal="left"/>
    </xf>
    <xf numFmtId="0" fontId="4" fillId="5" borderId="0" xfId="0" applyFont="1" applyFill="1" applyAlignment="1">
      <alignment horizontal="center"/>
    </xf>
    <xf numFmtId="0" fontId="4" fillId="5" borderId="0" xfId="0" applyFont="1" applyFill="1" applyAlignment="1">
      <alignment horizontal="center"/>
    </xf>
    <xf numFmtId="0" fontId="4" fillId="5" borderId="0" xfId="0" applyFont="1" applyFill="1" applyAlignment="1">
      <alignment horizontal="center"/>
    </xf>
    <xf numFmtId="0" fontId="24" fillId="0" borderId="0" xfId="0" applyFont="1" applyFill="1" applyBorder="1" applyAlignment="1">
      <alignment horizontal="center"/>
    </xf>
    <xf numFmtId="0" fontId="24" fillId="0" borderId="0" xfId="0" applyFont="1" applyFill="1" applyAlignment="1">
      <alignment horizontal="center"/>
    </xf>
    <xf numFmtId="0" fontId="24" fillId="5" borderId="0" xfId="0" applyNumberFormat="1" applyFont="1" applyFill="1" applyAlignment="1">
      <alignment horizontal="center"/>
    </xf>
    <xf numFmtId="0" fontId="0" fillId="5" borderId="0" xfId="0" applyFill="1" applyBorder="1" applyAlignment="1"/>
    <xf numFmtId="49" fontId="27" fillId="0" borderId="46" xfId="0" applyNumberFormat="1" applyFont="1" applyFill="1" applyBorder="1" applyAlignment="1" applyProtection="1">
      <alignment horizontal="center"/>
      <protection locked="0"/>
    </xf>
    <xf numFmtId="49" fontId="27" fillId="0" borderId="47" xfId="0" applyNumberFormat="1" applyFont="1" applyFill="1" applyBorder="1" applyAlignment="1" applyProtection="1">
      <alignment horizontal="center"/>
      <protection locked="0"/>
    </xf>
    <xf numFmtId="49" fontId="27" fillId="0" borderId="48" xfId="0" applyNumberFormat="1" applyFont="1" applyFill="1" applyBorder="1" applyAlignment="1" applyProtection="1">
      <alignment horizontal="center"/>
      <protection locked="0"/>
    </xf>
    <xf numFmtId="49" fontId="27" fillId="0" borderId="49" xfId="0" applyNumberFormat="1" applyFont="1" applyFill="1" applyBorder="1" applyAlignment="1" applyProtection="1">
      <alignment horizontal="center"/>
      <protection locked="0"/>
    </xf>
    <xf numFmtId="49" fontId="27" fillId="0" borderId="44" xfId="0" applyNumberFormat="1" applyFont="1" applyFill="1" applyBorder="1" applyAlignment="1" applyProtection="1">
      <alignment horizontal="center"/>
      <protection locked="0"/>
    </xf>
    <xf numFmtId="49" fontId="27" fillId="0" borderId="45" xfId="0" applyNumberFormat="1" applyFont="1" applyFill="1" applyBorder="1" applyAlignment="1" applyProtection="1">
      <alignment horizontal="center"/>
      <protection locked="0"/>
    </xf>
    <xf numFmtId="0" fontId="27" fillId="0" borderId="46" xfId="0" applyFont="1" applyFill="1" applyBorder="1" applyAlignment="1" applyProtection="1">
      <alignment horizontal="center"/>
      <protection locked="0"/>
    </xf>
    <xf numFmtId="0" fontId="27" fillId="0" borderId="47" xfId="0" applyFont="1" applyFill="1" applyBorder="1" applyAlignment="1" applyProtection="1">
      <alignment horizontal="center"/>
      <protection locked="0"/>
    </xf>
    <xf numFmtId="0" fontId="27" fillId="0" borderId="50" xfId="0" applyFont="1" applyFill="1" applyBorder="1" applyAlignment="1" applyProtection="1">
      <alignment horizontal="center"/>
      <protection locked="0"/>
    </xf>
    <xf numFmtId="0" fontId="27" fillId="0" borderId="51" xfId="0" applyFont="1" applyFill="1" applyBorder="1" applyAlignment="1" applyProtection="1">
      <alignment horizontal="center"/>
      <protection locked="0"/>
    </xf>
    <xf numFmtId="0" fontId="27" fillId="0" borderId="0" xfId="0" applyFont="1" applyFill="1" applyBorder="1" applyAlignment="1" applyProtection="1">
      <alignment horizontal="center"/>
      <protection locked="0"/>
    </xf>
    <xf numFmtId="0" fontId="27" fillId="0" borderId="25" xfId="0" applyFont="1" applyFill="1" applyBorder="1" applyAlignment="1" applyProtection="1">
      <alignment horizontal="center"/>
      <protection locked="0"/>
    </xf>
    <xf numFmtId="0" fontId="27" fillId="0" borderId="52" xfId="0" applyFont="1" applyFill="1" applyBorder="1" applyAlignment="1" applyProtection="1">
      <alignment horizontal="center"/>
      <protection locked="0"/>
    </xf>
    <xf numFmtId="0" fontId="27" fillId="0" borderId="41" xfId="0" applyFont="1" applyFill="1" applyBorder="1" applyAlignment="1" applyProtection="1">
      <alignment horizontal="center"/>
      <protection locked="0"/>
    </xf>
    <xf numFmtId="0" fontId="27" fillId="0" borderId="53" xfId="0" applyFont="1" applyFill="1" applyBorder="1" applyAlignment="1" applyProtection="1">
      <alignment horizontal="center"/>
      <protection locked="0"/>
    </xf>
    <xf numFmtId="0" fontId="27" fillId="0" borderId="1" xfId="0" applyFont="1" applyBorder="1" applyAlignment="1" applyProtection="1">
      <alignment horizontal="left" wrapText="1"/>
      <protection locked="0"/>
    </xf>
    <xf numFmtId="0" fontId="27" fillId="0" borderId="0" xfId="0" applyFont="1" applyBorder="1" applyAlignment="1" applyProtection="1">
      <alignment horizontal="left" wrapText="1"/>
      <protection locked="0"/>
    </xf>
    <xf numFmtId="0" fontId="27" fillId="0" borderId="42" xfId="0" applyFont="1" applyBorder="1" applyAlignment="1" applyProtection="1">
      <alignment horizontal="left" wrapText="1"/>
      <protection locked="0"/>
    </xf>
    <xf numFmtId="0" fontId="27" fillId="0" borderId="43" xfId="0" applyFont="1" applyBorder="1" applyAlignment="1" applyProtection="1">
      <alignment horizontal="left" wrapText="1"/>
      <protection locked="0"/>
    </xf>
    <xf numFmtId="0" fontId="27" fillId="0" borderId="41" xfId="0" applyFont="1" applyBorder="1" applyAlignment="1" applyProtection="1">
      <alignment horizontal="left" wrapText="1"/>
      <protection locked="0"/>
    </xf>
    <xf numFmtId="0" fontId="27" fillId="0" borderId="40" xfId="0" applyFont="1" applyBorder="1" applyAlignment="1" applyProtection="1">
      <alignment horizontal="left" wrapText="1"/>
      <protection locked="0"/>
    </xf>
    <xf numFmtId="0" fontId="8" fillId="0" borderId="55" xfId="0" applyFont="1" applyFill="1" applyBorder="1" applyAlignment="1">
      <alignment horizontal="center"/>
    </xf>
    <xf numFmtId="0" fontId="8" fillId="0" borderId="56" xfId="0" applyFont="1" applyFill="1" applyBorder="1" applyAlignment="1">
      <alignment horizontal="center"/>
    </xf>
    <xf numFmtId="0" fontId="8" fillId="0" borderId="57" xfId="0" applyFont="1" applyFill="1" applyBorder="1" applyAlignment="1">
      <alignment horizontal="center"/>
    </xf>
    <xf numFmtId="0" fontId="8" fillId="0" borderId="52" xfId="0" applyFont="1" applyFill="1" applyBorder="1" applyAlignment="1">
      <alignment horizontal="center"/>
    </xf>
    <xf numFmtId="0" fontId="8" fillId="0" borderId="41" xfId="0" applyFont="1" applyFill="1" applyBorder="1" applyAlignment="1">
      <alignment horizontal="center"/>
    </xf>
    <xf numFmtId="0" fontId="8" fillId="0" borderId="40" xfId="0" applyFont="1" applyFill="1" applyBorder="1" applyAlignment="1">
      <alignment horizontal="center"/>
    </xf>
    <xf numFmtId="3" fontId="4" fillId="0" borderId="55" xfId="0" applyNumberFormat="1" applyFont="1" applyFill="1" applyBorder="1" applyAlignment="1" applyProtection="1">
      <alignment horizontal="center" wrapText="1"/>
      <protection locked="0"/>
    </xf>
    <xf numFmtId="3" fontId="4" fillId="0" borderId="56" xfId="0" applyNumberFormat="1" applyFont="1" applyFill="1" applyBorder="1" applyAlignment="1" applyProtection="1">
      <alignment horizontal="center" wrapText="1"/>
      <protection locked="0"/>
    </xf>
    <xf numFmtId="3" fontId="4" fillId="0" borderId="57" xfId="0" applyNumberFormat="1" applyFont="1" applyFill="1" applyBorder="1" applyAlignment="1" applyProtection="1">
      <alignment horizontal="center" wrapText="1"/>
      <protection locked="0"/>
    </xf>
    <xf numFmtId="3" fontId="4" fillId="0" borderId="52" xfId="0" applyNumberFormat="1" applyFont="1" applyFill="1" applyBorder="1" applyAlignment="1" applyProtection="1">
      <alignment horizontal="center" wrapText="1"/>
      <protection locked="0"/>
    </xf>
    <xf numFmtId="3" fontId="4" fillId="0" borderId="41" xfId="0" applyNumberFormat="1" applyFont="1" applyFill="1" applyBorder="1" applyAlignment="1" applyProtection="1">
      <alignment horizontal="center" wrapText="1"/>
      <protection locked="0"/>
    </xf>
    <xf numFmtId="3" fontId="4" fillId="0" borderId="40" xfId="0" applyNumberFormat="1" applyFont="1" applyFill="1" applyBorder="1" applyAlignment="1" applyProtection="1">
      <alignment horizontal="center" wrapText="1"/>
      <protection locked="0"/>
    </xf>
    <xf numFmtId="3" fontId="4" fillId="0" borderId="55" xfId="0" applyNumberFormat="1" applyFont="1" applyFill="1" applyBorder="1" applyAlignment="1" applyProtection="1">
      <alignment horizontal="center"/>
      <protection locked="0"/>
    </xf>
    <xf numFmtId="3" fontId="4" fillId="0" borderId="56" xfId="0" applyNumberFormat="1" applyFont="1" applyFill="1" applyBorder="1" applyAlignment="1" applyProtection="1">
      <alignment horizontal="center"/>
      <protection locked="0"/>
    </xf>
    <xf numFmtId="3" fontId="4" fillId="0" borderId="57" xfId="0" applyNumberFormat="1" applyFont="1" applyFill="1" applyBorder="1" applyAlignment="1" applyProtection="1">
      <alignment horizontal="center"/>
      <protection locked="0"/>
    </xf>
    <xf numFmtId="3" fontId="4" fillId="0" borderId="52" xfId="0" applyNumberFormat="1" applyFont="1" applyFill="1" applyBorder="1" applyAlignment="1" applyProtection="1">
      <alignment horizontal="center"/>
      <protection locked="0"/>
    </xf>
    <xf numFmtId="3" fontId="4" fillId="0" borderId="41" xfId="0" applyNumberFormat="1" applyFont="1" applyFill="1" applyBorder="1" applyAlignment="1" applyProtection="1">
      <alignment horizontal="center"/>
      <protection locked="0"/>
    </xf>
    <xf numFmtId="3" fontId="4" fillId="0" borderId="40" xfId="0" applyNumberFormat="1" applyFont="1" applyFill="1" applyBorder="1" applyAlignment="1" applyProtection="1">
      <alignment horizontal="center"/>
      <protection locked="0"/>
    </xf>
    <xf numFmtId="0" fontId="27" fillId="0" borderId="48" xfId="0" applyFont="1" applyFill="1" applyBorder="1" applyAlignment="1" applyProtection="1">
      <alignment horizontal="center"/>
      <protection locked="0"/>
    </xf>
    <xf numFmtId="0" fontId="27" fillId="0" borderId="42" xfId="0" applyFont="1" applyFill="1" applyBorder="1" applyAlignment="1" applyProtection="1">
      <alignment horizontal="center"/>
      <protection locked="0"/>
    </xf>
    <xf numFmtId="0" fontId="27" fillId="0" borderId="40" xfId="0" applyFont="1" applyFill="1" applyBorder="1" applyAlignment="1" applyProtection="1">
      <alignment horizontal="center"/>
      <protection locked="0"/>
    </xf>
    <xf numFmtId="0" fontId="4" fillId="0" borderId="55" xfId="0" applyFont="1" applyFill="1" applyBorder="1" applyAlignment="1" applyProtection="1">
      <alignment horizontal="center" wrapText="1"/>
      <protection locked="0"/>
    </xf>
    <xf numFmtId="0" fontId="4" fillId="0" borderId="56" xfId="0" applyFont="1" applyFill="1" applyBorder="1" applyAlignment="1" applyProtection="1">
      <alignment horizontal="center" wrapText="1"/>
      <protection locked="0"/>
    </xf>
    <xf numFmtId="0" fontId="4" fillId="0" borderId="57" xfId="0" applyFont="1" applyFill="1" applyBorder="1" applyAlignment="1" applyProtection="1">
      <alignment horizontal="center" wrapText="1"/>
      <protection locked="0"/>
    </xf>
    <xf numFmtId="0" fontId="4" fillId="0" borderId="52" xfId="0" applyFont="1" applyFill="1" applyBorder="1" applyAlignment="1" applyProtection="1">
      <alignment horizontal="center" wrapText="1"/>
      <protection locked="0"/>
    </xf>
    <xf numFmtId="0" fontId="4" fillId="0" borderId="41" xfId="0" applyFont="1" applyFill="1" applyBorder="1" applyAlignment="1" applyProtection="1">
      <alignment horizontal="center" wrapText="1"/>
      <protection locked="0"/>
    </xf>
    <xf numFmtId="0" fontId="4" fillId="0" borderId="40" xfId="0" applyFont="1" applyFill="1" applyBorder="1" applyAlignment="1" applyProtection="1">
      <alignment horizontal="center" wrapText="1"/>
      <protection locked="0"/>
    </xf>
    <xf numFmtId="0" fontId="10" fillId="2" borderId="54" xfId="0" applyFont="1" applyFill="1" applyBorder="1" applyAlignment="1" applyProtection="1">
      <alignment horizontal="left" wrapText="1"/>
      <protection locked="0"/>
    </xf>
    <xf numFmtId="0" fontId="10" fillId="2" borderId="47" xfId="0" applyFont="1" applyFill="1" applyBorder="1" applyAlignment="1" applyProtection="1">
      <alignment horizontal="left" wrapText="1"/>
      <protection locked="0"/>
    </xf>
    <xf numFmtId="0" fontId="10" fillId="2" borderId="48" xfId="0" applyFont="1" applyFill="1" applyBorder="1" applyAlignment="1" applyProtection="1">
      <alignment horizontal="left" wrapText="1"/>
      <protection locked="0"/>
    </xf>
    <xf numFmtId="0" fontId="10" fillId="2" borderId="1" xfId="0" applyFont="1" applyFill="1" applyBorder="1" applyAlignment="1" applyProtection="1">
      <alignment horizontal="left" wrapText="1"/>
      <protection locked="0"/>
    </xf>
    <xf numFmtId="0" fontId="10" fillId="2" borderId="0" xfId="0" applyFont="1" applyFill="1" applyBorder="1" applyAlignment="1" applyProtection="1">
      <alignment horizontal="left" wrapText="1"/>
      <protection locked="0"/>
    </xf>
    <xf numFmtId="0" fontId="10" fillId="2" borderId="42" xfId="0" applyFont="1" applyFill="1" applyBorder="1" applyAlignment="1" applyProtection="1">
      <alignment horizontal="left" wrapText="1"/>
      <protection locked="0"/>
    </xf>
    <xf numFmtId="0" fontId="8" fillId="0" borderId="46" xfId="0" applyFont="1" applyFill="1" applyBorder="1" applyAlignment="1">
      <alignment horizontal="center"/>
    </xf>
    <xf numFmtId="0" fontId="8" fillId="0" borderId="47" xfId="0" applyFont="1" applyFill="1" applyBorder="1" applyAlignment="1">
      <alignment horizontal="center"/>
    </xf>
    <xf numFmtId="0" fontId="8" fillId="0" borderId="48" xfId="0" applyFont="1" applyFill="1" applyBorder="1" applyAlignment="1">
      <alignment horizontal="center"/>
    </xf>
    <xf numFmtId="0" fontId="8" fillId="0" borderId="49" xfId="0" applyFont="1" applyFill="1" applyBorder="1" applyAlignment="1">
      <alignment horizontal="center"/>
    </xf>
    <xf numFmtId="0" fontId="8" fillId="0" borderId="44" xfId="0" applyFont="1" applyFill="1" applyBorder="1" applyAlignment="1">
      <alignment horizontal="center"/>
    </xf>
    <xf numFmtId="0" fontId="8" fillId="0" borderId="45" xfId="0" applyFont="1" applyFill="1" applyBorder="1" applyAlignment="1">
      <alignment horizontal="center"/>
    </xf>
    <xf numFmtId="3" fontId="4" fillId="0" borderId="55" xfId="0" applyNumberFormat="1" applyFont="1" applyFill="1" applyBorder="1" applyAlignment="1" applyProtection="1">
      <alignment horizontal="center" wrapText="1"/>
    </xf>
    <xf numFmtId="3" fontId="4" fillId="0" borderId="56" xfId="0" applyNumberFormat="1" applyFont="1" applyFill="1" applyBorder="1" applyAlignment="1" applyProtection="1">
      <alignment horizontal="center" wrapText="1"/>
    </xf>
    <xf numFmtId="3" fontId="4" fillId="0" borderId="57" xfId="0" applyNumberFormat="1" applyFont="1" applyFill="1" applyBorder="1" applyAlignment="1" applyProtection="1">
      <alignment horizontal="center" wrapText="1"/>
    </xf>
    <xf numFmtId="3" fontId="4" fillId="0" borderId="52" xfId="0" applyNumberFormat="1" applyFont="1" applyFill="1" applyBorder="1" applyAlignment="1" applyProtection="1">
      <alignment horizontal="center" wrapText="1"/>
    </xf>
    <xf numFmtId="3" fontId="4" fillId="0" borderId="41" xfId="0" applyNumberFormat="1" applyFont="1" applyFill="1" applyBorder="1" applyAlignment="1" applyProtection="1">
      <alignment horizontal="center" wrapText="1"/>
    </xf>
    <xf numFmtId="3" fontId="4" fillId="0" borderId="40" xfId="0" applyNumberFormat="1" applyFont="1" applyFill="1" applyBorder="1" applyAlignment="1" applyProtection="1">
      <alignment horizontal="center" wrapText="1"/>
    </xf>
    <xf numFmtId="0" fontId="2" fillId="2" borderId="0" xfId="0" applyFont="1" applyFill="1" applyBorder="1" applyAlignment="1" applyProtection="1">
      <alignment horizontal="center"/>
    </xf>
    <xf numFmtId="0" fontId="18" fillId="2" borderId="0" xfId="0" applyFont="1" applyFill="1" applyBorder="1" applyAlignment="1" applyProtection="1">
      <alignment horizontal="left"/>
    </xf>
    <xf numFmtId="0" fontId="18" fillId="0" borderId="0" xfId="0" applyFont="1" applyFill="1" applyBorder="1" applyAlignment="1" applyProtection="1">
      <alignment horizontal="left"/>
      <protection locked="0"/>
    </xf>
    <xf numFmtId="0" fontId="3" fillId="2" borderId="0" xfId="0" applyFont="1" applyFill="1" applyBorder="1" applyAlignment="1" applyProtection="1">
      <alignment horizontal="center"/>
    </xf>
    <xf numFmtId="0" fontId="18" fillId="2" borderId="0" xfId="0" applyFont="1" applyFill="1" applyBorder="1" applyAlignment="1" applyProtection="1">
      <alignment horizontal="left"/>
      <protection locked="0"/>
    </xf>
    <xf numFmtId="0" fontId="26" fillId="5" borderId="0" xfId="0" applyFont="1" applyFill="1" applyAlignment="1">
      <alignment horizontal="center"/>
    </xf>
    <xf numFmtId="0" fontId="4" fillId="0" borderId="58" xfId="0" applyFont="1" applyBorder="1" applyAlignment="1">
      <alignment horizontal="center"/>
    </xf>
    <xf numFmtId="0" fontId="4" fillId="0" borderId="66" xfId="0" applyFont="1" applyBorder="1" applyAlignment="1">
      <alignment horizontal="center"/>
    </xf>
    <xf numFmtId="0" fontId="27" fillId="0" borderId="58" xfId="0" applyFont="1" applyBorder="1" applyAlignment="1">
      <alignment horizontal="center"/>
    </xf>
    <xf numFmtId="0" fontId="4" fillId="5" borderId="0" xfId="0" applyFont="1" applyFill="1" applyBorder="1" applyAlignment="1"/>
    <xf numFmtId="0" fontId="27" fillId="0" borderId="6" xfId="0" applyFont="1" applyBorder="1" applyAlignment="1" applyProtection="1">
      <alignment horizontal="center" vertical="center" wrapText="1"/>
    </xf>
    <xf numFmtId="0" fontId="0" fillId="0" borderId="7" xfId="0" applyBorder="1" applyAlignment="1">
      <alignment horizontal="center" vertical="center" wrapText="1"/>
    </xf>
    <xf numFmtId="0" fontId="0" fillId="0" borderId="59" xfId="0"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27" fillId="0" borderId="60" xfId="0" applyFont="1" applyBorder="1" applyAlignment="1">
      <alignment horizontal="center"/>
    </xf>
    <xf numFmtId="0" fontId="27" fillId="0" borderId="61" xfId="0" applyFont="1" applyBorder="1" applyAlignment="1">
      <alignment horizontal="center"/>
    </xf>
    <xf numFmtId="0" fontId="18" fillId="4" borderId="62" xfId="0" applyFont="1" applyFill="1" applyBorder="1" applyAlignment="1">
      <alignment horizontal="center" wrapText="1"/>
    </xf>
    <xf numFmtId="0" fontId="0" fillId="4" borderId="63" xfId="0" applyFill="1" applyBorder="1" applyAlignment="1">
      <alignment horizontal="center" wrapText="1"/>
    </xf>
    <xf numFmtId="0" fontId="0" fillId="4" borderId="64" xfId="0" applyFill="1" applyBorder="1" applyAlignment="1">
      <alignment horizontal="center" wrapText="1"/>
    </xf>
    <xf numFmtId="0" fontId="0" fillId="4" borderId="65" xfId="0" applyFill="1" applyBorder="1" applyAlignment="1">
      <alignment horizontal="center" wrapText="1"/>
    </xf>
    <xf numFmtId="0" fontId="24" fillId="5" borderId="0" xfId="0" applyFont="1" applyFill="1" applyAlignment="1">
      <alignment horizontal="center"/>
    </xf>
    <xf numFmtId="164" fontId="2" fillId="2" borderId="8" xfId="0" applyNumberFormat="1" applyFont="1" applyFill="1" applyBorder="1" applyAlignment="1" applyProtection="1">
      <alignment horizontal="center"/>
      <protection locked="0"/>
    </xf>
    <xf numFmtId="0" fontId="1" fillId="2" borderId="54" xfId="0" applyFont="1" applyFill="1" applyBorder="1" applyAlignment="1" applyProtection="1">
      <alignment horizontal="left" wrapText="1"/>
      <protection locked="0"/>
    </xf>
    <xf numFmtId="0" fontId="4" fillId="2" borderId="2" xfId="0" applyFont="1" applyFill="1" applyBorder="1" applyAlignment="1">
      <alignment horizontal="center"/>
    </xf>
    <xf numFmtId="0" fontId="27" fillId="0" borderId="46" xfId="0" applyFont="1" applyFill="1" applyBorder="1" applyAlignment="1" applyProtection="1">
      <alignment horizontal="center"/>
    </xf>
    <xf numFmtId="0" fontId="27" fillId="0" borderId="47" xfId="0" applyFont="1" applyFill="1" applyBorder="1" applyAlignment="1" applyProtection="1">
      <alignment horizontal="center"/>
    </xf>
    <xf numFmtId="0" fontId="27" fillId="0" borderId="50" xfId="0" applyFont="1" applyFill="1" applyBorder="1" applyAlignment="1" applyProtection="1">
      <alignment horizontal="center"/>
    </xf>
    <xf numFmtId="0" fontId="27" fillId="0" borderId="51" xfId="0" applyFont="1" applyFill="1" applyBorder="1" applyAlignment="1" applyProtection="1">
      <alignment horizontal="center"/>
    </xf>
    <xf numFmtId="0" fontId="27" fillId="0" borderId="0" xfId="0" applyFont="1" applyFill="1" applyBorder="1" applyAlignment="1" applyProtection="1">
      <alignment horizontal="center"/>
    </xf>
    <xf numFmtId="0" fontId="27" fillId="0" borderId="25" xfId="0" applyFont="1" applyFill="1" applyBorder="1" applyAlignment="1" applyProtection="1">
      <alignment horizontal="center"/>
    </xf>
    <xf numFmtId="0" fontId="27" fillId="0" borderId="52" xfId="0" applyFont="1" applyFill="1" applyBorder="1" applyAlignment="1" applyProtection="1">
      <alignment horizontal="center"/>
    </xf>
    <xf numFmtId="0" fontId="27" fillId="0" borderId="41" xfId="0" applyFont="1" applyFill="1" applyBorder="1" applyAlignment="1" applyProtection="1">
      <alignment horizontal="center"/>
    </xf>
    <xf numFmtId="0" fontId="27" fillId="0" borderId="53" xfId="0" applyFont="1" applyFill="1" applyBorder="1" applyAlignment="1" applyProtection="1">
      <alignment horizontal="center"/>
    </xf>
    <xf numFmtId="0" fontId="2" fillId="2" borderId="0" xfId="0" applyFont="1" applyFill="1" applyBorder="1" applyAlignment="1">
      <alignment horizontal="center"/>
    </xf>
    <xf numFmtId="0" fontId="27" fillId="0" borderId="1" xfId="0" applyFont="1" applyBorder="1" applyAlignment="1" applyProtection="1">
      <alignment horizontal="left"/>
      <protection locked="0"/>
    </xf>
    <xf numFmtId="0" fontId="27" fillId="0" borderId="0" xfId="0" applyFont="1" applyBorder="1" applyAlignment="1" applyProtection="1">
      <alignment horizontal="left"/>
      <protection locked="0"/>
    </xf>
    <xf numFmtId="0" fontId="27" fillId="0" borderId="42" xfId="0" applyFont="1" applyBorder="1" applyAlignment="1" applyProtection="1">
      <alignment horizontal="left"/>
      <protection locked="0"/>
    </xf>
    <xf numFmtId="0" fontId="27" fillId="0" borderId="43" xfId="0" applyFont="1" applyBorder="1" applyAlignment="1" applyProtection="1">
      <alignment horizontal="left"/>
      <protection locked="0"/>
    </xf>
    <xf numFmtId="0" fontId="27" fillId="0" borderId="41" xfId="0" applyFont="1" applyBorder="1" applyAlignment="1" applyProtection="1">
      <alignment horizontal="left"/>
      <protection locked="0"/>
    </xf>
    <xf numFmtId="0" fontId="27" fillId="0" borderId="40" xfId="0" applyFont="1" applyBorder="1" applyAlignment="1" applyProtection="1">
      <alignment horizontal="left"/>
      <protection locked="0"/>
    </xf>
    <xf numFmtId="49" fontId="27" fillId="0" borderId="46" xfId="0" applyNumberFormat="1" applyFont="1" applyFill="1" applyBorder="1" applyAlignment="1" applyProtection="1">
      <alignment horizontal="center"/>
    </xf>
    <xf numFmtId="49" fontId="27" fillId="0" borderId="47" xfId="0" applyNumberFormat="1" applyFont="1" applyFill="1" applyBorder="1" applyAlignment="1" applyProtection="1">
      <alignment horizontal="center"/>
    </xf>
    <xf numFmtId="49" fontId="27" fillId="0" borderId="48" xfId="0" applyNumberFormat="1" applyFont="1" applyFill="1" applyBorder="1" applyAlignment="1" applyProtection="1">
      <alignment horizontal="center"/>
    </xf>
    <xf numFmtId="49" fontId="27" fillId="0" borderId="49" xfId="0" applyNumberFormat="1" applyFont="1" applyFill="1" applyBorder="1" applyAlignment="1" applyProtection="1">
      <alignment horizontal="center"/>
    </xf>
    <xf numFmtId="49" fontId="27" fillId="0" borderId="44" xfId="0" applyNumberFormat="1" applyFont="1" applyFill="1" applyBorder="1" applyAlignment="1" applyProtection="1">
      <alignment horizontal="center"/>
    </xf>
    <xf numFmtId="49" fontId="27" fillId="0" borderId="45" xfId="0" applyNumberFormat="1" applyFont="1" applyFill="1" applyBorder="1" applyAlignment="1" applyProtection="1">
      <alignment horizontal="center"/>
    </xf>
    <xf numFmtId="0" fontId="4" fillId="0" borderId="55" xfId="0" applyFont="1" applyFill="1" applyBorder="1" applyAlignment="1" applyProtection="1">
      <alignment horizontal="center" wrapText="1"/>
    </xf>
    <xf numFmtId="0" fontId="4" fillId="0" borderId="56" xfId="0" applyFont="1" applyFill="1" applyBorder="1" applyAlignment="1" applyProtection="1">
      <alignment horizontal="center" wrapText="1"/>
    </xf>
    <xf numFmtId="0" fontId="4" fillId="0" borderId="57" xfId="0" applyFont="1" applyFill="1" applyBorder="1" applyAlignment="1" applyProtection="1">
      <alignment horizontal="center" wrapText="1"/>
    </xf>
    <xf numFmtId="0" fontId="4" fillId="0" borderId="52" xfId="0" applyFont="1" applyFill="1" applyBorder="1" applyAlignment="1" applyProtection="1">
      <alignment horizontal="center" wrapText="1"/>
    </xf>
    <xf numFmtId="0" fontId="4" fillId="0" borderId="41" xfId="0" applyFont="1" applyFill="1" applyBorder="1" applyAlignment="1" applyProtection="1">
      <alignment horizontal="center" wrapText="1"/>
    </xf>
    <xf numFmtId="0" fontId="4" fillId="0" borderId="40" xfId="0" applyFont="1" applyFill="1" applyBorder="1" applyAlignment="1" applyProtection="1">
      <alignment horizontal="center" wrapText="1"/>
    </xf>
    <xf numFmtId="1" fontId="24" fillId="5" borderId="0" xfId="0" applyNumberFormat="1" applyFont="1" applyFill="1" applyAlignment="1">
      <alignment horizontal="center"/>
    </xf>
    <xf numFmtId="0" fontId="24" fillId="0" borderId="0" xfId="0" applyFont="1" applyFill="1" applyAlignment="1">
      <alignment horizontal="center"/>
    </xf>
    <xf numFmtId="0" fontId="41" fillId="5" borderId="81" xfId="0" applyFont="1" applyFill="1" applyBorder="1" applyAlignment="1">
      <alignment horizontal="right"/>
    </xf>
    <xf numFmtId="0" fontId="8" fillId="2" borderId="0" xfId="0" applyFont="1" applyFill="1" applyBorder="1" applyAlignment="1">
      <alignment horizontal="right"/>
    </xf>
    <xf numFmtId="0" fontId="8" fillId="2" borderId="25" xfId="0" applyFont="1" applyFill="1" applyBorder="1" applyAlignment="1">
      <alignment horizontal="right"/>
    </xf>
    <xf numFmtId="0" fontId="11" fillId="5" borderId="81" xfId="0" applyFont="1" applyFill="1" applyBorder="1" applyAlignment="1">
      <alignment horizontal="center"/>
    </xf>
    <xf numFmtId="0" fontId="5" fillId="2" borderId="0" xfId="0" applyFont="1" applyFill="1" applyBorder="1" applyAlignment="1" applyProtection="1">
      <alignment horizontal="center"/>
      <protection locked="0"/>
    </xf>
    <xf numFmtId="0" fontId="3" fillId="0" borderId="68" xfId="0" applyFont="1" applyFill="1" applyBorder="1" applyAlignment="1" applyProtection="1">
      <alignment horizontal="center" vertical="center" wrapText="1"/>
    </xf>
    <xf numFmtId="0" fontId="24" fillId="0" borderId="67" xfId="0" applyFont="1" applyBorder="1" applyAlignment="1" applyProtection="1">
      <alignment horizontal="center" vertical="center"/>
    </xf>
    <xf numFmtId="166" fontId="4" fillId="0" borderId="12" xfId="0" applyNumberFormat="1" applyFont="1" applyFill="1" applyBorder="1" applyAlignment="1" applyProtection="1">
      <alignment horizontal="center"/>
    </xf>
    <xf numFmtId="167" fontId="4" fillId="0" borderId="12" xfId="0" applyNumberFormat="1" applyFont="1" applyFill="1" applyBorder="1" applyAlignment="1" applyProtection="1">
      <alignment horizontal="center"/>
    </xf>
    <xf numFmtId="167" fontId="4" fillId="0" borderId="31" xfId="0" applyNumberFormat="1" applyFont="1" applyFill="1" applyBorder="1" applyAlignment="1" applyProtection="1">
      <alignment horizontal="center"/>
    </xf>
    <xf numFmtId="0" fontId="4" fillId="0" borderId="74" xfId="0" applyFont="1" applyFill="1" applyBorder="1" applyAlignment="1" applyProtection="1">
      <alignment horizontal="center"/>
    </xf>
    <xf numFmtId="0" fontId="25" fillId="0" borderId="68"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3" fillId="0" borderId="69" xfId="0" applyFont="1" applyFill="1" applyBorder="1" applyAlignment="1" applyProtection="1">
      <alignment horizontal="center" vertical="center" wrapText="1"/>
    </xf>
    <xf numFmtId="0" fontId="24" fillId="0" borderId="70" xfId="0" applyFont="1" applyBorder="1" applyAlignment="1" applyProtection="1">
      <alignment horizontal="center" vertical="center"/>
    </xf>
    <xf numFmtId="0" fontId="11" fillId="2" borderId="0" xfId="0" applyFont="1" applyFill="1" applyBorder="1" applyAlignment="1" applyProtection="1">
      <alignment horizontal="right"/>
    </xf>
    <xf numFmtId="0" fontId="9" fillId="2" borderId="0" xfId="0" applyFont="1" applyFill="1" applyBorder="1" applyAlignment="1" applyProtection="1">
      <alignment horizontal="center"/>
    </xf>
    <xf numFmtId="0" fontId="2" fillId="2" borderId="8" xfId="0" applyFont="1" applyFill="1" applyBorder="1" applyAlignment="1" applyProtection="1">
      <alignment horizontal="left"/>
      <protection locked="0"/>
    </xf>
    <xf numFmtId="164" fontId="18" fillId="2" borderId="8" xfId="0" applyNumberFormat="1" applyFont="1" applyFill="1" applyBorder="1" applyAlignment="1" applyProtection="1">
      <alignment horizontal="left"/>
      <protection locked="0"/>
    </xf>
    <xf numFmtId="165" fontId="18" fillId="2" borderId="8" xfId="0" applyNumberFormat="1" applyFont="1" applyFill="1" applyBorder="1" applyAlignment="1" applyProtection="1">
      <alignment horizontal="left"/>
      <protection locked="0"/>
    </xf>
    <xf numFmtId="0" fontId="18" fillId="2" borderId="8" xfId="0" applyFont="1" applyFill="1" applyBorder="1" applyAlignment="1" applyProtection="1">
      <alignment horizontal="left"/>
      <protection locked="0"/>
    </xf>
    <xf numFmtId="0" fontId="18" fillId="2" borderId="71" xfId="0" applyFont="1" applyFill="1" applyBorder="1" applyAlignment="1" applyProtection="1">
      <alignment horizontal="left"/>
      <protection locked="0"/>
    </xf>
    <xf numFmtId="0" fontId="38" fillId="3" borderId="0" xfId="0" applyFont="1" applyFill="1" applyBorder="1" applyAlignment="1" applyProtection="1">
      <alignment horizontal="right" vertical="center"/>
    </xf>
    <xf numFmtId="0" fontId="38" fillId="3" borderId="73" xfId="0" applyFont="1" applyFill="1" applyBorder="1" applyAlignment="1" applyProtection="1">
      <alignment horizontal="right" vertical="center"/>
    </xf>
    <xf numFmtId="0" fontId="38" fillId="3" borderId="0" xfId="0" applyFont="1" applyFill="1" applyBorder="1" applyAlignment="1" applyProtection="1">
      <alignment horizontal="right"/>
    </xf>
    <xf numFmtId="0" fontId="38" fillId="3" borderId="73" xfId="0" applyFont="1" applyFill="1" applyBorder="1" applyAlignment="1" applyProtection="1">
      <alignment horizontal="right"/>
    </xf>
    <xf numFmtId="167" fontId="4" fillId="0" borderId="72" xfId="0" applyNumberFormat="1" applyFont="1" applyFill="1" applyBorder="1" applyAlignment="1" applyProtection="1">
      <alignment horizontal="center"/>
    </xf>
    <xf numFmtId="167" fontId="4" fillId="0" borderId="75" xfId="0" applyNumberFormat="1" applyFont="1" applyFill="1" applyBorder="1" applyAlignment="1" applyProtection="1">
      <alignment horizontal="center"/>
    </xf>
    <xf numFmtId="0" fontId="4" fillId="0" borderId="76" xfId="0" applyFont="1" applyFill="1" applyBorder="1" applyAlignment="1" applyProtection="1">
      <alignment horizontal="center"/>
    </xf>
    <xf numFmtId="166" fontId="4" fillId="0" borderId="72" xfId="0" applyNumberFormat="1" applyFont="1" applyFill="1" applyBorder="1" applyAlignment="1" applyProtection="1">
      <alignment horizontal="center"/>
    </xf>
    <xf numFmtId="0" fontId="13" fillId="2" borderId="71" xfId="0" applyFont="1" applyFill="1" applyBorder="1" applyAlignment="1" applyProtection="1">
      <alignment horizontal="left"/>
      <protection locked="0"/>
    </xf>
    <xf numFmtId="166" fontId="4" fillId="0" borderId="13" xfId="0" applyNumberFormat="1" applyFont="1" applyFill="1" applyBorder="1" applyAlignment="1" applyProtection="1">
      <alignment horizontal="center"/>
    </xf>
    <xf numFmtId="0" fontId="4" fillId="5" borderId="7" xfId="0" applyFont="1" applyFill="1" applyBorder="1" applyAlignment="1">
      <alignment horizontal="center"/>
    </xf>
    <xf numFmtId="0" fontId="4" fillId="5" borderId="0" xfId="0" applyFont="1" applyFill="1" applyBorder="1" applyAlignment="1">
      <alignment horizontal="center"/>
    </xf>
    <xf numFmtId="0" fontId="0" fillId="5" borderId="82" xfId="0" applyFill="1" applyBorder="1" applyAlignment="1">
      <alignment horizontal="center"/>
    </xf>
    <xf numFmtId="0" fontId="4" fillId="5" borderId="0" xfId="0" applyFont="1" applyFill="1" applyAlignment="1">
      <alignment horizontal="center"/>
    </xf>
    <xf numFmtId="0" fontId="12" fillId="2" borderId="71" xfId="0" applyFont="1" applyFill="1" applyBorder="1" applyAlignment="1" applyProtection="1">
      <alignment horizontal="left"/>
      <protection locked="0"/>
    </xf>
    <xf numFmtId="0" fontId="14" fillId="2" borderId="0" xfId="0" applyFont="1" applyFill="1" applyBorder="1" applyAlignment="1" applyProtection="1">
      <alignment horizontal="justify" vertical="center" wrapText="1"/>
    </xf>
    <xf numFmtId="0" fontId="12" fillId="2" borderId="8"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167" fontId="4" fillId="0" borderId="13" xfId="0" applyNumberFormat="1" applyFont="1" applyFill="1" applyBorder="1" applyAlignment="1" applyProtection="1">
      <alignment horizontal="center"/>
    </xf>
    <xf numFmtId="167" fontId="4" fillId="0" borderId="32" xfId="0" applyNumberFormat="1" applyFont="1" applyFill="1" applyBorder="1" applyAlignment="1" applyProtection="1">
      <alignment horizontal="center"/>
    </xf>
    <xf numFmtId="0" fontId="1" fillId="5" borderId="0" xfId="0" applyFont="1" applyFill="1" applyAlignment="1">
      <alignment horizontal="justify" vertical="center" wrapText="1" readingOrder="1"/>
    </xf>
    <xf numFmtId="0" fontId="0" fillId="2" borderId="0" xfId="0" applyFill="1" applyBorder="1" applyAlignment="1">
      <alignment horizontal="center"/>
    </xf>
    <xf numFmtId="0" fontId="2" fillId="2" borderId="0" xfId="0" applyFont="1" applyFill="1" applyBorder="1" applyAlignment="1">
      <alignment horizontal="center" vertical="center"/>
    </xf>
    <xf numFmtId="0" fontId="10" fillId="0" borderId="0" xfId="0" applyFont="1" applyAlignment="1">
      <alignment horizontal="justify" wrapText="1" readingOrder="1"/>
    </xf>
    <xf numFmtId="0" fontId="0" fillId="0" borderId="0" xfId="0" applyAlignment="1">
      <alignment horizontal="justify" wrapText="1" readingOrder="1"/>
    </xf>
    <xf numFmtId="0" fontId="0" fillId="0" borderId="0" xfId="0" applyAlignment="1"/>
    <xf numFmtId="0" fontId="0" fillId="2" borderId="0" xfId="0" applyFill="1" applyAlignment="1">
      <alignment horizontal="justify" wrapText="1" readingOrder="1"/>
    </xf>
    <xf numFmtId="49" fontId="2" fillId="2" borderId="0" xfId="0" applyNumberFormat="1" applyFont="1" applyFill="1" applyAlignment="1">
      <alignment horizontal="center" wrapText="1"/>
    </xf>
    <xf numFmtId="0" fontId="1" fillId="2" borderId="0" xfId="0" applyFont="1" applyFill="1" applyAlignment="1">
      <alignment horizontal="justify" wrapText="1" readingOrder="1"/>
    </xf>
    <xf numFmtId="0" fontId="0" fillId="2" borderId="0" xfId="0" applyFill="1" applyBorder="1" applyAlignment="1">
      <alignment horizontal="justify" wrapText="1" readingOrder="1"/>
    </xf>
    <xf numFmtId="0" fontId="10" fillId="2" borderId="0" xfId="0" applyFont="1" applyFill="1" applyBorder="1" applyAlignment="1">
      <alignment horizontal="justify" vertical="top" wrapText="1" readingOrder="1"/>
    </xf>
    <xf numFmtId="49" fontId="2" fillId="2" borderId="0" xfId="0" applyNumberFormat="1" applyFont="1" applyFill="1" applyAlignment="1">
      <alignment horizontal="center" vertical="top"/>
    </xf>
    <xf numFmtId="0" fontId="11" fillId="2" borderId="0" xfId="0" applyFont="1" applyFill="1" applyBorder="1" applyAlignment="1">
      <alignment horizontal="left"/>
    </xf>
    <xf numFmtId="0" fontId="14" fillId="2" borderId="0" xfId="0" applyFont="1" applyFill="1" applyBorder="1" applyAlignment="1">
      <alignment horizontal="left"/>
    </xf>
    <xf numFmtId="0" fontId="9" fillId="2" borderId="0" xfId="0" applyFont="1" applyFill="1" applyBorder="1" applyAlignment="1">
      <alignment horizontal="center"/>
    </xf>
    <xf numFmtId="0" fontId="21" fillId="2" borderId="0" xfId="0" applyFont="1" applyFill="1" applyBorder="1" applyAlignment="1">
      <alignment horizontal="left" wrapText="1"/>
    </xf>
    <xf numFmtId="0" fontId="1" fillId="2" borderId="0" xfId="0" applyFont="1" applyFill="1" applyBorder="1" applyAlignment="1">
      <alignment horizontal="center"/>
    </xf>
    <xf numFmtId="0" fontId="10" fillId="2" borderId="0" xfId="0" applyFont="1" applyFill="1" applyBorder="1" applyAlignment="1">
      <alignment horizontal="justify" wrapText="1" readingOrder="1"/>
    </xf>
    <xf numFmtId="0" fontId="0" fillId="2" borderId="0" xfId="0" applyFill="1" applyAlignment="1">
      <alignment horizontal="justify" wrapText="1"/>
    </xf>
    <xf numFmtId="0" fontId="0" fillId="2" borderId="0" xfId="0" applyFill="1" applyAlignment="1">
      <alignment horizontal="center"/>
    </xf>
    <xf numFmtId="0" fontId="10" fillId="5" borderId="0" xfId="0" applyFont="1" applyFill="1" applyAlignment="1">
      <alignment horizontal="center"/>
    </xf>
    <xf numFmtId="0" fontId="0" fillId="2" borderId="0" xfId="0" applyFill="1" applyAlignment="1">
      <alignment horizontal="justify" vertical="top" wrapText="1" readingOrder="1"/>
    </xf>
    <xf numFmtId="0" fontId="1" fillId="5" borderId="0" xfId="0" applyFont="1" applyFill="1" applyAlignment="1">
      <alignment horizontal="justify" wrapText="1" readingOrder="1"/>
    </xf>
    <xf numFmtId="0" fontId="10" fillId="5" borderId="0" xfId="0" applyFont="1" applyFill="1" applyAlignment="1">
      <alignment horizontal="justify" wrapText="1" readingOrder="1"/>
    </xf>
    <xf numFmtId="0" fontId="0" fillId="5" borderId="0" xfId="0" applyFill="1" applyAlignment="1">
      <alignment horizontal="justify" wrapText="1" readingOrder="1"/>
    </xf>
    <xf numFmtId="0" fontId="21" fillId="2" borderId="0" xfId="0" applyFont="1" applyFill="1" applyBorder="1" applyAlignment="1">
      <alignment horizontal="left"/>
    </xf>
    <xf numFmtId="0" fontId="21" fillId="2" borderId="0" xfId="0" applyFont="1" applyFill="1" applyAlignment="1">
      <alignment horizontal="left" wrapText="1"/>
    </xf>
    <xf numFmtId="0" fontId="10" fillId="2" borderId="0" xfId="0" applyFont="1" applyFill="1" applyAlignment="1">
      <alignment horizontal="left" wrapText="1"/>
    </xf>
    <xf numFmtId="0" fontId="10" fillId="2" borderId="0" xfId="0" applyFont="1" applyFill="1" applyAlignment="1">
      <alignment horizontal="justify" wrapText="1"/>
    </xf>
    <xf numFmtId="0" fontId="2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85725</xdr:rowOff>
    </xdr:from>
    <xdr:to>
      <xdr:col>7</xdr:col>
      <xdr:colOff>95250</xdr:colOff>
      <xdr:row>3</xdr:row>
      <xdr:rowOff>28575</xdr:rowOff>
    </xdr:to>
    <xdr:pic>
      <xdr:nvPicPr>
        <xdr:cNvPr id="3" name="Picture 2" descr="DEP left-rg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85725"/>
          <a:ext cx="199072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2"/>
    <pageSetUpPr fitToPage="1"/>
  </sheetPr>
  <dimension ref="A1:BM869"/>
  <sheetViews>
    <sheetView zoomScaleNormal="100" zoomScaleSheetLayoutView="75" workbookViewId="0">
      <selection activeCell="B16" sqref="B16:F17"/>
    </sheetView>
  </sheetViews>
  <sheetFormatPr defaultColWidth="0" defaultRowHeight="12.75" zeroHeight="1" x14ac:dyDescent="0.2"/>
  <cols>
    <col min="1" max="1" width="1.7109375" customWidth="1"/>
    <col min="2" max="2" width="10.5703125" bestFit="1" customWidth="1"/>
    <col min="3" max="6" width="4.7109375" customWidth="1"/>
    <col min="7" max="22" width="3.7109375" customWidth="1"/>
    <col min="23" max="23" width="3.7109375" style="4" customWidth="1"/>
    <col min="24" max="31" width="3.7109375" customWidth="1"/>
    <col min="32" max="36" width="3.7109375" style="1" customWidth="1"/>
    <col min="37" max="37" width="3.5703125" style="1" customWidth="1"/>
    <col min="38" max="38" width="7.28515625" style="12" hidden="1" customWidth="1"/>
    <col min="39" max="39" width="11.85546875" style="12" hidden="1" customWidth="1"/>
    <col min="40" max="41" width="5.7109375" style="12" hidden="1" customWidth="1"/>
    <col min="42" max="44" width="5.85546875" style="12" hidden="1" customWidth="1"/>
    <col min="45" max="46" width="5.7109375" style="12" hidden="1" customWidth="1"/>
    <col min="47" max="49" width="5.85546875" style="12" hidden="1" customWidth="1"/>
    <col min="50" max="50" width="4.42578125" style="12" hidden="1" customWidth="1"/>
    <col min="51" max="51" width="42.85546875" style="22" hidden="1" customWidth="1"/>
    <col min="52" max="52" width="28.140625" style="22" hidden="1" customWidth="1"/>
    <col min="53" max="53" width="9.140625" style="14" hidden="1" customWidth="1"/>
    <col min="54" max="54" width="33" hidden="1" customWidth="1"/>
    <col min="55" max="55" width="8.42578125" hidden="1" customWidth="1"/>
    <col min="56" max="56" width="20.85546875" hidden="1" customWidth="1"/>
    <col min="57" max="57" width="12.42578125" hidden="1" customWidth="1"/>
    <col min="58" max="58" width="20.85546875" hidden="1" customWidth="1"/>
    <col min="59" max="59" width="17" hidden="1" customWidth="1"/>
    <col min="60" max="60" width="17.7109375" hidden="1" customWidth="1"/>
    <col min="61" max="61" width="9.5703125" style="14" hidden="1" customWidth="1"/>
    <col min="62" max="62" width="6" style="14" hidden="1" customWidth="1"/>
    <col min="63" max="63" width="40" style="12" hidden="1" customWidth="1"/>
    <col min="64" max="65" width="2.42578125" style="12" hidden="1" customWidth="1"/>
    <col min="66" max="16384" width="2.42578125" hidden="1"/>
  </cols>
  <sheetData>
    <row r="1" spans="1:65" s="152" customFormat="1" ht="1.5" customHeight="1" x14ac:dyDescent="0.2">
      <c r="BK1" s="154"/>
      <c r="BL1" s="154"/>
      <c r="BM1" s="154"/>
    </row>
    <row r="2" spans="1:65" s="152" customFormat="1" ht="1.5" customHeight="1" x14ac:dyDescent="0.2">
      <c r="BK2" s="154"/>
      <c r="BL2" s="154"/>
      <c r="BM2" s="154"/>
    </row>
    <row r="3" spans="1:65" s="152" customFormat="1" ht="1.5" customHeight="1" x14ac:dyDescent="0.2">
      <c r="BK3" s="154"/>
      <c r="BL3" s="154"/>
      <c r="BM3" s="154"/>
    </row>
    <row r="4" spans="1:65" s="152" customFormat="1" ht="1.5" customHeight="1" x14ac:dyDescent="0.2">
      <c r="BK4" s="154"/>
      <c r="BL4" s="154"/>
      <c r="BM4" s="154"/>
    </row>
    <row r="5" spans="1:65" s="19" customFormat="1" ht="13.5" customHeight="1" x14ac:dyDescent="0.2">
      <c r="A5" s="149"/>
      <c r="B5" s="358" t="s">
        <v>98</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16"/>
      <c r="AL5" s="12"/>
      <c r="AM5" s="12"/>
      <c r="AN5" s="12"/>
      <c r="AO5" s="12"/>
      <c r="AP5" s="12"/>
      <c r="AQ5" s="12"/>
      <c r="AR5" s="12"/>
      <c r="AS5" s="12"/>
      <c r="AT5" s="12"/>
      <c r="AU5" s="12"/>
      <c r="AV5" s="12"/>
      <c r="AW5" s="12"/>
      <c r="AX5" s="12"/>
      <c r="AY5" s="22"/>
      <c r="AZ5" s="22"/>
      <c r="BA5" s="14"/>
      <c r="BB5"/>
      <c r="BC5"/>
      <c r="BD5"/>
      <c r="BE5"/>
      <c r="BF5"/>
      <c r="BG5"/>
      <c r="BH5"/>
      <c r="BI5" s="14"/>
      <c r="BJ5" s="14"/>
      <c r="BK5" s="12"/>
      <c r="BL5" s="288"/>
      <c r="BM5" s="288"/>
    </row>
    <row r="6" spans="1:65" s="19" customFormat="1" ht="6" customHeight="1" x14ac:dyDescent="0.2">
      <c r="A6" s="359"/>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c r="AE6" s="359"/>
      <c r="AF6" s="359"/>
      <c r="AG6" s="359"/>
      <c r="AH6" s="359"/>
      <c r="AI6" s="359"/>
      <c r="AJ6" s="359"/>
      <c r="AK6" s="362"/>
      <c r="AL6" s="362"/>
      <c r="AM6" s="24"/>
      <c r="AN6" s="24"/>
      <c r="AO6" s="24"/>
      <c r="AP6" s="24"/>
      <c r="AQ6" s="24"/>
      <c r="AR6" s="24"/>
      <c r="AS6" s="24"/>
      <c r="AT6" s="24"/>
      <c r="AU6" s="24"/>
      <c r="AV6" s="24"/>
      <c r="AW6" s="24"/>
      <c r="AX6" s="24"/>
      <c r="AY6" s="360"/>
      <c r="AZ6" s="360"/>
      <c r="BA6" s="360"/>
      <c r="BB6" s="24"/>
      <c r="BC6" s="24"/>
      <c r="BD6" s="360"/>
      <c r="BE6" s="360"/>
      <c r="BF6" s="360"/>
      <c r="BG6" s="360"/>
      <c r="BH6" s="360"/>
      <c r="BI6" s="360"/>
      <c r="BJ6" s="25"/>
      <c r="BK6" s="12"/>
      <c r="BL6" s="288"/>
      <c r="BM6" s="288"/>
    </row>
    <row r="7" spans="1:65" s="19" customFormat="1" x14ac:dyDescent="0.2">
      <c r="A7" s="150"/>
      <c r="B7" s="361" t="s">
        <v>1067</v>
      </c>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1"/>
      <c r="AH7" s="361"/>
      <c r="AI7" s="361"/>
      <c r="AJ7" s="361"/>
      <c r="AK7" s="24"/>
      <c r="AL7" s="28"/>
      <c r="AM7" s="153"/>
      <c r="AN7" s="28"/>
      <c r="AO7" s="28"/>
      <c r="AP7" s="28"/>
      <c r="AQ7" s="28"/>
      <c r="AR7" s="28"/>
      <c r="AS7" s="28"/>
      <c r="AT7" s="28"/>
      <c r="AU7" s="28"/>
      <c r="AV7" s="28"/>
      <c r="AW7" s="28"/>
      <c r="AX7" s="28"/>
      <c r="AY7" s="24"/>
      <c r="AZ7" s="24"/>
      <c r="BA7" s="25"/>
      <c r="BB7" s="24"/>
      <c r="BC7" s="24"/>
      <c r="BD7" s="24"/>
      <c r="BE7" s="24"/>
      <c r="BF7" s="24"/>
      <c r="BG7" s="24"/>
      <c r="BH7" s="24"/>
      <c r="BI7" s="25"/>
      <c r="BJ7" s="25"/>
      <c r="BK7" s="12"/>
      <c r="BL7" s="288"/>
      <c r="BM7" s="288"/>
    </row>
    <row r="8" spans="1:65" s="19" customFormat="1" ht="13.5" customHeight="1" x14ac:dyDescent="0.2">
      <c r="A8" s="9"/>
      <c r="B8" s="23" t="s">
        <v>99</v>
      </c>
      <c r="C8" s="6"/>
      <c r="D8" s="6"/>
      <c r="E8" s="381"/>
      <c r="F8" s="381"/>
      <c r="G8" s="393"/>
      <c r="H8" s="393"/>
      <c r="I8" s="393"/>
      <c r="J8" s="393"/>
      <c r="K8" s="393"/>
      <c r="L8" s="393"/>
      <c r="M8" s="393"/>
      <c r="N8" s="393"/>
      <c r="O8" s="393"/>
      <c r="P8" s="393"/>
      <c r="Q8" s="393"/>
      <c r="R8" s="393"/>
      <c r="S8" s="393"/>
      <c r="T8" s="393"/>
      <c r="U8" s="393"/>
      <c r="V8" s="393"/>
      <c r="W8" s="393"/>
      <c r="X8" s="393"/>
      <c r="Y8" s="393"/>
      <c r="Z8" s="393"/>
      <c r="AA8" s="393"/>
      <c r="AB8" s="393"/>
      <c r="AC8" s="393"/>
      <c r="AD8" s="393"/>
      <c r="AE8" s="393"/>
      <c r="AF8" s="393"/>
      <c r="AG8" s="393"/>
      <c r="AH8" s="393"/>
      <c r="AI8" s="393"/>
      <c r="AJ8" s="393"/>
      <c r="AK8" s="16"/>
      <c r="AL8" s="29"/>
      <c r="AM8" s="29"/>
      <c r="AN8" s="29"/>
      <c r="AO8" s="29"/>
      <c r="AP8" s="29"/>
      <c r="AQ8" s="29"/>
      <c r="AR8" s="29"/>
      <c r="AS8" s="29"/>
      <c r="AT8" s="29"/>
      <c r="AU8" s="29"/>
      <c r="AV8" s="29"/>
      <c r="AW8" s="29"/>
      <c r="AX8" s="29"/>
      <c r="AY8" s="27" t="s">
        <v>861</v>
      </c>
      <c r="AZ8" s="27"/>
      <c r="BA8" s="26"/>
      <c r="BB8" s="18"/>
      <c r="BC8" s="18"/>
      <c r="BD8" s="18"/>
      <c r="BE8" s="18"/>
      <c r="BF8" s="18"/>
      <c r="BG8" s="18"/>
      <c r="BH8" s="18"/>
      <c r="BI8" s="26"/>
      <c r="BJ8" s="26"/>
      <c r="BK8" s="29"/>
      <c r="BL8" s="288"/>
      <c r="BM8" s="288"/>
    </row>
    <row r="9" spans="1:65" s="4" customFormat="1" ht="12" customHeight="1" thickBot="1" x14ac:dyDescent="0.25">
      <c r="A9" s="291"/>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67"/>
      <c r="AL9" s="246"/>
      <c r="AM9" s="246"/>
      <c r="AN9" s="246"/>
      <c r="AO9" s="246"/>
      <c r="AP9" s="246"/>
      <c r="AQ9" s="246"/>
      <c r="AR9" s="246"/>
      <c r="AS9" s="246"/>
      <c r="AT9" s="246"/>
      <c r="AU9" s="246"/>
      <c r="AV9" s="246"/>
      <c r="AW9" s="246"/>
      <c r="AX9" s="246"/>
      <c r="AY9" s="247"/>
      <c r="AZ9" s="247"/>
      <c r="BA9" s="248"/>
      <c r="BB9" s="196"/>
      <c r="BC9" s="196"/>
      <c r="BD9" s="196"/>
      <c r="BE9" s="196"/>
      <c r="BF9" s="196"/>
      <c r="BG9" s="196"/>
      <c r="BH9" s="196"/>
      <c r="BI9" s="248"/>
      <c r="BJ9" s="248"/>
      <c r="BK9" s="246"/>
      <c r="BL9" s="289"/>
      <c r="BM9" s="289"/>
    </row>
    <row r="10" spans="1:65" s="4" customFormat="1" ht="15" customHeight="1" thickTop="1" thickBot="1" x14ac:dyDescent="0.25">
      <c r="A10" s="291"/>
      <c r="B10" s="368" t="s">
        <v>92</v>
      </c>
      <c r="C10" s="369"/>
      <c r="D10" s="369"/>
      <c r="E10" s="369"/>
      <c r="F10" s="370"/>
      <c r="G10" s="376"/>
      <c r="H10" s="377"/>
      <c r="I10" s="377"/>
      <c r="J10" s="377"/>
      <c r="K10" s="374" t="s">
        <v>83</v>
      </c>
      <c r="L10" s="374"/>
      <c r="M10" s="374"/>
      <c r="N10" s="374"/>
      <c r="O10" s="374"/>
      <c r="P10" s="374"/>
      <c r="Q10" s="374"/>
      <c r="R10" s="374"/>
      <c r="S10" s="374"/>
      <c r="T10" s="374"/>
      <c r="U10" s="374"/>
      <c r="V10" s="374" t="s">
        <v>84</v>
      </c>
      <c r="W10" s="374"/>
      <c r="X10" s="374"/>
      <c r="Y10" s="374"/>
      <c r="Z10" s="374"/>
      <c r="AA10" s="374"/>
      <c r="AB10" s="374"/>
      <c r="AC10" s="374"/>
      <c r="AD10" s="374"/>
      <c r="AE10" s="374"/>
      <c r="AF10" s="374"/>
      <c r="AG10" s="374"/>
      <c r="AH10" s="374"/>
      <c r="AI10" s="374"/>
      <c r="AJ10" s="375"/>
      <c r="AK10" s="367"/>
      <c r="AL10" s="249" t="s">
        <v>860</v>
      </c>
      <c r="AM10" s="249" t="s">
        <v>862</v>
      </c>
      <c r="AN10" s="363" t="s">
        <v>1155</v>
      </c>
      <c r="AO10" s="363"/>
      <c r="AP10" s="363"/>
      <c r="AQ10" s="363"/>
      <c r="AR10" s="363"/>
      <c r="AS10" s="363" t="s">
        <v>408</v>
      </c>
      <c r="AT10" s="363"/>
      <c r="AU10" s="363"/>
      <c r="AV10" s="363"/>
      <c r="AW10" s="363"/>
      <c r="AX10" s="250"/>
      <c r="AY10" s="251" t="s">
        <v>1126</v>
      </c>
      <c r="AZ10" s="251" t="s">
        <v>400</v>
      </c>
      <c r="BA10" s="252" t="s">
        <v>863</v>
      </c>
      <c r="BB10" s="250" t="s">
        <v>80</v>
      </c>
      <c r="BC10" s="250" t="s">
        <v>399</v>
      </c>
      <c r="BD10" s="253" t="s">
        <v>9</v>
      </c>
      <c r="BE10" s="253" t="s">
        <v>1059</v>
      </c>
      <c r="BF10" s="253" t="s">
        <v>1060</v>
      </c>
      <c r="BG10" s="253" t="s">
        <v>1061</v>
      </c>
      <c r="BH10" s="253" t="s">
        <v>1062</v>
      </c>
      <c r="BI10" s="250" t="s">
        <v>4</v>
      </c>
      <c r="BJ10" s="250" t="s">
        <v>367</v>
      </c>
      <c r="BK10" s="254" t="s">
        <v>229</v>
      </c>
      <c r="BL10" s="289"/>
      <c r="BM10" s="289"/>
    </row>
    <row r="11" spans="1:65" s="4" customFormat="1" ht="12" customHeight="1" thickBot="1" x14ac:dyDescent="0.25">
      <c r="A11" s="291"/>
      <c r="B11" s="371"/>
      <c r="C11" s="372"/>
      <c r="D11" s="372"/>
      <c r="E11" s="372"/>
      <c r="F11" s="373"/>
      <c r="G11" s="378"/>
      <c r="H11" s="379"/>
      <c r="I11" s="379"/>
      <c r="J11" s="379"/>
      <c r="K11" s="366" t="s">
        <v>93</v>
      </c>
      <c r="L11" s="366"/>
      <c r="M11" s="366"/>
      <c r="N11" s="366"/>
      <c r="O11" s="366" t="s">
        <v>94</v>
      </c>
      <c r="P11" s="366"/>
      <c r="Q11" s="366"/>
      <c r="R11" s="366"/>
      <c r="S11" s="366" t="s">
        <v>85</v>
      </c>
      <c r="T11" s="366"/>
      <c r="U11" s="366"/>
      <c r="V11" s="366" t="s">
        <v>95</v>
      </c>
      <c r="W11" s="366"/>
      <c r="X11" s="366"/>
      <c r="Y11" s="366"/>
      <c r="Z11" s="366" t="s">
        <v>96</v>
      </c>
      <c r="AA11" s="366"/>
      <c r="AB11" s="366"/>
      <c r="AC11" s="366"/>
      <c r="AD11" s="366" t="s">
        <v>97</v>
      </c>
      <c r="AE11" s="366"/>
      <c r="AF11" s="366"/>
      <c r="AG11" s="366"/>
      <c r="AH11" s="364" t="s">
        <v>85</v>
      </c>
      <c r="AI11" s="364"/>
      <c r="AJ11" s="365"/>
      <c r="AK11" s="367"/>
      <c r="AL11" s="246"/>
      <c r="AM11" s="246"/>
      <c r="AN11" s="255" t="s">
        <v>9</v>
      </c>
      <c r="AO11" s="255" t="s">
        <v>1059</v>
      </c>
      <c r="AP11" s="255" t="s">
        <v>1060</v>
      </c>
      <c r="AQ11" s="255" t="s">
        <v>1061</v>
      </c>
      <c r="AR11" s="255" t="s">
        <v>1062</v>
      </c>
      <c r="AS11" s="255" t="s">
        <v>9</v>
      </c>
      <c r="AT11" s="255" t="s">
        <v>1059</v>
      </c>
      <c r="AU11" s="255" t="s">
        <v>1060</v>
      </c>
      <c r="AV11" s="255" t="s">
        <v>1061</v>
      </c>
      <c r="AW11" s="255" t="s">
        <v>1062</v>
      </c>
      <c r="AX11" s="255" t="s">
        <v>4</v>
      </c>
      <c r="AY11" s="256" t="s">
        <v>297</v>
      </c>
      <c r="AZ11" s="256" t="s">
        <v>415</v>
      </c>
      <c r="BA11" s="245"/>
      <c r="BB11" s="247" t="s">
        <v>1029</v>
      </c>
      <c r="BC11" s="246">
        <v>1</v>
      </c>
      <c r="BD11" s="247" t="s">
        <v>1045</v>
      </c>
      <c r="BE11" s="247" t="s">
        <v>1045</v>
      </c>
      <c r="BF11" s="247" t="s">
        <v>1045</v>
      </c>
      <c r="BG11" s="247" t="s">
        <v>1045</v>
      </c>
      <c r="BH11" s="247" t="s">
        <v>1049</v>
      </c>
      <c r="BI11" s="246" t="s">
        <v>1124</v>
      </c>
      <c r="BJ11" s="245" t="s">
        <v>1122</v>
      </c>
      <c r="BK11" s="246"/>
      <c r="BL11" s="289"/>
      <c r="BM11" s="289"/>
    </row>
    <row r="12" spans="1:65" s="4" customFormat="1" ht="13.5" customHeight="1" x14ac:dyDescent="0.2">
      <c r="A12" s="291"/>
      <c r="B12" s="382" t="s">
        <v>1214</v>
      </c>
      <c r="C12" s="341"/>
      <c r="D12" s="341"/>
      <c r="E12" s="341"/>
      <c r="F12" s="342"/>
      <c r="G12" s="346" t="s">
        <v>86</v>
      </c>
      <c r="H12" s="347"/>
      <c r="I12" s="347"/>
      <c r="J12" s="348"/>
      <c r="K12" s="292" t="s">
        <v>1213</v>
      </c>
      <c r="L12" s="293"/>
      <c r="M12" s="293"/>
      <c r="N12" s="294"/>
      <c r="O12" s="292"/>
      <c r="P12" s="293"/>
      <c r="Q12" s="293"/>
      <c r="R12" s="294"/>
      <c r="S12" s="298" t="s">
        <v>1089</v>
      </c>
      <c r="T12" s="299"/>
      <c r="U12" s="331"/>
      <c r="V12" s="400"/>
      <c r="W12" s="401"/>
      <c r="X12" s="401"/>
      <c r="Y12" s="402"/>
      <c r="Z12" s="400"/>
      <c r="AA12" s="401"/>
      <c r="AB12" s="401"/>
      <c r="AC12" s="402"/>
      <c r="AD12" s="400"/>
      <c r="AE12" s="401"/>
      <c r="AF12" s="401"/>
      <c r="AG12" s="402"/>
      <c r="AH12" s="384" t="s">
        <v>859</v>
      </c>
      <c r="AI12" s="385"/>
      <c r="AJ12" s="386"/>
      <c r="AK12" s="367"/>
      <c r="AL12" s="380"/>
      <c r="AM12" s="380"/>
      <c r="AN12" s="380">
        <f>IF(ISERR(FIND(".",K12)),0,LEN(MID(K12,FIND(".",K12)+1,15)))</f>
        <v>0</v>
      </c>
      <c r="AO12" s="380">
        <f>IF(ISERR(FIND(".",O12)),0,LEN(MID(O12,FIND(".",O12)+1,15)))</f>
        <v>0</v>
      </c>
      <c r="AP12" s="380">
        <f>IF(ISERR(FIND(".",V12)),0,LEN(MID(V12,FIND(".",V12)+1,15)))</f>
        <v>0</v>
      </c>
      <c r="AQ12" s="380">
        <f>IF(ISERR(FIND(".",Z12)),0,LEN(MID(Z12,FIND(".",Z12)+1,15)))</f>
        <v>0</v>
      </c>
      <c r="AR12" s="380">
        <f>IF(ISERR(FIND(".",AD12)),0,LEN(MID(AD12,FIND(".",AD12)+1,15)))</f>
        <v>0</v>
      </c>
      <c r="AS12" s="380" t="str">
        <f>IF(OR(K12="",K12="Report"),"E","")</f>
        <v>E</v>
      </c>
      <c r="AT12" s="380" t="str">
        <f>IF(OR(O12="",O12="Report"),"E","")</f>
        <v>E</v>
      </c>
      <c r="AU12" s="380" t="str">
        <f>IF(OR(V12="",V12="Report"),"E","")</f>
        <v>E</v>
      </c>
      <c r="AV12" s="380" t="str">
        <f>IF(OR(Z12="",Z12="Report"),"E","")</f>
        <v>E</v>
      </c>
      <c r="AW12" s="380" t="str">
        <f>IF(OR(AD12="",AD12="Report"),"E","")</f>
        <v>E</v>
      </c>
      <c r="AX12" s="290" t="str">
        <f>IF($B12&lt;&gt;"",INDEX($BI$11:$BJ$54, MATCH('Outfall 1 Daily'!$G$13,$BI$11:$BI$54,), MATCH("Symbol",$BI$10:$BJ$10,)),"")</f>
        <v>L</v>
      </c>
      <c r="AY12" s="256" t="s">
        <v>1246</v>
      </c>
      <c r="AZ12" s="256" t="s">
        <v>1247</v>
      </c>
      <c r="BA12" s="286"/>
      <c r="BB12" s="247" t="s">
        <v>1030</v>
      </c>
      <c r="BC12" s="246">
        <v>2</v>
      </c>
      <c r="BD12" s="247" t="s">
        <v>1046</v>
      </c>
      <c r="BE12" s="247" t="s">
        <v>1047</v>
      </c>
      <c r="BF12" s="247" t="s">
        <v>1046</v>
      </c>
      <c r="BG12" s="247" t="s">
        <v>1046</v>
      </c>
      <c r="BH12" s="247" t="s">
        <v>1052</v>
      </c>
      <c r="BI12" s="246" t="s">
        <v>1125</v>
      </c>
      <c r="BJ12" s="245" t="s">
        <v>1122</v>
      </c>
      <c r="BK12" s="246"/>
      <c r="BL12" s="289"/>
      <c r="BM12" s="289"/>
    </row>
    <row r="13" spans="1:65" s="4" customFormat="1" ht="13.5" customHeight="1" x14ac:dyDescent="0.2">
      <c r="A13" s="291"/>
      <c r="B13" s="343"/>
      <c r="C13" s="344"/>
      <c r="D13" s="344"/>
      <c r="E13" s="344"/>
      <c r="F13" s="345"/>
      <c r="G13" s="349"/>
      <c r="H13" s="350"/>
      <c r="I13" s="350"/>
      <c r="J13" s="351"/>
      <c r="K13" s="295"/>
      <c r="L13" s="296"/>
      <c r="M13" s="296"/>
      <c r="N13" s="297"/>
      <c r="O13" s="295"/>
      <c r="P13" s="296"/>
      <c r="Q13" s="296"/>
      <c r="R13" s="297"/>
      <c r="S13" s="301"/>
      <c r="T13" s="302"/>
      <c r="U13" s="332"/>
      <c r="V13" s="403"/>
      <c r="W13" s="404"/>
      <c r="X13" s="404"/>
      <c r="Y13" s="405"/>
      <c r="Z13" s="403"/>
      <c r="AA13" s="404"/>
      <c r="AB13" s="404"/>
      <c r="AC13" s="405"/>
      <c r="AD13" s="403"/>
      <c r="AE13" s="404"/>
      <c r="AF13" s="404"/>
      <c r="AG13" s="405"/>
      <c r="AH13" s="387"/>
      <c r="AI13" s="388"/>
      <c r="AJ13" s="389"/>
      <c r="AK13" s="367"/>
      <c r="AL13" s="380"/>
      <c r="AM13" s="380"/>
      <c r="AN13" s="380"/>
      <c r="AO13" s="380"/>
      <c r="AP13" s="380"/>
      <c r="AQ13" s="380"/>
      <c r="AR13" s="380"/>
      <c r="AS13" s="380"/>
      <c r="AT13" s="380"/>
      <c r="AU13" s="380"/>
      <c r="AV13" s="380"/>
      <c r="AW13" s="380"/>
      <c r="AX13" s="290"/>
      <c r="AY13" s="256" t="s">
        <v>102</v>
      </c>
      <c r="AZ13" s="256" t="s">
        <v>409</v>
      </c>
      <c r="BA13" s="245"/>
      <c r="BB13" s="247" t="s">
        <v>1043</v>
      </c>
      <c r="BC13" s="245" t="s">
        <v>384</v>
      </c>
      <c r="BD13" s="247" t="s">
        <v>1047</v>
      </c>
      <c r="BE13" s="247" t="s">
        <v>1049</v>
      </c>
      <c r="BF13" s="247" t="s">
        <v>1048</v>
      </c>
      <c r="BG13" s="247" t="s">
        <v>1047</v>
      </c>
      <c r="BH13" s="247" t="s">
        <v>1054</v>
      </c>
      <c r="BI13" s="246" t="s">
        <v>1063</v>
      </c>
      <c r="BJ13" s="245" t="s">
        <v>1122</v>
      </c>
      <c r="BK13" s="246"/>
      <c r="BL13" s="289"/>
      <c r="BM13" s="289"/>
    </row>
    <row r="14" spans="1:65" s="4" customFormat="1" ht="13.5" customHeight="1" x14ac:dyDescent="0.2">
      <c r="A14" s="291"/>
      <c r="B14" s="394" t="s">
        <v>1029</v>
      </c>
      <c r="C14" s="395"/>
      <c r="D14" s="395"/>
      <c r="E14" s="395"/>
      <c r="F14" s="396"/>
      <c r="G14" s="313" t="s">
        <v>87</v>
      </c>
      <c r="H14" s="314"/>
      <c r="I14" s="314"/>
      <c r="J14" s="315"/>
      <c r="K14" s="319" t="s">
        <v>1046</v>
      </c>
      <c r="L14" s="320"/>
      <c r="M14" s="320"/>
      <c r="N14" s="321"/>
      <c r="O14" s="325"/>
      <c r="P14" s="326"/>
      <c r="Q14" s="326"/>
      <c r="R14" s="327"/>
      <c r="S14" s="301"/>
      <c r="T14" s="302"/>
      <c r="U14" s="332"/>
      <c r="V14" s="352" t="s">
        <v>859</v>
      </c>
      <c r="W14" s="353"/>
      <c r="X14" s="353"/>
      <c r="Y14" s="354"/>
      <c r="Z14" s="352" t="s">
        <v>859</v>
      </c>
      <c r="AA14" s="353"/>
      <c r="AB14" s="353"/>
      <c r="AC14" s="354"/>
      <c r="AD14" s="406" t="s">
        <v>859</v>
      </c>
      <c r="AE14" s="407"/>
      <c r="AF14" s="407"/>
      <c r="AG14" s="408"/>
      <c r="AH14" s="387"/>
      <c r="AI14" s="388"/>
      <c r="AJ14" s="389"/>
      <c r="AK14" s="367"/>
      <c r="AL14" s="380"/>
      <c r="AM14" s="380"/>
      <c r="AN14" s="380"/>
      <c r="AO14" s="380"/>
      <c r="AP14" s="380"/>
      <c r="AQ14" s="380"/>
      <c r="AR14" s="380"/>
      <c r="AS14" s="380"/>
      <c r="AT14" s="380"/>
      <c r="AU14" s="380"/>
      <c r="AV14" s="380"/>
      <c r="AW14" s="380"/>
      <c r="AX14" s="290"/>
      <c r="AY14" s="256" t="s">
        <v>101</v>
      </c>
      <c r="AZ14" s="256" t="s">
        <v>410</v>
      </c>
      <c r="BA14" s="245"/>
      <c r="BB14" s="247" t="s">
        <v>1025</v>
      </c>
      <c r="BC14" s="245" t="s">
        <v>385</v>
      </c>
      <c r="BD14" s="247" t="s">
        <v>1048</v>
      </c>
      <c r="BE14" s="247" t="s">
        <v>1058</v>
      </c>
      <c r="BF14" s="247" t="s">
        <v>1050</v>
      </c>
      <c r="BG14" s="247" t="s">
        <v>1049</v>
      </c>
      <c r="BH14" s="247" t="s">
        <v>1058</v>
      </c>
      <c r="BI14" s="246" t="s">
        <v>89</v>
      </c>
      <c r="BJ14" s="245"/>
      <c r="BK14" s="246"/>
      <c r="BL14" s="289"/>
      <c r="BM14" s="289"/>
    </row>
    <row r="15" spans="1:65" s="4" customFormat="1" ht="13.5" customHeight="1" thickBot="1" x14ac:dyDescent="0.25">
      <c r="A15" s="291"/>
      <c r="B15" s="397"/>
      <c r="C15" s="398"/>
      <c r="D15" s="398"/>
      <c r="E15" s="398"/>
      <c r="F15" s="399"/>
      <c r="G15" s="316"/>
      <c r="H15" s="317"/>
      <c r="I15" s="317"/>
      <c r="J15" s="318"/>
      <c r="K15" s="322"/>
      <c r="L15" s="323"/>
      <c r="M15" s="323"/>
      <c r="N15" s="324"/>
      <c r="O15" s="328"/>
      <c r="P15" s="329"/>
      <c r="Q15" s="329"/>
      <c r="R15" s="330"/>
      <c r="S15" s="304"/>
      <c r="T15" s="305"/>
      <c r="U15" s="333"/>
      <c r="V15" s="355"/>
      <c r="W15" s="356"/>
      <c r="X15" s="356"/>
      <c r="Y15" s="357"/>
      <c r="Z15" s="355"/>
      <c r="AA15" s="356"/>
      <c r="AB15" s="356"/>
      <c r="AC15" s="357"/>
      <c r="AD15" s="409"/>
      <c r="AE15" s="410"/>
      <c r="AF15" s="410"/>
      <c r="AG15" s="411"/>
      <c r="AH15" s="390"/>
      <c r="AI15" s="391"/>
      <c r="AJ15" s="392"/>
      <c r="AK15" s="367"/>
      <c r="AL15" s="380"/>
      <c r="AM15" s="380"/>
      <c r="AN15" s="380"/>
      <c r="AO15" s="380"/>
      <c r="AP15" s="380"/>
      <c r="AQ15" s="380"/>
      <c r="AR15" s="380"/>
      <c r="AS15" s="380"/>
      <c r="AT15" s="380"/>
      <c r="AU15" s="380"/>
      <c r="AV15" s="380"/>
      <c r="AW15" s="380"/>
      <c r="AX15" s="290"/>
      <c r="AY15" s="256" t="s">
        <v>103</v>
      </c>
      <c r="AZ15" s="256" t="s">
        <v>411</v>
      </c>
      <c r="BA15" s="245"/>
      <c r="BB15" s="247" t="s">
        <v>1026</v>
      </c>
      <c r="BC15" s="246">
        <v>0</v>
      </c>
      <c r="BD15" s="247" t="s">
        <v>1055</v>
      </c>
      <c r="BE15" s="247" t="s">
        <v>859</v>
      </c>
      <c r="BF15" s="247" t="s">
        <v>1053</v>
      </c>
      <c r="BG15" s="247" t="s">
        <v>1050</v>
      </c>
      <c r="BH15" s="247" t="s">
        <v>859</v>
      </c>
      <c r="BI15" s="246" t="s">
        <v>88</v>
      </c>
      <c r="BJ15" s="245"/>
      <c r="BK15" s="246"/>
      <c r="BL15" s="289"/>
      <c r="BM15" s="289"/>
    </row>
    <row r="16" spans="1:65" s="4" customFormat="1" ht="13.5" customHeight="1" x14ac:dyDescent="0.2">
      <c r="A16" s="291"/>
      <c r="B16" s="340"/>
      <c r="C16" s="341"/>
      <c r="D16" s="341"/>
      <c r="E16" s="341"/>
      <c r="F16" s="342"/>
      <c r="G16" s="346" t="s">
        <v>86</v>
      </c>
      <c r="H16" s="347"/>
      <c r="I16" s="347"/>
      <c r="J16" s="348"/>
      <c r="K16" s="292"/>
      <c r="L16" s="293"/>
      <c r="M16" s="293"/>
      <c r="N16" s="294"/>
      <c r="O16" s="292"/>
      <c r="P16" s="293"/>
      <c r="Q16" s="293"/>
      <c r="R16" s="294"/>
      <c r="S16" s="298"/>
      <c r="T16" s="299"/>
      <c r="U16" s="331"/>
      <c r="V16" s="292"/>
      <c r="W16" s="293"/>
      <c r="X16" s="293"/>
      <c r="Y16" s="294"/>
      <c r="Z16" s="292"/>
      <c r="AA16" s="293"/>
      <c r="AB16" s="293"/>
      <c r="AC16" s="294"/>
      <c r="AD16" s="292"/>
      <c r="AE16" s="293"/>
      <c r="AF16" s="293"/>
      <c r="AG16" s="294"/>
      <c r="AH16" s="298"/>
      <c r="AI16" s="299"/>
      <c r="AJ16" s="300"/>
      <c r="AK16" s="367"/>
      <c r="AL16" s="290" t="str">
        <f>IF($B16&lt;&gt;"",IF(INDEX($AY$11:$BA$447, MATCH($B16,$AY$11:$AY$447,), MATCH("Ch16DLmg/l",$AY$10:$BA$10,))&lt;&gt;0,INDEX($AY$11:$BA$447, MATCH($B16,$AY$11:$AY$447,), MATCH("Ch16DLmg/l",$AY$10:$BA$10,)),0),"")</f>
        <v/>
      </c>
      <c r="AM16" s="290" t="str">
        <f>IF(OR(AND(BK16&lt;&gt;"",BK16&lt;AL16),AND(BL16&lt;&gt;"",BL16&lt;AL16),AND(BM16&lt;&gt;"",BM16&lt;AL16)),"Y","")</f>
        <v/>
      </c>
      <c r="AN16" s="380">
        <f>IF(ISERR(FIND(".",K16)),0,LEN(MID(K16,FIND(".",K16)+1,15)))</f>
        <v>0</v>
      </c>
      <c r="AO16" s="380">
        <f>IF(ISERR(FIND(".",O16)),0,LEN(MID(O16,FIND(".",O16)+1,15)))</f>
        <v>0</v>
      </c>
      <c r="AP16" s="380">
        <f>IF(ISERR(FIND(".",V16)),0,LEN(MID(V16,FIND(".",V16)+1,15)))</f>
        <v>0</v>
      </c>
      <c r="AQ16" s="412">
        <f>IF(ISERR(FIND(".",Z16)),0,LEN(MID(Z16,FIND(".",Z16)+1,15)))</f>
        <v>0</v>
      </c>
      <c r="AR16" s="380">
        <f>IF(ISERR(FIND(".",AD16)),0,LEN(MID(AD16,FIND(".",AD16)+1,15)))</f>
        <v>0</v>
      </c>
      <c r="AS16" s="380" t="str">
        <f>IF(OR(K16="",K16="Report"),"E","")</f>
        <v>E</v>
      </c>
      <c r="AT16" s="380" t="str">
        <f>IF(OR(O16="",O16="Report"),"E","")</f>
        <v>E</v>
      </c>
      <c r="AU16" s="380" t="str">
        <f>IF(OR(V16="",V16="Report"),"E","")</f>
        <v>E</v>
      </c>
      <c r="AV16" s="380" t="str">
        <f>IF(OR(Z16="",Z16="Report"),"E","")</f>
        <v>E</v>
      </c>
      <c r="AW16" s="380" t="str">
        <f>IF(OR(AD16="",AD16="Report"),"E","")</f>
        <v>E</v>
      </c>
      <c r="AX16" s="290" t="str">
        <f>IF(OR(AND($B16&lt;&gt;"",$AH16&lt;&gt;""),AND($B16&lt;&gt;"",$S16&lt;&gt;"")),INDEX($BI$11:$BJ$54, MATCH('Outfall 1 Daily'!$I$13,$BI$11:$BI$54,), MATCH("Symbol",$BI$10:$BJ$10,)),"")</f>
        <v/>
      </c>
      <c r="AY16" s="256" t="s">
        <v>105</v>
      </c>
      <c r="AZ16" s="256" t="s">
        <v>412</v>
      </c>
      <c r="BA16" s="245"/>
      <c r="BB16" s="247" t="s">
        <v>1027</v>
      </c>
      <c r="BC16" s="245" t="s">
        <v>386</v>
      </c>
      <c r="BD16" s="247" t="s">
        <v>1057</v>
      </c>
      <c r="BE16" s="247"/>
      <c r="BF16" s="247" t="s">
        <v>1055</v>
      </c>
      <c r="BG16" s="247" t="s">
        <v>1051</v>
      </c>
      <c r="BH16" s="247"/>
      <c r="BI16" s="246" t="s">
        <v>1115</v>
      </c>
      <c r="BJ16" s="245"/>
      <c r="BK16" s="380" t="str">
        <f>IF(AND(V16&lt;&gt;"",V16&lt;&gt;"Report"),VALUE(V16),"")</f>
        <v/>
      </c>
      <c r="BL16" s="413" t="str">
        <f>IF(AND(Z16&lt;&gt;"",Z16&lt;&gt;"Report"),VALUE(Z16),"")</f>
        <v/>
      </c>
      <c r="BM16" s="413" t="str">
        <f>IF(AND(AD16&lt;&gt;"",AD16&lt;&gt;"Report"),VALUE(AD16),"")</f>
        <v/>
      </c>
    </row>
    <row r="17" spans="1:65" s="4" customFormat="1" ht="13.5" customHeight="1" x14ac:dyDescent="0.2">
      <c r="A17" s="291"/>
      <c r="B17" s="343"/>
      <c r="C17" s="344"/>
      <c r="D17" s="344"/>
      <c r="E17" s="344"/>
      <c r="F17" s="345"/>
      <c r="G17" s="349"/>
      <c r="H17" s="350"/>
      <c r="I17" s="350"/>
      <c r="J17" s="351"/>
      <c r="K17" s="295"/>
      <c r="L17" s="296"/>
      <c r="M17" s="296"/>
      <c r="N17" s="297"/>
      <c r="O17" s="295"/>
      <c r="P17" s="296"/>
      <c r="Q17" s="296"/>
      <c r="R17" s="297"/>
      <c r="S17" s="301"/>
      <c r="T17" s="302"/>
      <c r="U17" s="332"/>
      <c r="V17" s="295"/>
      <c r="W17" s="296"/>
      <c r="X17" s="296"/>
      <c r="Y17" s="297"/>
      <c r="Z17" s="295"/>
      <c r="AA17" s="296"/>
      <c r="AB17" s="296"/>
      <c r="AC17" s="297"/>
      <c r="AD17" s="295"/>
      <c r="AE17" s="296"/>
      <c r="AF17" s="296"/>
      <c r="AG17" s="297"/>
      <c r="AH17" s="301"/>
      <c r="AI17" s="302"/>
      <c r="AJ17" s="303"/>
      <c r="AK17" s="367"/>
      <c r="AL17" s="290"/>
      <c r="AM17" s="290"/>
      <c r="AN17" s="380"/>
      <c r="AO17" s="380"/>
      <c r="AP17" s="380"/>
      <c r="AQ17" s="412"/>
      <c r="AR17" s="380"/>
      <c r="AS17" s="380"/>
      <c r="AT17" s="380"/>
      <c r="AU17" s="380"/>
      <c r="AV17" s="380"/>
      <c r="AW17" s="380"/>
      <c r="AX17" s="290"/>
      <c r="AY17" s="256" t="s">
        <v>104</v>
      </c>
      <c r="AZ17" s="256" t="s">
        <v>413</v>
      </c>
      <c r="BA17" s="245"/>
      <c r="BB17" s="247" t="s">
        <v>1028</v>
      </c>
      <c r="BC17" s="245" t="s">
        <v>387</v>
      </c>
      <c r="BD17" s="247" t="s">
        <v>859</v>
      </c>
      <c r="BE17" s="247"/>
      <c r="BF17" s="247" t="s">
        <v>1056</v>
      </c>
      <c r="BG17" s="247" t="s">
        <v>1058</v>
      </c>
      <c r="BH17" s="247"/>
      <c r="BI17" s="246" t="s">
        <v>1089</v>
      </c>
      <c r="BJ17" s="245" t="s">
        <v>3</v>
      </c>
      <c r="BK17" s="380"/>
      <c r="BL17" s="413"/>
      <c r="BM17" s="413"/>
    </row>
    <row r="18" spans="1:65" s="4" customFormat="1" ht="13.5" customHeight="1" x14ac:dyDescent="0.2">
      <c r="A18" s="291"/>
      <c r="B18" s="307"/>
      <c r="C18" s="308"/>
      <c r="D18" s="308"/>
      <c r="E18" s="308"/>
      <c r="F18" s="309"/>
      <c r="G18" s="313" t="s">
        <v>87</v>
      </c>
      <c r="H18" s="314"/>
      <c r="I18" s="314"/>
      <c r="J18" s="315"/>
      <c r="K18" s="319"/>
      <c r="L18" s="320"/>
      <c r="M18" s="320"/>
      <c r="N18" s="321"/>
      <c r="O18" s="325"/>
      <c r="P18" s="326"/>
      <c r="Q18" s="326"/>
      <c r="R18" s="327"/>
      <c r="S18" s="301"/>
      <c r="T18" s="302"/>
      <c r="U18" s="332"/>
      <c r="V18" s="319"/>
      <c r="W18" s="320"/>
      <c r="X18" s="320"/>
      <c r="Y18" s="321"/>
      <c r="Z18" s="319"/>
      <c r="AA18" s="320"/>
      <c r="AB18" s="320"/>
      <c r="AC18" s="321"/>
      <c r="AD18" s="334"/>
      <c r="AE18" s="335"/>
      <c r="AF18" s="335"/>
      <c r="AG18" s="336"/>
      <c r="AH18" s="301"/>
      <c r="AI18" s="302"/>
      <c r="AJ18" s="303"/>
      <c r="AK18" s="367"/>
      <c r="AL18" s="290"/>
      <c r="AM18" s="290"/>
      <c r="AN18" s="380"/>
      <c r="AO18" s="380"/>
      <c r="AP18" s="380"/>
      <c r="AQ18" s="412"/>
      <c r="AR18" s="380"/>
      <c r="AS18" s="380"/>
      <c r="AT18" s="380"/>
      <c r="AU18" s="380"/>
      <c r="AV18" s="380"/>
      <c r="AW18" s="380"/>
      <c r="AX18" s="290"/>
      <c r="AY18" s="256" t="s">
        <v>106</v>
      </c>
      <c r="AZ18" s="256" t="s">
        <v>414</v>
      </c>
      <c r="BA18" s="245"/>
      <c r="BB18" s="247" t="s">
        <v>1031</v>
      </c>
      <c r="BC18" s="246">
        <v>6</v>
      </c>
      <c r="BD18" s="196"/>
      <c r="BE18" s="196"/>
      <c r="BF18" s="247" t="s">
        <v>859</v>
      </c>
      <c r="BG18" s="247" t="s">
        <v>859</v>
      </c>
      <c r="BH18" s="196"/>
      <c r="BI18" s="246" t="s">
        <v>82</v>
      </c>
      <c r="BJ18" s="245" t="s">
        <v>3</v>
      </c>
      <c r="BK18" s="246"/>
      <c r="BL18" s="289"/>
      <c r="BM18" s="289"/>
    </row>
    <row r="19" spans="1:65" s="4" customFormat="1" ht="13.5" customHeight="1" thickBot="1" x14ac:dyDescent="0.25">
      <c r="A19" s="291"/>
      <c r="B19" s="310"/>
      <c r="C19" s="311"/>
      <c r="D19" s="311"/>
      <c r="E19" s="311"/>
      <c r="F19" s="312"/>
      <c r="G19" s="316"/>
      <c r="H19" s="317"/>
      <c r="I19" s="317"/>
      <c r="J19" s="318"/>
      <c r="K19" s="322"/>
      <c r="L19" s="323"/>
      <c r="M19" s="323"/>
      <c r="N19" s="324"/>
      <c r="O19" s="328"/>
      <c r="P19" s="329"/>
      <c r="Q19" s="329"/>
      <c r="R19" s="330"/>
      <c r="S19" s="304"/>
      <c r="T19" s="305"/>
      <c r="U19" s="333"/>
      <c r="V19" s="322"/>
      <c r="W19" s="323"/>
      <c r="X19" s="323"/>
      <c r="Y19" s="324"/>
      <c r="Z19" s="322"/>
      <c r="AA19" s="323"/>
      <c r="AB19" s="323"/>
      <c r="AC19" s="324"/>
      <c r="AD19" s="337"/>
      <c r="AE19" s="338"/>
      <c r="AF19" s="338"/>
      <c r="AG19" s="339"/>
      <c r="AH19" s="304"/>
      <c r="AI19" s="305"/>
      <c r="AJ19" s="306"/>
      <c r="AK19" s="367"/>
      <c r="AL19" s="290"/>
      <c r="AM19" s="290"/>
      <c r="AN19" s="380"/>
      <c r="AO19" s="380"/>
      <c r="AP19" s="380"/>
      <c r="AQ19" s="412"/>
      <c r="AR19" s="380"/>
      <c r="AS19" s="380"/>
      <c r="AT19" s="380"/>
      <c r="AU19" s="380"/>
      <c r="AV19" s="380"/>
      <c r="AW19" s="380"/>
      <c r="AX19" s="290"/>
      <c r="AY19" s="256" t="s">
        <v>107</v>
      </c>
      <c r="AZ19" s="256" t="s">
        <v>419</v>
      </c>
      <c r="BA19" s="245"/>
      <c r="BB19" s="247" t="s">
        <v>1032</v>
      </c>
      <c r="BC19" s="245" t="s">
        <v>388</v>
      </c>
      <c r="BD19" s="196"/>
      <c r="BE19" s="196"/>
      <c r="BF19" s="196"/>
      <c r="BG19" s="196"/>
      <c r="BH19" s="196"/>
      <c r="BI19" s="246" t="s">
        <v>81</v>
      </c>
      <c r="BJ19" s="245" t="s">
        <v>3</v>
      </c>
      <c r="BK19" s="246"/>
      <c r="BL19" s="289"/>
      <c r="BM19" s="289"/>
    </row>
    <row r="20" spans="1:65" s="4" customFormat="1" ht="13.5" customHeight="1" x14ac:dyDescent="0.2">
      <c r="A20" s="291"/>
      <c r="B20" s="340"/>
      <c r="C20" s="341"/>
      <c r="D20" s="341"/>
      <c r="E20" s="341"/>
      <c r="F20" s="342"/>
      <c r="G20" s="346" t="s">
        <v>86</v>
      </c>
      <c r="H20" s="347"/>
      <c r="I20" s="347"/>
      <c r="J20" s="348"/>
      <c r="K20" s="292"/>
      <c r="L20" s="293"/>
      <c r="M20" s="293"/>
      <c r="N20" s="294"/>
      <c r="O20" s="292"/>
      <c r="P20" s="293"/>
      <c r="Q20" s="293"/>
      <c r="R20" s="294"/>
      <c r="S20" s="298"/>
      <c r="T20" s="299"/>
      <c r="U20" s="331"/>
      <c r="V20" s="292"/>
      <c r="W20" s="293"/>
      <c r="X20" s="293"/>
      <c r="Y20" s="294"/>
      <c r="Z20" s="292"/>
      <c r="AA20" s="293"/>
      <c r="AB20" s="293"/>
      <c r="AC20" s="294"/>
      <c r="AD20" s="292"/>
      <c r="AE20" s="293"/>
      <c r="AF20" s="293"/>
      <c r="AG20" s="294"/>
      <c r="AH20" s="298"/>
      <c r="AI20" s="299"/>
      <c r="AJ20" s="300"/>
      <c r="AK20" s="367"/>
      <c r="AL20" s="290" t="str">
        <f>IF($B20&lt;&gt;"",IF(INDEX($AY$11:$BA$447, MATCH($B20,$AY$11:$AY$447,), MATCH("Ch16DLmg/l",$AY$10:$BA$10,))&lt;&gt;0,INDEX($AY$11:$BA$447, MATCH($B20,$AY$11:$AY$447,), MATCH("Ch16DLmg/l",$AY$10:$BA$10,)),0),"")</f>
        <v/>
      </c>
      <c r="AM20" s="290" t="str">
        <f>IF(OR(AND(BK20&lt;&gt;"",BK20&lt;AL20),AND(BL20&lt;&gt;"",BL20&lt;AL20),AND(BM20&lt;&gt;"",BM20&lt;AL20)),"Y","")</f>
        <v/>
      </c>
      <c r="AN20" s="380">
        <f>IF(ISERR(FIND(".",K20)),0,LEN(MID(K20,FIND(".",K20)+1,15)))</f>
        <v>0</v>
      </c>
      <c r="AO20" s="380">
        <f>IF(ISERR(FIND(".",O20)),0,LEN(MID(O20,FIND(".",O20)+1,15)))</f>
        <v>0</v>
      </c>
      <c r="AP20" s="380">
        <f>IF(ISERR(FIND(".",V20)),0,LEN(MID(V20,FIND(".",V20)+1,15)))</f>
        <v>0</v>
      </c>
      <c r="AQ20" s="380">
        <f>IF(ISERR(FIND(".",Z20)),0,LEN(MID(Z20,FIND(".",Z20)+1,15)))</f>
        <v>0</v>
      </c>
      <c r="AR20" s="380">
        <f>IF(ISERR(FIND(".",AD20)),0,LEN(MID(AD20,FIND(".",AD20)+1,15)))</f>
        <v>0</v>
      </c>
      <c r="AS20" s="380" t="str">
        <f>IF(OR(K20="",K20="Report"),"E","")</f>
        <v>E</v>
      </c>
      <c r="AT20" s="380" t="str">
        <f>IF(OR(O20="",O20="Report"),"E","")</f>
        <v>E</v>
      </c>
      <c r="AU20" s="380" t="str">
        <f>IF(OR(V20="",V20="Report"),"E","")</f>
        <v>E</v>
      </c>
      <c r="AV20" s="380" t="str">
        <f>IF(OR(Z20="",Z20="Report"),"E","")</f>
        <v>E</v>
      </c>
      <c r="AW20" s="380" t="str">
        <f>IF(OR(AD20="",AD20="Report"),"E","")</f>
        <v>E</v>
      </c>
      <c r="AX20" s="290" t="str">
        <f>IF(OR(AND($B20&lt;&gt;"",$AH20&lt;&gt;""),AND($B20&lt;&gt;"",$S20&lt;&gt;"")),INDEX($BI$11:$BJ$54, MATCH('Outfall 1 Daily'!K$13,$BI$11:$BI$54,), MATCH("Symbol",$BI$10:$BJ$10,)),"")</f>
        <v/>
      </c>
      <c r="AY20" s="256" t="s">
        <v>108</v>
      </c>
      <c r="AZ20" s="256" t="s">
        <v>416</v>
      </c>
      <c r="BA20" s="245"/>
      <c r="BB20" s="247" t="s">
        <v>1033</v>
      </c>
      <c r="BC20" s="245" t="s">
        <v>389</v>
      </c>
      <c r="BD20" s="196"/>
      <c r="BE20" s="196"/>
      <c r="BF20" s="196"/>
      <c r="BG20" s="196"/>
      <c r="BH20" s="196"/>
      <c r="BI20" s="246" t="s">
        <v>1111</v>
      </c>
      <c r="BJ20" s="245" t="s">
        <v>3</v>
      </c>
      <c r="BK20" s="380" t="str">
        <f>IF(AND(V20&lt;&gt;"",V20&lt;&gt;"Report"),VALUE(V20),"")</f>
        <v/>
      </c>
      <c r="BL20" s="413" t="str">
        <f>IF(AND(Z20&lt;&gt;"",Z20&lt;&gt;"Report"),VALUE(Z20),"")</f>
        <v/>
      </c>
      <c r="BM20" s="413" t="str">
        <f>IF(AND(AD20&lt;&gt;"",AD20&lt;&gt;"Report"),VALUE(AD20),"")</f>
        <v/>
      </c>
    </row>
    <row r="21" spans="1:65" s="4" customFormat="1" ht="13.5" customHeight="1" x14ac:dyDescent="0.2">
      <c r="A21" s="291"/>
      <c r="B21" s="343"/>
      <c r="C21" s="344"/>
      <c r="D21" s="344"/>
      <c r="E21" s="344"/>
      <c r="F21" s="345"/>
      <c r="G21" s="349"/>
      <c r="H21" s="350"/>
      <c r="I21" s="350"/>
      <c r="J21" s="351"/>
      <c r="K21" s="295"/>
      <c r="L21" s="296"/>
      <c r="M21" s="296"/>
      <c r="N21" s="297"/>
      <c r="O21" s="295"/>
      <c r="P21" s="296"/>
      <c r="Q21" s="296"/>
      <c r="R21" s="297"/>
      <c r="S21" s="301"/>
      <c r="T21" s="302"/>
      <c r="U21" s="332"/>
      <c r="V21" s="295"/>
      <c r="W21" s="296"/>
      <c r="X21" s="296"/>
      <c r="Y21" s="297"/>
      <c r="Z21" s="295"/>
      <c r="AA21" s="296"/>
      <c r="AB21" s="296"/>
      <c r="AC21" s="297"/>
      <c r="AD21" s="295"/>
      <c r="AE21" s="296"/>
      <c r="AF21" s="296"/>
      <c r="AG21" s="297"/>
      <c r="AH21" s="301"/>
      <c r="AI21" s="302"/>
      <c r="AJ21" s="303"/>
      <c r="AK21" s="367"/>
      <c r="AL21" s="290"/>
      <c r="AM21" s="290"/>
      <c r="AN21" s="380"/>
      <c r="AO21" s="380"/>
      <c r="AP21" s="380"/>
      <c r="AQ21" s="380"/>
      <c r="AR21" s="380"/>
      <c r="AS21" s="380"/>
      <c r="AT21" s="380"/>
      <c r="AU21" s="380"/>
      <c r="AV21" s="380"/>
      <c r="AW21" s="380"/>
      <c r="AX21" s="290"/>
      <c r="AY21" s="256" t="s">
        <v>109</v>
      </c>
      <c r="AZ21" s="256" t="s">
        <v>417</v>
      </c>
      <c r="BA21" s="245"/>
      <c r="BB21" s="247" t="s">
        <v>1034</v>
      </c>
      <c r="BC21" s="245" t="s">
        <v>390</v>
      </c>
      <c r="BD21" s="196"/>
      <c r="BE21" s="196"/>
      <c r="BF21" s="196"/>
      <c r="BG21" s="196"/>
      <c r="BH21" s="196"/>
      <c r="BI21" s="246" t="s">
        <v>90</v>
      </c>
      <c r="BJ21" s="245" t="s">
        <v>3</v>
      </c>
      <c r="BK21" s="380"/>
      <c r="BL21" s="413"/>
      <c r="BM21" s="413"/>
    </row>
    <row r="22" spans="1:65" s="4" customFormat="1" ht="13.5" customHeight="1" x14ac:dyDescent="0.2">
      <c r="A22" s="291"/>
      <c r="B22" s="307"/>
      <c r="C22" s="308"/>
      <c r="D22" s="308"/>
      <c r="E22" s="308"/>
      <c r="F22" s="309"/>
      <c r="G22" s="313" t="s">
        <v>87</v>
      </c>
      <c r="H22" s="314"/>
      <c r="I22" s="314"/>
      <c r="J22" s="315"/>
      <c r="K22" s="319"/>
      <c r="L22" s="320"/>
      <c r="M22" s="320"/>
      <c r="N22" s="321"/>
      <c r="O22" s="325"/>
      <c r="P22" s="326"/>
      <c r="Q22" s="326"/>
      <c r="R22" s="327"/>
      <c r="S22" s="301"/>
      <c r="T22" s="302"/>
      <c r="U22" s="332"/>
      <c r="V22" s="319"/>
      <c r="W22" s="320"/>
      <c r="X22" s="320"/>
      <c r="Y22" s="321"/>
      <c r="Z22" s="319"/>
      <c r="AA22" s="320"/>
      <c r="AB22" s="320"/>
      <c r="AC22" s="321"/>
      <c r="AD22" s="334"/>
      <c r="AE22" s="335"/>
      <c r="AF22" s="335"/>
      <c r="AG22" s="336"/>
      <c r="AH22" s="301"/>
      <c r="AI22" s="302"/>
      <c r="AJ22" s="303"/>
      <c r="AK22" s="367"/>
      <c r="AL22" s="290"/>
      <c r="AM22" s="290"/>
      <c r="AN22" s="380"/>
      <c r="AO22" s="380"/>
      <c r="AP22" s="380"/>
      <c r="AQ22" s="380"/>
      <c r="AR22" s="380"/>
      <c r="AS22" s="380"/>
      <c r="AT22" s="380"/>
      <c r="AU22" s="380"/>
      <c r="AV22" s="380"/>
      <c r="AW22" s="380"/>
      <c r="AX22" s="290"/>
      <c r="AY22" s="256" t="s">
        <v>363</v>
      </c>
      <c r="AZ22" s="256" t="s">
        <v>420</v>
      </c>
      <c r="BA22" s="245"/>
      <c r="BB22" s="247" t="s">
        <v>1035</v>
      </c>
      <c r="BC22" s="245" t="s">
        <v>391</v>
      </c>
      <c r="BD22" s="196"/>
      <c r="BE22" s="196"/>
      <c r="BF22" s="196"/>
      <c r="BG22" s="196"/>
      <c r="BH22" s="196"/>
      <c r="BI22" s="246" t="s">
        <v>5</v>
      </c>
      <c r="BJ22" s="246" t="s">
        <v>3</v>
      </c>
      <c r="BK22" s="246"/>
      <c r="BL22" s="289"/>
      <c r="BM22" s="289"/>
    </row>
    <row r="23" spans="1:65" s="4" customFormat="1" ht="13.5" customHeight="1" thickBot="1" x14ac:dyDescent="0.25">
      <c r="A23" s="291"/>
      <c r="B23" s="310"/>
      <c r="C23" s="311"/>
      <c r="D23" s="311"/>
      <c r="E23" s="311"/>
      <c r="F23" s="312"/>
      <c r="G23" s="316"/>
      <c r="H23" s="317"/>
      <c r="I23" s="317"/>
      <c r="J23" s="318"/>
      <c r="K23" s="322"/>
      <c r="L23" s="323"/>
      <c r="M23" s="323"/>
      <c r="N23" s="324"/>
      <c r="O23" s="328"/>
      <c r="P23" s="329"/>
      <c r="Q23" s="329"/>
      <c r="R23" s="330"/>
      <c r="S23" s="304"/>
      <c r="T23" s="305"/>
      <c r="U23" s="333"/>
      <c r="V23" s="322"/>
      <c r="W23" s="323"/>
      <c r="X23" s="323"/>
      <c r="Y23" s="324"/>
      <c r="Z23" s="322"/>
      <c r="AA23" s="323"/>
      <c r="AB23" s="323"/>
      <c r="AC23" s="324"/>
      <c r="AD23" s="337"/>
      <c r="AE23" s="338"/>
      <c r="AF23" s="338"/>
      <c r="AG23" s="339"/>
      <c r="AH23" s="304"/>
      <c r="AI23" s="305"/>
      <c r="AJ23" s="306"/>
      <c r="AK23" s="367"/>
      <c r="AL23" s="290"/>
      <c r="AM23" s="290"/>
      <c r="AN23" s="380"/>
      <c r="AO23" s="380"/>
      <c r="AP23" s="380"/>
      <c r="AQ23" s="380"/>
      <c r="AR23" s="380"/>
      <c r="AS23" s="380"/>
      <c r="AT23" s="380"/>
      <c r="AU23" s="380"/>
      <c r="AV23" s="380"/>
      <c r="AW23" s="380"/>
      <c r="AX23" s="290"/>
      <c r="AY23" s="256" t="s">
        <v>361</v>
      </c>
      <c r="AZ23" s="256" t="s">
        <v>421</v>
      </c>
      <c r="BA23" s="245"/>
      <c r="BB23" s="247" t="s">
        <v>1036</v>
      </c>
      <c r="BC23" s="245" t="s">
        <v>392</v>
      </c>
      <c r="BD23" s="196"/>
      <c r="BE23" s="196"/>
      <c r="BF23" s="196"/>
      <c r="BG23" s="196"/>
      <c r="BH23" s="196"/>
      <c r="BI23" s="246" t="s">
        <v>91</v>
      </c>
      <c r="BJ23" s="245" t="s">
        <v>3</v>
      </c>
      <c r="BK23" s="246"/>
      <c r="BL23" s="289"/>
      <c r="BM23" s="289"/>
    </row>
    <row r="24" spans="1:65" s="4" customFormat="1" ht="13.5" customHeight="1" x14ac:dyDescent="0.2">
      <c r="A24" s="291"/>
      <c r="B24" s="340"/>
      <c r="C24" s="341"/>
      <c r="D24" s="341"/>
      <c r="E24" s="341"/>
      <c r="F24" s="342"/>
      <c r="G24" s="346" t="s">
        <v>86</v>
      </c>
      <c r="H24" s="347"/>
      <c r="I24" s="347"/>
      <c r="J24" s="348"/>
      <c r="K24" s="292"/>
      <c r="L24" s="293"/>
      <c r="M24" s="293"/>
      <c r="N24" s="294"/>
      <c r="O24" s="292"/>
      <c r="P24" s="293"/>
      <c r="Q24" s="293"/>
      <c r="R24" s="294"/>
      <c r="S24" s="298"/>
      <c r="T24" s="299"/>
      <c r="U24" s="331"/>
      <c r="V24" s="292"/>
      <c r="W24" s="293"/>
      <c r="X24" s="293"/>
      <c r="Y24" s="294"/>
      <c r="Z24" s="292"/>
      <c r="AA24" s="293"/>
      <c r="AB24" s="293"/>
      <c r="AC24" s="294"/>
      <c r="AD24" s="292"/>
      <c r="AE24" s="293"/>
      <c r="AF24" s="293"/>
      <c r="AG24" s="294"/>
      <c r="AH24" s="298"/>
      <c r="AI24" s="299"/>
      <c r="AJ24" s="300"/>
      <c r="AK24" s="367"/>
      <c r="AL24" s="290" t="str">
        <f>IF($B24&lt;&gt;"",IF(INDEX($AY$11:$BA$447, MATCH($B24,$AY$11:$AY$447,), MATCH("Ch16DLmg/l",$AY$10:$BA$10,))&lt;&gt;0,INDEX($AY$11:$BA$447, MATCH($B24,$AY$11:$AY$447,), MATCH("Ch16DLmg/l",$AY$10:$BA$10,)),0),"")</f>
        <v/>
      </c>
      <c r="AM24" s="290" t="str">
        <f>IF(OR(AND(BK24&lt;&gt;"",BK24&lt;AL24),AND(BL24&lt;&gt;"",BL24&lt;AL24),AND(BM24&lt;&gt;"",BM24&lt;AL24)),"Y","")</f>
        <v/>
      </c>
      <c r="AN24" s="380">
        <f>IF(ISERR(FIND(".",K24)),0,LEN(MID(K24,FIND(".",K24)+1,15)))</f>
        <v>0</v>
      </c>
      <c r="AO24" s="380">
        <f>IF(ISERR(FIND(".",O24)),0,LEN(MID(O24,FIND(".",O24)+1,15)))</f>
        <v>0</v>
      </c>
      <c r="AP24" s="380">
        <f>IF(ISERR(FIND(".",V24)),0,LEN(MID(V24,FIND(".",V24)+1,15)))</f>
        <v>0</v>
      </c>
      <c r="AQ24" s="380">
        <f>IF(ISERR(FIND(".",Z24)),0,LEN(MID(Z24,FIND(".",Z24)+1,15)))</f>
        <v>0</v>
      </c>
      <c r="AR24" s="380">
        <f>IF(ISERR(FIND(".",AD24)),0,LEN(MID(AD24,FIND(".",AD24)+1,15)))</f>
        <v>0</v>
      </c>
      <c r="AS24" s="380" t="str">
        <f>IF(OR(K24="",K24="Report"),"E","")</f>
        <v>E</v>
      </c>
      <c r="AT24" s="380" t="str">
        <f>IF(OR(O24="",O24="Report"),"E","")</f>
        <v>E</v>
      </c>
      <c r="AU24" s="380" t="str">
        <f>IF(OR(V24="",V24="Report"),"E","")</f>
        <v>E</v>
      </c>
      <c r="AV24" s="380" t="str">
        <f>IF(OR(Z24="",Z24="Report"),"E","")</f>
        <v>E</v>
      </c>
      <c r="AW24" s="380" t="str">
        <f>IF(OR(AD24="",AD24="Report"),"E","")</f>
        <v>E</v>
      </c>
      <c r="AX24" s="290" t="str">
        <f>IF(OR(AND($B24&lt;&gt;"",$AH24&lt;&gt;""),AND($B24&lt;&gt;"",$S24&lt;&gt;"")),INDEX($BI$11:$BJ$54, MATCH('Outfall 1 Daily'!M$13,$BI$11:$BI$54,), MATCH("Symbol",$BI$10:$BJ$10,)),"")</f>
        <v/>
      </c>
      <c r="AY24" s="256" t="s">
        <v>964</v>
      </c>
      <c r="AZ24" s="256" t="s">
        <v>418</v>
      </c>
      <c r="BA24" s="245"/>
      <c r="BB24" s="247" t="s">
        <v>1037</v>
      </c>
      <c r="BC24" s="245" t="s">
        <v>393</v>
      </c>
      <c r="BD24" s="196"/>
      <c r="BE24" s="196"/>
      <c r="BF24" s="196"/>
      <c r="BG24" s="196"/>
      <c r="BH24" s="196"/>
      <c r="BI24" s="246" t="s">
        <v>1099</v>
      </c>
      <c r="BJ24" s="245" t="s">
        <v>3</v>
      </c>
      <c r="BK24" s="380" t="str">
        <f>IF(AND(V24&lt;&gt;"",V24&lt;&gt;"Report"),VALUE(V24),"")</f>
        <v/>
      </c>
      <c r="BL24" s="413" t="str">
        <f>IF(AND(Z24&lt;&gt;"",Z24&lt;&gt;"Report"),VALUE(Z24),"")</f>
        <v/>
      </c>
      <c r="BM24" s="413" t="str">
        <f>IF(AND(AD24&lt;&gt;"",AD24&lt;&gt;"Report"),VALUE(AD24),"")</f>
        <v/>
      </c>
    </row>
    <row r="25" spans="1:65" s="4" customFormat="1" ht="13.5" customHeight="1" x14ac:dyDescent="0.2">
      <c r="A25" s="291"/>
      <c r="B25" s="343"/>
      <c r="C25" s="344"/>
      <c r="D25" s="344"/>
      <c r="E25" s="344"/>
      <c r="F25" s="345"/>
      <c r="G25" s="349"/>
      <c r="H25" s="350"/>
      <c r="I25" s="350"/>
      <c r="J25" s="351"/>
      <c r="K25" s="295"/>
      <c r="L25" s="296"/>
      <c r="M25" s="296"/>
      <c r="N25" s="297"/>
      <c r="O25" s="295"/>
      <c r="P25" s="296"/>
      <c r="Q25" s="296"/>
      <c r="R25" s="297"/>
      <c r="S25" s="301"/>
      <c r="T25" s="302"/>
      <c r="U25" s="332"/>
      <c r="V25" s="295"/>
      <c r="W25" s="296"/>
      <c r="X25" s="296"/>
      <c r="Y25" s="297"/>
      <c r="Z25" s="295"/>
      <c r="AA25" s="296"/>
      <c r="AB25" s="296"/>
      <c r="AC25" s="297"/>
      <c r="AD25" s="295"/>
      <c r="AE25" s="296"/>
      <c r="AF25" s="296"/>
      <c r="AG25" s="297"/>
      <c r="AH25" s="301"/>
      <c r="AI25" s="302"/>
      <c r="AJ25" s="303"/>
      <c r="AK25" s="367"/>
      <c r="AL25" s="290"/>
      <c r="AM25" s="290"/>
      <c r="AN25" s="380"/>
      <c r="AO25" s="380"/>
      <c r="AP25" s="380"/>
      <c r="AQ25" s="380"/>
      <c r="AR25" s="380"/>
      <c r="AS25" s="380"/>
      <c r="AT25" s="380"/>
      <c r="AU25" s="380"/>
      <c r="AV25" s="380"/>
      <c r="AW25" s="380"/>
      <c r="AX25" s="290"/>
      <c r="AY25" s="256" t="s">
        <v>362</v>
      </c>
      <c r="AZ25" s="256" t="s">
        <v>422</v>
      </c>
      <c r="BA25" s="245"/>
      <c r="BB25" s="247" t="s">
        <v>1038</v>
      </c>
      <c r="BC25" s="245" t="s">
        <v>394</v>
      </c>
      <c r="BD25" s="196"/>
      <c r="BE25" s="196"/>
      <c r="BF25" s="196"/>
      <c r="BG25" s="196"/>
      <c r="BH25" s="196"/>
      <c r="BI25" s="246" t="s">
        <v>1098</v>
      </c>
      <c r="BJ25" s="245" t="s">
        <v>3</v>
      </c>
      <c r="BK25" s="380"/>
      <c r="BL25" s="413"/>
      <c r="BM25" s="413"/>
    </row>
    <row r="26" spans="1:65" s="4" customFormat="1" ht="13.5" customHeight="1" x14ac:dyDescent="0.2">
      <c r="A26" s="291"/>
      <c r="B26" s="307"/>
      <c r="C26" s="308"/>
      <c r="D26" s="308"/>
      <c r="E26" s="308"/>
      <c r="F26" s="309"/>
      <c r="G26" s="313" t="s">
        <v>87</v>
      </c>
      <c r="H26" s="314"/>
      <c r="I26" s="314"/>
      <c r="J26" s="315"/>
      <c r="K26" s="319"/>
      <c r="L26" s="320"/>
      <c r="M26" s="320"/>
      <c r="N26" s="321"/>
      <c r="O26" s="325"/>
      <c r="P26" s="326"/>
      <c r="Q26" s="326"/>
      <c r="R26" s="327"/>
      <c r="S26" s="301"/>
      <c r="T26" s="302"/>
      <c r="U26" s="332"/>
      <c r="V26" s="319"/>
      <c r="W26" s="320"/>
      <c r="X26" s="320"/>
      <c r="Y26" s="321"/>
      <c r="Z26" s="319"/>
      <c r="AA26" s="320"/>
      <c r="AB26" s="320"/>
      <c r="AC26" s="321"/>
      <c r="AD26" s="334"/>
      <c r="AE26" s="335"/>
      <c r="AF26" s="335"/>
      <c r="AG26" s="336"/>
      <c r="AH26" s="301"/>
      <c r="AI26" s="302"/>
      <c r="AJ26" s="303"/>
      <c r="AK26" s="367"/>
      <c r="AL26" s="290"/>
      <c r="AM26" s="290"/>
      <c r="AN26" s="380"/>
      <c r="AO26" s="380"/>
      <c r="AP26" s="380"/>
      <c r="AQ26" s="380"/>
      <c r="AR26" s="380"/>
      <c r="AS26" s="380"/>
      <c r="AT26" s="380"/>
      <c r="AU26" s="380"/>
      <c r="AV26" s="380"/>
      <c r="AW26" s="380"/>
      <c r="AX26" s="290"/>
      <c r="AY26" s="256" t="s">
        <v>110</v>
      </c>
      <c r="AZ26" s="256" t="s">
        <v>423</v>
      </c>
      <c r="BA26" s="245"/>
      <c r="BB26" s="247" t="s">
        <v>1039</v>
      </c>
      <c r="BC26" s="245" t="s">
        <v>395</v>
      </c>
      <c r="BD26" s="196"/>
      <c r="BE26" s="196"/>
      <c r="BF26" s="196"/>
      <c r="BG26" s="196"/>
      <c r="BH26" s="196"/>
      <c r="BI26" s="246" t="s">
        <v>1066</v>
      </c>
      <c r="BJ26" s="245" t="s">
        <v>3</v>
      </c>
      <c r="BK26" s="246"/>
      <c r="BL26" s="289"/>
      <c r="BM26" s="289"/>
    </row>
    <row r="27" spans="1:65" s="4" customFormat="1" ht="13.5" customHeight="1" thickBot="1" x14ac:dyDescent="0.25">
      <c r="A27" s="291"/>
      <c r="B27" s="310"/>
      <c r="C27" s="311"/>
      <c r="D27" s="311"/>
      <c r="E27" s="311"/>
      <c r="F27" s="312"/>
      <c r="G27" s="316"/>
      <c r="H27" s="317"/>
      <c r="I27" s="317"/>
      <c r="J27" s="318"/>
      <c r="K27" s="322"/>
      <c r="L27" s="323"/>
      <c r="M27" s="323"/>
      <c r="N27" s="324"/>
      <c r="O27" s="328"/>
      <c r="P27" s="329"/>
      <c r="Q27" s="329"/>
      <c r="R27" s="330"/>
      <c r="S27" s="304"/>
      <c r="T27" s="305"/>
      <c r="U27" s="333"/>
      <c r="V27" s="322"/>
      <c r="W27" s="323"/>
      <c r="X27" s="323"/>
      <c r="Y27" s="324"/>
      <c r="Z27" s="322"/>
      <c r="AA27" s="323"/>
      <c r="AB27" s="323"/>
      <c r="AC27" s="324"/>
      <c r="AD27" s="337"/>
      <c r="AE27" s="338"/>
      <c r="AF27" s="338"/>
      <c r="AG27" s="339"/>
      <c r="AH27" s="304"/>
      <c r="AI27" s="305"/>
      <c r="AJ27" s="306"/>
      <c r="AK27" s="367"/>
      <c r="AL27" s="290"/>
      <c r="AM27" s="290"/>
      <c r="AN27" s="380"/>
      <c r="AO27" s="380"/>
      <c r="AP27" s="380"/>
      <c r="AQ27" s="380"/>
      <c r="AR27" s="380"/>
      <c r="AS27" s="380"/>
      <c r="AT27" s="380"/>
      <c r="AU27" s="380"/>
      <c r="AV27" s="380"/>
      <c r="AW27" s="380"/>
      <c r="AX27" s="290"/>
      <c r="AY27" s="256" t="s">
        <v>111</v>
      </c>
      <c r="AZ27" s="256" t="s">
        <v>424</v>
      </c>
      <c r="BA27" s="245">
        <v>3.0000000000000001E-5</v>
      </c>
      <c r="BB27" s="247" t="s">
        <v>1040</v>
      </c>
      <c r="BC27" s="245" t="s">
        <v>396</v>
      </c>
      <c r="BD27" s="196"/>
      <c r="BE27" s="196"/>
      <c r="BF27" s="196"/>
      <c r="BG27" s="196"/>
      <c r="BH27" s="196"/>
      <c r="BI27" s="246" t="s">
        <v>1100</v>
      </c>
      <c r="BJ27" s="245" t="s">
        <v>3</v>
      </c>
      <c r="BK27" s="246"/>
      <c r="BL27" s="289"/>
      <c r="BM27" s="289"/>
    </row>
    <row r="28" spans="1:65" s="4" customFormat="1" ht="13.5" customHeight="1" x14ac:dyDescent="0.2">
      <c r="A28" s="291"/>
      <c r="B28" s="340"/>
      <c r="C28" s="341"/>
      <c r="D28" s="341"/>
      <c r="E28" s="341"/>
      <c r="F28" s="342"/>
      <c r="G28" s="346" t="s">
        <v>86</v>
      </c>
      <c r="H28" s="347"/>
      <c r="I28" s="347"/>
      <c r="J28" s="348"/>
      <c r="K28" s="292"/>
      <c r="L28" s="293"/>
      <c r="M28" s="293"/>
      <c r="N28" s="294"/>
      <c r="O28" s="292"/>
      <c r="P28" s="293"/>
      <c r="Q28" s="293"/>
      <c r="R28" s="294"/>
      <c r="S28" s="298"/>
      <c r="T28" s="299"/>
      <c r="U28" s="331"/>
      <c r="V28" s="292"/>
      <c r="W28" s="293"/>
      <c r="X28" s="293"/>
      <c r="Y28" s="294"/>
      <c r="Z28" s="292"/>
      <c r="AA28" s="293"/>
      <c r="AB28" s="293"/>
      <c r="AC28" s="294"/>
      <c r="AD28" s="292"/>
      <c r="AE28" s="293"/>
      <c r="AF28" s="293"/>
      <c r="AG28" s="294"/>
      <c r="AH28" s="298"/>
      <c r="AI28" s="299"/>
      <c r="AJ28" s="300"/>
      <c r="AK28" s="367"/>
      <c r="AL28" s="290" t="str">
        <f>IF($B28&lt;&gt;"",IF(INDEX($AY$11:$BA$447, MATCH($B28,$AY$11:$AY$447,), MATCH("Ch16DLmg/l",$AY$10:$BA$10,))&lt;&gt;0,INDEX($AY$11:$BA$447, MATCH($B28,$AY$11:$AY$447,), MATCH("Ch16DLmg/l",$AY$10:$BA$10,)),0),"")</f>
        <v/>
      </c>
      <c r="AM28" s="290" t="str">
        <f>IF(OR(AND(BK28&lt;&gt;"",BK28&lt;AL28),AND(BL28&lt;&gt;"",BL28&lt;AL28),AND(BM28&lt;&gt;"",BM28&lt;AL28)),"Y","")</f>
        <v/>
      </c>
      <c r="AN28" s="380">
        <f>IF(ISERR(FIND(".",K28)),0,LEN(MID(K28,FIND(".",K28)+1,15)))</f>
        <v>0</v>
      </c>
      <c r="AO28" s="380">
        <f>IF(ISERR(FIND(".",O28)),0,LEN(MID(O28,FIND(".",O28)+1,15)))</f>
        <v>0</v>
      </c>
      <c r="AP28" s="380">
        <f>IF(ISERR(FIND(".",V28)),0,LEN(MID(V28,FIND(".",V28)+1,15)))</f>
        <v>0</v>
      </c>
      <c r="AQ28" s="380">
        <f>IF(ISERR(FIND(".",Z28)),0,LEN(MID(Z28,FIND(".",Z28)+1,15)))</f>
        <v>0</v>
      </c>
      <c r="AR28" s="380">
        <f>IF(ISERR(FIND(".",AD28)),0,LEN(MID(AD28,FIND(".",AD28)+1,15)))</f>
        <v>0</v>
      </c>
      <c r="AS28" s="380" t="str">
        <f>IF(OR(K28="",K28="Report"),"E","")</f>
        <v>E</v>
      </c>
      <c r="AT28" s="380" t="str">
        <f>IF(OR(O28="",O28="Report"),"E","")</f>
        <v>E</v>
      </c>
      <c r="AU28" s="380" t="str">
        <f>IF(OR(V28="",V28="Report"),"E","")</f>
        <v>E</v>
      </c>
      <c r="AV28" s="380" t="str">
        <f>IF(OR(Z28="",Z28="Report"),"E","")</f>
        <v>E</v>
      </c>
      <c r="AW28" s="380" t="str">
        <f>IF(OR(AD28="",AD28="Report"),"E","")</f>
        <v>E</v>
      </c>
      <c r="AX28" s="290" t="str">
        <f>IF(OR(AND($B28&lt;&gt;"",$AH28&lt;&gt;""),AND($B28&lt;&gt;"",$S28&lt;&gt;"")),INDEX($BI$11:$BJ$54, MATCH('Outfall 1 Daily'!O$13,$BI$11:$BI$54,), MATCH("Symbol",$BI$10:$BJ$10,)),"")</f>
        <v/>
      </c>
      <c r="AY28" s="256" t="s">
        <v>112</v>
      </c>
      <c r="AZ28" s="256" t="s">
        <v>425</v>
      </c>
      <c r="BA28" s="245">
        <v>3.0000000000000001E-5</v>
      </c>
      <c r="BB28" s="247" t="s">
        <v>1041</v>
      </c>
      <c r="BC28" s="245" t="s">
        <v>397</v>
      </c>
      <c r="BD28" s="196"/>
      <c r="BE28" s="196"/>
      <c r="BF28" s="196"/>
      <c r="BG28" s="196"/>
      <c r="BH28" s="196"/>
      <c r="BI28" s="248" t="s">
        <v>859</v>
      </c>
      <c r="BJ28" s="280"/>
      <c r="BK28" s="380" t="str">
        <f>IF(AND(V28&lt;&gt;"",V28&lt;&gt;"Report"),VALUE(V28),"")</f>
        <v/>
      </c>
      <c r="BL28" s="413" t="str">
        <f>IF(AND(Z28&lt;&gt;"",Z28&lt;&gt;"Report"),VALUE(Z28),"")</f>
        <v/>
      </c>
      <c r="BM28" s="413" t="str">
        <f>IF(AND(AD28&lt;&gt;"",AD28&lt;&gt;"Report"),VALUE(AD28),"")</f>
        <v/>
      </c>
    </row>
    <row r="29" spans="1:65" s="4" customFormat="1" ht="13.5" customHeight="1" x14ac:dyDescent="0.2">
      <c r="A29" s="291"/>
      <c r="B29" s="343"/>
      <c r="C29" s="344"/>
      <c r="D29" s="344"/>
      <c r="E29" s="344"/>
      <c r="F29" s="345"/>
      <c r="G29" s="349"/>
      <c r="H29" s="350"/>
      <c r="I29" s="350"/>
      <c r="J29" s="351"/>
      <c r="K29" s="295"/>
      <c r="L29" s="296"/>
      <c r="M29" s="296"/>
      <c r="N29" s="297"/>
      <c r="O29" s="295"/>
      <c r="P29" s="296"/>
      <c r="Q29" s="296"/>
      <c r="R29" s="297"/>
      <c r="S29" s="301"/>
      <c r="T29" s="302"/>
      <c r="U29" s="332"/>
      <c r="V29" s="295"/>
      <c r="W29" s="296"/>
      <c r="X29" s="296"/>
      <c r="Y29" s="297"/>
      <c r="Z29" s="295"/>
      <c r="AA29" s="296"/>
      <c r="AB29" s="296"/>
      <c r="AC29" s="297"/>
      <c r="AD29" s="295"/>
      <c r="AE29" s="296"/>
      <c r="AF29" s="296"/>
      <c r="AG29" s="297"/>
      <c r="AH29" s="301"/>
      <c r="AI29" s="302"/>
      <c r="AJ29" s="303"/>
      <c r="AK29" s="367"/>
      <c r="AL29" s="290"/>
      <c r="AM29" s="290"/>
      <c r="AN29" s="380"/>
      <c r="AO29" s="380"/>
      <c r="AP29" s="380"/>
      <c r="AQ29" s="380"/>
      <c r="AR29" s="380"/>
      <c r="AS29" s="380"/>
      <c r="AT29" s="380"/>
      <c r="AU29" s="380"/>
      <c r="AV29" s="380"/>
      <c r="AW29" s="380"/>
      <c r="AX29" s="290"/>
      <c r="AY29" s="256" t="s">
        <v>113</v>
      </c>
      <c r="AZ29" s="256" t="s">
        <v>426</v>
      </c>
      <c r="BA29" s="245"/>
      <c r="BB29" s="247" t="s">
        <v>1042</v>
      </c>
      <c r="BC29" s="245" t="s">
        <v>384</v>
      </c>
      <c r="BD29" s="196"/>
      <c r="BE29" s="196"/>
      <c r="BF29" s="196"/>
      <c r="BG29" s="196"/>
      <c r="BH29" s="196"/>
      <c r="BI29" s="246" t="s">
        <v>1090</v>
      </c>
      <c r="BJ29" s="245" t="s">
        <v>1122</v>
      </c>
      <c r="BK29" s="380"/>
      <c r="BL29" s="413"/>
      <c r="BM29" s="413"/>
    </row>
    <row r="30" spans="1:65" s="4" customFormat="1" ht="13.5" customHeight="1" x14ac:dyDescent="0.2">
      <c r="A30" s="291"/>
      <c r="B30" s="307"/>
      <c r="C30" s="308"/>
      <c r="D30" s="308"/>
      <c r="E30" s="308"/>
      <c r="F30" s="309"/>
      <c r="G30" s="313" t="s">
        <v>87</v>
      </c>
      <c r="H30" s="314"/>
      <c r="I30" s="314"/>
      <c r="J30" s="315"/>
      <c r="K30" s="319"/>
      <c r="L30" s="320"/>
      <c r="M30" s="320"/>
      <c r="N30" s="321"/>
      <c r="O30" s="325"/>
      <c r="P30" s="326"/>
      <c r="Q30" s="326"/>
      <c r="R30" s="327"/>
      <c r="S30" s="301"/>
      <c r="T30" s="302"/>
      <c r="U30" s="332"/>
      <c r="V30" s="319"/>
      <c r="W30" s="320"/>
      <c r="X30" s="320"/>
      <c r="Y30" s="321"/>
      <c r="Z30" s="319"/>
      <c r="AA30" s="320"/>
      <c r="AB30" s="320"/>
      <c r="AC30" s="321"/>
      <c r="AD30" s="334"/>
      <c r="AE30" s="335"/>
      <c r="AF30" s="335"/>
      <c r="AG30" s="336"/>
      <c r="AH30" s="301"/>
      <c r="AI30" s="302"/>
      <c r="AJ30" s="303"/>
      <c r="AK30" s="367"/>
      <c r="AL30" s="290"/>
      <c r="AM30" s="290"/>
      <c r="AN30" s="380"/>
      <c r="AO30" s="380"/>
      <c r="AP30" s="380"/>
      <c r="AQ30" s="380"/>
      <c r="AR30" s="380"/>
      <c r="AS30" s="380"/>
      <c r="AT30" s="380"/>
      <c r="AU30" s="380"/>
      <c r="AV30" s="380"/>
      <c r="AW30" s="380"/>
      <c r="AX30" s="290"/>
      <c r="AY30" s="256" t="s">
        <v>114</v>
      </c>
      <c r="AZ30" s="256" t="s">
        <v>427</v>
      </c>
      <c r="BA30" s="245">
        <v>2.0000000000000002E-5</v>
      </c>
      <c r="BB30" s="247" t="s">
        <v>1044</v>
      </c>
      <c r="BC30" s="245" t="s">
        <v>398</v>
      </c>
      <c r="BD30" s="196"/>
      <c r="BE30" s="196"/>
      <c r="BF30" s="196"/>
      <c r="BG30" s="196"/>
      <c r="BH30" s="196"/>
      <c r="BI30" s="246" t="s">
        <v>1094</v>
      </c>
      <c r="BJ30" s="245" t="s">
        <v>1123</v>
      </c>
      <c r="BK30" s="246"/>
      <c r="BL30" s="289"/>
      <c r="BM30" s="289"/>
    </row>
    <row r="31" spans="1:65" s="4" customFormat="1" ht="13.5" customHeight="1" thickBot="1" x14ac:dyDescent="0.25">
      <c r="A31" s="291"/>
      <c r="B31" s="310"/>
      <c r="C31" s="311"/>
      <c r="D31" s="311"/>
      <c r="E31" s="311"/>
      <c r="F31" s="312"/>
      <c r="G31" s="316"/>
      <c r="H31" s="317"/>
      <c r="I31" s="317"/>
      <c r="J31" s="318"/>
      <c r="K31" s="322"/>
      <c r="L31" s="323"/>
      <c r="M31" s="323"/>
      <c r="N31" s="324"/>
      <c r="O31" s="328"/>
      <c r="P31" s="329"/>
      <c r="Q31" s="329"/>
      <c r="R31" s="330"/>
      <c r="S31" s="304"/>
      <c r="T31" s="305"/>
      <c r="U31" s="333"/>
      <c r="V31" s="322"/>
      <c r="W31" s="323"/>
      <c r="X31" s="323"/>
      <c r="Y31" s="324"/>
      <c r="Z31" s="322"/>
      <c r="AA31" s="323"/>
      <c r="AB31" s="323"/>
      <c r="AC31" s="324"/>
      <c r="AD31" s="337"/>
      <c r="AE31" s="338"/>
      <c r="AF31" s="338"/>
      <c r="AG31" s="339"/>
      <c r="AH31" s="304"/>
      <c r="AI31" s="305"/>
      <c r="AJ31" s="306"/>
      <c r="AK31" s="367"/>
      <c r="AL31" s="290"/>
      <c r="AM31" s="290"/>
      <c r="AN31" s="380"/>
      <c r="AO31" s="380"/>
      <c r="AP31" s="380"/>
      <c r="AQ31" s="380"/>
      <c r="AR31" s="380"/>
      <c r="AS31" s="380"/>
      <c r="AT31" s="380"/>
      <c r="AU31" s="380"/>
      <c r="AV31" s="380"/>
      <c r="AW31" s="380"/>
      <c r="AX31" s="290"/>
      <c r="AY31" s="256" t="s">
        <v>115</v>
      </c>
      <c r="AZ31" s="256" t="s">
        <v>428</v>
      </c>
      <c r="BA31" s="245"/>
      <c r="BB31" s="196"/>
      <c r="BC31" s="196"/>
      <c r="BD31" s="196"/>
      <c r="BE31" s="196"/>
      <c r="BF31" s="196"/>
      <c r="BG31" s="196"/>
      <c r="BH31" s="196"/>
      <c r="BI31" s="246" t="s">
        <v>1095</v>
      </c>
      <c r="BJ31" s="245" t="s">
        <v>368</v>
      </c>
      <c r="BK31" s="246"/>
      <c r="BL31" s="289"/>
      <c r="BM31" s="289"/>
    </row>
    <row r="32" spans="1:65" s="4" customFormat="1" ht="13.5" customHeight="1" x14ac:dyDescent="0.2">
      <c r="A32" s="291"/>
      <c r="B32" s="340"/>
      <c r="C32" s="341"/>
      <c r="D32" s="341"/>
      <c r="E32" s="341"/>
      <c r="F32" s="342"/>
      <c r="G32" s="346" t="s">
        <v>86</v>
      </c>
      <c r="H32" s="347"/>
      <c r="I32" s="347"/>
      <c r="J32" s="348"/>
      <c r="K32" s="292"/>
      <c r="L32" s="293"/>
      <c r="M32" s="293"/>
      <c r="N32" s="294"/>
      <c r="O32" s="292"/>
      <c r="P32" s="293"/>
      <c r="Q32" s="293"/>
      <c r="R32" s="294"/>
      <c r="S32" s="298"/>
      <c r="T32" s="299"/>
      <c r="U32" s="331"/>
      <c r="V32" s="292"/>
      <c r="W32" s="293"/>
      <c r="X32" s="293"/>
      <c r="Y32" s="294"/>
      <c r="Z32" s="292"/>
      <c r="AA32" s="293"/>
      <c r="AB32" s="293"/>
      <c r="AC32" s="294"/>
      <c r="AD32" s="292"/>
      <c r="AE32" s="293"/>
      <c r="AF32" s="293"/>
      <c r="AG32" s="294"/>
      <c r="AH32" s="298"/>
      <c r="AI32" s="299"/>
      <c r="AJ32" s="300"/>
      <c r="AK32" s="367"/>
      <c r="AL32" s="290" t="str">
        <f>IF($B32&lt;&gt;"",IF(INDEX($AY$11:$BA$447, MATCH($B32,$AY$11:$AY$447,), MATCH("Ch16DLmg/l",$AY$10:$BA$10,))&lt;&gt;0,INDEX($AY$11:$BA$447, MATCH($B32,$AY$11:$AY$447,), MATCH("Ch16DLmg/l",$AY$10:$BA$10,)),0),"")</f>
        <v/>
      </c>
      <c r="AM32" s="290" t="str">
        <f>IF(OR(AND(BK32&lt;&gt;"",BK32&lt;AL32),AND(BL32&lt;&gt;"",BL32&lt;AL32),AND(BM32&lt;&gt;"",BM32&lt;AL32)),"Y","")</f>
        <v/>
      </c>
      <c r="AN32" s="380">
        <f>IF(ISERR(FIND(".",K32)),0,LEN(MID(K32,FIND(".",K32)+1,15)))</f>
        <v>0</v>
      </c>
      <c r="AO32" s="380">
        <f>IF(ISERR(FIND(".",O32)),0,LEN(MID(O32,FIND(".",O32)+1,15)))</f>
        <v>0</v>
      </c>
      <c r="AP32" s="380">
        <f>IF(ISERR(FIND(".",V32)),0,LEN(MID(V32,FIND(".",V32)+1,15)))</f>
        <v>0</v>
      </c>
      <c r="AQ32" s="380">
        <f>IF(ISERR(FIND(".",Z32)),0,LEN(MID(Z32,FIND(".",Z32)+1,15)))</f>
        <v>0</v>
      </c>
      <c r="AR32" s="380">
        <f>IF(ISERR(FIND(".",AD32)),0,LEN(MID(AD32,FIND(".",AD32)+1,15)))</f>
        <v>0</v>
      </c>
      <c r="AS32" s="380" t="str">
        <f>IF(OR(K32="",K32="Report"),"E","")</f>
        <v>E</v>
      </c>
      <c r="AT32" s="380" t="str">
        <f>IF(OR(O32="",O32="Report"),"E","")</f>
        <v>E</v>
      </c>
      <c r="AU32" s="380" t="str">
        <f>IF(OR(V32="",V32="Report"),"E","")</f>
        <v>E</v>
      </c>
      <c r="AV32" s="380" t="str">
        <f>IF(OR(Z32="",Z32="Report"),"E","")</f>
        <v>E</v>
      </c>
      <c r="AW32" s="380" t="str">
        <f>IF(OR(AD32="",AD32="Report"),"E","")</f>
        <v>E</v>
      </c>
      <c r="AX32" s="290" t="str">
        <f>IF(OR(AND($B32&lt;&gt;"",$AH32&lt;&gt;""),AND($B32&lt;&gt;"",$S32&lt;&gt;"")),INDEX($BI$11:$BJ$54, MATCH('Outfall 1 Daily'!Q$13,$BI$11:$BI$54,), MATCH("Symbol",$BI$10:$BJ$10,)),"")</f>
        <v/>
      </c>
      <c r="AY32" s="256" t="s">
        <v>116</v>
      </c>
      <c r="AZ32" s="256" t="s">
        <v>429</v>
      </c>
      <c r="BA32" s="245"/>
      <c r="BB32" s="196"/>
      <c r="BC32" s="196"/>
      <c r="BD32" s="196"/>
      <c r="BE32" s="196"/>
      <c r="BF32" s="196"/>
      <c r="BG32" s="196"/>
      <c r="BH32" s="196"/>
      <c r="BI32" s="246" t="s">
        <v>1096</v>
      </c>
      <c r="BJ32" s="245" t="s">
        <v>368</v>
      </c>
      <c r="BK32" s="380" t="str">
        <f>IF(AND(V32&lt;&gt;"",V32&lt;&gt;"Report"),VALUE(V32),"")</f>
        <v/>
      </c>
      <c r="BL32" s="413" t="str">
        <f>IF(AND(Z32&lt;&gt;"",Z32&lt;&gt;"Report"),VALUE(Z32),"")</f>
        <v/>
      </c>
      <c r="BM32" s="413" t="str">
        <f>IF(AND(AD32&lt;&gt;"",AD32&lt;&gt;"Report"),VALUE(AD32),"")</f>
        <v/>
      </c>
    </row>
    <row r="33" spans="1:65" s="4" customFormat="1" ht="13.5" customHeight="1" x14ac:dyDescent="0.2">
      <c r="A33" s="291"/>
      <c r="B33" s="343"/>
      <c r="C33" s="344"/>
      <c r="D33" s="344"/>
      <c r="E33" s="344"/>
      <c r="F33" s="345"/>
      <c r="G33" s="349"/>
      <c r="H33" s="350"/>
      <c r="I33" s="350"/>
      <c r="J33" s="351"/>
      <c r="K33" s="295"/>
      <c r="L33" s="296"/>
      <c r="M33" s="296"/>
      <c r="N33" s="297"/>
      <c r="O33" s="295"/>
      <c r="P33" s="296"/>
      <c r="Q33" s="296"/>
      <c r="R33" s="297"/>
      <c r="S33" s="301"/>
      <c r="T33" s="302"/>
      <c r="U33" s="332"/>
      <c r="V33" s="295"/>
      <c r="W33" s="296"/>
      <c r="X33" s="296"/>
      <c r="Y33" s="297"/>
      <c r="Z33" s="295"/>
      <c r="AA33" s="296"/>
      <c r="AB33" s="296"/>
      <c r="AC33" s="297"/>
      <c r="AD33" s="295"/>
      <c r="AE33" s="296"/>
      <c r="AF33" s="296"/>
      <c r="AG33" s="297"/>
      <c r="AH33" s="301"/>
      <c r="AI33" s="302"/>
      <c r="AJ33" s="303"/>
      <c r="AK33" s="367"/>
      <c r="AL33" s="290"/>
      <c r="AM33" s="290"/>
      <c r="AN33" s="380"/>
      <c r="AO33" s="380"/>
      <c r="AP33" s="380"/>
      <c r="AQ33" s="380"/>
      <c r="AR33" s="380"/>
      <c r="AS33" s="380"/>
      <c r="AT33" s="380"/>
      <c r="AU33" s="380"/>
      <c r="AV33" s="380"/>
      <c r="AW33" s="380"/>
      <c r="AX33" s="290"/>
      <c r="AY33" s="256" t="s">
        <v>117</v>
      </c>
      <c r="AZ33" s="256" t="s">
        <v>430</v>
      </c>
      <c r="BA33" s="245"/>
      <c r="BB33" s="196"/>
      <c r="BC33" s="196"/>
      <c r="BD33" s="196"/>
      <c r="BE33" s="196"/>
      <c r="BF33" s="196"/>
      <c r="BG33" s="196"/>
      <c r="BH33" s="196"/>
      <c r="BI33" s="246" t="s">
        <v>1097</v>
      </c>
      <c r="BJ33" s="245" t="s">
        <v>368</v>
      </c>
      <c r="BK33" s="380"/>
      <c r="BL33" s="413"/>
      <c r="BM33" s="413"/>
    </row>
    <row r="34" spans="1:65" s="4" customFormat="1" ht="13.5" customHeight="1" x14ac:dyDescent="0.2">
      <c r="A34" s="291"/>
      <c r="B34" s="307"/>
      <c r="C34" s="308"/>
      <c r="D34" s="308"/>
      <c r="E34" s="308"/>
      <c r="F34" s="309"/>
      <c r="G34" s="313" t="s">
        <v>87</v>
      </c>
      <c r="H34" s="314"/>
      <c r="I34" s="314"/>
      <c r="J34" s="315"/>
      <c r="K34" s="319"/>
      <c r="L34" s="320"/>
      <c r="M34" s="320"/>
      <c r="N34" s="321"/>
      <c r="O34" s="325"/>
      <c r="P34" s="326"/>
      <c r="Q34" s="326"/>
      <c r="R34" s="327"/>
      <c r="S34" s="301"/>
      <c r="T34" s="302"/>
      <c r="U34" s="332"/>
      <c r="V34" s="319"/>
      <c r="W34" s="320"/>
      <c r="X34" s="320"/>
      <c r="Y34" s="321"/>
      <c r="Z34" s="319"/>
      <c r="AA34" s="320"/>
      <c r="AB34" s="320"/>
      <c r="AC34" s="321"/>
      <c r="AD34" s="334"/>
      <c r="AE34" s="335"/>
      <c r="AF34" s="335"/>
      <c r="AG34" s="336"/>
      <c r="AH34" s="301"/>
      <c r="AI34" s="302"/>
      <c r="AJ34" s="303"/>
      <c r="AK34" s="367"/>
      <c r="AL34" s="290"/>
      <c r="AM34" s="290"/>
      <c r="AN34" s="380"/>
      <c r="AO34" s="380"/>
      <c r="AP34" s="380"/>
      <c r="AQ34" s="380"/>
      <c r="AR34" s="380"/>
      <c r="AS34" s="380"/>
      <c r="AT34" s="380"/>
      <c r="AU34" s="380"/>
      <c r="AV34" s="380"/>
      <c r="AW34" s="380"/>
      <c r="AX34" s="290"/>
      <c r="AY34" s="256" t="s">
        <v>118</v>
      </c>
      <c r="AZ34" s="256" t="s">
        <v>431</v>
      </c>
      <c r="BA34" s="245">
        <v>6.9999999999999994E-5</v>
      </c>
      <c r="BB34" s="196"/>
      <c r="BC34" s="196"/>
      <c r="BD34" s="196"/>
      <c r="BE34" s="196"/>
      <c r="BF34" s="196"/>
      <c r="BG34" s="196"/>
      <c r="BH34" s="196"/>
      <c r="BI34" s="246" t="s">
        <v>1064</v>
      </c>
      <c r="BJ34" s="245" t="s">
        <v>369</v>
      </c>
      <c r="BK34" s="246"/>
      <c r="BL34" s="289"/>
      <c r="BM34" s="289"/>
    </row>
    <row r="35" spans="1:65" s="4" customFormat="1" ht="13.5" customHeight="1" thickBot="1" x14ac:dyDescent="0.25">
      <c r="A35" s="196"/>
      <c r="B35" s="310"/>
      <c r="C35" s="311"/>
      <c r="D35" s="311"/>
      <c r="E35" s="311"/>
      <c r="F35" s="312"/>
      <c r="G35" s="316"/>
      <c r="H35" s="317"/>
      <c r="I35" s="317"/>
      <c r="J35" s="318"/>
      <c r="K35" s="322"/>
      <c r="L35" s="323"/>
      <c r="M35" s="323"/>
      <c r="N35" s="324"/>
      <c r="O35" s="328"/>
      <c r="P35" s="329"/>
      <c r="Q35" s="329"/>
      <c r="R35" s="330"/>
      <c r="S35" s="304"/>
      <c r="T35" s="305"/>
      <c r="U35" s="333"/>
      <c r="V35" s="322"/>
      <c r="W35" s="323"/>
      <c r="X35" s="323"/>
      <c r="Y35" s="324"/>
      <c r="Z35" s="322"/>
      <c r="AA35" s="323"/>
      <c r="AB35" s="323"/>
      <c r="AC35" s="324"/>
      <c r="AD35" s="337"/>
      <c r="AE35" s="338"/>
      <c r="AF35" s="338"/>
      <c r="AG35" s="339"/>
      <c r="AH35" s="304"/>
      <c r="AI35" s="305"/>
      <c r="AJ35" s="306"/>
      <c r="AK35" s="257"/>
      <c r="AL35" s="290"/>
      <c r="AM35" s="290"/>
      <c r="AN35" s="380"/>
      <c r="AO35" s="380"/>
      <c r="AP35" s="380"/>
      <c r="AQ35" s="380"/>
      <c r="AR35" s="380"/>
      <c r="AS35" s="380"/>
      <c r="AT35" s="380"/>
      <c r="AU35" s="380"/>
      <c r="AV35" s="380"/>
      <c r="AW35" s="380"/>
      <c r="AX35" s="290"/>
      <c r="AY35" s="256" t="s">
        <v>119</v>
      </c>
      <c r="AZ35" s="256" t="s">
        <v>432</v>
      </c>
      <c r="BA35" s="245">
        <v>1.2999999999999999E-4</v>
      </c>
      <c r="BB35" s="196"/>
      <c r="BC35" s="196"/>
      <c r="BD35" s="196"/>
      <c r="BE35" s="196"/>
      <c r="BF35" s="196"/>
      <c r="BG35" s="196"/>
      <c r="BH35" s="196"/>
      <c r="BI35" s="246" t="s">
        <v>1109</v>
      </c>
      <c r="BJ35" s="245" t="s">
        <v>368</v>
      </c>
      <c r="BK35" s="246"/>
      <c r="BL35" s="289"/>
      <c r="BM35" s="289"/>
    </row>
    <row r="36" spans="1:65" s="4" customFormat="1" ht="13.5" customHeight="1" x14ac:dyDescent="0.2">
      <c r="A36" s="196"/>
      <c r="B36" s="340"/>
      <c r="C36" s="341"/>
      <c r="D36" s="341"/>
      <c r="E36" s="341"/>
      <c r="F36" s="342"/>
      <c r="G36" s="346" t="s">
        <v>86</v>
      </c>
      <c r="H36" s="347"/>
      <c r="I36" s="347"/>
      <c r="J36" s="348"/>
      <c r="K36" s="292"/>
      <c r="L36" s="293"/>
      <c r="M36" s="293"/>
      <c r="N36" s="294"/>
      <c r="O36" s="292"/>
      <c r="P36" s="293"/>
      <c r="Q36" s="293"/>
      <c r="R36" s="294"/>
      <c r="S36" s="298"/>
      <c r="T36" s="299"/>
      <c r="U36" s="331"/>
      <c r="V36" s="292"/>
      <c r="W36" s="293"/>
      <c r="X36" s="293"/>
      <c r="Y36" s="294"/>
      <c r="Z36" s="292"/>
      <c r="AA36" s="293"/>
      <c r="AB36" s="293"/>
      <c r="AC36" s="294"/>
      <c r="AD36" s="292"/>
      <c r="AE36" s="293"/>
      <c r="AF36" s="293"/>
      <c r="AG36" s="294"/>
      <c r="AH36" s="298"/>
      <c r="AI36" s="299"/>
      <c r="AJ36" s="300"/>
      <c r="AK36" s="257"/>
      <c r="AL36" s="290" t="str">
        <f>IF($B36&lt;&gt;"",IF(INDEX($AY$11:$BA$447, MATCH($B36,$AY$11:$AY$447,), MATCH("Ch16DLmg/l",$AY$10:$BA$10,))&lt;&gt;0,INDEX($AY$11:$BA$447, MATCH($B36,$AY$11:$AY$447,), MATCH("Ch16DLmg/l",$AY$10:$BA$10,)),0),"")</f>
        <v/>
      </c>
      <c r="AM36" s="290" t="str">
        <f>IF(OR(AND(BK36&lt;&gt;"",BK36&lt;AL36),AND(BL36&lt;&gt;"",BL36&lt;AL36),AND(BM36&lt;&gt;"",BM36&lt;AL36)),"Y","")</f>
        <v/>
      </c>
      <c r="AN36" s="380">
        <f>IF(ISERR(FIND(".",K36)),0,LEN(MID(K36,FIND(".",K36)+1,15)))</f>
        <v>0</v>
      </c>
      <c r="AO36" s="380">
        <f>IF(ISERR(FIND(".",O36)),0,LEN(MID(O36,FIND(".",O36)+1,15)))</f>
        <v>0</v>
      </c>
      <c r="AP36" s="380">
        <f>IF(ISERR(FIND(".",V36)),0,LEN(MID(V36,FIND(".",V36)+1,15)))</f>
        <v>0</v>
      </c>
      <c r="AQ36" s="380">
        <f>IF(ISERR(FIND(".",Z36)),0,LEN(MID(Z36,FIND(".",Z36)+1,15)))</f>
        <v>0</v>
      </c>
      <c r="AR36" s="380">
        <f>IF(ISERR(FIND(".",AD36)),0,LEN(MID(AD36,FIND(".",AD36)+1,15)))</f>
        <v>0</v>
      </c>
      <c r="AS36" s="380" t="str">
        <f>IF(OR(K36="",K36="Report"),"E","")</f>
        <v>E</v>
      </c>
      <c r="AT36" s="380" t="str">
        <f>IF(OR(O36="",O36="Report"),"E","")</f>
        <v>E</v>
      </c>
      <c r="AU36" s="380" t="str">
        <f>IF(OR(V36="",V36="Report"),"E","")</f>
        <v>E</v>
      </c>
      <c r="AV36" s="380" t="str">
        <f>IF(OR(Z36="",Z36="Report"),"E","")</f>
        <v>E</v>
      </c>
      <c r="AW36" s="380" t="str">
        <f>IF(OR(AD36="",AD36="Report"),"E","")</f>
        <v>E</v>
      </c>
      <c r="AX36" s="290" t="str">
        <f>IF(OR(AND($B36&lt;&gt;"",$AH36&lt;&gt;""),AND($B36&lt;&gt;"",$S36&lt;&gt;"")),INDEX($BI$11:$BJ$54, MATCH('Outfall 1 Daily'!S$13,$BI$11:$BI$54,), MATCH("Symbol",$BI$10:$BJ$10,)),"")</f>
        <v/>
      </c>
      <c r="AY36" s="256" t="s">
        <v>120</v>
      </c>
      <c r="AZ36" s="256" t="s">
        <v>433</v>
      </c>
      <c r="BA36" s="245"/>
      <c r="BB36" s="196"/>
      <c r="BC36" s="196"/>
      <c r="BD36" s="196"/>
      <c r="BE36" s="196"/>
      <c r="BF36" s="196"/>
      <c r="BG36" s="196"/>
      <c r="BH36" s="196"/>
      <c r="BI36" s="246" t="s">
        <v>1107</v>
      </c>
      <c r="BJ36" s="245" t="s">
        <v>368</v>
      </c>
      <c r="BK36" s="380" t="str">
        <f>IF(AND(V36&lt;&gt;"",V36&lt;&gt;"Report"),VALUE(V36),"")</f>
        <v/>
      </c>
      <c r="BL36" s="413" t="str">
        <f>IF(AND(Z36&lt;&gt;"",Z36&lt;&gt;"Report"),VALUE(Z36),"")</f>
        <v/>
      </c>
      <c r="BM36" s="413" t="str">
        <f>IF(AND(AD36&lt;&gt;"",AD36&lt;&gt;"Report"),VALUE(AD36),"")</f>
        <v/>
      </c>
    </row>
    <row r="37" spans="1:65" s="4" customFormat="1" ht="13.5" customHeight="1" x14ac:dyDescent="0.2">
      <c r="A37" s="196"/>
      <c r="B37" s="343"/>
      <c r="C37" s="344"/>
      <c r="D37" s="344"/>
      <c r="E37" s="344"/>
      <c r="F37" s="345"/>
      <c r="G37" s="349"/>
      <c r="H37" s="350"/>
      <c r="I37" s="350"/>
      <c r="J37" s="351"/>
      <c r="K37" s="295"/>
      <c r="L37" s="296"/>
      <c r="M37" s="296"/>
      <c r="N37" s="297"/>
      <c r="O37" s="295"/>
      <c r="P37" s="296"/>
      <c r="Q37" s="296"/>
      <c r="R37" s="297"/>
      <c r="S37" s="301"/>
      <c r="T37" s="302"/>
      <c r="U37" s="332"/>
      <c r="V37" s="295"/>
      <c r="W37" s="296"/>
      <c r="X37" s="296"/>
      <c r="Y37" s="297"/>
      <c r="Z37" s="295"/>
      <c r="AA37" s="296"/>
      <c r="AB37" s="296"/>
      <c r="AC37" s="297"/>
      <c r="AD37" s="295"/>
      <c r="AE37" s="296"/>
      <c r="AF37" s="296"/>
      <c r="AG37" s="297"/>
      <c r="AH37" s="301"/>
      <c r="AI37" s="302"/>
      <c r="AJ37" s="303"/>
      <c r="AK37" s="257"/>
      <c r="AL37" s="290"/>
      <c r="AM37" s="290"/>
      <c r="AN37" s="380"/>
      <c r="AO37" s="380"/>
      <c r="AP37" s="380"/>
      <c r="AQ37" s="380"/>
      <c r="AR37" s="380"/>
      <c r="AS37" s="380"/>
      <c r="AT37" s="380"/>
      <c r="AU37" s="380"/>
      <c r="AV37" s="380"/>
      <c r="AW37" s="380"/>
      <c r="AX37" s="290"/>
      <c r="AY37" s="256" t="s">
        <v>1242</v>
      </c>
      <c r="AZ37" s="256" t="s">
        <v>1243</v>
      </c>
      <c r="BA37" s="285"/>
      <c r="BB37" s="196"/>
      <c r="BC37" s="196"/>
      <c r="BD37" s="196"/>
      <c r="BE37" s="196"/>
      <c r="BF37" s="196"/>
      <c r="BG37" s="196"/>
      <c r="BH37" s="196"/>
      <c r="BI37" s="287" t="s">
        <v>10</v>
      </c>
      <c r="BJ37" s="245" t="s">
        <v>368</v>
      </c>
      <c r="BK37" s="380"/>
      <c r="BL37" s="413"/>
      <c r="BM37" s="413"/>
    </row>
    <row r="38" spans="1:65" s="4" customFormat="1" ht="13.5" customHeight="1" x14ac:dyDescent="0.2">
      <c r="A38" s="196"/>
      <c r="B38" s="307"/>
      <c r="C38" s="308"/>
      <c r="D38" s="308"/>
      <c r="E38" s="308"/>
      <c r="F38" s="309"/>
      <c r="G38" s="313" t="s">
        <v>87</v>
      </c>
      <c r="H38" s="314"/>
      <c r="I38" s="314"/>
      <c r="J38" s="315"/>
      <c r="K38" s="319"/>
      <c r="L38" s="320"/>
      <c r="M38" s="320"/>
      <c r="N38" s="321"/>
      <c r="O38" s="325"/>
      <c r="P38" s="326"/>
      <c r="Q38" s="326"/>
      <c r="R38" s="327"/>
      <c r="S38" s="301"/>
      <c r="T38" s="302"/>
      <c r="U38" s="332"/>
      <c r="V38" s="319"/>
      <c r="W38" s="320"/>
      <c r="X38" s="320"/>
      <c r="Y38" s="321"/>
      <c r="Z38" s="319"/>
      <c r="AA38" s="320"/>
      <c r="AB38" s="320"/>
      <c r="AC38" s="321"/>
      <c r="AD38" s="334"/>
      <c r="AE38" s="335"/>
      <c r="AF38" s="335"/>
      <c r="AG38" s="336"/>
      <c r="AH38" s="301"/>
      <c r="AI38" s="302"/>
      <c r="AJ38" s="303"/>
      <c r="AK38" s="257"/>
      <c r="AL38" s="290"/>
      <c r="AM38" s="290"/>
      <c r="AN38" s="380"/>
      <c r="AO38" s="380"/>
      <c r="AP38" s="380"/>
      <c r="AQ38" s="380"/>
      <c r="AR38" s="380"/>
      <c r="AS38" s="380"/>
      <c r="AT38" s="380"/>
      <c r="AU38" s="380"/>
      <c r="AV38" s="380"/>
      <c r="AW38" s="380"/>
      <c r="AX38" s="290"/>
      <c r="AY38" s="256" t="s">
        <v>121</v>
      </c>
      <c r="AZ38" s="256" t="s">
        <v>434</v>
      </c>
      <c r="BA38" s="245">
        <v>5.0000000000000002E-5</v>
      </c>
      <c r="BB38" s="196"/>
      <c r="BC38" s="196"/>
      <c r="BD38" s="196"/>
      <c r="BE38" s="196"/>
      <c r="BF38" s="196"/>
      <c r="BG38" s="196"/>
      <c r="BH38" s="196"/>
      <c r="BI38" s="287" t="s">
        <v>1253</v>
      </c>
      <c r="BJ38" s="287" t="s">
        <v>368</v>
      </c>
      <c r="BK38" s="246"/>
      <c r="BL38" s="289"/>
      <c r="BM38" s="289"/>
    </row>
    <row r="39" spans="1:65" s="4" customFormat="1" ht="13.5" customHeight="1" thickBot="1" x14ac:dyDescent="0.25">
      <c r="A39" s="196"/>
      <c r="B39" s="310"/>
      <c r="C39" s="311"/>
      <c r="D39" s="311"/>
      <c r="E39" s="311"/>
      <c r="F39" s="312"/>
      <c r="G39" s="316"/>
      <c r="H39" s="317"/>
      <c r="I39" s="317"/>
      <c r="J39" s="318"/>
      <c r="K39" s="322"/>
      <c r="L39" s="323"/>
      <c r="M39" s="323"/>
      <c r="N39" s="324"/>
      <c r="O39" s="328"/>
      <c r="P39" s="329"/>
      <c r="Q39" s="329"/>
      <c r="R39" s="330"/>
      <c r="S39" s="304"/>
      <c r="T39" s="305"/>
      <c r="U39" s="333"/>
      <c r="V39" s="322"/>
      <c r="W39" s="323"/>
      <c r="X39" s="323"/>
      <c r="Y39" s="324"/>
      <c r="Z39" s="322"/>
      <c r="AA39" s="323"/>
      <c r="AB39" s="323"/>
      <c r="AC39" s="324"/>
      <c r="AD39" s="337"/>
      <c r="AE39" s="338"/>
      <c r="AF39" s="338"/>
      <c r="AG39" s="339"/>
      <c r="AH39" s="304"/>
      <c r="AI39" s="305"/>
      <c r="AJ39" s="306"/>
      <c r="AK39" s="257"/>
      <c r="AL39" s="290"/>
      <c r="AM39" s="290"/>
      <c r="AN39" s="380"/>
      <c r="AO39" s="380"/>
      <c r="AP39" s="380"/>
      <c r="AQ39" s="380"/>
      <c r="AR39" s="380"/>
      <c r="AS39" s="380"/>
      <c r="AT39" s="380"/>
      <c r="AU39" s="380"/>
      <c r="AV39" s="380"/>
      <c r="AW39" s="380"/>
      <c r="AX39" s="290"/>
      <c r="AY39" s="256" t="s">
        <v>122</v>
      </c>
      <c r="AZ39" s="256" t="s">
        <v>435</v>
      </c>
      <c r="BA39" s="245"/>
      <c r="BB39" s="196"/>
      <c r="BC39" s="196"/>
      <c r="BD39" s="196"/>
      <c r="BE39" s="196"/>
      <c r="BF39" s="196"/>
      <c r="BG39" s="196"/>
      <c r="BH39" s="196"/>
      <c r="BI39" s="279" t="s">
        <v>1229</v>
      </c>
      <c r="BJ39" s="245" t="s">
        <v>368</v>
      </c>
      <c r="BK39" s="246"/>
      <c r="BL39" s="289"/>
      <c r="BM39" s="289"/>
    </row>
    <row r="40" spans="1:65" s="4" customFormat="1" ht="13.5" customHeight="1" x14ac:dyDescent="0.2">
      <c r="A40" s="196"/>
      <c r="B40" s="340"/>
      <c r="C40" s="341"/>
      <c r="D40" s="341"/>
      <c r="E40" s="341"/>
      <c r="F40" s="342"/>
      <c r="G40" s="346" t="s">
        <v>86</v>
      </c>
      <c r="H40" s="347"/>
      <c r="I40" s="347"/>
      <c r="J40" s="348"/>
      <c r="K40" s="292"/>
      <c r="L40" s="293"/>
      <c r="M40" s="293"/>
      <c r="N40" s="294"/>
      <c r="O40" s="292"/>
      <c r="P40" s="293"/>
      <c r="Q40" s="293"/>
      <c r="R40" s="294"/>
      <c r="S40" s="298"/>
      <c r="T40" s="299"/>
      <c r="U40" s="331"/>
      <c r="V40" s="292"/>
      <c r="W40" s="293"/>
      <c r="X40" s="293"/>
      <c r="Y40" s="294"/>
      <c r="Z40" s="292"/>
      <c r="AA40" s="293"/>
      <c r="AB40" s="293"/>
      <c r="AC40" s="294"/>
      <c r="AD40" s="292"/>
      <c r="AE40" s="293"/>
      <c r="AF40" s="293"/>
      <c r="AG40" s="294"/>
      <c r="AH40" s="298"/>
      <c r="AI40" s="299"/>
      <c r="AJ40" s="300"/>
      <c r="AK40" s="257"/>
      <c r="AL40" s="290" t="str">
        <f>IF($B40&lt;&gt;"",IF(INDEX($AY$11:$BA$447, MATCH($B40,$AY$11:$AY$447,), MATCH("Ch16DLmg/l",$AY$10:$BA$10,))&lt;&gt;0,INDEX($AY$11:$BA$447, MATCH($B40,$AY$11:$AY$447,), MATCH("Ch16DLmg/l",$AY$10:$BA$10,)),0),"")</f>
        <v/>
      </c>
      <c r="AM40" s="290" t="str">
        <f>IF(OR(AND(BK40&lt;&gt;"",BK40&lt;AL40),AND(BL40&lt;&gt;"",BL40&lt;AL40),AND(BM40&lt;&gt;"",BM40&lt;AL40)),"Y","")</f>
        <v/>
      </c>
      <c r="AN40" s="380">
        <f>IF(ISERR(FIND(".",K40)),0,LEN(MID(K40,FIND(".",K40)+1,15)))</f>
        <v>0</v>
      </c>
      <c r="AO40" s="380">
        <f>IF(ISERR(FIND(".",O40)),0,LEN(MID(O40,FIND(".",O40)+1,15)))</f>
        <v>0</v>
      </c>
      <c r="AP40" s="380">
        <f>IF(ISERR(FIND(".",V40)),0,LEN(MID(V40,FIND(".",V40)+1,15)))</f>
        <v>0</v>
      </c>
      <c r="AQ40" s="380">
        <f>IF(ISERR(FIND(".",Z40)),0,LEN(MID(Z40,FIND(".",Z40)+1,15)))</f>
        <v>0</v>
      </c>
      <c r="AR40" s="380">
        <f>IF(ISERR(FIND(".",AD40)),0,LEN(MID(AD40,FIND(".",AD40)+1,15)))</f>
        <v>0</v>
      </c>
      <c r="AS40" s="380" t="str">
        <f>IF(OR(K40="",K40="Report"),"E","")</f>
        <v>E</v>
      </c>
      <c r="AT40" s="380" t="str">
        <f>IF(OR(O40="",O40="Report"),"E","")</f>
        <v>E</v>
      </c>
      <c r="AU40" s="380" t="str">
        <f>IF(OR(V40="",V40="Report"),"E","")</f>
        <v>E</v>
      </c>
      <c r="AV40" s="380" t="str">
        <f>IF(OR(Z40="",Z40="Report"),"E","")</f>
        <v>E</v>
      </c>
      <c r="AW40" s="380" t="str">
        <f>IF(OR(AD40="",AD40="Report"),"E","")</f>
        <v>E</v>
      </c>
      <c r="AX40" s="290" t="str">
        <f>IF(OR(AND($B40&lt;&gt;"",$AH40&lt;&gt;""),AND($B40&lt;&gt;"",$S40&lt;&gt;"")),INDEX($BI$11:$BJ$54, MATCH('Outfall 1 Daily'!U$13,$BI$11:$BI$54,), MATCH("Symbol",$BI$10:$BJ$10,)),"")</f>
        <v/>
      </c>
      <c r="AY40" s="256" t="s">
        <v>1244</v>
      </c>
      <c r="AZ40" s="256" t="s">
        <v>1245</v>
      </c>
      <c r="BA40" s="285"/>
      <c r="BB40" s="196"/>
      <c r="BC40" s="196"/>
      <c r="BD40" s="196"/>
      <c r="BE40" s="196"/>
      <c r="BF40" s="196"/>
      <c r="BG40" s="196"/>
      <c r="BH40" s="196"/>
      <c r="BI40" s="287" t="s">
        <v>1254</v>
      </c>
      <c r="BJ40" s="287" t="s">
        <v>368</v>
      </c>
      <c r="BK40" s="380" t="str">
        <f>IF(AND(V40&lt;&gt;"",V40&lt;&gt;"Report"),VALUE(V40),"")</f>
        <v/>
      </c>
      <c r="BL40" s="413" t="str">
        <f>IF(AND(Z40&lt;&gt;"",Z40&lt;&gt;"Report"),VALUE(Z40),"")</f>
        <v/>
      </c>
      <c r="BM40" s="413" t="str">
        <f>IF(AND(AD40&lt;&gt;"",AD40&lt;&gt;"Report"),VALUE(AD40),"")</f>
        <v/>
      </c>
    </row>
    <row r="41" spans="1:65" s="4" customFormat="1" ht="13.5" customHeight="1" x14ac:dyDescent="0.2">
      <c r="A41" s="196"/>
      <c r="B41" s="343"/>
      <c r="C41" s="344"/>
      <c r="D41" s="344"/>
      <c r="E41" s="344"/>
      <c r="F41" s="345"/>
      <c r="G41" s="349"/>
      <c r="H41" s="350"/>
      <c r="I41" s="350"/>
      <c r="J41" s="351"/>
      <c r="K41" s="295"/>
      <c r="L41" s="296"/>
      <c r="M41" s="296"/>
      <c r="N41" s="297"/>
      <c r="O41" s="295"/>
      <c r="P41" s="296"/>
      <c r="Q41" s="296"/>
      <c r="R41" s="297"/>
      <c r="S41" s="301"/>
      <c r="T41" s="302"/>
      <c r="U41" s="332"/>
      <c r="V41" s="295"/>
      <c r="W41" s="296"/>
      <c r="X41" s="296"/>
      <c r="Y41" s="297"/>
      <c r="Z41" s="295"/>
      <c r="AA41" s="296"/>
      <c r="AB41" s="296"/>
      <c r="AC41" s="297"/>
      <c r="AD41" s="295"/>
      <c r="AE41" s="296"/>
      <c r="AF41" s="296"/>
      <c r="AG41" s="297"/>
      <c r="AH41" s="301"/>
      <c r="AI41" s="302"/>
      <c r="AJ41" s="303"/>
      <c r="AK41" s="257"/>
      <c r="AL41" s="290"/>
      <c r="AM41" s="290"/>
      <c r="AN41" s="380"/>
      <c r="AO41" s="380"/>
      <c r="AP41" s="380"/>
      <c r="AQ41" s="380"/>
      <c r="AR41" s="380"/>
      <c r="AS41" s="380"/>
      <c r="AT41" s="380"/>
      <c r="AU41" s="380"/>
      <c r="AV41" s="380"/>
      <c r="AW41" s="380"/>
      <c r="AX41" s="290"/>
      <c r="AY41" s="256" t="s">
        <v>123</v>
      </c>
      <c r="AZ41" s="256" t="s">
        <v>436</v>
      </c>
      <c r="BA41" s="245"/>
      <c r="BB41" s="196"/>
      <c r="BC41" s="196"/>
      <c r="BD41" s="196"/>
      <c r="BE41" s="196"/>
      <c r="BF41" s="196"/>
      <c r="BG41" s="196"/>
      <c r="BH41" s="196"/>
      <c r="BI41" s="246" t="s">
        <v>1065</v>
      </c>
      <c r="BJ41" s="245" t="s">
        <v>368</v>
      </c>
      <c r="BK41" s="380"/>
      <c r="BL41" s="413"/>
      <c r="BM41" s="413"/>
    </row>
    <row r="42" spans="1:65" s="4" customFormat="1" ht="13.5" customHeight="1" x14ac:dyDescent="0.2">
      <c r="A42" s="196"/>
      <c r="B42" s="307"/>
      <c r="C42" s="308"/>
      <c r="D42" s="308"/>
      <c r="E42" s="308"/>
      <c r="F42" s="309"/>
      <c r="G42" s="313" t="s">
        <v>87</v>
      </c>
      <c r="H42" s="314"/>
      <c r="I42" s="314"/>
      <c r="J42" s="315"/>
      <c r="K42" s="319"/>
      <c r="L42" s="320"/>
      <c r="M42" s="320"/>
      <c r="N42" s="321"/>
      <c r="O42" s="325"/>
      <c r="P42" s="326"/>
      <c r="Q42" s="326"/>
      <c r="R42" s="327"/>
      <c r="S42" s="301"/>
      <c r="T42" s="302"/>
      <c r="U42" s="332"/>
      <c r="V42" s="319"/>
      <c r="W42" s="320"/>
      <c r="X42" s="320"/>
      <c r="Y42" s="321"/>
      <c r="Z42" s="319"/>
      <c r="AA42" s="320"/>
      <c r="AB42" s="320"/>
      <c r="AC42" s="321"/>
      <c r="AD42" s="334"/>
      <c r="AE42" s="335"/>
      <c r="AF42" s="335"/>
      <c r="AG42" s="336"/>
      <c r="AH42" s="301"/>
      <c r="AI42" s="302"/>
      <c r="AJ42" s="303"/>
      <c r="AK42" s="257"/>
      <c r="AL42" s="290"/>
      <c r="AM42" s="290"/>
      <c r="AN42" s="380"/>
      <c r="AO42" s="380"/>
      <c r="AP42" s="380"/>
      <c r="AQ42" s="380"/>
      <c r="AR42" s="380"/>
      <c r="AS42" s="380"/>
      <c r="AT42" s="380"/>
      <c r="AU42" s="380"/>
      <c r="AV42" s="380"/>
      <c r="AW42" s="380"/>
      <c r="AX42" s="290"/>
      <c r="AY42" s="256" t="s">
        <v>124</v>
      </c>
      <c r="AZ42" s="256" t="s">
        <v>437</v>
      </c>
      <c r="BA42" s="245">
        <v>1.4999999999999999E-4</v>
      </c>
      <c r="BB42" s="196"/>
      <c r="BC42" s="196"/>
      <c r="BD42" s="196"/>
      <c r="BE42" s="196"/>
      <c r="BF42" s="196"/>
      <c r="BG42" s="196"/>
      <c r="BH42" s="196"/>
      <c r="BI42" s="246" t="s">
        <v>1112</v>
      </c>
      <c r="BJ42" s="245" t="s">
        <v>368</v>
      </c>
      <c r="BK42" s="246"/>
      <c r="BL42" s="289"/>
      <c r="BM42" s="289"/>
    </row>
    <row r="43" spans="1:65" s="4" customFormat="1" ht="13.5" customHeight="1" thickBot="1" x14ac:dyDescent="0.25">
      <c r="A43" s="196"/>
      <c r="B43" s="310"/>
      <c r="C43" s="311"/>
      <c r="D43" s="311"/>
      <c r="E43" s="311"/>
      <c r="F43" s="312"/>
      <c r="G43" s="316"/>
      <c r="H43" s="317"/>
      <c r="I43" s="317"/>
      <c r="J43" s="318"/>
      <c r="K43" s="322"/>
      <c r="L43" s="323"/>
      <c r="M43" s="323"/>
      <c r="N43" s="324"/>
      <c r="O43" s="328"/>
      <c r="P43" s="329"/>
      <c r="Q43" s="329"/>
      <c r="R43" s="330"/>
      <c r="S43" s="304"/>
      <c r="T43" s="305"/>
      <c r="U43" s="333"/>
      <c r="V43" s="322"/>
      <c r="W43" s="323"/>
      <c r="X43" s="323"/>
      <c r="Y43" s="324"/>
      <c r="Z43" s="322"/>
      <c r="AA43" s="323"/>
      <c r="AB43" s="323"/>
      <c r="AC43" s="324"/>
      <c r="AD43" s="337"/>
      <c r="AE43" s="338"/>
      <c r="AF43" s="338"/>
      <c r="AG43" s="339"/>
      <c r="AH43" s="304"/>
      <c r="AI43" s="305"/>
      <c r="AJ43" s="306"/>
      <c r="AK43" s="257"/>
      <c r="AL43" s="290"/>
      <c r="AM43" s="290"/>
      <c r="AN43" s="380"/>
      <c r="AO43" s="380"/>
      <c r="AP43" s="380"/>
      <c r="AQ43" s="380"/>
      <c r="AR43" s="380"/>
      <c r="AS43" s="380"/>
      <c r="AT43" s="380"/>
      <c r="AU43" s="380"/>
      <c r="AV43" s="380"/>
      <c r="AW43" s="380"/>
      <c r="AX43" s="290"/>
      <c r="AY43" s="256" t="s">
        <v>125</v>
      </c>
      <c r="AZ43" s="256" t="s">
        <v>438</v>
      </c>
      <c r="BA43" s="245">
        <v>3.0000000000000001E-5</v>
      </c>
      <c r="BB43" s="196"/>
      <c r="BC43" s="196"/>
      <c r="BD43" s="196"/>
      <c r="BE43" s="196"/>
      <c r="BF43" s="196"/>
      <c r="BG43" s="196"/>
      <c r="BH43" s="196"/>
      <c r="BI43" s="246" t="s">
        <v>1105</v>
      </c>
      <c r="BJ43" s="245" t="s">
        <v>368</v>
      </c>
      <c r="BK43" s="246"/>
      <c r="BL43" s="289"/>
      <c r="BM43" s="289"/>
    </row>
    <row r="44" spans="1:65" s="4" customFormat="1" ht="13.5" customHeight="1" x14ac:dyDescent="0.2">
      <c r="A44" s="196"/>
      <c r="B44" s="340"/>
      <c r="C44" s="341"/>
      <c r="D44" s="341"/>
      <c r="E44" s="341"/>
      <c r="F44" s="342"/>
      <c r="G44" s="346" t="s">
        <v>86</v>
      </c>
      <c r="H44" s="347"/>
      <c r="I44" s="347"/>
      <c r="J44" s="348"/>
      <c r="K44" s="292"/>
      <c r="L44" s="293"/>
      <c r="M44" s="293"/>
      <c r="N44" s="294"/>
      <c r="O44" s="292"/>
      <c r="P44" s="293"/>
      <c r="Q44" s="293"/>
      <c r="R44" s="294"/>
      <c r="S44" s="298"/>
      <c r="T44" s="299"/>
      <c r="U44" s="331"/>
      <c r="V44" s="292"/>
      <c r="W44" s="293"/>
      <c r="X44" s="293"/>
      <c r="Y44" s="294"/>
      <c r="Z44" s="292"/>
      <c r="AA44" s="293"/>
      <c r="AB44" s="293"/>
      <c r="AC44" s="294"/>
      <c r="AD44" s="292"/>
      <c r="AE44" s="293"/>
      <c r="AF44" s="293"/>
      <c r="AG44" s="294"/>
      <c r="AH44" s="298"/>
      <c r="AI44" s="299"/>
      <c r="AJ44" s="300"/>
      <c r="AK44" s="257"/>
      <c r="AL44" s="290" t="str">
        <f>IF($B44&lt;&gt;"",IF(INDEX($AY$11:$BA$447, MATCH($B44,$AY$11:$AY$447,), MATCH("Ch16DLmg/l",$AY$10:$BA$10,))&lt;&gt;0,INDEX($AY$11:$BA$447, MATCH($B44,$AY$11:$AY$447,), MATCH("Ch16DLmg/l",$AY$10:$BA$10,)),0),"")</f>
        <v/>
      </c>
      <c r="AM44" s="290" t="str">
        <f>IF(OR(AND(BK44&lt;&gt;"",BK44&lt;AL44),AND(BL44&lt;&gt;"",BL44&lt;AL44),AND(BM44&lt;&gt;"",BM44&lt;AL44)),"Y","")</f>
        <v/>
      </c>
      <c r="AN44" s="380">
        <f>IF(ISERR(FIND(".",K44)),0,LEN(MID(K44,FIND(".",K44)+1,15)))</f>
        <v>0</v>
      </c>
      <c r="AO44" s="380">
        <f>IF(ISERR(FIND(".",O44)),0,LEN(MID(O44,FIND(".",O44)+1,15)))</f>
        <v>0</v>
      </c>
      <c r="AP44" s="380">
        <f>IF(ISERR(FIND(".",V44)),0,LEN(MID(V44,FIND(".",V44)+1,15)))</f>
        <v>0</v>
      </c>
      <c r="AQ44" s="380">
        <f>IF(ISERR(FIND(".",Z44)),0,LEN(MID(Z44,FIND(".",Z44)+1,15)))</f>
        <v>0</v>
      </c>
      <c r="AR44" s="380">
        <f>IF(ISERR(FIND(".",AD44)),0,LEN(MID(AD44,FIND(".",AD44)+1,15)))</f>
        <v>0</v>
      </c>
      <c r="AS44" s="380" t="str">
        <f>IF(OR(K44="",K44="Report"),"E","")</f>
        <v>E</v>
      </c>
      <c r="AT44" s="380" t="str">
        <f>IF(OR(O44="",O44="Report"),"E","")</f>
        <v>E</v>
      </c>
      <c r="AU44" s="380" t="str">
        <f>IF(OR(V44="",V44="Report"),"E","")</f>
        <v>E</v>
      </c>
      <c r="AV44" s="380" t="str">
        <f>IF(OR(Z44="",Z44="Report"),"E","")</f>
        <v>E</v>
      </c>
      <c r="AW44" s="380" t="str">
        <f>IF(OR(AD44="",AD44="Report"),"E","")</f>
        <v>E</v>
      </c>
      <c r="AX44" s="290" t="str">
        <f>IF(OR(AND($B44&lt;&gt;"",$AH44&lt;&gt;""),AND($B44&lt;&gt;"",$S44&lt;&gt;"")),INDEX($BI$11:$BJ$54, MATCH('Outfall 1 Daily'!W$13,$BI$11:$BI$54,), MATCH("Symbol",$BI$10:$BJ$10,)),"")</f>
        <v/>
      </c>
      <c r="AY44" s="256" t="s">
        <v>126</v>
      </c>
      <c r="AZ44" s="256" t="s">
        <v>439</v>
      </c>
      <c r="BA44" s="245">
        <v>4.0000000000000003E-5</v>
      </c>
      <c r="BB44" s="196"/>
      <c r="BC44" s="196"/>
      <c r="BD44" s="196"/>
      <c r="BE44" s="196"/>
      <c r="BF44" s="196"/>
      <c r="BG44" s="196"/>
      <c r="BH44" s="196"/>
      <c r="BI44" s="246" t="s">
        <v>1116</v>
      </c>
      <c r="BJ44" s="245" t="s">
        <v>368</v>
      </c>
      <c r="BK44" s="380" t="str">
        <f>IF(AND(V44&lt;&gt;"",V44&lt;&gt;"Report"),VALUE(V44),"")</f>
        <v/>
      </c>
      <c r="BL44" s="413" t="str">
        <f>IF(AND(Z44&lt;&gt;"",Z44&lt;&gt;"Report"),VALUE(Z44),"")</f>
        <v/>
      </c>
      <c r="BM44" s="413" t="str">
        <f>IF(AND(AD44&lt;&gt;"",AD44&lt;&gt;"Report"),VALUE(AD44),"")</f>
        <v/>
      </c>
    </row>
    <row r="45" spans="1:65" s="4" customFormat="1" ht="13.5" customHeight="1" x14ac:dyDescent="0.2">
      <c r="A45" s="196"/>
      <c r="B45" s="343"/>
      <c r="C45" s="344"/>
      <c r="D45" s="344"/>
      <c r="E45" s="344"/>
      <c r="F45" s="345"/>
      <c r="G45" s="349"/>
      <c r="H45" s="350"/>
      <c r="I45" s="350"/>
      <c r="J45" s="351"/>
      <c r="K45" s="295"/>
      <c r="L45" s="296"/>
      <c r="M45" s="296"/>
      <c r="N45" s="297"/>
      <c r="O45" s="295"/>
      <c r="P45" s="296"/>
      <c r="Q45" s="296"/>
      <c r="R45" s="297"/>
      <c r="S45" s="301"/>
      <c r="T45" s="302"/>
      <c r="U45" s="332"/>
      <c r="V45" s="295"/>
      <c r="W45" s="296"/>
      <c r="X45" s="296"/>
      <c r="Y45" s="297"/>
      <c r="Z45" s="295"/>
      <c r="AA45" s="296"/>
      <c r="AB45" s="296"/>
      <c r="AC45" s="297"/>
      <c r="AD45" s="295"/>
      <c r="AE45" s="296"/>
      <c r="AF45" s="296"/>
      <c r="AG45" s="297"/>
      <c r="AH45" s="301"/>
      <c r="AI45" s="302"/>
      <c r="AJ45" s="303"/>
      <c r="AK45" s="257"/>
      <c r="AL45" s="290"/>
      <c r="AM45" s="290"/>
      <c r="AN45" s="380"/>
      <c r="AO45" s="380"/>
      <c r="AP45" s="380"/>
      <c r="AQ45" s="380"/>
      <c r="AR45" s="380"/>
      <c r="AS45" s="380"/>
      <c r="AT45" s="380"/>
      <c r="AU45" s="380"/>
      <c r="AV45" s="380"/>
      <c r="AW45" s="380"/>
      <c r="AX45" s="290"/>
      <c r="AY45" s="256" t="s">
        <v>127</v>
      </c>
      <c r="AZ45" s="256" t="s">
        <v>440</v>
      </c>
      <c r="BA45" s="245">
        <v>0.01</v>
      </c>
      <c r="BB45" s="196"/>
      <c r="BC45" s="196"/>
      <c r="BD45" s="196"/>
      <c r="BE45" s="196"/>
      <c r="BF45" s="196"/>
      <c r="BG45" s="196"/>
      <c r="BH45" s="196"/>
      <c r="BI45" s="246" t="s">
        <v>1066</v>
      </c>
      <c r="BJ45" s="245" t="s">
        <v>368</v>
      </c>
      <c r="BK45" s="380"/>
      <c r="BL45" s="413"/>
      <c r="BM45" s="413"/>
    </row>
    <row r="46" spans="1:65" s="4" customFormat="1" ht="13.5" customHeight="1" x14ac:dyDescent="0.2">
      <c r="A46" s="196"/>
      <c r="B46" s="307"/>
      <c r="C46" s="308"/>
      <c r="D46" s="308"/>
      <c r="E46" s="308"/>
      <c r="F46" s="309"/>
      <c r="G46" s="313" t="s">
        <v>87</v>
      </c>
      <c r="H46" s="314"/>
      <c r="I46" s="314"/>
      <c r="J46" s="315"/>
      <c r="K46" s="319"/>
      <c r="L46" s="320"/>
      <c r="M46" s="320"/>
      <c r="N46" s="321"/>
      <c r="O46" s="325"/>
      <c r="P46" s="326"/>
      <c r="Q46" s="326"/>
      <c r="R46" s="327"/>
      <c r="S46" s="301"/>
      <c r="T46" s="302"/>
      <c r="U46" s="332"/>
      <c r="V46" s="319"/>
      <c r="W46" s="320"/>
      <c r="X46" s="320"/>
      <c r="Y46" s="321"/>
      <c r="Z46" s="319"/>
      <c r="AA46" s="320"/>
      <c r="AB46" s="320"/>
      <c r="AC46" s="321"/>
      <c r="AD46" s="334"/>
      <c r="AE46" s="335"/>
      <c r="AF46" s="335"/>
      <c r="AG46" s="336"/>
      <c r="AH46" s="301"/>
      <c r="AI46" s="302"/>
      <c r="AJ46" s="303"/>
      <c r="AK46" s="257"/>
      <c r="AL46" s="290"/>
      <c r="AM46" s="290"/>
      <c r="AN46" s="380"/>
      <c r="AO46" s="380"/>
      <c r="AP46" s="380"/>
      <c r="AQ46" s="380"/>
      <c r="AR46" s="380"/>
      <c r="AS46" s="380"/>
      <c r="AT46" s="380"/>
      <c r="AU46" s="380"/>
      <c r="AV46" s="380"/>
      <c r="AW46" s="380"/>
      <c r="AX46" s="290"/>
      <c r="AY46" s="256" t="s">
        <v>128</v>
      </c>
      <c r="AZ46" s="256" t="s">
        <v>441</v>
      </c>
      <c r="BA46" s="245"/>
      <c r="BB46" s="196"/>
      <c r="BC46" s="196"/>
      <c r="BD46" s="196"/>
      <c r="BE46" s="196"/>
      <c r="BF46" s="196"/>
      <c r="BG46" s="196"/>
      <c r="BH46" s="196"/>
      <c r="BI46" s="246" t="s">
        <v>1101</v>
      </c>
      <c r="BJ46" s="245" t="s">
        <v>368</v>
      </c>
      <c r="BK46" s="246"/>
      <c r="BL46" s="289"/>
      <c r="BM46" s="289"/>
    </row>
    <row r="47" spans="1:65" s="4" customFormat="1" ht="13.5" customHeight="1" thickBot="1" x14ac:dyDescent="0.25">
      <c r="A47" s="196"/>
      <c r="B47" s="310"/>
      <c r="C47" s="311"/>
      <c r="D47" s="311"/>
      <c r="E47" s="311"/>
      <c r="F47" s="312"/>
      <c r="G47" s="316"/>
      <c r="H47" s="317"/>
      <c r="I47" s="317"/>
      <c r="J47" s="318"/>
      <c r="K47" s="322"/>
      <c r="L47" s="323"/>
      <c r="M47" s="323"/>
      <c r="N47" s="324"/>
      <c r="O47" s="328"/>
      <c r="P47" s="329"/>
      <c r="Q47" s="329"/>
      <c r="R47" s="330"/>
      <c r="S47" s="304"/>
      <c r="T47" s="305"/>
      <c r="U47" s="333"/>
      <c r="V47" s="322"/>
      <c r="W47" s="323"/>
      <c r="X47" s="323"/>
      <c r="Y47" s="324"/>
      <c r="Z47" s="322"/>
      <c r="AA47" s="323"/>
      <c r="AB47" s="323"/>
      <c r="AC47" s="324"/>
      <c r="AD47" s="337"/>
      <c r="AE47" s="338"/>
      <c r="AF47" s="338"/>
      <c r="AG47" s="339"/>
      <c r="AH47" s="304"/>
      <c r="AI47" s="305"/>
      <c r="AJ47" s="306"/>
      <c r="AK47" s="257"/>
      <c r="AL47" s="290"/>
      <c r="AM47" s="290"/>
      <c r="AN47" s="380"/>
      <c r="AO47" s="380"/>
      <c r="AP47" s="380"/>
      <c r="AQ47" s="380"/>
      <c r="AR47" s="380"/>
      <c r="AS47" s="380"/>
      <c r="AT47" s="380"/>
      <c r="AU47" s="380"/>
      <c r="AV47" s="380"/>
      <c r="AW47" s="380"/>
      <c r="AX47" s="290"/>
      <c r="AY47" s="256" t="s">
        <v>129</v>
      </c>
      <c r="AZ47" s="256" t="s">
        <v>442</v>
      </c>
      <c r="BA47" s="245">
        <v>3.2000000000000003E-4</v>
      </c>
      <c r="BB47" s="196"/>
      <c r="BC47" s="196"/>
      <c r="BD47" s="196"/>
      <c r="BE47" s="196"/>
      <c r="BF47" s="196"/>
      <c r="BG47" s="196"/>
      <c r="BH47" s="196"/>
      <c r="BI47" s="246" t="s">
        <v>1102</v>
      </c>
      <c r="BJ47" s="245" t="s">
        <v>368</v>
      </c>
      <c r="BK47" s="246"/>
      <c r="BL47" s="289"/>
      <c r="BM47" s="289"/>
    </row>
    <row r="48" spans="1:65" s="4" customFormat="1" ht="13.5" customHeight="1" x14ac:dyDescent="0.2">
      <c r="A48" s="196"/>
      <c r="B48" s="340"/>
      <c r="C48" s="341"/>
      <c r="D48" s="341"/>
      <c r="E48" s="341"/>
      <c r="F48" s="342"/>
      <c r="G48" s="346" t="s">
        <v>86</v>
      </c>
      <c r="H48" s="347"/>
      <c r="I48" s="347"/>
      <c r="J48" s="348"/>
      <c r="K48" s="292"/>
      <c r="L48" s="293"/>
      <c r="M48" s="293"/>
      <c r="N48" s="294"/>
      <c r="O48" s="292"/>
      <c r="P48" s="293"/>
      <c r="Q48" s="293"/>
      <c r="R48" s="294"/>
      <c r="S48" s="298"/>
      <c r="T48" s="299"/>
      <c r="U48" s="331"/>
      <c r="V48" s="292"/>
      <c r="W48" s="293"/>
      <c r="X48" s="293"/>
      <c r="Y48" s="294"/>
      <c r="Z48" s="292"/>
      <c r="AA48" s="293"/>
      <c r="AB48" s="293"/>
      <c r="AC48" s="294"/>
      <c r="AD48" s="292"/>
      <c r="AE48" s="293"/>
      <c r="AF48" s="293"/>
      <c r="AG48" s="294"/>
      <c r="AH48" s="298"/>
      <c r="AI48" s="299"/>
      <c r="AJ48" s="300"/>
      <c r="AK48" s="257"/>
      <c r="AL48" s="290" t="str">
        <f>IF($B48&lt;&gt;"",IF(INDEX($AY$11:$BA$447, MATCH($B48,$AY$11:$AY$447,), MATCH("Ch16DLmg/l",$AY$10:$BA$10,))&lt;&gt;0,INDEX($AY$11:$BA$447, MATCH($B48,$AY$11:$AY$447,), MATCH("Ch16DLmg/l",$AY$10:$BA$10,)),0),"")</f>
        <v/>
      </c>
      <c r="AM48" s="290" t="str">
        <f>IF(OR(AND(BK48&lt;&gt;"",BK48&lt;AL48),AND(BL48&lt;&gt;"",BL48&lt;AL48),AND(BM48&lt;&gt;"",BM48&lt;AL48)),"Y","")</f>
        <v/>
      </c>
      <c r="AN48" s="380">
        <f>IF(ISERR(FIND(".",K48)),0,LEN(MID(K48,FIND(".",K48)+1,15)))</f>
        <v>0</v>
      </c>
      <c r="AO48" s="380">
        <f>IF(ISERR(FIND(".",O48)),0,LEN(MID(O48,FIND(".",O48)+1,15)))</f>
        <v>0</v>
      </c>
      <c r="AP48" s="380">
        <f>IF(ISERR(FIND(".",V48)),0,LEN(MID(V48,FIND(".",V48)+1,15)))</f>
        <v>0</v>
      </c>
      <c r="AQ48" s="380">
        <f>IF(ISERR(FIND(".",Z48)),0,LEN(MID(Z48,FIND(".",Z48)+1,15)))</f>
        <v>0</v>
      </c>
      <c r="AR48" s="380">
        <f>IF(ISERR(FIND(".",AD48)),0,LEN(MID(AD48,FIND(".",AD48)+1,15)))</f>
        <v>0</v>
      </c>
      <c r="AS48" s="380" t="str">
        <f>IF(OR(K48="",K48="Report"),"E","")</f>
        <v>E</v>
      </c>
      <c r="AT48" s="380" t="str">
        <f>IF(OR(O48="",O48="Report"),"E","")</f>
        <v>E</v>
      </c>
      <c r="AU48" s="380" t="str">
        <f>IF(OR(V48="",V48="Report"),"E","")</f>
        <v>E</v>
      </c>
      <c r="AV48" s="380" t="str">
        <f>IF(OR(Z48="",Z48="Report"),"E","")</f>
        <v>E</v>
      </c>
      <c r="AW48" s="380" t="str">
        <f>IF(OR(AD48="",AD48="Report"),"E","")</f>
        <v>E</v>
      </c>
      <c r="AX48" s="290" t="str">
        <f>IF(OR(AND($B48&lt;&gt;"",$AH48&lt;&gt;""),AND($B48&lt;&gt;"",$S48&lt;&gt;"")),INDEX($BI$11:$BJ$54, MATCH('Outfall 1 Daily'!Y$13,$BI$11:$BI$54,), MATCH("Symbol",$BI$10:$BJ$10,)),"")</f>
        <v/>
      </c>
      <c r="AY48" s="256" t="s">
        <v>130</v>
      </c>
      <c r="AZ48" s="256" t="s">
        <v>443</v>
      </c>
      <c r="BA48" s="245">
        <v>2.0000000000000001E-4</v>
      </c>
      <c r="BB48" s="196"/>
      <c r="BC48" s="196"/>
      <c r="BD48" s="196"/>
      <c r="BE48" s="196"/>
      <c r="BF48" s="196"/>
      <c r="BG48" s="196"/>
      <c r="BH48" s="196"/>
      <c r="BI48" s="246" t="s">
        <v>1104</v>
      </c>
      <c r="BJ48" s="245" t="s">
        <v>368</v>
      </c>
      <c r="BK48" s="380" t="str">
        <f>IF(AND(V48&lt;&gt;"",V48&lt;&gt;"Report"),VALUE(V48),"")</f>
        <v/>
      </c>
      <c r="BL48" s="413" t="str">
        <f>IF(AND(Z48&lt;&gt;"",Z48&lt;&gt;"Report"),VALUE(Z48),"")</f>
        <v/>
      </c>
      <c r="BM48" s="413" t="str">
        <f>IF(AND(AD48&lt;&gt;"",AD48&lt;&gt;"Report"),VALUE(AD48),"")</f>
        <v/>
      </c>
    </row>
    <row r="49" spans="1:65" s="4" customFormat="1" ht="13.5" customHeight="1" x14ac:dyDescent="0.2">
      <c r="A49" s="196"/>
      <c r="B49" s="343"/>
      <c r="C49" s="344"/>
      <c r="D49" s="344"/>
      <c r="E49" s="344"/>
      <c r="F49" s="345"/>
      <c r="G49" s="349"/>
      <c r="H49" s="350"/>
      <c r="I49" s="350"/>
      <c r="J49" s="351"/>
      <c r="K49" s="295"/>
      <c r="L49" s="296"/>
      <c r="M49" s="296"/>
      <c r="N49" s="297"/>
      <c r="O49" s="295"/>
      <c r="P49" s="296"/>
      <c r="Q49" s="296"/>
      <c r="R49" s="297"/>
      <c r="S49" s="301"/>
      <c r="T49" s="302"/>
      <c r="U49" s="332"/>
      <c r="V49" s="295"/>
      <c r="W49" s="296"/>
      <c r="X49" s="296"/>
      <c r="Y49" s="297"/>
      <c r="Z49" s="295"/>
      <c r="AA49" s="296"/>
      <c r="AB49" s="296"/>
      <c r="AC49" s="297"/>
      <c r="AD49" s="295"/>
      <c r="AE49" s="296"/>
      <c r="AF49" s="296"/>
      <c r="AG49" s="297"/>
      <c r="AH49" s="301"/>
      <c r="AI49" s="302"/>
      <c r="AJ49" s="303"/>
      <c r="AK49" s="257"/>
      <c r="AL49" s="290"/>
      <c r="AM49" s="290"/>
      <c r="AN49" s="380"/>
      <c r="AO49" s="380"/>
      <c r="AP49" s="380"/>
      <c r="AQ49" s="380"/>
      <c r="AR49" s="380"/>
      <c r="AS49" s="380"/>
      <c r="AT49" s="380"/>
      <c r="AU49" s="380"/>
      <c r="AV49" s="380"/>
      <c r="AW49" s="380"/>
      <c r="AX49" s="290"/>
      <c r="AY49" s="256" t="s">
        <v>131</v>
      </c>
      <c r="AZ49" s="256" t="s">
        <v>444</v>
      </c>
      <c r="BA49" s="245">
        <v>2.4000000000000001E-4</v>
      </c>
      <c r="BB49" s="196"/>
      <c r="BC49" s="196"/>
      <c r="BD49" s="196"/>
      <c r="BE49" s="196"/>
      <c r="BF49" s="196"/>
      <c r="BG49" s="196"/>
      <c r="BH49" s="196"/>
      <c r="BI49" s="246" t="s">
        <v>1117</v>
      </c>
      <c r="BJ49" s="245" t="s">
        <v>368</v>
      </c>
      <c r="BK49" s="380"/>
      <c r="BL49" s="413"/>
      <c r="BM49" s="413"/>
    </row>
    <row r="50" spans="1:65" s="4" customFormat="1" ht="13.5" customHeight="1" x14ac:dyDescent="0.2">
      <c r="A50" s="196"/>
      <c r="B50" s="307"/>
      <c r="C50" s="308"/>
      <c r="D50" s="308"/>
      <c r="E50" s="308"/>
      <c r="F50" s="309"/>
      <c r="G50" s="313" t="s">
        <v>87</v>
      </c>
      <c r="H50" s="314"/>
      <c r="I50" s="314"/>
      <c r="J50" s="315"/>
      <c r="K50" s="319"/>
      <c r="L50" s="320"/>
      <c r="M50" s="320"/>
      <c r="N50" s="321"/>
      <c r="O50" s="325"/>
      <c r="P50" s="326"/>
      <c r="Q50" s="326"/>
      <c r="R50" s="327"/>
      <c r="S50" s="301"/>
      <c r="T50" s="302"/>
      <c r="U50" s="332"/>
      <c r="V50" s="319"/>
      <c r="W50" s="320"/>
      <c r="X50" s="320"/>
      <c r="Y50" s="321"/>
      <c r="Z50" s="319"/>
      <c r="AA50" s="320"/>
      <c r="AB50" s="320"/>
      <c r="AC50" s="321"/>
      <c r="AD50" s="334"/>
      <c r="AE50" s="335"/>
      <c r="AF50" s="335"/>
      <c r="AG50" s="336"/>
      <c r="AH50" s="301"/>
      <c r="AI50" s="302"/>
      <c r="AJ50" s="303"/>
      <c r="AK50" s="257"/>
      <c r="AL50" s="290"/>
      <c r="AM50" s="290"/>
      <c r="AN50" s="380"/>
      <c r="AO50" s="380"/>
      <c r="AP50" s="380"/>
      <c r="AQ50" s="380"/>
      <c r="AR50" s="380"/>
      <c r="AS50" s="380"/>
      <c r="AT50" s="380"/>
      <c r="AU50" s="380"/>
      <c r="AV50" s="380"/>
      <c r="AW50" s="380"/>
      <c r="AX50" s="290"/>
      <c r="AY50" s="256" t="s">
        <v>132</v>
      </c>
      <c r="AZ50" s="256" t="s">
        <v>445</v>
      </c>
      <c r="BA50" s="245"/>
      <c r="BB50" s="196"/>
      <c r="BC50" s="196"/>
      <c r="BD50" s="196"/>
      <c r="BE50" s="196"/>
      <c r="BF50" s="196"/>
      <c r="BG50" s="196"/>
      <c r="BH50" s="196"/>
      <c r="BI50" s="246" t="s">
        <v>1108</v>
      </c>
      <c r="BJ50" s="245" t="s">
        <v>368</v>
      </c>
      <c r="BK50" s="246"/>
      <c r="BL50" s="289"/>
      <c r="BM50" s="289"/>
    </row>
    <row r="51" spans="1:65" s="4" customFormat="1" ht="13.5" customHeight="1" thickBot="1" x14ac:dyDescent="0.25">
      <c r="A51" s="196"/>
      <c r="B51" s="310"/>
      <c r="C51" s="311"/>
      <c r="D51" s="311"/>
      <c r="E51" s="311"/>
      <c r="F51" s="312"/>
      <c r="G51" s="316"/>
      <c r="H51" s="317"/>
      <c r="I51" s="317"/>
      <c r="J51" s="318"/>
      <c r="K51" s="322"/>
      <c r="L51" s="323"/>
      <c r="M51" s="323"/>
      <c r="N51" s="324"/>
      <c r="O51" s="328"/>
      <c r="P51" s="329"/>
      <c r="Q51" s="329"/>
      <c r="R51" s="330"/>
      <c r="S51" s="304"/>
      <c r="T51" s="305"/>
      <c r="U51" s="333"/>
      <c r="V51" s="322"/>
      <c r="W51" s="323"/>
      <c r="X51" s="323"/>
      <c r="Y51" s="324"/>
      <c r="Z51" s="322"/>
      <c r="AA51" s="323"/>
      <c r="AB51" s="323"/>
      <c r="AC51" s="324"/>
      <c r="AD51" s="337"/>
      <c r="AE51" s="338"/>
      <c r="AF51" s="338"/>
      <c r="AG51" s="339"/>
      <c r="AH51" s="304"/>
      <c r="AI51" s="305"/>
      <c r="AJ51" s="306"/>
      <c r="AK51" s="257"/>
      <c r="AL51" s="290"/>
      <c r="AM51" s="290"/>
      <c r="AN51" s="380"/>
      <c r="AO51" s="380"/>
      <c r="AP51" s="380"/>
      <c r="AQ51" s="380"/>
      <c r="AR51" s="380"/>
      <c r="AS51" s="380"/>
      <c r="AT51" s="380"/>
      <c r="AU51" s="380"/>
      <c r="AV51" s="380"/>
      <c r="AW51" s="380"/>
      <c r="AX51" s="290"/>
      <c r="AY51" s="256" t="s">
        <v>133</v>
      </c>
      <c r="AZ51" s="256" t="s">
        <v>446</v>
      </c>
      <c r="BA51" s="245"/>
      <c r="BB51" s="196"/>
      <c r="BC51" s="196"/>
      <c r="BD51" s="196"/>
      <c r="BE51" s="196"/>
      <c r="BF51" s="196"/>
      <c r="BG51" s="196"/>
      <c r="BH51" s="196"/>
      <c r="BI51" s="246" t="s">
        <v>1110</v>
      </c>
      <c r="BJ51" s="246" t="s">
        <v>368</v>
      </c>
      <c r="BK51" s="246"/>
      <c r="BL51" s="289"/>
      <c r="BM51" s="289"/>
    </row>
    <row r="52" spans="1:65" s="4" customFormat="1" ht="13.5" customHeight="1" x14ac:dyDescent="0.2">
      <c r="A52" s="196"/>
      <c r="B52" s="340"/>
      <c r="C52" s="341"/>
      <c r="D52" s="341"/>
      <c r="E52" s="341"/>
      <c r="F52" s="342"/>
      <c r="G52" s="346" t="s">
        <v>86</v>
      </c>
      <c r="H52" s="347"/>
      <c r="I52" s="347"/>
      <c r="J52" s="348"/>
      <c r="K52" s="292"/>
      <c r="L52" s="293"/>
      <c r="M52" s="293"/>
      <c r="N52" s="294"/>
      <c r="O52" s="292"/>
      <c r="P52" s="293"/>
      <c r="Q52" s="293"/>
      <c r="R52" s="294"/>
      <c r="S52" s="298"/>
      <c r="T52" s="299"/>
      <c r="U52" s="331"/>
      <c r="V52" s="292"/>
      <c r="W52" s="293"/>
      <c r="X52" s="293"/>
      <c r="Y52" s="294"/>
      <c r="Z52" s="292"/>
      <c r="AA52" s="293"/>
      <c r="AB52" s="293"/>
      <c r="AC52" s="294"/>
      <c r="AD52" s="292"/>
      <c r="AE52" s="293"/>
      <c r="AF52" s="293"/>
      <c r="AG52" s="294"/>
      <c r="AH52" s="298"/>
      <c r="AI52" s="299"/>
      <c r="AJ52" s="300"/>
      <c r="AK52" s="257"/>
      <c r="AL52" s="290" t="str">
        <f>IF($B52&lt;&gt;"",IF(INDEX($AY$11:$BA$447, MATCH($B52,$AY$11:$AY$447,), MATCH("Ch16DLmg/l",$AY$10:$BA$10,))&lt;&gt;0,INDEX($AY$11:$BA$447, MATCH($B52,$AY$11:$AY$447,), MATCH("Ch16DLmg/l",$AY$10:$BA$10,)),0),"")</f>
        <v/>
      </c>
      <c r="AM52" s="290" t="str">
        <f>IF(OR(AND(BK52&lt;&gt;"",BK52&lt;AL52),AND(BL52&lt;&gt;"",BL52&lt;AL52),AND(BM52&lt;&gt;"",BM52&lt;AL52)),"Y","")</f>
        <v/>
      </c>
      <c r="AN52" s="380">
        <f>IF(ISERR(FIND(".",K52)),0,LEN(MID(K52,FIND(".",K52)+1,15)))</f>
        <v>0</v>
      </c>
      <c r="AO52" s="380">
        <f>IF(ISERR(FIND(".",O52)),0,LEN(MID(O52,FIND(".",O52)+1,15)))</f>
        <v>0</v>
      </c>
      <c r="AP52" s="380">
        <f>IF(ISERR(FIND(".",V52)),0,LEN(MID(V52,FIND(".",V52)+1,15)))</f>
        <v>0</v>
      </c>
      <c r="AQ52" s="380">
        <f>IF(ISERR(FIND(".",Z52)),0,LEN(MID(Z52,FIND(".",Z52)+1,15)))</f>
        <v>0</v>
      </c>
      <c r="AR52" s="380">
        <f>IF(ISERR(FIND(".",AD52)),0,LEN(MID(AD52,FIND(".",AD52)+1,15)))</f>
        <v>0</v>
      </c>
      <c r="AS52" s="380" t="str">
        <f>IF(OR(K52="",K52="Report"),"E","")</f>
        <v>E</v>
      </c>
      <c r="AT52" s="380" t="str">
        <f>IF(OR(O52="",O52="Report"),"E","")</f>
        <v>E</v>
      </c>
      <c r="AU52" s="380" t="str">
        <f>IF(OR(V52="",V52="Report"),"E","")</f>
        <v>E</v>
      </c>
      <c r="AV52" s="380" t="str">
        <f>IF(OR(Z52="",Z52="Report"),"E","")</f>
        <v>E</v>
      </c>
      <c r="AW52" s="380" t="str">
        <f>IF(OR(AD52="",AD52="Report"),"E","")</f>
        <v>E</v>
      </c>
      <c r="AX52" s="290" t="str">
        <f>IF(OR(AND($B52&lt;&gt;"",$AH52&lt;&gt;""),AND($B52&lt;&gt;"",$S52&lt;&gt;"")),INDEX($BI$11:$BJ$54, MATCH('Outfall 1 Daily'!AA$13,$BI$11:$BI$54,), MATCH("Symbol",$BI$10:$BJ$10,)),"")</f>
        <v/>
      </c>
      <c r="AY52" s="256" t="s">
        <v>134</v>
      </c>
      <c r="AZ52" s="256" t="s">
        <v>447</v>
      </c>
      <c r="BA52" s="245"/>
      <c r="BB52" s="196"/>
      <c r="BC52" s="196"/>
      <c r="BD52" s="196"/>
      <c r="BE52" s="196"/>
      <c r="BF52" s="196"/>
      <c r="BG52" s="196"/>
      <c r="BH52" s="196"/>
      <c r="BI52" s="246" t="s">
        <v>659</v>
      </c>
      <c r="BJ52" s="280" t="s">
        <v>368</v>
      </c>
      <c r="BK52" s="380" t="str">
        <f>IF(AND(V52&lt;&gt;"",V52&lt;&gt;"Report"),VALUE(V52),"")</f>
        <v/>
      </c>
      <c r="BL52" s="413" t="str">
        <f>IF(AND(Z52&lt;&gt;"",Z52&lt;&gt;"Report"),VALUE(Z52),"")</f>
        <v/>
      </c>
      <c r="BM52" s="413" t="str">
        <f>IF(AND(AD52&lt;&gt;"",AD52&lt;&gt;"Report"),VALUE(AD52),"")</f>
        <v/>
      </c>
    </row>
    <row r="53" spans="1:65" s="4" customFormat="1" ht="13.5" customHeight="1" x14ac:dyDescent="0.2">
      <c r="A53" s="196"/>
      <c r="B53" s="343"/>
      <c r="C53" s="344"/>
      <c r="D53" s="344"/>
      <c r="E53" s="344"/>
      <c r="F53" s="345"/>
      <c r="G53" s="349"/>
      <c r="H53" s="350"/>
      <c r="I53" s="350"/>
      <c r="J53" s="351"/>
      <c r="K53" s="295"/>
      <c r="L53" s="296"/>
      <c r="M53" s="296"/>
      <c r="N53" s="297"/>
      <c r="O53" s="295"/>
      <c r="P53" s="296"/>
      <c r="Q53" s="296"/>
      <c r="R53" s="297"/>
      <c r="S53" s="301"/>
      <c r="T53" s="302"/>
      <c r="U53" s="332"/>
      <c r="V53" s="295"/>
      <c r="W53" s="296"/>
      <c r="X53" s="296"/>
      <c r="Y53" s="297"/>
      <c r="Z53" s="295"/>
      <c r="AA53" s="296"/>
      <c r="AB53" s="296"/>
      <c r="AC53" s="297"/>
      <c r="AD53" s="295"/>
      <c r="AE53" s="296"/>
      <c r="AF53" s="296"/>
      <c r="AG53" s="297"/>
      <c r="AH53" s="301"/>
      <c r="AI53" s="302"/>
      <c r="AJ53" s="303"/>
      <c r="AK53" s="257"/>
      <c r="AL53" s="290"/>
      <c r="AM53" s="290"/>
      <c r="AN53" s="380"/>
      <c r="AO53" s="380"/>
      <c r="AP53" s="380"/>
      <c r="AQ53" s="380"/>
      <c r="AR53" s="380"/>
      <c r="AS53" s="380"/>
      <c r="AT53" s="380"/>
      <c r="AU53" s="380"/>
      <c r="AV53" s="380"/>
      <c r="AW53" s="380"/>
      <c r="AX53" s="290"/>
      <c r="AY53" s="256" t="s">
        <v>135</v>
      </c>
      <c r="AZ53" s="256" t="s">
        <v>448</v>
      </c>
      <c r="BA53" s="245"/>
      <c r="BB53" s="196"/>
      <c r="BC53" s="196"/>
      <c r="BD53" s="196"/>
      <c r="BE53" s="196"/>
      <c r="BF53" s="196"/>
      <c r="BG53" s="196"/>
      <c r="BH53" s="196"/>
      <c r="BI53" s="246" t="s">
        <v>859</v>
      </c>
      <c r="BJ53" s="280"/>
      <c r="BK53" s="380"/>
      <c r="BL53" s="413"/>
      <c r="BM53" s="413"/>
    </row>
    <row r="54" spans="1:65" s="4" customFormat="1" ht="13.5" customHeight="1" x14ac:dyDescent="0.2">
      <c r="A54" s="196"/>
      <c r="B54" s="307"/>
      <c r="C54" s="308"/>
      <c r="D54" s="308"/>
      <c r="E54" s="308"/>
      <c r="F54" s="309"/>
      <c r="G54" s="313" t="s">
        <v>87</v>
      </c>
      <c r="H54" s="314"/>
      <c r="I54" s="314"/>
      <c r="J54" s="315"/>
      <c r="K54" s="319"/>
      <c r="L54" s="320"/>
      <c r="M54" s="320"/>
      <c r="N54" s="321"/>
      <c r="O54" s="325"/>
      <c r="P54" s="326"/>
      <c r="Q54" s="326"/>
      <c r="R54" s="327"/>
      <c r="S54" s="301"/>
      <c r="T54" s="302"/>
      <c r="U54" s="332"/>
      <c r="V54" s="319"/>
      <c r="W54" s="320"/>
      <c r="X54" s="320"/>
      <c r="Y54" s="321"/>
      <c r="Z54" s="319"/>
      <c r="AA54" s="320"/>
      <c r="AB54" s="320"/>
      <c r="AC54" s="321"/>
      <c r="AD54" s="334"/>
      <c r="AE54" s="335"/>
      <c r="AF54" s="335"/>
      <c r="AG54" s="336"/>
      <c r="AH54" s="301"/>
      <c r="AI54" s="302"/>
      <c r="AJ54" s="303"/>
      <c r="AK54" s="257"/>
      <c r="AL54" s="290"/>
      <c r="AM54" s="290"/>
      <c r="AN54" s="380"/>
      <c r="AO54" s="380"/>
      <c r="AP54" s="380"/>
      <c r="AQ54" s="380"/>
      <c r="AR54" s="380"/>
      <c r="AS54" s="380"/>
      <c r="AT54" s="380"/>
      <c r="AU54" s="380"/>
      <c r="AV54" s="380"/>
      <c r="AW54" s="380"/>
      <c r="AX54" s="290"/>
      <c r="AY54" s="256" t="s">
        <v>136</v>
      </c>
      <c r="AZ54" s="256" t="s">
        <v>449</v>
      </c>
      <c r="BA54" s="245">
        <v>1.9999999999999999E-6</v>
      </c>
      <c r="BB54" s="196"/>
      <c r="BC54" s="196"/>
      <c r="BD54" s="196"/>
      <c r="BE54" s="196"/>
      <c r="BF54" s="196"/>
      <c r="BG54" s="196"/>
      <c r="BH54" s="196"/>
      <c r="BI54" s="280" t="s">
        <v>1231</v>
      </c>
      <c r="BJ54" s="280" t="s">
        <v>1232</v>
      </c>
      <c r="BK54" s="246"/>
      <c r="BL54" s="289"/>
      <c r="BM54" s="289"/>
    </row>
    <row r="55" spans="1:65" s="4" customFormat="1" ht="13.5" customHeight="1" thickBot="1" x14ac:dyDescent="0.25">
      <c r="A55" s="196"/>
      <c r="B55" s="310"/>
      <c r="C55" s="311"/>
      <c r="D55" s="311"/>
      <c r="E55" s="311"/>
      <c r="F55" s="312"/>
      <c r="G55" s="316"/>
      <c r="H55" s="317"/>
      <c r="I55" s="317"/>
      <c r="J55" s="318"/>
      <c r="K55" s="322"/>
      <c r="L55" s="323"/>
      <c r="M55" s="323"/>
      <c r="N55" s="324"/>
      <c r="O55" s="328"/>
      <c r="P55" s="329"/>
      <c r="Q55" s="329"/>
      <c r="R55" s="330"/>
      <c r="S55" s="304"/>
      <c r="T55" s="305"/>
      <c r="U55" s="333"/>
      <c r="V55" s="322"/>
      <c r="W55" s="323"/>
      <c r="X55" s="323"/>
      <c r="Y55" s="324"/>
      <c r="Z55" s="322"/>
      <c r="AA55" s="323"/>
      <c r="AB55" s="323"/>
      <c r="AC55" s="324"/>
      <c r="AD55" s="337"/>
      <c r="AE55" s="338"/>
      <c r="AF55" s="338"/>
      <c r="AG55" s="339"/>
      <c r="AH55" s="304"/>
      <c r="AI55" s="305"/>
      <c r="AJ55" s="306"/>
      <c r="AK55" s="257"/>
      <c r="AL55" s="290"/>
      <c r="AM55" s="290"/>
      <c r="AN55" s="380"/>
      <c r="AO55" s="380"/>
      <c r="AP55" s="380"/>
      <c r="AQ55" s="380"/>
      <c r="AR55" s="380"/>
      <c r="AS55" s="380"/>
      <c r="AT55" s="380"/>
      <c r="AU55" s="380"/>
      <c r="AV55" s="380"/>
      <c r="AW55" s="380"/>
      <c r="AX55" s="290"/>
      <c r="AY55" s="256" t="s">
        <v>137</v>
      </c>
      <c r="AZ55" s="256" t="s">
        <v>450</v>
      </c>
      <c r="BA55" s="245"/>
      <c r="BB55" s="196"/>
      <c r="BC55" s="196"/>
      <c r="BD55" s="196"/>
      <c r="BE55" s="196"/>
      <c r="BF55" s="196"/>
      <c r="BG55" s="196"/>
      <c r="BH55" s="196"/>
      <c r="BI55" s="248"/>
      <c r="BJ55" s="248"/>
      <c r="BK55" s="246"/>
      <c r="BL55" s="289"/>
      <c r="BM55" s="289"/>
    </row>
    <row r="56" spans="1:65" s="4" customFormat="1" ht="13.5" customHeight="1" x14ac:dyDescent="0.2">
      <c r="A56" s="196"/>
      <c r="B56" s="340"/>
      <c r="C56" s="341"/>
      <c r="D56" s="341"/>
      <c r="E56" s="341"/>
      <c r="F56" s="342"/>
      <c r="G56" s="346" t="s">
        <v>86</v>
      </c>
      <c r="H56" s="347"/>
      <c r="I56" s="347"/>
      <c r="J56" s="348"/>
      <c r="K56" s="292"/>
      <c r="L56" s="293"/>
      <c r="M56" s="293"/>
      <c r="N56" s="294"/>
      <c r="O56" s="292"/>
      <c r="P56" s="293"/>
      <c r="Q56" s="293"/>
      <c r="R56" s="294"/>
      <c r="S56" s="298"/>
      <c r="T56" s="299"/>
      <c r="U56" s="331"/>
      <c r="V56" s="292"/>
      <c r="W56" s="293"/>
      <c r="X56" s="293"/>
      <c r="Y56" s="294"/>
      <c r="Z56" s="292"/>
      <c r="AA56" s="293"/>
      <c r="AB56" s="293"/>
      <c r="AC56" s="294"/>
      <c r="AD56" s="292"/>
      <c r="AE56" s="293"/>
      <c r="AF56" s="293"/>
      <c r="AG56" s="294"/>
      <c r="AH56" s="298"/>
      <c r="AI56" s="299"/>
      <c r="AJ56" s="300"/>
      <c r="AK56" s="257"/>
      <c r="AL56" s="290" t="str">
        <f>IF($B56&lt;&gt;"",IF(INDEX($AY$11:$BA$447, MATCH($B56,$AY$11:$AY$447,), MATCH("Ch16DLmg/l",$AY$10:$BA$10,))&lt;&gt;0,INDEX($AY$11:$BA$447, MATCH($B56,$AY$11:$AY$447,), MATCH("Ch16DLmg/l",$AY$10:$BA$10,)),0),"")</f>
        <v/>
      </c>
      <c r="AM56" s="290" t="str">
        <f>IF(OR(AND(BK56&lt;&gt;"",BK56&lt;AL56),AND(BL56&lt;&gt;"",BL56&lt;AL56),AND(BM56&lt;&gt;"",BM56&lt;AL56)),"Y","")</f>
        <v/>
      </c>
      <c r="AN56" s="380">
        <f>IF(ISERR(FIND(".",K56)),0,LEN(MID(K56,FIND(".",K56)+1,15)))</f>
        <v>0</v>
      </c>
      <c r="AO56" s="380">
        <f>IF(ISERR(FIND(".",O56)),0,LEN(MID(O56,FIND(".",O56)+1,15)))</f>
        <v>0</v>
      </c>
      <c r="AP56" s="380">
        <f>IF(ISERR(FIND(".",V56)),0,LEN(MID(V56,FIND(".",V56)+1,15)))</f>
        <v>0</v>
      </c>
      <c r="AQ56" s="380">
        <f>IF(ISERR(FIND(".",Z56)),0,LEN(MID(Z56,FIND(".",Z56)+1,15)))</f>
        <v>0</v>
      </c>
      <c r="AR56" s="380">
        <f>IF(ISERR(FIND(".",AD56)),0,LEN(MID(AD56,FIND(".",AD56)+1,15)))</f>
        <v>0</v>
      </c>
      <c r="AS56" s="380" t="str">
        <f>IF(OR(K56="",K56="Report"),"E","")</f>
        <v>E</v>
      </c>
      <c r="AT56" s="380" t="str">
        <f>IF(OR(O56="",O56="Report"),"E","")</f>
        <v>E</v>
      </c>
      <c r="AU56" s="380" t="str">
        <f>IF(OR(V56="",V56="Report"),"E","")</f>
        <v>E</v>
      </c>
      <c r="AV56" s="380" t="str">
        <f>IF(OR(Z56="",Z56="Report"),"E","")</f>
        <v>E</v>
      </c>
      <c r="AW56" s="380" t="str">
        <f>IF(OR(AD56="",AD56="Report"),"E","")</f>
        <v>E</v>
      </c>
      <c r="AX56" s="290" t="str">
        <f>IF(OR(AND($B56&lt;&gt;"",$AH56&lt;&gt;""),AND($B56&lt;&gt;"",$S56&lt;&gt;"")),INDEX($BI$11:$BJ$54, MATCH('Outfall 1 Daily'!AC$13,$BI$11:$BI$54,), MATCH("Symbol",$BI$10:$BJ$10,)),"")</f>
        <v/>
      </c>
      <c r="AY56" s="256" t="s">
        <v>138</v>
      </c>
      <c r="AZ56" s="256" t="s">
        <v>451</v>
      </c>
      <c r="BA56" s="245"/>
      <c r="BB56" s="196"/>
      <c r="BC56" s="196"/>
      <c r="BD56" s="196"/>
      <c r="BE56" s="196"/>
      <c r="BF56" s="196"/>
      <c r="BG56" s="196"/>
      <c r="BH56" s="196"/>
      <c r="BI56" s="248"/>
      <c r="BJ56" s="248"/>
      <c r="BK56" s="380" t="str">
        <f>IF(AND(V56&lt;&gt;"",V56&lt;&gt;"Report"),VALUE(V56),"")</f>
        <v/>
      </c>
      <c r="BL56" s="413" t="str">
        <f>IF(AND(Z56&lt;&gt;"",Z56&lt;&gt;"Report"),VALUE(Z56),"")</f>
        <v/>
      </c>
      <c r="BM56" s="413" t="str">
        <f>IF(AND(AD56&lt;&gt;"",AD56&lt;&gt;"Report"),VALUE(AD56),"")</f>
        <v/>
      </c>
    </row>
    <row r="57" spans="1:65" s="4" customFormat="1" ht="13.5" customHeight="1" x14ac:dyDescent="0.2">
      <c r="A57" s="196"/>
      <c r="B57" s="343"/>
      <c r="C57" s="344"/>
      <c r="D57" s="344"/>
      <c r="E57" s="344"/>
      <c r="F57" s="345"/>
      <c r="G57" s="349"/>
      <c r="H57" s="350"/>
      <c r="I57" s="350"/>
      <c r="J57" s="351"/>
      <c r="K57" s="295"/>
      <c r="L57" s="296"/>
      <c r="M57" s="296"/>
      <c r="N57" s="297"/>
      <c r="O57" s="295"/>
      <c r="P57" s="296"/>
      <c r="Q57" s="296"/>
      <c r="R57" s="297"/>
      <c r="S57" s="301"/>
      <c r="T57" s="302"/>
      <c r="U57" s="332"/>
      <c r="V57" s="295"/>
      <c r="W57" s="296"/>
      <c r="X57" s="296"/>
      <c r="Y57" s="297"/>
      <c r="Z57" s="295"/>
      <c r="AA57" s="296"/>
      <c r="AB57" s="296"/>
      <c r="AC57" s="297"/>
      <c r="AD57" s="295"/>
      <c r="AE57" s="296"/>
      <c r="AF57" s="296"/>
      <c r="AG57" s="297"/>
      <c r="AH57" s="301"/>
      <c r="AI57" s="302"/>
      <c r="AJ57" s="303"/>
      <c r="AK57" s="257"/>
      <c r="AL57" s="290"/>
      <c r="AM57" s="290"/>
      <c r="AN57" s="380"/>
      <c r="AO57" s="380"/>
      <c r="AP57" s="380"/>
      <c r="AQ57" s="380"/>
      <c r="AR57" s="380"/>
      <c r="AS57" s="380"/>
      <c r="AT57" s="380"/>
      <c r="AU57" s="380"/>
      <c r="AV57" s="380"/>
      <c r="AW57" s="380"/>
      <c r="AX57" s="290"/>
      <c r="AY57" s="256" t="s">
        <v>139</v>
      </c>
      <c r="AZ57" s="256" t="s">
        <v>452</v>
      </c>
      <c r="BA57" s="245">
        <v>5.8E-4</v>
      </c>
      <c r="BB57" s="196"/>
      <c r="BC57" s="196"/>
      <c r="BD57" s="196"/>
      <c r="BE57" s="196"/>
      <c r="BF57" s="196"/>
      <c r="BG57" s="196"/>
      <c r="BH57" s="196"/>
      <c r="BI57" s="248"/>
      <c r="BJ57" s="248"/>
      <c r="BK57" s="380"/>
      <c r="BL57" s="413"/>
      <c r="BM57" s="413"/>
    </row>
    <row r="58" spans="1:65" s="4" customFormat="1" ht="13.5" customHeight="1" x14ac:dyDescent="0.2">
      <c r="A58" s="196"/>
      <c r="B58" s="307"/>
      <c r="C58" s="308"/>
      <c r="D58" s="308"/>
      <c r="E58" s="308"/>
      <c r="F58" s="309"/>
      <c r="G58" s="313" t="s">
        <v>87</v>
      </c>
      <c r="H58" s="314"/>
      <c r="I58" s="314"/>
      <c r="J58" s="315"/>
      <c r="K58" s="319"/>
      <c r="L58" s="320"/>
      <c r="M58" s="320"/>
      <c r="N58" s="321"/>
      <c r="O58" s="325"/>
      <c r="P58" s="326"/>
      <c r="Q58" s="326"/>
      <c r="R58" s="327"/>
      <c r="S58" s="301"/>
      <c r="T58" s="302"/>
      <c r="U58" s="332"/>
      <c r="V58" s="319"/>
      <c r="W58" s="320"/>
      <c r="X58" s="320"/>
      <c r="Y58" s="321"/>
      <c r="Z58" s="319"/>
      <c r="AA58" s="320"/>
      <c r="AB58" s="320"/>
      <c r="AC58" s="321"/>
      <c r="AD58" s="334"/>
      <c r="AE58" s="335"/>
      <c r="AF58" s="335"/>
      <c r="AG58" s="336"/>
      <c r="AH58" s="301"/>
      <c r="AI58" s="302"/>
      <c r="AJ58" s="303"/>
      <c r="AK58" s="257"/>
      <c r="AL58" s="290"/>
      <c r="AM58" s="290"/>
      <c r="AN58" s="380"/>
      <c r="AO58" s="380"/>
      <c r="AP58" s="380"/>
      <c r="AQ58" s="380"/>
      <c r="AR58" s="380"/>
      <c r="AS58" s="380"/>
      <c r="AT58" s="380"/>
      <c r="AU58" s="380"/>
      <c r="AV58" s="380"/>
      <c r="AW58" s="380"/>
      <c r="AX58" s="290"/>
      <c r="AY58" s="256" t="s">
        <v>140</v>
      </c>
      <c r="AZ58" s="256" t="s">
        <v>453</v>
      </c>
      <c r="BA58" s="245">
        <v>3.8999999999999999E-4</v>
      </c>
      <c r="BB58" s="196"/>
      <c r="BC58" s="196"/>
      <c r="BD58" s="196"/>
      <c r="BE58" s="196"/>
      <c r="BF58" s="196"/>
      <c r="BG58" s="196"/>
      <c r="BH58" s="196"/>
      <c r="BI58" s="248"/>
      <c r="BJ58" s="248"/>
      <c r="BK58" s="246"/>
      <c r="BL58" s="289"/>
      <c r="BM58" s="289"/>
    </row>
    <row r="59" spans="1:65" s="4" customFormat="1" ht="13.5" customHeight="1" thickBot="1" x14ac:dyDescent="0.25">
      <c r="A59" s="196"/>
      <c r="B59" s="310"/>
      <c r="C59" s="311"/>
      <c r="D59" s="311"/>
      <c r="E59" s="311"/>
      <c r="F59" s="312"/>
      <c r="G59" s="316"/>
      <c r="H59" s="317"/>
      <c r="I59" s="317"/>
      <c r="J59" s="318"/>
      <c r="K59" s="322"/>
      <c r="L59" s="323"/>
      <c r="M59" s="323"/>
      <c r="N59" s="324"/>
      <c r="O59" s="328"/>
      <c r="P59" s="329"/>
      <c r="Q59" s="329"/>
      <c r="R59" s="330"/>
      <c r="S59" s="304"/>
      <c r="T59" s="305"/>
      <c r="U59" s="333"/>
      <c r="V59" s="322"/>
      <c r="W59" s="323"/>
      <c r="X59" s="323"/>
      <c r="Y59" s="324"/>
      <c r="Z59" s="322"/>
      <c r="AA59" s="323"/>
      <c r="AB59" s="323"/>
      <c r="AC59" s="324"/>
      <c r="AD59" s="337"/>
      <c r="AE59" s="338"/>
      <c r="AF59" s="338"/>
      <c r="AG59" s="339"/>
      <c r="AH59" s="304"/>
      <c r="AI59" s="305"/>
      <c r="AJ59" s="306"/>
      <c r="AK59" s="257"/>
      <c r="AL59" s="290"/>
      <c r="AM59" s="290"/>
      <c r="AN59" s="380"/>
      <c r="AO59" s="380"/>
      <c r="AP59" s="380"/>
      <c r="AQ59" s="380"/>
      <c r="AR59" s="380"/>
      <c r="AS59" s="380"/>
      <c r="AT59" s="380"/>
      <c r="AU59" s="380"/>
      <c r="AV59" s="380"/>
      <c r="AW59" s="380"/>
      <c r="AX59" s="290"/>
      <c r="AY59" s="256" t="s">
        <v>141</v>
      </c>
      <c r="AZ59" s="256" t="s">
        <v>454</v>
      </c>
      <c r="BA59" s="245"/>
      <c r="BB59" s="196"/>
      <c r="BC59" s="196"/>
      <c r="BD59" s="196"/>
      <c r="BE59" s="196"/>
      <c r="BF59" s="196"/>
      <c r="BG59" s="196"/>
      <c r="BH59" s="196"/>
      <c r="BI59" s="248"/>
      <c r="BJ59" s="248"/>
      <c r="BK59" s="246"/>
      <c r="BL59" s="289"/>
      <c r="BM59" s="289"/>
    </row>
    <row r="60" spans="1:65" s="4" customFormat="1" ht="13.5" customHeight="1" x14ac:dyDescent="0.2">
      <c r="A60" s="196"/>
      <c r="B60" s="340"/>
      <c r="C60" s="341"/>
      <c r="D60" s="341"/>
      <c r="E60" s="341"/>
      <c r="F60" s="342"/>
      <c r="G60" s="346" t="s">
        <v>86</v>
      </c>
      <c r="H60" s="347"/>
      <c r="I60" s="347"/>
      <c r="J60" s="348"/>
      <c r="K60" s="292"/>
      <c r="L60" s="293"/>
      <c r="M60" s="293"/>
      <c r="N60" s="294"/>
      <c r="O60" s="292"/>
      <c r="P60" s="293"/>
      <c r="Q60" s="293"/>
      <c r="R60" s="294"/>
      <c r="S60" s="298"/>
      <c r="T60" s="299"/>
      <c r="U60" s="331"/>
      <c r="V60" s="292"/>
      <c r="W60" s="293"/>
      <c r="X60" s="293"/>
      <c r="Y60" s="294"/>
      <c r="Z60" s="292"/>
      <c r="AA60" s="293"/>
      <c r="AB60" s="293"/>
      <c r="AC60" s="294"/>
      <c r="AD60" s="292"/>
      <c r="AE60" s="293"/>
      <c r="AF60" s="293"/>
      <c r="AG60" s="294"/>
      <c r="AH60" s="298"/>
      <c r="AI60" s="299"/>
      <c r="AJ60" s="300"/>
      <c r="AK60" s="257"/>
      <c r="AL60" s="290" t="str">
        <f>IF($B60&lt;&gt;"",IF(INDEX($AY$11:$BA$447, MATCH($B60,$AY$11:$AY$447,), MATCH("Ch16DLmg/l",$AY$10:$BA$10,))&lt;&gt;0,INDEX($AY$11:$BA$447, MATCH($B60,$AY$11:$AY$447,), MATCH("Ch16DLmg/l",$AY$10:$BA$10,)),0),"")</f>
        <v/>
      </c>
      <c r="AM60" s="290" t="str">
        <f>IF(OR(AND(BK60&lt;&gt;"",BK60&lt;AL60),AND(BL60&lt;&gt;"",BL60&lt;AL60),AND(BM60&lt;&gt;"",BM60&lt;AL60)),"Y","")</f>
        <v/>
      </c>
      <c r="AN60" s="380">
        <f>IF(ISERR(FIND(".",K60)),0,LEN(MID(K60,FIND(".",K60)+1,15)))</f>
        <v>0</v>
      </c>
      <c r="AO60" s="380">
        <f>IF(ISERR(FIND(".",O60)),0,LEN(MID(O60,FIND(".",O60)+1,15)))</f>
        <v>0</v>
      </c>
      <c r="AP60" s="380">
        <f>IF(ISERR(FIND(".",V60)),0,LEN(MID(V60,FIND(".",V60)+1,15)))</f>
        <v>0</v>
      </c>
      <c r="AQ60" s="380">
        <f>IF(ISERR(FIND(".",Z60)),0,LEN(MID(Z60,FIND(".",Z60)+1,15)))</f>
        <v>0</v>
      </c>
      <c r="AR60" s="380">
        <f>IF(ISERR(FIND(".",AD60)),0,LEN(MID(AD60,FIND(".",AD60)+1,15)))</f>
        <v>0</v>
      </c>
      <c r="AS60" s="380" t="str">
        <f>IF(OR(K60="",K60="Report"),"E","")</f>
        <v>E</v>
      </c>
      <c r="AT60" s="380" t="str">
        <f>IF(OR(O60="",O60="Report"),"E","")</f>
        <v>E</v>
      </c>
      <c r="AU60" s="380" t="str">
        <f>IF(OR(V60="",V60="Report"),"E","")</f>
        <v>E</v>
      </c>
      <c r="AV60" s="380" t="str">
        <f>IF(OR(Z60="",Z60="Report"),"E","")</f>
        <v>E</v>
      </c>
      <c r="AW60" s="380" t="str">
        <f>IF(OR(AD60="",AD60="Report"),"E","")</f>
        <v>E</v>
      </c>
      <c r="AX60" s="290" t="str">
        <f>IF(OR(AND($B60&lt;&gt;"",$AH60&lt;&gt;""),AND($B60&lt;&gt;"",$S60&lt;&gt;"")),INDEX($BI$11:$BJ$54, MATCH('Outfall 1 Daily'!AE$13,$BI$11:$BI$54,), MATCH("Symbol",$BI$10:$BJ$10,)),"")</f>
        <v/>
      </c>
      <c r="AY60" s="256" t="s">
        <v>142</v>
      </c>
      <c r="AZ60" s="256" t="s">
        <v>455</v>
      </c>
      <c r="BA60" s="245">
        <v>3.2000000000000003E-4</v>
      </c>
      <c r="BB60" s="196"/>
      <c r="BC60" s="196"/>
      <c r="BD60" s="196"/>
      <c r="BE60" s="196"/>
      <c r="BF60" s="196"/>
      <c r="BG60" s="196"/>
      <c r="BH60" s="196"/>
      <c r="BI60" s="248"/>
      <c r="BJ60" s="248"/>
      <c r="BK60" s="380" t="str">
        <f>IF(AND(V60&lt;&gt;"",V60&lt;&gt;"Report"),VALUE(V60),"")</f>
        <v/>
      </c>
      <c r="BL60" s="413" t="str">
        <f>IF(AND(Z60&lt;&gt;"",Z60&lt;&gt;"Report"),VALUE(Z60),"")</f>
        <v/>
      </c>
      <c r="BM60" s="413" t="str">
        <f>IF(AND(AD60&lt;&gt;"",AD60&lt;&gt;"Report"),VALUE(AD60),"")</f>
        <v/>
      </c>
    </row>
    <row r="61" spans="1:65" s="4" customFormat="1" ht="13.5" customHeight="1" x14ac:dyDescent="0.2">
      <c r="A61" s="196"/>
      <c r="B61" s="343"/>
      <c r="C61" s="344"/>
      <c r="D61" s="344"/>
      <c r="E61" s="344"/>
      <c r="F61" s="345"/>
      <c r="G61" s="349"/>
      <c r="H61" s="350"/>
      <c r="I61" s="350"/>
      <c r="J61" s="351"/>
      <c r="K61" s="295"/>
      <c r="L61" s="296"/>
      <c r="M61" s="296"/>
      <c r="N61" s="297"/>
      <c r="O61" s="295"/>
      <c r="P61" s="296"/>
      <c r="Q61" s="296"/>
      <c r="R61" s="297"/>
      <c r="S61" s="301"/>
      <c r="T61" s="302"/>
      <c r="U61" s="332"/>
      <c r="V61" s="295"/>
      <c r="W61" s="296"/>
      <c r="X61" s="296"/>
      <c r="Y61" s="297"/>
      <c r="Z61" s="295"/>
      <c r="AA61" s="296"/>
      <c r="AB61" s="296"/>
      <c r="AC61" s="297"/>
      <c r="AD61" s="295"/>
      <c r="AE61" s="296"/>
      <c r="AF61" s="296"/>
      <c r="AG61" s="297"/>
      <c r="AH61" s="301"/>
      <c r="AI61" s="302"/>
      <c r="AJ61" s="303"/>
      <c r="AK61" s="257"/>
      <c r="AL61" s="290"/>
      <c r="AM61" s="290"/>
      <c r="AN61" s="380"/>
      <c r="AO61" s="380"/>
      <c r="AP61" s="380"/>
      <c r="AQ61" s="380"/>
      <c r="AR61" s="380"/>
      <c r="AS61" s="380"/>
      <c r="AT61" s="380"/>
      <c r="AU61" s="380"/>
      <c r="AV61" s="380"/>
      <c r="AW61" s="380"/>
      <c r="AX61" s="290"/>
      <c r="AY61" s="256" t="s">
        <v>143</v>
      </c>
      <c r="AZ61" s="256" t="s">
        <v>456</v>
      </c>
      <c r="BA61" s="245">
        <v>1.2999999999999999E-2</v>
      </c>
      <c r="BB61" s="196"/>
      <c r="BC61" s="196"/>
      <c r="BD61" s="196"/>
      <c r="BE61" s="196"/>
      <c r="BF61" s="196"/>
      <c r="BG61" s="196"/>
      <c r="BH61" s="196"/>
      <c r="BI61" s="248"/>
      <c r="BJ61" s="248"/>
      <c r="BK61" s="380"/>
      <c r="BL61" s="413"/>
      <c r="BM61" s="413"/>
    </row>
    <row r="62" spans="1:65" s="4" customFormat="1" ht="13.5" customHeight="1" x14ac:dyDescent="0.2">
      <c r="A62" s="196"/>
      <c r="B62" s="307"/>
      <c r="C62" s="308"/>
      <c r="D62" s="308"/>
      <c r="E62" s="308"/>
      <c r="F62" s="309"/>
      <c r="G62" s="313" t="s">
        <v>87</v>
      </c>
      <c r="H62" s="314"/>
      <c r="I62" s="314"/>
      <c r="J62" s="315"/>
      <c r="K62" s="319"/>
      <c r="L62" s="320"/>
      <c r="M62" s="320"/>
      <c r="N62" s="321"/>
      <c r="O62" s="325"/>
      <c r="P62" s="326"/>
      <c r="Q62" s="326"/>
      <c r="R62" s="327"/>
      <c r="S62" s="301"/>
      <c r="T62" s="302"/>
      <c r="U62" s="332"/>
      <c r="V62" s="319"/>
      <c r="W62" s="320"/>
      <c r="X62" s="320"/>
      <c r="Y62" s="321"/>
      <c r="Z62" s="319"/>
      <c r="AA62" s="320"/>
      <c r="AB62" s="320"/>
      <c r="AC62" s="321"/>
      <c r="AD62" s="334"/>
      <c r="AE62" s="335"/>
      <c r="AF62" s="335"/>
      <c r="AG62" s="336"/>
      <c r="AH62" s="301"/>
      <c r="AI62" s="302"/>
      <c r="AJ62" s="303"/>
      <c r="AK62" s="257"/>
      <c r="AL62" s="290"/>
      <c r="AM62" s="290"/>
      <c r="AN62" s="380"/>
      <c r="AO62" s="380"/>
      <c r="AP62" s="380"/>
      <c r="AQ62" s="380"/>
      <c r="AR62" s="380"/>
      <c r="AS62" s="380"/>
      <c r="AT62" s="380"/>
      <c r="AU62" s="380"/>
      <c r="AV62" s="380"/>
      <c r="AW62" s="380"/>
      <c r="AX62" s="290"/>
      <c r="AY62" s="256" t="s">
        <v>144</v>
      </c>
      <c r="AZ62" s="256" t="s">
        <v>457</v>
      </c>
      <c r="BA62" s="245">
        <v>2.0000000000000002E-5</v>
      </c>
      <c r="BB62" s="196"/>
      <c r="BC62" s="196"/>
      <c r="BD62" s="196"/>
      <c r="BE62" s="196"/>
      <c r="BF62" s="196"/>
      <c r="BG62" s="196"/>
      <c r="BH62" s="196"/>
      <c r="BI62" s="248"/>
      <c r="BJ62" s="248"/>
      <c r="BK62" s="246"/>
      <c r="BL62" s="289"/>
      <c r="BM62" s="289"/>
    </row>
    <row r="63" spans="1:65" s="4" customFormat="1" ht="13.5" customHeight="1" thickBot="1" x14ac:dyDescent="0.25">
      <c r="A63" s="196"/>
      <c r="B63" s="310"/>
      <c r="C63" s="311"/>
      <c r="D63" s="311"/>
      <c r="E63" s="311"/>
      <c r="F63" s="312"/>
      <c r="G63" s="316"/>
      <c r="H63" s="317"/>
      <c r="I63" s="317"/>
      <c r="J63" s="318"/>
      <c r="K63" s="322"/>
      <c r="L63" s="323"/>
      <c r="M63" s="323"/>
      <c r="N63" s="324"/>
      <c r="O63" s="328"/>
      <c r="P63" s="329"/>
      <c r="Q63" s="329"/>
      <c r="R63" s="330"/>
      <c r="S63" s="304"/>
      <c r="T63" s="305"/>
      <c r="U63" s="333"/>
      <c r="V63" s="322"/>
      <c r="W63" s="323"/>
      <c r="X63" s="323"/>
      <c r="Y63" s="324"/>
      <c r="Z63" s="322"/>
      <c r="AA63" s="323"/>
      <c r="AB63" s="323"/>
      <c r="AC63" s="324"/>
      <c r="AD63" s="337"/>
      <c r="AE63" s="338"/>
      <c r="AF63" s="338"/>
      <c r="AG63" s="339"/>
      <c r="AH63" s="304"/>
      <c r="AI63" s="305"/>
      <c r="AJ63" s="306"/>
      <c r="AK63" s="257"/>
      <c r="AL63" s="290"/>
      <c r="AM63" s="290"/>
      <c r="AN63" s="380"/>
      <c r="AO63" s="380"/>
      <c r="AP63" s="380"/>
      <c r="AQ63" s="380"/>
      <c r="AR63" s="380"/>
      <c r="AS63" s="380"/>
      <c r="AT63" s="380"/>
      <c r="AU63" s="380"/>
      <c r="AV63" s="380"/>
      <c r="AW63" s="380"/>
      <c r="AX63" s="290"/>
      <c r="AY63" s="256" t="s">
        <v>145</v>
      </c>
      <c r="AZ63" s="256" t="s">
        <v>458</v>
      </c>
      <c r="BA63" s="245">
        <v>1.0000000000000001E-5</v>
      </c>
      <c r="BB63" s="196"/>
      <c r="BC63" s="196"/>
      <c r="BD63" s="196"/>
      <c r="BE63" s="196"/>
      <c r="BF63" s="196"/>
      <c r="BG63" s="196"/>
      <c r="BH63" s="196"/>
      <c r="BI63" s="248"/>
      <c r="BJ63" s="248"/>
      <c r="BK63" s="246"/>
      <c r="BL63" s="289"/>
      <c r="BM63" s="289"/>
    </row>
    <row r="64" spans="1:65" s="4" customFormat="1" ht="13.5" customHeight="1" x14ac:dyDescent="0.2">
      <c r="A64" s="196"/>
      <c r="B64" s="340"/>
      <c r="C64" s="341"/>
      <c r="D64" s="341"/>
      <c r="E64" s="341"/>
      <c r="F64" s="342"/>
      <c r="G64" s="346" t="s">
        <v>86</v>
      </c>
      <c r="H64" s="347"/>
      <c r="I64" s="347"/>
      <c r="J64" s="348"/>
      <c r="K64" s="292"/>
      <c r="L64" s="293"/>
      <c r="M64" s="293"/>
      <c r="N64" s="294"/>
      <c r="O64" s="292"/>
      <c r="P64" s="293"/>
      <c r="Q64" s="293"/>
      <c r="R64" s="294"/>
      <c r="S64" s="298"/>
      <c r="T64" s="299"/>
      <c r="U64" s="331"/>
      <c r="V64" s="292"/>
      <c r="W64" s="293"/>
      <c r="X64" s="293"/>
      <c r="Y64" s="294"/>
      <c r="Z64" s="292"/>
      <c r="AA64" s="293"/>
      <c r="AB64" s="293"/>
      <c r="AC64" s="294"/>
      <c r="AD64" s="292"/>
      <c r="AE64" s="293"/>
      <c r="AF64" s="293"/>
      <c r="AG64" s="294"/>
      <c r="AH64" s="298"/>
      <c r="AI64" s="299"/>
      <c r="AJ64" s="300"/>
      <c r="AK64" s="257"/>
      <c r="AL64" s="290" t="str">
        <f>IF($B64&lt;&gt;"",IF(INDEX($AY$11:$BA$447, MATCH($B64,$AY$11:$AY$447,), MATCH("Ch16DLmg/l",$AY$10:$BA$10,))&lt;&gt;0,INDEX($AY$11:$BA$447, MATCH($B64,$AY$11:$AY$447,), MATCH("Ch16DLmg/l",$AY$10:$BA$10,)),0),"")</f>
        <v/>
      </c>
      <c r="AM64" s="290" t="str">
        <f>IF(OR(AND(BK64&lt;&gt;"",BK64&lt;AL64),AND(BL64&lt;&gt;"",BL64&lt;AL64),AND(BM64&lt;&gt;"",BM64&lt;AL64)),"Y","")</f>
        <v/>
      </c>
      <c r="AN64" s="380">
        <f>IF(ISERR(FIND(".",K64)),0,LEN(MID(K64,FIND(".",K64)+1,15)))</f>
        <v>0</v>
      </c>
      <c r="AO64" s="380">
        <f>IF(ISERR(FIND(".",O64)),0,LEN(MID(O64,FIND(".",O64)+1,15)))</f>
        <v>0</v>
      </c>
      <c r="AP64" s="380">
        <f>IF(ISERR(FIND(".",V64)),0,LEN(MID(V64,FIND(".",V64)+1,15)))</f>
        <v>0</v>
      </c>
      <c r="AQ64" s="380">
        <f>IF(ISERR(FIND(".",Z64)),0,LEN(MID(Z64,FIND(".",Z64)+1,15)))</f>
        <v>0</v>
      </c>
      <c r="AR64" s="380">
        <f>IF(ISERR(FIND(".",AD64)),0,LEN(MID(AD64,FIND(".",AD64)+1,15)))</f>
        <v>0</v>
      </c>
      <c r="AS64" s="380" t="str">
        <f>IF(OR(K64="",K64="Report"),"E","")</f>
        <v>E</v>
      </c>
      <c r="AT64" s="380" t="str">
        <f>IF(OR(O64="",O64="Report"),"E","")</f>
        <v>E</v>
      </c>
      <c r="AU64" s="380" t="str">
        <f>IF(OR(V64="",V64="Report"),"E","")</f>
        <v>E</v>
      </c>
      <c r="AV64" s="380" t="str">
        <f>IF(OR(Z64="",Z64="Report"),"E","")</f>
        <v>E</v>
      </c>
      <c r="AW64" s="380" t="str">
        <f>IF(OR(AD64="",AD64="Report"),"E","")</f>
        <v>E</v>
      </c>
      <c r="AX64" s="290" t="str">
        <f>IF(OR(AND($B64&lt;&gt;"",$AH64&lt;&gt;""),AND($B64&lt;&gt;"",$S64&lt;&gt;"")),INDEX($BI$11:$BJ$54, MATCH('Outfall 1 Daily'!AG$13,$BI$11:$BI$54,), MATCH("Symbol",$BI$10:$BJ$10,)),"")</f>
        <v/>
      </c>
      <c r="AY64" s="256" t="s">
        <v>146</v>
      </c>
      <c r="AZ64" s="256" t="s">
        <v>459</v>
      </c>
      <c r="BA64" s="245"/>
      <c r="BB64" s="196"/>
      <c r="BC64" s="196"/>
      <c r="BD64" s="196"/>
      <c r="BE64" s="196"/>
      <c r="BF64" s="196"/>
      <c r="BG64" s="196"/>
      <c r="BH64" s="196"/>
      <c r="BI64" s="248"/>
      <c r="BJ64" s="248"/>
      <c r="BK64" s="380" t="str">
        <f>IF(AND(V64&lt;&gt;"",V64&lt;&gt;"Report"),VALUE(V64),"")</f>
        <v/>
      </c>
      <c r="BL64" s="413" t="str">
        <f>IF(AND(Z64&lt;&gt;"",Z64&lt;&gt;"Report"),VALUE(Z64),"")</f>
        <v/>
      </c>
      <c r="BM64" s="413" t="str">
        <f>IF(AND(AD64&lt;&gt;"",AD64&lt;&gt;"Report"),VALUE(AD64),"")</f>
        <v/>
      </c>
    </row>
    <row r="65" spans="1:65" s="4" customFormat="1" ht="13.5" customHeight="1" x14ac:dyDescent="0.2">
      <c r="A65" s="196"/>
      <c r="B65" s="343"/>
      <c r="C65" s="344"/>
      <c r="D65" s="344"/>
      <c r="E65" s="344"/>
      <c r="F65" s="345"/>
      <c r="G65" s="349"/>
      <c r="H65" s="350"/>
      <c r="I65" s="350"/>
      <c r="J65" s="351"/>
      <c r="K65" s="295"/>
      <c r="L65" s="296"/>
      <c r="M65" s="296"/>
      <c r="N65" s="297"/>
      <c r="O65" s="295"/>
      <c r="P65" s="296"/>
      <c r="Q65" s="296"/>
      <c r="R65" s="297"/>
      <c r="S65" s="301"/>
      <c r="T65" s="302"/>
      <c r="U65" s="332"/>
      <c r="V65" s="295"/>
      <c r="W65" s="296"/>
      <c r="X65" s="296"/>
      <c r="Y65" s="297"/>
      <c r="Z65" s="295"/>
      <c r="AA65" s="296"/>
      <c r="AB65" s="296"/>
      <c r="AC65" s="297"/>
      <c r="AD65" s="295"/>
      <c r="AE65" s="296"/>
      <c r="AF65" s="296"/>
      <c r="AG65" s="297"/>
      <c r="AH65" s="301"/>
      <c r="AI65" s="302"/>
      <c r="AJ65" s="303"/>
      <c r="AK65" s="257"/>
      <c r="AL65" s="290"/>
      <c r="AM65" s="290"/>
      <c r="AN65" s="380"/>
      <c r="AO65" s="380"/>
      <c r="AP65" s="380"/>
      <c r="AQ65" s="380"/>
      <c r="AR65" s="380"/>
      <c r="AS65" s="380"/>
      <c r="AT65" s="380"/>
      <c r="AU65" s="380"/>
      <c r="AV65" s="380"/>
      <c r="AW65" s="380"/>
      <c r="AX65" s="290"/>
      <c r="AY65" s="256" t="s">
        <v>147</v>
      </c>
      <c r="AZ65" s="256" t="s">
        <v>460</v>
      </c>
      <c r="BA65" s="245"/>
      <c r="BB65" s="196"/>
      <c r="BC65" s="196"/>
      <c r="BD65" s="196"/>
      <c r="BE65" s="196"/>
      <c r="BF65" s="196"/>
      <c r="BG65" s="196"/>
      <c r="BH65" s="196"/>
      <c r="BI65" s="248"/>
      <c r="BJ65" s="248"/>
      <c r="BK65" s="380"/>
      <c r="BL65" s="413"/>
      <c r="BM65" s="413"/>
    </row>
    <row r="66" spans="1:65" s="4" customFormat="1" ht="13.5" customHeight="1" x14ac:dyDescent="0.2">
      <c r="A66" s="196"/>
      <c r="B66" s="307"/>
      <c r="C66" s="308"/>
      <c r="D66" s="308"/>
      <c r="E66" s="308"/>
      <c r="F66" s="309"/>
      <c r="G66" s="313" t="s">
        <v>87</v>
      </c>
      <c r="H66" s="314"/>
      <c r="I66" s="314"/>
      <c r="J66" s="315"/>
      <c r="K66" s="319"/>
      <c r="L66" s="320"/>
      <c r="M66" s="320"/>
      <c r="N66" s="321"/>
      <c r="O66" s="325"/>
      <c r="P66" s="326"/>
      <c r="Q66" s="326"/>
      <c r="R66" s="327"/>
      <c r="S66" s="301"/>
      <c r="T66" s="302"/>
      <c r="U66" s="332"/>
      <c r="V66" s="319"/>
      <c r="W66" s="320"/>
      <c r="X66" s="320"/>
      <c r="Y66" s="321"/>
      <c r="Z66" s="319"/>
      <c r="AA66" s="320"/>
      <c r="AB66" s="320"/>
      <c r="AC66" s="321"/>
      <c r="AD66" s="334"/>
      <c r="AE66" s="335"/>
      <c r="AF66" s="335"/>
      <c r="AG66" s="336"/>
      <c r="AH66" s="301"/>
      <c r="AI66" s="302"/>
      <c r="AJ66" s="303"/>
      <c r="AK66" s="257"/>
      <c r="AL66" s="290"/>
      <c r="AM66" s="290"/>
      <c r="AN66" s="380"/>
      <c r="AO66" s="380"/>
      <c r="AP66" s="380"/>
      <c r="AQ66" s="380"/>
      <c r="AR66" s="380"/>
      <c r="AS66" s="380"/>
      <c r="AT66" s="380"/>
      <c r="AU66" s="380"/>
      <c r="AV66" s="380"/>
      <c r="AW66" s="380"/>
      <c r="AX66" s="290"/>
      <c r="AY66" s="256" t="s">
        <v>148</v>
      </c>
      <c r="AZ66" s="256" t="s">
        <v>461</v>
      </c>
      <c r="BA66" s="245">
        <v>1.2999999999999999E-4</v>
      </c>
      <c r="BB66" s="196"/>
      <c r="BC66" s="196"/>
      <c r="BD66" s="196"/>
      <c r="BE66" s="196"/>
      <c r="BF66" s="196"/>
      <c r="BG66" s="196"/>
      <c r="BH66" s="196"/>
      <c r="BI66" s="248"/>
      <c r="BJ66" s="248"/>
      <c r="BK66" s="246"/>
      <c r="BL66" s="289"/>
      <c r="BM66" s="289"/>
    </row>
    <row r="67" spans="1:65" s="4" customFormat="1" ht="13.5" customHeight="1" thickBot="1" x14ac:dyDescent="0.25">
      <c r="A67" s="196"/>
      <c r="B67" s="310"/>
      <c r="C67" s="311"/>
      <c r="D67" s="311"/>
      <c r="E67" s="311"/>
      <c r="F67" s="312"/>
      <c r="G67" s="316"/>
      <c r="H67" s="317"/>
      <c r="I67" s="317"/>
      <c r="J67" s="318"/>
      <c r="K67" s="322"/>
      <c r="L67" s="323"/>
      <c r="M67" s="323"/>
      <c r="N67" s="324"/>
      <c r="O67" s="328"/>
      <c r="P67" s="329"/>
      <c r="Q67" s="329"/>
      <c r="R67" s="330"/>
      <c r="S67" s="304"/>
      <c r="T67" s="305"/>
      <c r="U67" s="333"/>
      <c r="V67" s="322"/>
      <c r="W67" s="323"/>
      <c r="X67" s="323"/>
      <c r="Y67" s="324"/>
      <c r="Z67" s="322"/>
      <c r="AA67" s="323"/>
      <c r="AB67" s="323"/>
      <c r="AC67" s="324"/>
      <c r="AD67" s="337"/>
      <c r="AE67" s="338"/>
      <c r="AF67" s="338"/>
      <c r="AG67" s="339"/>
      <c r="AH67" s="304"/>
      <c r="AI67" s="305"/>
      <c r="AJ67" s="306"/>
      <c r="AK67" s="257"/>
      <c r="AL67" s="290"/>
      <c r="AM67" s="290"/>
      <c r="AN67" s="380"/>
      <c r="AO67" s="380"/>
      <c r="AP67" s="380"/>
      <c r="AQ67" s="380"/>
      <c r="AR67" s="380"/>
      <c r="AS67" s="380"/>
      <c r="AT67" s="380"/>
      <c r="AU67" s="380"/>
      <c r="AV67" s="380"/>
      <c r="AW67" s="380"/>
      <c r="AX67" s="290"/>
      <c r="AY67" s="256" t="s">
        <v>149</v>
      </c>
      <c r="AZ67" s="256" t="s">
        <v>462</v>
      </c>
      <c r="BA67" s="245">
        <v>9.3999999999999997E-4</v>
      </c>
      <c r="BB67" s="196"/>
      <c r="BC67" s="196"/>
      <c r="BD67" s="196"/>
      <c r="BE67" s="196"/>
      <c r="BF67" s="196"/>
      <c r="BG67" s="196"/>
      <c r="BH67" s="196"/>
      <c r="BI67" s="248"/>
      <c r="BJ67" s="248"/>
      <c r="BK67" s="246"/>
      <c r="BL67" s="289"/>
      <c r="BM67" s="289"/>
    </row>
    <row r="68" spans="1:65" s="4" customFormat="1" ht="13.5" customHeight="1" x14ac:dyDescent="0.2">
      <c r="A68" s="196"/>
      <c r="B68" s="340"/>
      <c r="C68" s="341"/>
      <c r="D68" s="341"/>
      <c r="E68" s="341"/>
      <c r="F68" s="342"/>
      <c r="G68" s="346" t="s">
        <v>86</v>
      </c>
      <c r="H68" s="347"/>
      <c r="I68" s="347"/>
      <c r="J68" s="348"/>
      <c r="K68" s="292"/>
      <c r="L68" s="293"/>
      <c r="M68" s="293"/>
      <c r="N68" s="294"/>
      <c r="O68" s="292"/>
      <c r="P68" s="293"/>
      <c r="Q68" s="293"/>
      <c r="R68" s="294"/>
      <c r="S68" s="298"/>
      <c r="T68" s="299"/>
      <c r="U68" s="331"/>
      <c r="V68" s="292"/>
      <c r="W68" s="293"/>
      <c r="X68" s="293"/>
      <c r="Y68" s="294"/>
      <c r="Z68" s="292"/>
      <c r="AA68" s="293"/>
      <c r="AB68" s="293"/>
      <c r="AC68" s="294"/>
      <c r="AD68" s="292"/>
      <c r="AE68" s="293"/>
      <c r="AF68" s="293"/>
      <c r="AG68" s="294"/>
      <c r="AH68" s="298"/>
      <c r="AI68" s="299"/>
      <c r="AJ68" s="300"/>
      <c r="AK68" s="257"/>
      <c r="AL68" s="290" t="str">
        <f>IF($B68&lt;&gt;"",IF(INDEX($AY$11:$BA$447, MATCH($B68,$AY$11:$AY$447,), MATCH("Ch16DLmg/l",$AY$10:$BA$10,))&lt;&gt;0,INDEX($AY$11:$BA$447, MATCH($B68,$AY$11:$AY$447,), MATCH("Ch16DLmg/l",$AY$10:$BA$10,)),0),"")</f>
        <v/>
      </c>
      <c r="AM68" s="290" t="str">
        <f>IF(OR(AND(BK68&lt;&gt;"",BK68&lt;AL68),AND(BL68&lt;&gt;"",BL68&lt;AL68),AND(BM68&lt;&gt;"",BM68&lt;AL68)),"Y","")</f>
        <v/>
      </c>
      <c r="AN68" s="380">
        <f>IF(ISERR(FIND(".",K68)),0,LEN(MID(K68,FIND(".",K68)+1,15)))</f>
        <v>0</v>
      </c>
      <c r="AO68" s="380">
        <f>IF(ISERR(FIND(".",O68)),0,LEN(MID(O68,FIND(".",O68)+1,15)))</f>
        <v>0</v>
      </c>
      <c r="AP68" s="380">
        <f>IF(ISERR(FIND(".",V68)),0,LEN(MID(V68,FIND(".",V68)+1,15)))</f>
        <v>0</v>
      </c>
      <c r="AQ68" s="380">
        <f>IF(ISERR(FIND(".",Z68)),0,LEN(MID(Z68,FIND(".",Z68)+1,15)))</f>
        <v>0</v>
      </c>
      <c r="AR68" s="380">
        <f>IF(ISERR(FIND(".",AD68)),0,LEN(MID(AD68,FIND(".",AD68)+1,15)))</f>
        <v>0</v>
      </c>
      <c r="AS68" s="380" t="str">
        <f>IF(OR(K68="",K68="Report"),"E","")</f>
        <v>E</v>
      </c>
      <c r="AT68" s="380" t="str">
        <f>IF(OR(O68="",O68="Report"),"E","")</f>
        <v>E</v>
      </c>
      <c r="AU68" s="380" t="str">
        <f>IF(OR(V68="",V68="Report"),"E","")</f>
        <v>E</v>
      </c>
      <c r="AV68" s="380" t="str">
        <f>IF(OR(Z68="",Z68="Report"),"E","")</f>
        <v>E</v>
      </c>
      <c r="AW68" s="380" t="str">
        <f>IF(OR(AD68="",AD68="Report"),"E","")</f>
        <v>E</v>
      </c>
      <c r="AX68" s="290" t="str">
        <f>IF(OR(AND($B68&lt;&gt;"",$AH68&lt;&gt;""),AND($B68&lt;&gt;"",$S68&lt;&gt;"")),INDEX($BI$11:$BJ$54, MATCH('Outfall 1 Daily'!AI$13,$BI$11:$BI$54,), MATCH("Symbol",$BI$10:$BJ$10,)),"")</f>
        <v/>
      </c>
      <c r="AY68" s="256" t="s">
        <v>150</v>
      </c>
      <c r="AZ68" s="256" t="s">
        <v>463</v>
      </c>
      <c r="BA68" s="245">
        <v>3.1E-4</v>
      </c>
      <c r="BB68" s="196"/>
      <c r="BC68" s="196"/>
      <c r="BD68" s="196"/>
      <c r="BE68" s="196"/>
      <c r="BF68" s="196"/>
      <c r="BG68" s="196"/>
      <c r="BH68" s="196"/>
      <c r="BI68" s="248"/>
      <c r="BJ68" s="248"/>
      <c r="BK68" s="380" t="str">
        <f>IF(AND(V68&lt;&gt;"",V68&lt;&gt;"Report"),VALUE(V68),"")</f>
        <v/>
      </c>
      <c r="BL68" s="413" t="str">
        <f>IF(AND(Z68&lt;&gt;"",Z68&lt;&gt;"Report"),VALUE(Z68),"")</f>
        <v/>
      </c>
      <c r="BM68" s="413" t="str">
        <f>IF(AND(AD68&lt;&gt;"",AD68&lt;&gt;"Report"),VALUE(AD68),"")</f>
        <v/>
      </c>
    </row>
    <row r="69" spans="1:65" s="4" customFormat="1" ht="13.5" customHeight="1" x14ac:dyDescent="0.2">
      <c r="A69" s="196"/>
      <c r="B69" s="343"/>
      <c r="C69" s="344"/>
      <c r="D69" s="344"/>
      <c r="E69" s="344"/>
      <c r="F69" s="345"/>
      <c r="G69" s="349"/>
      <c r="H69" s="350"/>
      <c r="I69" s="350"/>
      <c r="J69" s="351"/>
      <c r="K69" s="295"/>
      <c r="L69" s="296"/>
      <c r="M69" s="296"/>
      <c r="N69" s="297"/>
      <c r="O69" s="295"/>
      <c r="P69" s="296"/>
      <c r="Q69" s="296"/>
      <c r="R69" s="297"/>
      <c r="S69" s="301"/>
      <c r="T69" s="302"/>
      <c r="U69" s="332"/>
      <c r="V69" s="295"/>
      <c r="W69" s="296"/>
      <c r="X69" s="296"/>
      <c r="Y69" s="297"/>
      <c r="Z69" s="295"/>
      <c r="AA69" s="296"/>
      <c r="AB69" s="296"/>
      <c r="AC69" s="297"/>
      <c r="AD69" s="295"/>
      <c r="AE69" s="296"/>
      <c r="AF69" s="296"/>
      <c r="AG69" s="297"/>
      <c r="AH69" s="301"/>
      <c r="AI69" s="302"/>
      <c r="AJ69" s="303"/>
      <c r="AK69" s="257"/>
      <c r="AL69" s="290"/>
      <c r="AM69" s="290"/>
      <c r="AN69" s="380"/>
      <c r="AO69" s="380"/>
      <c r="AP69" s="380"/>
      <c r="AQ69" s="380"/>
      <c r="AR69" s="380"/>
      <c r="AS69" s="380"/>
      <c r="AT69" s="380"/>
      <c r="AU69" s="380"/>
      <c r="AV69" s="380"/>
      <c r="AW69" s="380"/>
      <c r="AX69" s="290"/>
      <c r="AY69" s="256" t="s">
        <v>151</v>
      </c>
      <c r="AZ69" s="256" t="s">
        <v>464</v>
      </c>
      <c r="BA69" s="245"/>
      <c r="BB69" s="196"/>
      <c r="BC69" s="196"/>
      <c r="BD69" s="196"/>
      <c r="BE69" s="196"/>
      <c r="BF69" s="196"/>
      <c r="BG69" s="196"/>
      <c r="BH69" s="196"/>
      <c r="BI69" s="248"/>
      <c r="BJ69" s="248"/>
      <c r="BK69" s="380"/>
      <c r="BL69" s="413"/>
      <c r="BM69" s="413"/>
    </row>
    <row r="70" spans="1:65" s="4" customFormat="1" ht="13.5" customHeight="1" x14ac:dyDescent="0.2">
      <c r="A70" s="196"/>
      <c r="B70" s="307"/>
      <c r="C70" s="308"/>
      <c r="D70" s="308"/>
      <c r="E70" s="308"/>
      <c r="F70" s="309"/>
      <c r="G70" s="313" t="s">
        <v>87</v>
      </c>
      <c r="H70" s="314"/>
      <c r="I70" s="314"/>
      <c r="J70" s="315"/>
      <c r="K70" s="319"/>
      <c r="L70" s="320"/>
      <c r="M70" s="320"/>
      <c r="N70" s="321"/>
      <c r="O70" s="325"/>
      <c r="P70" s="326"/>
      <c r="Q70" s="326"/>
      <c r="R70" s="327"/>
      <c r="S70" s="301"/>
      <c r="T70" s="302"/>
      <c r="U70" s="332"/>
      <c r="V70" s="319"/>
      <c r="W70" s="320"/>
      <c r="X70" s="320"/>
      <c r="Y70" s="321"/>
      <c r="Z70" s="319"/>
      <c r="AA70" s="320"/>
      <c r="AB70" s="320"/>
      <c r="AC70" s="321"/>
      <c r="AD70" s="334"/>
      <c r="AE70" s="335"/>
      <c r="AF70" s="335"/>
      <c r="AG70" s="336"/>
      <c r="AH70" s="301"/>
      <c r="AI70" s="302"/>
      <c r="AJ70" s="303"/>
      <c r="AK70" s="257"/>
      <c r="AL70" s="290"/>
      <c r="AM70" s="290"/>
      <c r="AN70" s="380"/>
      <c r="AO70" s="380"/>
      <c r="AP70" s="380"/>
      <c r="AQ70" s="380"/>
      <c r="AR70" s="380"/>
      <c r="AS70" s="380"/>
      <c r="AT70" s="380"/>
      <c r="AU70" s="380"/>
      <c r="AV70" s="380"/>
      <c r="AW70" s="380"/>
      <c r="AX70" s="290"/>
      <c r="AY70" s="256" t="s">
        <v>152</v>
      </c>
      <c r="AZ70" s="256" t="s">
        <v>465</v>
      </c>
      <c r="BA70" s="245"/>
      <c r="BB70" s="196"/>
      <c r="BC70" s="196"/>
      <c r="BD70" s="196"/>
      <c r="BE70" s="196"/>
      <c r="BF70" s="196"/>
      <c r="BG70" s="196"/>
      <c r="BH70" s="196"/>
      <c r="BI70" s="248"/>
      <c r="BJ70" s="248"/>
      <c r="BK70" s="246"/>
      <c r="BL70" s="289"/>
      <c r="BM70" s="289"/>
    </row>
    <row r="71" spans="1:65" s="4" customFormat="1" ht="13.5" customHeight="1" thickBot="1" x14ac:dyDescent="0.25">
      <c r="A71" s="196"/>
      <c r="B71" s="310"/>
      <c r="C71" s="311"/>
      <c r="D71" s="311"/>
      <c r="E71" s="311"/>
      <c r="F71" s="312"/>
      <c r="G71" s="316"/>
      <c r="H71" s="317"/>
      <c r="I71" s="317"/>
      <c r="J71" s="318"/>
      <c r="K71" s="322"/>
      <c r="L71" s="323"/>
      <c r="M71" s="323"/>
      <c r="N71" s="324"/>
      <c r="O71" s="328"/>
      <c r="P71" s="329"/>
      <c r="Q71" s="329"/>
      <c r="R71" s="330"/>
      <c r="S71" s="304"/>
      <c r="T71" s="305"/>
      <c r="U71" s="333"/>
      <c r="V71" s="322"/>
      <c r="W71" s="323"/>
      <c r="X71" s="323"/>
      <c r="Y71" s="324"/>
      <c r="Z71" s="322"/>
      <c r="AA71" s="323"/>
      <c r="AB71" s="323"/>
      <c r="AC71" s="324"/>
      <c r="AD71" s="337"/>
      <c r="AE71" s="338"/>
      <c r="AF71" s="338"/>
      <c r="AG71" s="339"/>
      <c r="AH71" s="304"/>
      <c r="AI71" s="305"/>
      <c r="AJ71" s="306"/>
      <c r="AK71" s="257"/>
      <c r="AL71" s="290"/>
      <c r="AM71" s="290"/>
      <c r="AN71" s="380"/>
      <c r="AO71" s="380"/>
      <c r="AP71" s="380"/>
      <c r="AQ71" s="380"/>
      <c r="AR71" s="380"/>
      <c r="AS71" s="380"/>
      <c r="AT71" s="380"/>
      <c r="AU71" s="380"/>
      <c r="AV71" s="380"/>
      <c r="AW71" s="380"/>
      <c r="AX71" s="290"/>
      <c r="AY71" s="256" t="s">
        <v>153</v>
      </c>
      <c r="AZ71" s="256" t="s">
        <v>466</v>
      </c>
      <c r="BA71" s="245"/>
      <c r="BB71" s="196"/>
      <c r="BC71" s="196"/>
      <c r="BD71" s="196"/>
      <c r="BE71" s="196"/>
      <c r="BF71" s="196"/>
      <c r="BG71" s="196"/>
      <c r="BH71" s="196"/>
      <c r="BI71" s="248"/>
      <c r="BJ71" s="248"/>
      <c r="BK71" s="246"/>
      <c r="BL71" s="289"/>
      <c r="BM71" s="289"/>
    </row>
    <row r="72" spans="1:65" s="4" customFormat="1" ht="13.5" customHeight="1" x14ac:dyDescent="0.2">
      <c r="A72" s="196"/>
      <c r="B72" s="196"/>
      <c r="C72" s="196"/>
      <c r="D72" s="196"/>
      <c r="E72" s="196"/>
      <c r="F72" s="196"/>
      <c r="G72" s="196"/>
      <c r="H72" s="196"/>
      <c r="I72" s="196"/>
      <c r="J72" s="196"/>
      <c r="K72" s="196"/>
      <c r="L72" s="196"/>
      <c r="M72" s="196"/>
      <c r="N72" s="196"/>
      <c r="O72" s="196"/>
      <c r="P72" s="196"/>
      <c r="Q72" s="196"/>
      <c r="R72" s="196"/>
      <c r="S72" s="196"/>
      <c r="T72" s="196"/>
      <c r="U72" s="196"/>
      <c r="V72" s="196"/>
      <c r="W72" s="196"/>
      <c r="X72" s="196"/>
      <c r="Y72" s="196"/>
      <c r="Z72" s="196"/>
      <c r="AA72" s="196"/>
      <c r="AB72" s="196"/>
      <c r="AC72" s="196"/>
      <c r="AD72" s="196"/>
      <c r="AE72" s="196"/>
      <c r="AF72" s="196"/>
      <c r="AG72" s="196"/>
      <c r="AH72" s="196"/>
      <c r="AI72" s="196"/>
      <c r="AJ72" s="196"/>
      <c r="AK72" s="257"/>
      <c r="AL72" s="196"/>
      <c r="AM72" s="196"/>
      <c r="AN72" s="196"/>
      <c r="AO72" s="196"/>
      <c r="AP72" s="196"/>
      <c r="AQ72" s="196"/>
      <c r="AR72" s="196"/>
      <c r="AS72" s="196"/>
      <c r="AT72" s="196"/>
      <c r="AU72" s="196"/>
      <c r="AV72" s="196"/>
      <c r="AW72" s="196"/>
      <c r="AX72" s="196"/>
      <c r="AY72" s="256" t="s">
        <v>154</v>
      </c>
      <c r="AZ72" s="256" t="s">
        <v>467</v>
      </c>
      <c r="BA72" s="245"/>
      <c r="BB72" s="196"/>
      <c r="BC72" s="196"/>
      <c r="BD72" s="196"/>
      <c r="BE72" s="196"/>
      <c r="BF72" s="196"/>
      <c r="BG72" s="196"/>
      <c r="BH72" s="196"/>
      <c r="BI72" s="248"/>
      <c r="BJ72" s="248"/>
      <c r="BK72" s="196"/>
    </row>
    <row r="73" spans="1:65" ht="13.5" hidden="1" customHeight="1" x14ac:dyDescent="0.2">
      <c r="W73"/>
      <c r="AF73"/>
      <c r="AG73"/>
      <c r="AH73"/>
      <c r="AI73"/>
      <c r="AJ73"/>
      <c r="AL73"/>
      <c r="AM73"/>
      <c r="AN73"/>
      <c r="AO73"/>
      <c r="AP73"/>
      <c r="AQ73"/>
      <c r="AR73"/>
      <c r="AS73"/>
      <c r="AT73"/>
      <c r="AU73"/>
      <c r="AV73"/>
      <c r="AW73"/>
      <c r="AX73"/>
      <c r="AY73" s="256" t="s">
        <v>155</v>
      </c>
      <c r="AZ73" s="256" t="s">
        <v>468</v>
      </c>
      <c r="BA73" s="245"/>
      <c r="BI73" s="248"/>
      <c r="BJ73" s="248"/>
      <c r="BK73"/>
      <c r="BL73"/>
      <c r="BM73"/>
    </row>
    <row r="74" spans="1:65" ht="13.5" hidden="1" customHeight="1" x14ac:dyDescent="0.2">
      <c r="W74"/>
      <c r="AF74"/>
      <c r="AG74"/>
      <c r="AH74"/>
      <c r="AI74"/>
      <c r="AJ74"/>
      <c r="AL74"/>
      <c r="AM74"/>
      <c r="AN74"/>
      <c r="AO74"/>
      <c r="AP74"/>
      <c r="AQ74"/>
      <c r="AR74"/>
      <c r="AS74"/>
      <c r="AT74"/>
      <c r="AU74"/>
      <c r="AV74"/>
      <c r="AW74"/>
      <c r="AX74"/>
      <c r="AY74" s="256" t="s">
        <v>156</v>
      </c>
      <c r="AZ74" s="256" t="s">
        <v>469</v>
      </c>
      <c r="BA74" s="245">
        <v>4.4999999999999999E-4</v>
      </c>
      <c r="BI74" s="248"/>
      <c r="BJ74" s="248"/>
      <c r="BK74"/>
      <c r="BL74"/>
      <c r="BM74"/>
    </row>
    <row r="75" spans="1:65" ht="13.5" hidden="1" customHeight="1" x14ac:dyDescent="0.2">
      <c r="W75"/>
      <c r="AF75"/>
      <c r="AG75"/>
      <c r="AH75"/>
      <c r="AI75"/>
      <c r="AJ75"/>
      <c r="AL75"/>
      <c r="AM75"/>
      <c r="AN75"/>
      <c r="AO75"/>
      <c r="AP75"/>
      <c r="AQ75"/>
      <c r="AR75"/>
      <c r="AS75"/>
      <c r="AT75"/>
      <c r="AU75"/>
      <c r="AV75"/>
      <c r="AW75"/>
      <c r="AX75"/>
      <c r="AY75" s="256" t="s">
        <v>157</v>
      </c>
      <c r="AZ75" s="256" t="s">
        <v>470</v>
      </c>
      <c r="BA75" s="245">
        <v>1.2999999999999999E-4</v>
      </c>
      <c r="BI75" s="248"/>
      <c r="BK75"/>
      <c r="BL75"/>
      <c r="BM75"/>
    </row>
    <row r="76" spans="1:65" ht="13.5" hidden="1" customHeight="1" x14ac:dyDescent="0.2">
      <c r="W76"/>
      <c r="AF76"/>
      <c r="AG76"/>
      <c r="AH76"/>
      <c r="AI76"/>
      <c r="AJ76"/>
      <c r="AL76"/>
      <c r="AM76"/>
      <c r="AN76"/>
      <c r="AO76"/>
      <c r="AP76"/>
      <c r="AQ76"/>
      <c r="AR76"/>
      <c r="AS76"/>
      <c r="AT76"/>
      <c r="AU76"/>
      <c r="AV76"/>
      <c r="AW76"/>
      <c r="AX76"/>
      <c r="AY76" s="8" t="s">
        <v>158</v>
      </c>
      <c r="AZ76" s="8" t="s">
        <v>471</v>
      </c>
      <c r="BA76" s="7"/>
      <c r="BK76"/>
      <c r="BL76"/>
      <c r="BM76"/>
    </row>
    <row r="77" spans="1:65" ht="13.5" hidden="1" customHeight="1" x14ac:dyDescent="0.2">
      <c r="W77"/>
      <c r="AF77"/>
      <c r="AG77"/>
      <c r="AH77"/>
      <c r="AI77"/>
      <c r="AJ77"/>
      <c r="AL77"/>
      <c r="AM77"/>
      <c r="AN77"/>
      <c r="AO77"/>
      <c r="AP77"/>
      <c r="AQ77"/>
      <c r="AR77"/>
      <c r="AS77"/>
      <c r="AT77"/>
      <c r="AU77"/>
      <c r="AV77"/>
      <c r="AW77"/>
      <c r="AX77"/>
      <c r="AY77" s="8" t="s">
        <v>159</v>
      </c>
      <c r="AZ77" s="8" t="s">
        <v>472</v>
      </c>
      <c r="BA77" s="7"/>
      <c r="BK77"/>
      <c r="BL77"/>
      <c r="BM77"/>
    </row>
    <row r="78" spans="1:65" ht="13.5" hidden="1" customHeight="1" x14ac:dyDescent="0.2">
      <c r="W78"/>
      <c r="AF78"/>
      <c r="AG78"/>
      <c r="AH78"/>
      <c r="AI78"/>
      <c r="AJ78"/>
      <c r="AL78"/>
      <c r="AM78"/>
      <c r="AN78"/>
      <c r="AO78"/>
      <c r="AP78"/>
      <c r="AQ78"/>
      <c r="AR78"/>
      <c r="AS78"/>
      <c r="AT78"/>
      <c r="AU78"/>
      <c r="AV78"/>
      <c r="AW78"/>
      <c r="AX78"/>
      <c r="AY78" s="8" t="s">
        <v>160</v>
      </c>
      <c r="AZ78" s="8" t="s">
        <v>473</v>
      </c>
      <c r="BA78" s="7"/>
      <c r="BK78"/>
      <c r="BL78"/>
      <c r="BM78"/>
    </row>
    <row r="79" spans="1:65" ht="13.5" hidden="1" customHeight="1" x14ac:dyDescent="0.2">
      <c r="W79"/>
      <c r="AF79"/>
      <c r="AG79"/>
      <c r="AH79"/>
      <c r="AI79"/>
      <c r="AJ79"/>
      <c r="AL79"/>
      <c r="AM79"/>
      <c r="AN79"/>
      <c r="AO79"/>
      <c r="AP79"/>
      <c r="AQ79"/>
      <c r="AR79"/>
      <c r="AS79"/>
      <c r="AT79"/>
      <c r="AU79"/>
      <c r="AV79"/>
      <c r="AW79"/>
      <c r="AX79"/>
      <c r="AY79" s="8" t="s">
        <v>161</v>
      </c>
      <c r="AZ79" s="8" t="s">
        <v>474</v>
      </c>
      <c r="BA79" s="7"/>
      <c r="BK79"/>
      <c r="BL79"/>
      <c r="BM79"/>
    </row>
    <row r="80" spans="1:65" ht="13.5" hidden="1" customHeight="1" x14ac:dyDescent="0.2">
      <c r="W80"/>
      <c r="AF80"/>
      <c r="AG80"/>
      <c r="AH80"/>
      <c r="AI80"/>
      <c r="AJ80"/>
      <c r="AL80"/>
      <c r="AM80"/>
      <c r="AN80"/>
      <c r="AO80"/>
      <c r="AP80"/>
      <c r="AQ80"/>
      <c r="AR80"/>
      <c r="AS80"/>
      <c r="AT80"/>
      <c r="AU80"/>
      <c r="AV80"/>
      <c r="AW80"/>
      <c r="AX80"/>
      <c r="AY80" s="8" t="s">
        <v>162</v>
      </c>
      <c r="AZ80" s="8" t="s">
        <v>475</v>
      </c>
      <c r="BA80" s="7">
        <v>1.8E-5</v>
      </c>
      <c r="BK80"/>
      <c r="BL80"/>
      <c r="BM80"/>
    </row>
    <row r="81" spans="23:65" ht="13.5" hidden="1" customHeight="1" x14ac:dyDescent="0.2">
      <c r="W81"/>
      <c r="AF81"/>
      <c r="AG81"/>
      <c r="AH81"/>
      <c r="AI81"/>
      <c r="AJ81"/>
      <c r="AL81"/>
      <c r="AM81"/>
      <c r="AN81"/>
      <c r="AO81"/>
      <c r="AP81"/>
      <c r="AQ81"/>
      <c r="AR81"/>
      <c r="AS81"/>
      <c r="AT81"/>
      <c r="AU81"/>
      <c r="AV81"/>
      <c r="AW81"/>
      <c r="AX81"/>
      <c r="AY81" s="8" t="s">
        <v>163</v>
      </c>
      <c r="AZ81" s="8" t="s">
        <v>476</v>
      </c>
      <c r="BA81" s="7"/>
      <c r="BK81"/>
      <c r="BL81"/>
      <c r="BM81"/>
    </row>
    <row r="82" spans="23:65" ht="13.5" hidden="1" customHeight="1" x14ac:dyDescent="0.2">
      <c r="W82"/>
      <c r="AF82"/>
      <c r="AG82"/>
      <c r="AH82"/>
      <c r="AI82"/>
      <c r="AJ82"/>
      <c r="AL82"/>
      <c r="AM82"/>
      <c r="AN82"/>
      <c r="AO82"/>
      <c r="AP82"/>
      <c r="AQ82"/>
      <c r="AR82"/>
      <c r="AS82"/>
      <c r="AT82"/>
      <c r="AU82"/>
      <c r="AV82"/>
      <c r="AW82"/>
      <c r="AX82"/>
      <c r="AY82" s="8" t="s">
        <v>164</v>
      </c>
      <c r="AZ82" s="8" t="s">
        <v>477</v>
      </c>
      <c r="BA82" s="7">
        <v>1.1E-5</v>
      </c>
      <c r="BK82"/>
      <c r="BL82"/>
      <c r="BM82"/>
    </row>
    <row r="83" spans="23:65" ht="13.5" hidden="1" customHeight="1" x14ac:dyDescent="0.2">
      <c r="W83"/>
      <c r="AF83"/>
      <c r="AG83"/>
      <c r="AH83"/>
      <c r="AI83"/>
      <c r="AJ83"/>
      <c r="AL83"/>
      <c r="AM83"/>
      <c r="AN83"/>
      <c r="AO83"/>
      <c r="AP83"/>
      <c r="AQ83"/>
      <c r="AR83"/>
      <c r="AS83"/>
      <c r="AT83"/>
      <c r="AU83"/>
      <c r="AV83"/>
      <c r="AW83"/>
      <c r="AX83"/>
      <c r="AY83" s="8" t="s">
        <v>165</v>
      </c>
      <c r="AZ83" s="8" t="s">
        <v>478</v>
      </c>
      <c r="BA83" s="7">
        <v>3.9999999999999998E-6</v>
      </c>
      <c r="BK83"/>
      <c r="BL83"/>
      <c r="BM83"/>
    </row>
    <row r="84" spans="23:65" ht="13.5" hidden="1" customHeight="1" x14ac:dyDescent="0.2">
      <c r="W84"/>
      <c r="AF84"/>
      <c r="AG84"/>
      <c r="AH84"/>
      <c r="AI84"/>
      <c r="AJ84"/>
      <c r="AL84"/>
      <c r="AM84"/>
      <c r="AN84"/>
      <c r="AO84"/>
      <c r="AP84"/>
      <c r="AQ84"/>
      <c r="AR84"/>
      <c r="AS84"/>
      <c r="AT84"/>
      <c r="AU84"/>
      <c r="AV84"/>
      <c r="AW84"/>
      <c r="AX84"/>
      <c r="AY84" s="8" t="s">
        <v>166</v>
      </c>
      <c r="AZ84" s="8" t="s">
        <v>479</v>
      </c>
      <c r="BA84" s="7">
        <v>1.2E-5</v>
      </c>
      <c r="BK84"/>
      <c r="BL84"/>
      <c r="BM84"/>
    </row>
    <row r="85" spans="23:65" ht="13.5" hidden="1" customHeight="1" x14ac:dyDescent="0.2">
      <c r="W85"/>
      <c r="AF85"/>
      <c r="AG85"/>
      <c r="AH85"/>
      <c r="AI85"/>
      <c r="AJ85"/>
      <c r="AL85"/>
      <c r="AM85"/>
      <c r="AN85"/>
      <c r="AO85"/>
      <c r="AP85"/>
      <c r="AQ85"/>
      <c r="AR85"/>
      <c r="AS85"/>
      <c r="AT85"/>
      <c r="AU85"/>
      <c r="AV85"/>
      <c r="AW85"/>
      <c r="AX85"/>
      <c r="AY85" s="8" t="s">
        <v>167</v>
      </c>
      <c r="AZ85" s="8" t="s">
        <v>480</v>
      </c>
      <c r="BA85" s="7"/>
      <c r="BK85"/>
      <c r="BL85"/>
      <c r="BM85"/>
    </row>
    <row r="86" spans="23:65" ht="13.5" hidden="1" customHeight="1" x14ac:dyDescent="0.2">
      <c r="W86"/>
      <c r="AF86"/>
      <c r="AG86"/>
      <c r="AH86"/>
      <c r="AI86"/>
      <c r="AJ86"/>
      <c r="AL86"/>
      <c r="AM86"/>
      <c r="AN86"/>
      <c r="AO86"/>
      <c r="AP86"/>
      <c r="AQ86"/>
      <c r="AR86"/>
      <c r="AS86"/>
      <c r="AT86"/>
      <c r="AU86"/>
      <c r="AV86"/>
      <c r="AW86"/>
      <c r="AX86"/>
      <c r="AY86" s="8" t="s">
        <v>168</v>
      </c>
      <c r="AZ86" s="8" t="s">
        <v>481</v>
      </c>
      <c r="BA86" s="7">
        <v>1.6E-2</v>
      </c>
      <c r="BK86"/>
      <c r="BL86"/>
      <c r="BM86"/>
    </row>
    <row r="87" spans="23:65" ht="13.5" hidden="1" customHeight="1" x14ac:dyDescent="0.2">
      <c r="W87"/>
      <c r="AF87"/>
      <c r="AG87"/>
      <c r="AH87"/>
      <c r="AI87"/>
      <c r="AJ87"/>
      <c r="AL87"/>
      <c r="AM87"/>
      <c r="AN87"/>
      <c r="AO87"/>
      <c r="AP87"/>
      <c r="AQ87"/>
      <c r="AR87"/>
      <c r="AS87"/>
      <c r="AT87"/>
      <c r="AU87"/>
      <c r="AV87"/>
      <c r="AW87"/>
      <c r="AX87"/>
      <c r="AY87" s="8" t="s">
        <v>169</v>
      </c>
      <c r="AZ87" s="8" t="s">
        <v>482</v>
      </c>
      <c r="BA87" s="7">
        <v>1.9E-3</v>
      </c>
      <c r="BK87"/>
      <c r="BL87"/>
      <c r="BM87"/>
    </row>
    <row r="88" spans="23:65" ht="13.5" hidden="1" customHeight="1" x14ac:dyDescent="0.2">
      <c r="W88"/>
      <c r="AF88"/>
      <c r="AG88"/>
      <c r="AH88"/>
      <c r="AI88"/>
      <c r="AJ88"/>
      <c r="AL88"/>
      <c r="AM88"/>
      <c r="AN88"/>
      <c r="AO88"/>
      <c r="AP88"/>
      <c r="AQ88"/>
      <c r="AR88"/>
      <c r="AS88"/>
      <c r="AT88"/>
      <c r="AU88"/>
      <c r="AV88"/>
      <c r="AW88"/>
      <c r="AX88"/>
      <c r="AY88" s="8" t="s">
        <v>170</v>
      </c>
      <c r="AZ88" s="8" t="s">
        <v>483</v>
      </c>
      <c r="BA88" s="7"/>
      <c r="BK88"/>
      <c r="BL88"/>
      <c r="BM88"/>
    </row>
    <row r="89" spans="23:65" ht="13.5" hidden="1" customHeight="1" x14ac:dyDescent="0.2">
      <c r="W89"/>
      <c r="AF89"/>
      <c r="AG89"/>
      <c r="AH89"/>
      <c r="AI89"/>
      <c r="AJ89"/>
      <c r="AL89"/>
      <c r="AM89"/>
      <c r="AN89"/>
      <c r="AO89"/>
      <c r="AP89"/>
      <c r="AQ89"/>
      <c r="AR89"/>
      <c r="AS89"/>
      <c r="AT89"/>
      <c r="AU89"/>
      <c r="AV89"/>
      <c r="AW89"/>
      <c r="AX89"/>
      <c r="AY89" s="8" t="s">
        <v>171</v>
      </c>
      <c r="AZ89" s="8" t="s">
        <v>484</v>
      </c>
      <c r="BA89" s="7">
        <v>3.8999999999999998E-3</v>
      </c>
      <c r="BK89"/>
      <c r="BL89"/>
      <c r="BM89"/>
    </row>
    <row r="90" spans="23:65" ht="13.5" hidden="1" customHeight="1" x14ac:dyDescent="0.2">
      <c r="W90"/>
      <c r="AF90"/>
      <c r="AG90"/>
      <c r="AH90"/>
      <c r="AI90"/>
      <c r="AJ90"/>
      <c r="AL90"/>
      <c r="AM90"/>
      <c r="AN90"/>
      <c r="AO90"/>
      <c r="AP90"/>
      <c r="AQ90"/>
      <c r="AR90"/>
      <c r="AS90"/>
      <c r="AT90"/>
      <c r="AU90"/>
      <c r="AV90"/>
      <c r="AW90"/>
      <c r="AX90"/>
      <c r="AY90" s="8" t="s">
        <v>172</v>
      </c>
      <c r="AZ90" s="8" t="s">
        <v>485</v>
      </c>
      <c r="BA90" s="7"/>
      <c r="BK90"/>
      <c r="BL90"/>
      <c r="BM90"/>
    </row>
    <row r="91" spans="23:65" ht="13.5" hidden="1" customHeight="1" x14ac:dyDescent="0.2">
      <c r="W91"/>
      <c r="AF91"/>
      <c r="AG91"/>
      <c r="AH91"/>
      <c r="AI91"/>
      <c r="AJ91"/>
      <c r="AL91"/>
      <c r="AM91"/>
      <c r="AN91"/>
      <c r="AO91"/>
      <c r="AP91"/>
      <c r="AQ91"/>
      <c r="AR91"/>
      <c r="AS91"/>
      <c r="AT91"/>
      <c r="AU91"/>
      <c r="AV91"/>
      <c r="AW91"/>
      <c r="AX91"/>
      <c r="AY91" s="8" t="s">
        <v>173</v>
      </c>
      <c r="AZ91" s="8" t="s">
        <v>486</v>
      </c>
      <c r="BA91" s="7"/>
      <c r="BK91"/>
      <c r="BL91"/>
      <c r="BM91"/>
    </row>
    <row r="92" spans="23:65" ht="13.5" hidden="1" customHeight="1" x14ac:dyDescent="0.2">
      <c r="W92"/>
      <c r="AF92"/>
      <c r="AG92"/>
      <c r="AH92"/>
      <c r="AI92"/>
      <c r="AJ92"/>
      <c r="AL92"/>
      <c r="AM92"/>
      <c r="AN92"/>
      <c r="AO92"/>
      <c r="AP92"/>
      <c r="AQ92"/>
      <c r="AR92"/>
      <c r="AS92"/>
      <c r="AT92"/>
      <c r="AU92"/>
      <c r="AV92"/>
      <c r="AW92"/>
      <c r="AX92"/>
      <c r="AY92" s="8" t="s">
        <v>174</v>
      </c>
      <c r="AZ92" s="8" t="s">
        <v>487</v>
      </c>
      <c r="BA92" s="7">
        <v>6.9999999999999999E-4</v>
      </c>
      <c r="BK92"/>
      <c r="BL92"/>
      <c r="BM92"/>
    </row>
    <row r="93" spans="23:65" ht="13.5" hidden="1" customHeight="1" x14ac:dyDescent="0.2">
      <c r="W93"/>
      <c r="AF93"/>
      <c r="AG93"/>
      <c r="AH93"/>
      <c r="AI93"/>
      <c r="AJ93"/>
      <c r="AL93"/>
      <c r="AM93"/>
      <c r="AN93"/>
      <c r="AO93"/>
      <c r="AP93"/>
      <c r="AQ93"/>
      <c r="AR93"/>
      <c r="AS93"/>
      <c r="AT93"/>
      <c r="AU93"/>
      <c r="AV93"/>
      <c r="AW93"/>
      <c r="AX93"/>
      <c r="AY93" s="8" t="s">
        <v>175</v>
      </c>
      <c r="AZ93" s="8" t="s">
        <v>488</v>
      </c>
      <c r="BA93" s="7"/>
      <c r="BK93"/>
      <c r="BL93"/>
      <c r="BM93"/>
    </row>
    <row r="94" spans="23:65" ht="13.5" hidden="1" customHeight="1" x14ac:dyDescent="0.2">
      <c r="W94"/>
      <c r="AF94"/>
      <c r="AG94"/>
      <c r="AH94"/>
      <c r="AI94"/>
      <c r="AJ94"/>
      <c r="AL94"/>
      <c r="AM94"/>
      <c r="AN94"/>
      <c r="AO94"/>
      <c r="AP94"/>
      <c r="AQ94"/>
      <c r="AR94"/>
      <c r="AS94"/>
      <c r="AT94"/>
      <c r="AU94"/>
      <c r="AV94"/>
      <c r="AW94"/>
      <c r="AX94"/>
      <c r="AY94" s="8" t="s">
        <v>176</v>
      </c>
      <c r="AZ94" s="8" t="s">
        <v>489</v>
      </c>
      <c r="BA94" s="7"/>
      <c r="BK94"/>
      <c r="BL94"/>
      <c r="BM94"/>
    </row>
    <row r="95" spans="23:65" ht="13.5" hidden="1" customHeight="1" x14ac:dyDescent="0.2">
      <c r="W95"/>
      <c r="AF95"/>
      <c r="AG95"/>
      <c r="AH95"/>
      <c r="AI95"/>
      <c r="AJ95"/>
      <c r="AL95"/>
      <c r="AM95"/>
      <c r="AN95"/>
      <c r="AO95"/>
      <c r="AP95"/>
      <c r="AQ95"/>
      <c r="AR95"/>
      <c r="AS95"/>
      <c r="AT95"/>
      <c r="AU95"/>
      <c r="AV95"/>
      <c r="AW95"/>
      <c r="AX95"/>
      <c r="AY95" s="8" t="s">
        <v>177</v>
      </c>
      <c r="AZ95" s="8" t="s">
        <v>490</v>
      </c>
      <c r="BA95" s="7">
        <v>1.8E-3</v>
      </c>
      <c r="BK95"/>
      <c r="BL95"/>
      <c r="BM95"/>
    </row>
    <row r="96" spans="23:65" ht="13.5" hidden="1" customHeight="1" x14ac:dyDescent="0.2">
      <c r="W96"/>
      <c r="AF96"/>
      <c r="AG96"/>
      <c r="AH96"/>
      <c r="AI96"/>
      <c r="AJ96"/>
      <c r="AL96"/>
      <c r="AM96"/>
      <c r="AN96"/>
      <c r="AO96"/>
      <c r="AP96"/>
      <c r="AQ96"/>
      <c r="AR96"/>
      <c r="AS96"/>
      <c r="AT96"/>
      <c r="AU96"/>
      <c r="AV96"/>
      <c r="AW96"/>
      <c r="AX96"/>
      <c r="AY96" s="8" t="s">
        <v>178</v>
      </c>
      <c r="AZ96" s="8" t="s">
        <v>491</v>
      </c>
      <c r="BA96" s="7">
        <v>2.3E-3</v>
      </c>
      <c r="BK96"/>
      <c r="BL96"/>
      <c r="BM96"/>
    </row>
    <row r="97" spans="23:65" ht="13.5" hidden="1" customHeight="1" x14ac:dyDescent="0.2">
      <c r="W97"/>
      <c r="AF97"/>
      <c r="AG97"/>
      <c r="AH97"/>
      <c r="AI97"/>
      <c r="AJ97"/>
      <c r="AL97"/>
      <c r="AM97"/>
      <c r="AN97"/>
      <c r="AO97"/>
      <c r="AP97"/>
      <c r="AQ97"/>
      <c r="AR97"/>
      <c r="AS97"/>
      <c r="AT97"/>
      <c r="AU97"/>
      <c r="AV97"/>
      <c r="AW97"/>
      <c r="AX97"/>
      <c r="AY97" s="8" t="s">
        <v>179</v>
      </c>
      <c r="AZ97" s="8" t="s">
        <v>492</v>
      </c>
      <c r="BA97" s="7"/>
      <c r="BK97"/>
      <c r="BL97"/>
      <c r="BM97"/>
    </row>
    <row r="98" spans="23:65" ht="13.5" hidden="1" customHeight="1" x14ac:dyDescent="0.2">
      <c r="W98"/>
      <c r="AF98"/>
      <c r="AG98"/>
      <c r="AH98"/>
      <c r="AI98"/>
      <c r="AJ98"/>
      <c r="AL98"/>
      <c r="AM98"/>
      <c r="AN98"/>
      <c r="AO98"/>
      <c r="AP98"/>
      <c r="AQ98"/>
      <c r="AR98"/>
      <c r="AS98"/>
      <c r="AT98"/>
      <c r="AU98"/>
      <c r="AV98"/>
      <c r="AW98"/>
      <c r="AX98"/>
      <c r="AY98" s="8" t="s">
        <v>180</v>
      </c>
      <c r="AZ98" s="8" t="s">
        <v>493</v>
      </c>
      <c r="BA98" s="7"/>
      <c r="BK98"/>
      <c r="BL98"/>
      <c r="BM98"/>
    </row>
    <row r="99" spans="23:65" ht="13.5" hidden="1" customHeight="1" x14ac:dyDescent="0.2">
      <c r="W99"/>
      <c r="AF99"/>
      <c r="AG99"/>
      <c r="AH99"/>
      <c r="AI99"/>
      <c r="AJ99"/>
      <c r="AL99"/>
      <c r="AM99"/>
      <c r="AN99"/>
      <c r="AO99"/>
      <c r="AP99"/>
      <c r="AQ99"/>
      <c r="AR99"/>
      <c r="AS99"/>
      <c r="AT99"/>
      <c r="AU99"/>
      <c r="AV99"/>
      <c r="AW99"/>
      <c r="AX99"/>
      <c r="AY99" s="8" t="s">
        <v>181</v>
      </c>
      <c r="AZ99" s="8" t="s">
        <v>494</v>
      </c>
      <c r="BA99" s="7"/>
      <c r="BK99"/>
      <c r="BL99"/>
      <c r="BM99"/>
    </row>
    <row r="100" spans="23:65" ht="13.5" hidden="1" customHeight="1" x14ac:dyDescent="0.2">
      <c r="W100"/>
      <c r="AF100"/>
      <c r="AG100"/>
      <c r="AH100"/>
      <c r="AI100"/>
      <c r="AJ100"/>
      <c r="AL100"/>
      <c r="AM100"/>
      <c r="AN100"/>
      <c r="AO100"/>
      <c r="AP100"/>
      <c r="AQ100"/>
      <c r="AR100"/>
      <c r="AS100"/>
      <c r="AT100"/>
      <c r="AU100"/>
      <c r="AV100"/>
      <c r="AW100"/>
      <c r="AX100"/>
      <c r="AY100" s="8" t="s">
        <v>182</v>
      </c>
      <c r="AZ100" s="8" t="s">
        <v>495</v>
      </c>
      <c r="BA100" s="7"/>
      <c r="BK100"/>
      <c r="BL100"/>
      <c r="BM100"/>
    </row>
    <row r="101" spans="23:65" ht="13.5" hidden="1" customHeight="1" x14ac:dyDescent="0.2">
      <c r="W101"/>
      <c r="AF101"/>
      <c r="AG101"/>
      <c r="AH101"/>
      <c r="AI101"/>
      <c r="AJ101"/>
      <c r="AL101"/>
      <c r="AM101"/>
      <c r="AN101"/>
      <c r="AO101"/>
      <c r="AP101"/>
      <c r="AQ101"/>
      <c r="AR101"/>
      <c r="AS101"/>
      <c r="AT101"/>
      <c r="AU101"/>
      <c r="AV101"/>
      <c r="AW101"/>
      <c r="AX101"/>
      <c r="AY101" s="8" t="s">
        <v>183</v>
      </c>
      <c r="AZ101" s="8" t="s">
        <v>496</v>
      </c>
      <c r="BA101" s="7"/>
      <c r="BK101"/>
      <c r="BL101"/>
      <c r="BM101"/>
    </row>
    <row r="102" spans="23:65" ht="13.5" hidden="1" customHeight="1" x14ac:dyDescent="0.2">
      <c r="W102"/>
      <c r="AF102"/>
      <c r="AG102"/>
      <c r="AH102"/>
      <c r="AI102"/>
      <c r="AJ102"/>
      <c r="AL102"/>
      <c r="AM102"/>
      <c r="AN102"/>
      <c r="AO102"/>
      <c r="AP102"/>
      <c r="AQ102"/>
      <c r="AR102"/>
      <c r="AS102"/>
      <c r="AT102"/>
      <c r="AU102"/>
      <c r="AV102"/>
      <c r="AW102"/>
      <c r="AX102"/>
      <c r="AY102" s="8" t="s">
        <v>184</v>
      </c>
      <c r="AZ102" s="8" t="s">
        <v>497</v>
      </c>
      <c r="BA102" s="7"/>
      <c r="BK102"/>
      <c r="BL102"/>
      <c r="BM102"/>
    </row>
    <row r="103" spans="23:65" ht="13.5" hidden="1" customHeight="1" x14ac:dyDescent="0.2">
      <c r="W103"/>
      <c r="AF103"/>
      <c r="AG103"/>
      <c r="AH103"/>
      <c r="AI103"/>
      <c r="AJ103"/>
      <c r="AL103"/>
      <c r="AM103"/>
      <c r="AN103"/>
      <c r="AO103"/>
      <c r="AP103"/>
      <c r="AQ103"/>
      <c r="AR103"/>
      <c r="AS103"/>
      <c r="AT103"/>
      <c r="AU103"/>
      <c r="AV103"/>
      <c r="AW103"/>
      <c r="AX103"/>
      <c r="AY103" s="8" t="s">
        <v>185</v>
      </c>
      <c r="AZ103" s="8" t="s">
        <v>498</v>
      </c>
      <c r="BA103" s="7">
        <v>6.9999999999999999E-4</v>
      </c>
      <c r="BK103"/>
      <c r="BL103"/>
      <c r="BM103"/>
    </row>
    <row r="104" spans="23:65" ht="13.5" hidden="1" customHeight="1" x14ac:dyDescent="0.2">
      <c r="W104"/>
      <c r="AF104"/>
      <c r="AG104"/>
      <c r="AH104"/>
      <c r="AI104"/>
      <c r="AJ104"/>
      <c r="AL104"/>
      <c r="AM104"/>
      <c r="AN104"/>
      <c r="AO104"/>
      <c r="AP104"/>
      <c r="AQ104"/>
      <c r="AR104"/>
      <c r="AS104"/>
      <c r="AT104"/>
      <c r="AU104"/>
      <c r="AV104"/>
      <c r="AW104"/>
      <c r="AX104"/>
      <c r="AY104" s="8" t="s">
        <v>186</v>
      </c>
      <c r="AZ104" s="8" t="s">
        <v>499</v>
      </c>
      <c r="BA104" s="7"/>
      <c r="BK104"/>
      <c r="BL104"/>
      <c r="BM104"/>
    </row>
    <row r="105" spans="23:65" ht="13.5" hidden="1" customHeight="1" x14ac:dyDescent="0.2">
      <c r="W105"/>
      <c r="AF105"/>
      <c r="AG105"/>
      <c r="AH105"/>
      <c r="AI105"/>
      <c r="AJ105"/>
      <c r="AL105"/>
      <c r="AM105"/>
      <c r="AN105"/>
      <c r="AO105"/>
      <c r="AP105"/>
      <c r="AQ105"/>
      <c r="AR105"/>
      <c r="AS105"/>
      <c r="AT105"/>
      <c r="AU105"/>
      <c r="AV105"/>
      <c r="AW105"/>
      <c r="AX105"/>
      <c r="AY105" s="8" t="s">
        <v>187</v>
      </c>
      <c r="AZ105" s="8" t="s">
        <v>500</v>
      </c>
      <c r="BA105" s="7">
        <v>5.0000000000000001E-4</v>
      </c>
      <c r="BK105"/>
      <c r="BL105"/>
      <c r="BM105"/>
    </row>
    <row r="106" spans="23:65" ht="13.5" hidden="1" customHeight="1" x14ac:dyDescent="0.2">
      <c r="W106"/>
      <c r="AF106"/>
      <c r="AG106"/>
      <c r="AH106"/>
      <c r="AI106"/>
      <c r="AJ106"/>
      <c r="AL106"/>
      <c r="AM106"/>
      <c r="AN106"/>
      <c r="AO106"/>
      <c r="AP106"/>
      <c r="AQ106"/>
      <c r="AR106"/>
      <c r="AS106"/>
      <c r="AT106"/>
      <c r="AU106"/>
      <c r="AV106"/>
      <c r="AW106"/>
      <c r="AX106"/>
      <c r="AY106" s="8" t="s">
        <v>188</v>
      </c>
      <c r="AZ106" s="8" t="s">
        <v>501</v>
      </c>
      <c r="BA106" s="7"/>
      <c r="BK106"/>
      <c r="BL106"/>
      <c r="BM106"/>
    </row>
    <row r="107" spans="23:65" ht="13.5" hidden="1" customHeight="1" x14ac:dyDescent="0.2">
      <c r="W107"/>
      <c r="AF107"/>
      <c r="AG107"/>
      <c r="AH107"/>
      <c r="AI107"/>
      <c r="AJ107"/>
      <c r="AL107"/>
      <c r="AM107"/>
      <c r="AN107"/>
      <c r="AO107"/>
      <c r="AP107"/>
      <c r="AQ107"/>
      <c r="AR107"/>
      <c r="AS107"/>
      <c r="AT107"/>
      <c r="AU107"/>
      <c r="AV107"/>
      <c r="AW107"/>
      <c r="AX107"/>
      <c r="AY107" s="8" t="s">
        <v>189</v>
      </c>
      <c r="AZ107" s="8" t="s">
        <v>502</v>
      </c>
      <c r="BA107" s="7"/>
      <c r="BK107"/>
      <c r="BL107"/>
      <c r="BM107"/>
    </row>
    <row r="108" spans="23:65" ht="13.5" hidden="1" customHeight="1" x14ac:dyDescent="0.2">
      <c r="W108"/>
      <c r="AF108"/>
      <c r="AG108"/>
      <c r="AH108"/>
      <c r="AI108"/>
      <c r="AJ108"/>
      <c r="AL108"/>
      <c r="AM108"/>
      <c r="AN108"/>
      <c r="AO108"/>
      <c r="AP108"/>
      <c r="AQ108"/>
      <c r="AR108"/>
      <c r="AS108"/>
      <c r="AT108"/>
      <c r="AU108"/>
      <c r="AV108"/>
      <c r="AW108"/>
      <c r="AX108"/>
      <c r="AY108" s="8" t="s">
        <v>190</v>
      </c>
      <c r="AZ108" s="8" t="s">
        <v>503</v>
      </c>
      <c r="BA108" s="7"/>
      <c r="BK108"/>
      <c r="BL108"/>
      <c r="BM108"/>
    </row>
    <row r="109" spans="23:65" ht="13.5" hidden="1" customHeight="1" x14ac:dyDescent="0.2">
      <c r="W109"/>
      <c r="AF109"/>
      <c r="AG109"/>
      <c r="AH109"/>
      <c r="AI109"/>
      <c r="AJ109"/>
      <c r="AL109"/>
      <c r="AM109"/>
      <c r="AN109"/>
      <c r="AO109"/>
      <c r="AP109"/>
      <c r="AQ109"/>
      <c r="AR109"/>
      <c r="AS109"/>
      <c r="AT109"/>
      <c r="AU109"/>
      <c r="AV109"/>
      <c r="AW109"/>
      <c r="AX109"/>
      <c r="AY109" s="8" t="s">
        <v>191</v>
      </c>
      <c r="AZ109" s="8" t="s">
        <v>504</v>
      </c>
      <c r="BA109" s="7">
        <v>3.9999999999999998E-6</v>
      </c>
      <c r="BK109"/>
      <c r="BL109"/>
      <c r="BM109"/>
    </row>
    <row r="110" spans="23:65" ht="13.5" hidden="1" customHeight="1" x14ac:dyDescent="0.2">
      <c r="W110"/>
      <c r="AF110"/>
      <c r="AG110"/>
      <c r="AH110"/>
      <c r="AI110"/>
      <c r="AJ110"/>
      <c r="AL110"/>
      <c r="AM110"/>
      <c r="AN110"/>
      <c r="AO110"/>
      <c r="AP110"/>
      <c r="AQ110"/>
      <c r="AR110"/>
      <c r="AS110"/>
      <c r="AT110"/>
      <c r="AU110"/>
      <c r="AV110"/>
      <c r="AW110"/>
      <c r="AX110"/>
      <c r="AY110" s="8" t="s">
        <v>192</v>
      </c>
      <c r="AZ110" s="8" t="s">
        <v>505</v>
      </c>
      <c r="BA110" s="7">
        <v>3.0000000000000001E-6</v>
      </c>
      <c r="BK110"/>
      <c r="BL110"/>
      <c r="BM110"/>
    </row>
    <row r="111" spans="23:65" ht="13.5" hidden="1" customHeight="1" x14ac:dyDescent="0.2">
      <c r="W111"/>
      <c r="AF111"/>
      <c r="AG111"/>
      <c r="AH111"/>
      <c r="AI111"/>
      <c r="AJ111"/>
      <c r="AL111"/>
      <c r="AM111"/>
      <c r="AN111"/>
      <c r="AO111"/>
      <c r="AP111"/>
      <c r="AQ111"/>
      <c r="AR111"/>
      <c r="AS111"/>
      <c r="AT111"/>
      <c r="AU111"/>
      <c r="AV111"/>
      <c r="AW111"/>
      <c r="AX111"/>
      <c r="AY111" s="8" t="s">
        <v>193</v>
      </c>
      <c r="AZ111" s="8" t="s">
        <v>506</v>
      </c>
      <c r="BA111" s="7">
        <v>1.4E-5</v>
      </c>
      <c r="BK111"/>
      <c r="BL111"/>
      <c r="BM111"/>
    </row>
    <row r="112" spans="23:65" ht="13.5" hidden="1" customHeight="1" x14ac:dyDescent="0.2">
      <c r="W112"/>
      <c r="AF112"/>
      <c r="AG112"/>
      <c r="AH112"/>
      <c r="AI112"/>
      <c r="AJ112"/>
      <c r="AL112"/>
      <c r="AM112"/>
      <c r="AN112"/>
      <c r="AO112"/>
      <c r="AP112"/>
      <c r="AQ112"/>
      <c r="AR112"/>
      <c r="AS112"/>
      <c r="AT112"/>
      <c r="AU112"/>
      <c r="AV112"/>
      <c r="AW112"/>
      <c r="AX112"/>
      <c r="AY112" s="8" t="s">
        <v>194</v>
      </c>
      <c r="AZ112" s="8" t="s">
        <v>507</v>
      </c>
      <c r="BA112" s="7"/>
      <c r="BK112"/>
      <c r="BL112"/>
      <c r="BM112"/>
    </row>
    <row r="113" spans="23:65" ht="13.5" hidden="1" customHeight="1" x14ac:dyDescent="0.2">
      <c r="W113"/>
      <c r="AF113"/>
      <c r="AG113"/>
      <c r="AH113"/>
      <c r="AI113"/>
      <c r="AJ113"/>
      <c r="AL113"/>
      <c r="AM113"/>
      <c r="AN113"/>
      <c r="AO113"/>
      <c r="AP113"/>
      <c r="AQ113"/>
      <c r="AR113"/>
      <c r="AS113"/>
      <c r="AT113"/>
      <c r="AU113"/>
      <c r="AV113"/>
      <c r="AW113"/>
      <c r="AX113"/>
      <c r="AY113" s="8" t="s">
        <v>195</v>
      </c>
      <c r="AZ113" s="8" t="s">
        <v>508</v>
      </c>
      <c r="BA113" s="7"/>
      <c r="BK113"/>
      <c r="BL113"/>
      <c r="BM113"/>
    </row>
    <row r="114" spans="23:65" ht="13.5" hidden="1" customHeight="1" x14ac:dyDescent="0.2">
      <c r="W114"/>
      <c r="AF114"/>
      <c r="AG114"/>
      <c r="AH114"/>
      <c r="AI114"/>
      <c r="AJ114"/>
      <c r="AL114"/>
      <c r="AM114"/>
      <c r="AN114"/>
      <c r="AO114"/>
      <c r="AP114"/>
      <c r="AQ114"/>
      <c r="AR114"/>
      <c r="AS114"/>
      <c r="AT114"/>
      <c r="AU114"/>
      <c r="AV114"/>
      <c r="AW114"/>
      <c r="AX114"/>
      <c r="AY114" s="8" t="s">
        <v>196</v>
      </c>
      <c r="AZ114" s="8" t="s">
        <v>509</v>
      </c>
      <c r="BA114" s="7">
        <v>6.6E-4</v>
      </c>
      <c r="BK114"/>
      <c r="BL114"/>
      <c r="BM114"/>
    </row>
    <row r="115" spans="23:65" ht="13.5" hidden="1" customHeight="1" x14ac:dyDescent="0.2">
      <c r="W115"/>
      <c r="AF115"/>
      <c r="AG115"/>
      <c r="AH115"/>
      <c r="AI115"/>
      <c r="AJ115"/>
      <c r="AL115"/>
      <c r="AM115"/>
      <c r="AN115"/>
      <c r="AO115"/>
      <c r="AP115"/>
      <c r="AQ115"/>
      <c r="AR115"/>
      <c r="AS115"/>
      <c r="AT115"/>
      <c r="AU115"/>
      <c r="AV115"/>
      <c r="AW115"/>
      <c r="AX115"/>
      <c r="AY115" s="8" t="s">
        <v>197</v>
      </c>
      <c r="AZ115" s="8" t="s">
        <v>510</v>
      </c>
      <c r="BA115" s="7"/>
      <c r="BK115"/>
      <c r="BL115"/>
      <c r="BM115"/>
    </row>
    <row r="116" spans="23:65" ht="13.5" hidden="1" customHeight="1" x14ac:dyDescent="0.2">
      <c r="W116"/>
      <c r="AF116"/>
      <c r="AG116"/>
      <c r="AH116"/>
      <c r="AI116"/>
      <c r="AJ116"/>
      <c r="AL116"/>
      <c r="AM116"/>
      <c r="AN116"/>
      <c r="AO116"/>
      <c r="AP116"/>
      <c r="AQ116"/>
      <c r="AR116"/>
      <c r="AS116"/>
      <c r="AT116"/>
      <c r="AU116"/>
      <c r="AV116"/>
      <c r="AW116"/>
      <c r="AX116"/>
      <c r="AY116" s="8" t="s">
        <v>198</v>
      </c>
      <c r="AZ116" s="8" t="s">
        <v>511</v>
      </c>
      <c r="BA116" s="7"/>
      <c r="BK116"/>
      <c r="BL116"/>
      <c r="BM116"/>
    </row>
    <row r="117" spans="23:65" ht="13.5" hidden="1" customHeight="1" x14ac:dyDescent="0.2">
      <c r="W117"/>
      <c r="AF117"/>
      <c r="AG117"/>
      <c r="AH117"/>
      <c r="AI117"/>
      <c r="AJ117"/>
      <c r="AL117"/>
      <c r="AM117"/>
      <c r="AN117"/>
      <c r="AO117"/>
      <c r="AP117"/>
      <c r="AQ117"/>
      <c r="AR117"/>
      <c r="AS117"/>
      <c r="AT117"/>
      <c r="AU117"/>
      <c r="AV117"/>
      <c r="AW117"/>
      <c r="AX117"/>
      <c r="AY117" s="8" t="s">
        <v>199</v>
      </c>
      <c r="AZ117" s="8" t="s">
        <v>512</v>
      </c>
      <c r="BA117" s="7"/>
      <c r="BK117"/>
      <c r="BL117"/>
      <c r="BM117"/>
    </row>
    <row r="118" spans="23:65" ht="13.5" hidden="1" customHeight="1" x14ac:dyDescent="0.2">
      <c r="W118"/>
      <c r="AF118"/>
      <c r="AG118"/>
      <c r="AH118"/>
      <c r="AI118"/>
      <c r="AJ118"/>
      <c r="AL118"/>
      <c r="AM118"/>
      <c r="AN118"/>
      <c r="AO118"/>
      <c r="AP118"/>
      <c r="AQ118"/>
      <c r="AR118"/>
      <c r="AS118"/>
      <c r="AT118"/>
      <c r="AU118"/>
      <c r="AV118"/>
      <c r="AW118"/>
      <c r="AX118"/>
      <c r="AY118" s="8" t="s">
        <v>200</v>
      </c>
      <c r="AZ118" s="8" t="s">
        <v>513</v>
      </c>
      <c r="BA118" s="7">
        <v>2.0000000000000001E-4</v>
      </c>
      <c r="BK118"/>
      <c r="BL118"/>
      <c r="BM118"/>
    </row>
    <row r="119" spans="23:65" ht="13.5" hidden="1" customHeight="1" x14ac:dyDescent="0.2">
      <c r="W119"/>
      <c r="AF119"/>
      <c r="AG119"/>
      <c r="AH119"/>
      <c r="AI119"/>
      <c r="AJ119"/>
      <c r="AL119"/>
      <c r="AM119"/>
      <c r="AN119"/>
      <c r="AO119"/>
      <c r="AP119"/>
      <c r="AQ119"/>
      <c r="AR119"/>
      <c r="AS119"/>
      <c r="AT119"/>
      <c r="AU119"/>
      <c r="AV119"/>
      <c r="AW119"/>
      <c r="AX119"/>
      <c r="AY119" s="8" t="s">
        <v>201</v>
      </c>
      <c r="AZ119" s="8" t="s">
        <v>514</v>
      </c>
      <c r="BA119" s="7"/>
      <c r="BK119"/>
      <c r="BL119"/>
      <c r="BM119"/>
    </row>
    <row r="120" spans="23:65" ht="13.5" hidden="1" customHeight="1" x14ac:dyDescent="0.2">
      <c r="W120"/>
      <c r="AF120"/>
      <c r="AG120"/>
      <c r="AH120"/>
      <c r="AI120"/>
      <c r="AJ120"/>
      <c r="AL120"/>
      <c r="AM120"/>
      <c r="AN120"/>
      <c r="AO120"/>
      <c r="AP120"/>
      <c r="AQ120"/>
      <c r="AR120"/>
      <c r="AS120"/>
      <c r="AT120"/>
      <c r="AU120"/>
      <c r="AV120"/>
      <c r="AW120"/>
      <c r="AX120"/>
      <c r="AY120" s="8" t="s">
        <v>202</v>
      </c>
      <c r="AZ120" s="8" t="s">
        <v>515</v>
      </c>
      <c r="BA120" s="7">
        <v>4.3999999999999997E-2</v>
      </c>
      <c r="BK120"/>
      <c r="BL120"/>
      <c r="BM120"/>
    </row>
    <row r="121" spans="23:65" ht="13.5" hidden="1" customHeight="1" x14ac:dyDescent="0.2">
      <c r="W121"/>
      <c r="AF121"/>
      <c r="AG121"/>
      <c r="AH121"/>
      <c r="AI121"/>
      <c r="AJ121"/>
      <c r="AL121"/>
      <c r="AM121"/>
      <c r="AN121"/>
      <c r="AO121"/>
      <c r="AP121"/>
      <c r="AQ121"/>
      <c r="AR121"/>
      <c r="AS121"/>
      <c r="AT121"/>
      <c r="AU121"/>
      <c r="AV121"/>
      <c r="AW121"/>
      <c r="AX121"/>
      <c r="AY121" s="8" t="s">
        <v>203</v>
      </c>
      <c r="AZ121" s="8" t="s">
        <v>516</v>
      </c>
      <c r="BA121" s="7">
        <v>1.2999999999999999E-5</v>
      </c>
      <c r="BK121"/>
      <c r="BL121"/>
      <c r="BM121"/>
    </row>
    <row r="122" spans="23:65" ht="13.5" hidden="1" customHeight="1" x14ac:dyDescent="0.2">
      <c r="W122"/>
      <c r="AF122"/>
      <c r="AG122"/>
      <c r="AH122"/>
      <c r="AI122"/>
      <c r="AJ122"/>
      <c r="AL122"/>
      <c r="AM122"/>
      <c r="AN122"/>
      <c r="AO122"/>
      <c r="AP122"/>
      <c r="AQ122"/>
      <c r="AR122"/>
      <c r="AS122"/>
      <c r="AT122"/>
      <c r="AU122"/>
      <c r="AV122"/>
      <c r="AW122"/>
      <c r="AX122"/>
      <c r="AY122" s="8" t="s">
        <v>204</v>
      </c>
      <c r="AZ122" s="8" t="s">
        <v>517</v>
      </c>
      <c r="BA122" s="7">
        <v>2.3E-5</v>
      </c>
      <c r="BK122"/>
      <c r="BL122"/>
      <c r="BM122"/>
    </row>
    <row r="123" spans="23:65" ht="13.5" hidden="1" customHeight="1" x14ac:dyDescent="0.2">
      <c r="W123"/>
      <c r="AF123"/>
      <c r="AG123"/>
      <c r="AH123"/>
      <c r="AI123"/>
      <c r="AJ123"/>
      <c r="AL123"/>
      <c r="AM123"/>
      <c r="AN123"/>
      <c r="AO123"/>
      <c r="AP123"/>
      <c r="AQ123"/>
      <c r="AR123"/>
      <c r="AS123"/>
      <c r="AT123"/>
      <c r="AU123"/>
      <c r="AV123"/>
      <c r="AW123"/>
      <c r="AX123"/>
      <c r="AY123" s="8" t="s">
        <v>205</v>
      </c>
      <c r="AZ123" s="8" t="s">
        <v>518</v>
      </c>
      <c r="BA123" s="7">
        <v>7.6000000000000004E-5</v>
      </c>
      <c r="BK123"/>
      <c r="BL123"/>
      <c r="BM123"/>
    </row>
    <row r="124" spans="23:65" ht="13.5" hidden="1" customHeight="1" x14ac:dyDescent="0.2">
      <c r="W124"/>
      <c r="AF124"/>
      <c r="AG124"/>
      <c r="AH124"/>
      <c r="AI124"/>
      <c r="AJ124"/>
      <c r="AL124"/>
      <c r="AM124"/>
      <c r="AN124"/>
      <c r="AO124"/>
      <c r="AP124"/>
      <c r="AQ124"/>
      <c r="AR124"/>
      <c r="AS124"/>
      <c r="AT124"/>
      <c r="AU124"/>
      <c r="AV124"/>
      <c r="AW124"/>
      <c r="AX124"/>
      <c r="AY124" s="8" t="s">
        <v>206</v>
      </c>
      <c r="AZ124" s="8" t="s">
        <v>519</v>
      </c>
      <c r="BA124" s="7">
        <v>1.7E-5</v>
      </c>
      <c r="BK124"/>
      <c r="BL124"/>
      <c r="BM124"/>
    </row>
    <row r="125" spans="23:65" ht="13.5" hidden="1" customHeight="1" x14ac:dyDescent="0.2">
      <c r="W125"/>
      <c r="AF125"/>
      <c r="AG125"/>
      <c r="AH125"/>
      <c r="AI125"/>
      <c r="AJ125"/>
      <c r="AL125"/>
      <c r="AM125"/>
      <c r="AN125"/>
      <c r="AO125"/>
      <c r="AP125"/>
      <c r="AQ125"/>
      <c r="AR125"/>
      <c r="AS125"/>
      <c r="AT125"/>
      <c r="AU125"/>
      <c r="AV125"/>
      <c r="AW125"/>
      <c r="AX125"/>
      <c r="AY125" s="8" t="s">
        <v>207</v>
      </c>
      <c r="AZ125" s="8" t="s">
        <v>520</v>
      </c>
      <c r="BA125" s="7"/>
      <c r="BK125"/>
      <c r="BL125"/>
      <c r="BM125"/>
    </row>
    <row r="126" spans="23:65" ht="13.5" hidden="1" customHeight="1" x14ac:dyDescent="0.2">
      <c r="W126"/>
      <c r="AF126"/>
      <c r="AG126"/>
      <c r="AH126"/>
      <c r="AI126"/>
      <c r="AJ126"/>
      <c r="AL126"/>
      <c r="AM126"/>
      <c r="AN126"/>
      <c r="AO126"/>
      <c r="AP126"/>
      <c r="AQ126"/>
      <c r="AR126"/>
      <c r="AS126"/>
      <c r="AT126"/>
      <c r="AU126"/>
      <c r="AV126"/>
      <c r="AW126"/>
      <c r="AX126"/>
      <c r="AY126" s="8" t="s">
        <v>208</v>
      </c>
      <c r="AZ126" s="8" t="s">
        <v>521</v>
      </c>
      <c r="BA126" s="7"/>
      <c r="BK126"/>
      <c r="BL126"/>
      <c r="BM126"/>
    </row>
    <row r="127" spans="23:65" ht="13.5" hidden="1" customHeight="1" x14ac:dyDescent="0.2">
      <c r="W127"/>
      <c r="AF127"/>
      <c r="AG127"/>
      <c r="AH127"/>
      <c r="AI127"/>
      <c r="AJ127"/>
      <c r="AL127"/>
      <c r="AM127"/>
      <c r="AN127"/>
      <c r="AO127"/>
      <c r="AP127"/>
      <c r="AQ127"/>
      <c r="AR127"/>
      <c r="AS127"/>
      <c r="AT127"/>
      <c r="AU127"/>
      <c r="AV127"/>
      <c r="AW127"/>
      <c r="AX127"/>
      <c r="AY127" s="8" t="s">
        <v>209</v>
      </c>
      <c r="AZ127" s="8" t="s">
        <v>522</v>
      </c>
      <c r="BA127" s="7">
        <v>6.0000000000000002E-6</v>
      </c>
      <c r="BK127"/>
      <c r="BL127"/>
      <c r="BM127"/>
    </row>
    <row r="128" spans="23:65" ht="13.5" hidden="1" customHeight="1" x14ac:dyDescent="0.2">
      <c r="W128"/>
      <c r="AF128"/>
      <c r="AG128"/>
      <c r="AH128"/>
      <c r="AI128"/>
      <c r="AJ128"/>
      <c r="AL128"/>
      <c r="AM128"/>
      <c r="AN128"/>
      <c r="AO128"/>
      <c r="AP128"/>
      <c r="AQ128"/>
      <c r="AR128"/>
      <c r="AS128"/>
      <c r="AT128"/>
      <c r="AU128"/>
      <c r="AV128"/>
      <c r="AW128"/>
      <c r="AX128"/>
      <c r="AY128" s="8" t="s">
        <v>210</v>
      </c>
      <c r="AZ128" s="8" t="s">
        <v>523</v>
      </c>
      <c r="BA128" s="7">
        <v>3.9999999999999998E-6</v>
      </c>
      <c r="BK128"/>
      <c r="BL128"/>
      <c r="BM128"/>
    </row>
    <row r="129" spans="23:65" ht="13.5" hidden="1" customHeight="1" x14ac:dyDescent="0.2">
      <c r="W129"/>
      <c r="AF129"/>
      <c r="AG129"/>
      <c r="AH129"/>
      <c r="AI129"/>
      <c r="AJ129"/>
      <c r="AL129"/>
      <c r="AM129"/>
      <c r="AN129"/>
      <c r="AO129"/>
      <c r="AP129"/>
      <c r="AQ129"/>
      <c r="AR129"/>
      <c r="AS129"/>
      <c r="AT129"/>
      <c r="AU129"/>
      <c r="AV129"/>
      <c r="AW129"/>
      <c r="AX129"/>
      <c r="AY129" s="8" t="s">
        <v>211</v>
      </c>
      <c r="AZ129" s="8" t="s">
        <v>524</v>
      </c>
      <c r="BA129" s="7"/>
      <c r="BK129"/>
      <c r="BL129"/>
      <c r="BM129"/>
    </row>
    <row r="130" spans="23:65" ht="13.5" hidden="1" customHeight="1" x14ac:dyDescent="0.2">
      <c r="W130"/>
      <c r="AF130"/>
      <c r="AG130"/>
      <c r="AH130"/>
      <c r="AI130"/>
      <c r="AJ130"/>
      <c r="AL130"/>
      <c r="AM130"/>
      <c r="AN130"/>
      <c r="AO130"/>
      <c r="AP130"/>
      <c r="AQ130"/>
      <c r="AR130"/>
      <c r="AS130"/>
      <c r="AT130"/>
      <c r="AU130"/>
      <c r="AV130"/>
      <c r="AW130"/>
      <c r="AX130"/>
      <c r="AY130" s="8" t="s">
        <v>212</v>
      </c>
      <c r="AZ130" s="8" t="s">
        <v>525</v>
      </c>
      <c r="BA130" s="7">
        <v>5.0000000000000001E-4</v>
      </c>
    </row>
    <row r="131" spans="23:65" ht="13.5" hidden="1" customHeight="1" x14ac:dyDescent="0.2">
      <c r="W131"/>
      <c r="AF131"/>
      <c r="AG131"/>
      <c r="AH131"/>
      <c r="AI131"/>
      <c r="AJ131"/>
      <c r="AL131"/>
      <c r="AM131"/>
      <c r="AN131"/>
      <c r="AO131"/>
      <c r="AP131"/>
      <c r="AQ131"/>
      <c r="AR131"/>
      <c r="AS131"/>
      <c r="AT131"/>
      <c r="AU131"/>
      <c r="AV131"/>
      <c r="AW131"/>
      <c r="AX131"/>
      <c r="AY131" s="8" t="s">
        <v>213</v>
      </c>
      <c r="AZ131" s="8" t="s">
        <v>526</v>
      </c>
      <c r="BA131" s="7">
        <v>2.9999999999999997E-4</v>
      </c>
    </row>
    <row r="132" spans="23:65" ht="13.5" hidden="1" customHeight="1" x14ac:dyDescent="0.2">
      <c r="X132" s="4"/>
      <c r="Y132" s="4"/>
      <c r="Z132" s="4"/>
      <c r="AA132" s="4"/>
      <c r="AB132" s="4"/>
      <c r="AC132" s="4"/>
      <c r="AD132" s="4"/>
      <c r="AE132" s="4"/>
      <c r="AF132" s="3"/>
      <c r="AY132" s="8" t="s">
        <v>214</v>
      </c>
      <c r="AZ132" s="8" t="s">
        <v>527</v>
      </c>
      <c r="BA132" s="7">
        <v>8.0000000000000004E-4</v>
      </c>
    </row>
    <row r="133" spans="23:65" ht="13.5" hidden="1" customHeight="1" x14ac:dyDescent="0.2">
      <c r="X133" s="4"/>
      <c r="Y133" s="4"/>
      <c r="Z133" s="4"/>
      <c r="AA133" s="4"/>
      <c r="AB133" s="4"/>
      <c r="AC133" s="4"/>
      <c r="AD133" s="4"/>
      <c r="AE133" s="4"/>
      <c r="AF133" s="3"/>
      <c r="AY133" s="8" t="s">
        <v>215</v>
      </c>
      <c r="AZ133" s="8" t="s">
        <v>528</v>
      </c>
      <c r="BA133" s="7">
        <v>2E-3</v>
      </c>
    </row>
    <row r="134" spans="23:65" ht="13.5" hidden="1" customHeight="1" x14ac:dyDescent="0.2">
      <c r="X134" s="4"/>
      <c r="Y134" s="4"/>
      <c r="Z134" s="4"/>
      <c r="AA134" s="4"/>
      <c r="AB134" s="4"/>
      <c r="AC134" s="4"/>
      <c r="AD134" s="4"/>
      <c r="AE134" s="4"/>
      <c r="AF134" s="3"/>
      <c r="AY134" s="8" t="s">
        <v>216</v>
      </c>
      <c r="AZ134" s="8" t="s">
        <v>529</v>
      </c>
      <c r="BA134" s="7"/>
    </row>
    <row r="135" spans="23:65" ht="13.5" hidden="1" customHeight="1" x14ac:dyDescent="0.2">
      <c r="X135" s="4"/>
      <c r="Y135" s="4"/>
      <c r="Z135" s="4"/>
      <c r="AA135" s="4"/>
      <c r="AB135" s="4"/>
      <c r="AC135" s="4"/>
      <c r="AD135" s="4"/>
      <c r="AE135" s="4"/>
      <c r="AF135" s="3"/>
      <c r="AY135" s="8" t="s">
        <v>217</v>
      </c>
      <c r="AZ135" s="8" t="s">
        <v>530</v>
      </c>
      <c r="BA135" s="7"/>
    </row>
    <row r="136" spans="23:65" ht="13.5" hidden="1" customHeight="1" x14ac:dyDescent="0.2">
      <c r="X136" s="4"/>
      <c r="Y136" s="4"/>
      <c r="Z136" s="4"/>
      <c r="AA136" s="4"/>
      <c r="AB136" s="4"/>
      <c r="AC136" s="4"/>
      <c r="AD136" s="4"/>
      <c r="AE136" s="4"/>
      <c r="AF136" s="3"/>
      <c r="AY136" s="8" t="s">
        <v>218</v>
      </c>
      <c r="AZ136" s="8" t="s">
        <v>531</v>
      </c>
      <c r="BA136" s="7"/>
    </row>
    <row r="137" spans="23:65" ht="13.5" hidden="1" customHeight="1" x14ac:dyDescent="0.2">
      <c r="X137" s="4"/>
      <c r="Y137" s="4"/>
      <c r="Z137" s="4"/>
      <c r="AA137" s="4"/>
      <c r="AB137" s="4"/>
      <c r="AC137" s="4"/>
      <c r="AD137" s="4"/>
      <c r="AE137" s="4"/>
      <c r="AF137" s="3"/>
      <c r="AY137" s="8" t="s">
        <v>219</v>
      </c>
      <c r="AZ137" s="8" t="s">
        <v>532</v>
      </c>
      <c r="BA137" s="7"/>
    </row>
    <row r="138" spans="23:65" ht="13.5" hidden="1" customHeight="1" x14ac:dyDescent="0.2">
      <c r="X138" s="4"/>
      <c r="Y138" s="4"/>
      <c r="Z138" s="4"/>
      <c r="AA138" s="4"/>
      <c r="AB138" s="4"/>
      <c r="AC138" s="4"/>
      <c r="AD138" s="4"/>
      <c r="AE138" s="4"/>
      <c r="AF138" s="3"/>
      <c r="AY138" s="8" t="s">
        <v>220</v>
      </c>
      <c r="AZ138" s="8" t="s">
        <v>533</v>
      </c>
      <c r="BA138" s="7"/>
    </row>
    <row r="139" spans="23:65" ht="13.5" hidden="1" customHeight="1" x14ac:dyDescent="0.2">
      <c r="X139" s="4"/>
      <c r="Y139" s="4"/>
      <c r="Z139" s="4"/>
      <c r="AA139" s="4"/>
      <c r="AB139" s="4"/>
      <c r="AC139" s="4"/>
      <c r="AD139" s="4"/>
      <c r="AE139" s="4"/>
      <c r="AF139" s="3"/>
      <c r="AY139" s="8" t="s">
        <v>221</v>
      </c>
      <c r="AZ139" s="8" t="s">
        <v>534</v>
      </c>
      <c r="BA139" s="7">
        <v>2.0000000000000001E-4</v>
      </c>
    </row>
    <row r="140" spans="23:65" ht="13.5" hidden="1" customHeight="1" x14ac:dyDescent="0.2">
      <c r="X140" s="4"/>
      <c r="Y140" s="4"/>
      <c r="Z140" s="4"/>
      <c r="AA140" s="4"/>
      <c r="AB140" s="4"/>
      <c r="AC140" s="4"/>
      <c r="AD140" s="4"/>
      <c r="AE140" s="4"/>
      <c r="AF140" s="3"/>
      <c r="AY140" s="8" t="s">
        <v>222</v>
      </c>
      <c r="AZ140" s="8" t="s">
        <v>535</v>
      </c>
      <c r="BA140" s="7">
        <v>3.4000000000000002E-4</v>
      </c>
    </row>
    <row r="141" spans="23:65" ht="13.5" hidden="1" customHeight="1" x14ac:dyDescent="0.2">
      <c r="X141" s="4"/>
      <c r="Y141" s="4"/>
      <c r="Z141" s="4"/>
      <c r="AA141" s="4"/>
      <c r="AB141" s="4"/>
      <c r="AC141" s="4"/>
      <c r="AD141" s="4"/>
      <c r="AE141" s="4"/>
      <c r="AF141" s="3"/>
      <c r="AY141" s="8" t="s">
        <v>223</v>
      </c>
      <c r="AZ141" s="8" t="s">
        <v>536</v>
      </c>
      <c r="BA141" s="7"/>
    </row>
    <row r="142" spans="23:65" ht="13.5" hidden="1" customHeight="1" x14ac:dyDescent="0.2">
      <c r="X142" s="4"/>
      <c r="Y142" s="4"/>
      <c r="Z142" s="4"/>
      <c r="AA142" s="4"/>
      <c r="AB142" s="4"/>
      <c r="AC142" s="4"/>
      <c r="AD142" s="4"/>
      <c r="AE142" s="4"/>
      <c r="AF142" s="3"/>
      <c r="AY142" s="8" t="s">
        <v>224</v>
      </c>
      <c r="AZ142" s="8" t="s">
        <v>537</v>
      </c>
      <c r="BA142" s="7"/>
    </row>
    <row r="143" spans="23:65" ht="13.5" hidden="1" customHeight="1" x14ac:dyDescent="0.2">
      <c r="X143" s="4"/>
      <c r="Y143" s="4"/>
      <c r="Z143" s="4"/>
      <c r="AA143" s="4"/>
      <c r="AB143" s="4"/>
      <c r="AC143" s="4"/>
      <c r="AD143" s="4"/>
      <c r="AE143" s="4"/>
      <c r="AF143" s="3"/>
      <c r="AY143" s="8" t="s">
        <v>225</v>
      </c>
      <c r="AZ143" s="8" t="s">
        <v>538</v>
      </c>
      <c r="BA143" s="7"/>
    </row>
    <row r="144" spans="23:65" ht="13.5" hidden="1" customHeight="1" x14ac:dyDescent="0.2">
      <c r="X144" s="4"/>
      <c r="Y144" s="4"/>
      <c r="Z144" s="4"/>
      <c r="AA144" s="4"/>
      <c r="AB144" s="4"/>
      <c r="AC144" s="4"/>
      <c r="AD144" s="4"/>
      <c r="AE144" s="4"/>
      <c r="AF144" s="3"/>
      <c r="AY144" s="8" t="s">
        <v>226</v>
      </c>
      <c r="AZ144" s="8" t="s">
        <v>539</v>
      </c>
      <c r="BA144" s="7">
        <v>1.2E-4</v>
      </c>
    </row>
    <row r="145" spans="24:53" ht="13.5" hidden="1" customHeight="1" x14ac:dyDescent="0.2">
      <c r="X145" s="4"/>
      <c r="Y145" s="4"/>
      <c r="Z145" s="4"/>
      <c r="AA145" s="4"/>
      <c r="AB145" s="4"/>
      <c r="AC145" s="4"/>
      <c r="AD145" s="4"/>
      <c r="AE145" s="4"/>
      <c r="AF145" s="3"/>
      <c r="AY145" s="8" t="s">
        <v>227</v>
      </c>
      <c r="AZ145" s="8" t="s">
        <v>540</v>
      </c>
      <c r="BA145" s="7"/>
    </row>
    <row r="146" spans="24:53" ht="13.5" hidden="1" customHeight="1" x14ac:dyDescent="0.2">
      <c r="X146" s="4"/>
      <c r="Y146" s="4"/>
      <c r="Z146" s="4"/>
      <c r="AA146" s="4"/>
      <c r="AB146" s="4"/>
      <c r="AC146" s="4"/>
      <c r="AD146" s="4"/>
      <c r="AE146" s="4"/>
      <c r="AF146" s="3"/>
      <c r="AY146" s="8" t="s">
        <v>228</v>
      </c>
      <c r="AZ146" s="8" t="s">
        <v>541</v>
      </c>
      <c r="BA146" s="7"/>
    </row>
    <row r="147" spans="24:53" ht="13.5" hidden="1" customHeight="1" x14ac:dyDescent="0.2">
      <c r="X147" s="4"/>
      <c r="Y147" s="4"/>
      <c r="Z147" s="4"/>
      <c r="AA147" s="4"/>
      <c r="AB147" s="4"/>
      <c r="AC147" s="4"/>
      <c r="AD147" s="4"/>
      <c r="AE147" s="4"/>
      <c r="AF147" s="3"/>
      <c r="AY147" s="8" t="s">
        <v>230</v>
      </c>
      <c r="AZ147" s="8" t="s">
        <v>542</v>
      </c>
      <c r="BA147" s="7"/>
    </row>
    <row r="148" spans="24:53" ht="13.5" hidden="1" customHeight="1" x14ac:dyDescent="0.2">
      <c r="X148" s="4"/>
      <c r="Y148" s="4"/>
      <c r="Z148" s="4"/>
      <c r="AA148" s="4"/>
      <c r="AB148" s="4"/>
      <c r="AC148" s="4"/>
      <c r="AD148" s="4"/>
      <c r="AE148" s="4"/>
      <c r="AF148" s="3"/>
      <c r="AY148" s="8" t="s">
        <v>231</v>
      </c>
      <c r="AZ148" s="8" t="s">
        <v>543</v>
      </c>
      <c r="BA148" s="7">
        <v>1.4E-5</v>
      </c>
    </row>
    <row r="149" spans="24:53" ht="13.5" hidden="1" customHeight="1" x14ac:dyDescent="0.2">
      <c r="X149" s="4"/>
      <c r="Y149" s="4"/>
      <c r="Z149" s="4"/>
      <c r="AA149" s="4"/>
      <c r="AB149" s="4"/>
      <c r="AC149" s="4"/>
      <c r="AD149" s="4"/>
      <c r="AE149" s="4"/>
      <c r="AF149" s="3"/>
      <c r="AY149" s="8" t="s">
        <v>232</v>
      </c>
      <c r="AZ149" s="8" t="s">
        <v>544</v>
      </c>
      <c r="BA149" s="7"/>
    </row>
    <row r="150" spans="24:53" ht="13.5" hidden="1" customHeight="1" x14ac:dyDescent="0.2">
      <c r="X150" s="4"/>
      <c r="Y150" s="4"/>
      <c r="Z150" s="4"/>
      <c r="AA150" s="4"/>
      <c r="AB150" s="4"/>
      <c r="AC150" s="4"/>
      <c r="AD150" s="4"/>
      <c r="AE150" s="4"/>
      <c r="AF150" s="3"/>
      <c r="AY150" s="8" t="s">
        <v>233</v>
      </c>
      <c r="AZ150" s="8" t="s">
        <v>545</v>
      </c>
      <c r="BA150" s="7"/>
    </row>
    <row r="151" spans="24:53" ht="13.5" hidden="1" customHeight="1" x14ac:dyDescent="0.2">
      <c r="X151" s="4"/>
      <c r="Y151" s="4"/>
      <c r="Z151" s="4"/>
      <c r="AA151" s="4"/>
      <c r="AB151" s="4"/>
      <c r="AC151" s="4"/>
      <c r="AD151" s="4"/>
      <c r="AE151" s="4"/>
      <c r="AF151" s="3"/>
      <c r="AY151" s="8" t="s">
        <v>234</v>
      </c>
      <c r="AZ151" s="8" t="s">
        <v>546</v>
      </c>
      <c r="BA151" s="7">
        <v>2.0000000000000001E-4</v>
      </c>
    </row>
    <row r="152" spans="24:53" ht="13.5" hidden="1" customHeight="1" x14ac:dyDescent="0.2">
      <c r="X152" s="4"/>
      <c r="Y152" s="4"/>
      <c r="Z152" s="4"/>
      <c r="AA152" s="4"/>
      <c r="AB152" s="4"/>
      <c r="AC152" s="4"/>
      <c r="AD152" s="4"/>
      <c r="AE152" s="4"/>
      <c r="AF152" s="3"/>
      <c r="AY152" s="8" t="s">
        <v>235</v>
      </c>
      <c r="AZ152" s="8" t="s">
        <v>547</v>
      </c>
      <c r="BA152" s="7">
        <v>9.0000000000000006E-5</v>
      </c>
    </row>
    <row r="153" spans="24:53" ht="13.5" hidden="1" customHeight="1" x14ac:dyDescent="0.2">
      <c r="X153" s="4"/>
      <c r="Y153" s="4"/>
      <c r="Z153" s="4"/>
      <c r="AA153" s="4"/>
      <c r="AB153" s="4"/>
      <c r="AC153" s="4"/>
      <c r="AD153" s="4"/>
      <c r="AE153" s="4"/>
      <c r="AF153" s="3"/>
      <c r="AY153" s="8" t="s">
        <v>236</v>
      </c>
      <c r="AZ153" s="8" t="s">
        <v>548</v>
      </c>
      <c r="BA153" s="7"/>
    </row>
    <row r="154" spans="24:53" ht="13.5" hidden="1" customHeight="1" x14ac:dyDescent="0.2">
      <c r="X154" s="4"/>
      <c r="Y154" s="4"/>
      <c r="Z154" s="4"/>
      <c r="AA154" s="4"/>
      <c r="AB154" s="4"/>
      <c r="AC154" s="4"/>
      <c r="AD154" s="4"/>
      <c r="AE154" s="4"/>
      <c r="AF154" s="3"/>
      <c r="AY154" s="8" t="s">
        <v>237</v>
      </c>
      <c r="AZ154" s="8" t="s">
        <v>549</v>
      </c>
      <c r="BA154" s="7">
        <v>5.1999999999999995E-4</v>
      </c>
    </row>
    <row r="155" spans="24:53" ht="13.5" hidden="1" customHeight="1" x14ac:dyDescent="0.2">
      <c r="X155" s="4"/>
      <c r="Y155" s="4"/>
      <c r="Z155" s="4"/>
      <c r="AA155" s="4"/>
      <c r="AB155" s="4"/>
      <c r="AC155" s="4"/>
      <c r="AD155" s="4"/>
      <c r="AE155" s="4"/>
      <c r="AF155" s="3"/>
      <c r="AY155" s="8" t="s">
        <v>238</v>
      </c>
      <c r="AZ155" s="8" t="s">
        <v>550</v>
      </c>
      <c r="BA155" s="7">
        <v>5.0000000000000002E-5</v>
      </c>
    </row>
    <row r="156" spans="24:53" ht="13.5" hidden="1" customHeight="1" x14ac:dyDescent="0.2">
      <c r="X156" s="4"/>
      <c r="Y156" s="4"/>
      <c r="Z156" s="4"/>
      <c r="AA156" s="4"/>
      <c r="AB156" s="4"/>
      <c r="AC156" s="4"/>
      <c r="AD156" s="4"/>
      <c r="AE156" s="4"/>
      <c r="AF156" s="3"/>
      <c r="AY156" s="8" t="s">
        <v>239</v>
      </c>
      <c r="AZ156" s="8" t="s">
        <v>551</v>
      </c>
      <c r="BA156" s="7"/>
    </row>
    <row r="157" spans="24:53" ht="13.5" hidden="1" customHeight="1" x14ac:dyDescent="0.2">
      <c r="X157" s="4"/>
      <c r="Y157" s="4"/>
      <c r="Z157" s="4"/>
      <c r="AA157" s="4"/>
      <c r="AB157" s="4"/>
      <c r="AC157" s="4"/>
      <c r="AD157" s="4"/>
      <c r="AE157" s="4"/>
      <c r="AF157" s="3"/>
      <c r="AY157" s="8" t="s">
        <v>240</v>
      </c>
      <c r="AZ157" s="8" t="s">
        <v>552</v>
      </c>
      <c r="BA157" s="7"/>
    </row>
    <row r="158" spans="24:53" ht="13.5" hidden="1" customHeight="1" x14ac:dyDescent="0.2">
      <c r="X158" s="4"/>
      <c r="Y158" s="4"/>
      <c r="Z158" s="4"/>
      <c r="AA158" s="4"/>
      <c r="AB158" s="4"/>
      <c r="AC158" s="4"/>
      <c r="AD158" s="4"/>
      <c r="AE158" s="4"/>
      <c r="AF158" s="3"/>
      <c r="AY158" s="8" t="s">
        <v>241</v>
      </c>
      <c r="AZ158" s="8" t="s">
        <v>553</v>
      </c>
      <c r="BA158" s="7"/>
    </row>
    <row r="159" spans="24:53" ht="13.5" hidden="1" customHeight="1" x14ac:dyDescent="0.2">
      <c r="X159" s="4"/>
      <c r="Y159" s="4"/>
      <c r="Z159" s="4"/>
      <c r="AA159" s="4"/>
      <c r="AB159" s="4"/>
      <c r="AC159" s="4"/>
      <c r="AD159" s="4"/>
      <c r="AE159" s="4"/>
      <c r="AF159" s="3"/>
      <c r="AY159" s="8" t="s">
        <v>242</v>
      </c>
      <c r="AZ159" s="8" t="s">
        <v>554</v>
      </c>
      <c r="BA159" s="7">
        <v>1.4999999999999999E-4</v>
      </c>
    </row>
    <row r="160" spans="24:53" ht="13.5" hidden="1" customHeight="1" x14ac:dyDescent="0.2">
      <c r="X160" s="4"/>
      <c r="Y160" s="4"/>
      <c r="Z160" s="4"/>
      <c r="AA160" s="4"/>
      <c r="AB160" s="4"/>
      <c r="AC160" s="4"/>
      <c r="AD160" s="4"/>
      <c r="AE160" s="4"/>
      <c r="AF160" s="3"/>
      <c r="AY160" s="8" t="s">
        <v>243</v>
      </c>
      <c r="AZ160" s="8" t="s">
        <v>555</v>
      </c>
      <c r="BA160" s="7"/>
    </row>
    <row r="161" spans="24:53" ht="13.5" hidden="1" customHeight="1" x14ac:dyDescent="0.2">
      <c r="X161" s="4"/>
      <c r="Y161" s="4"/>
      <c r="Z161" s="4"/>
      <c r="AA161" s="4"/>
      <c r="AB161" s="4"/>
      <c r="AC161" s="4"/>
      <c r="AD161" s="4"/>
      <c r="AE161" s="4"/>
      <c r="AF161" s="3"/>
      <c r="AY161" s="8" t="s">
        <v>244</v>
      </c>
      <c r="AZ161" s="8" t="s">
        <v>556</v>
      </c>
      <c r="BA161" s="7"/>
    </row>
    <row r="162" spans="24:53" ht="13.5" hidden="1" customHeight="1" x14ac:dyDescent="0.2">
      <c r="X162" s="4"/>
      <c r="Y162" s="4"/>
      <c r="Z162" s="4"/>
      <c r="AA162" s="4"/>
      <c r="AB162" s="4"/>
      <c r="AC162" s="4"/>
      <c r="AD162" s="4"/>
      <c r="AE162" s="4"/>
      <c r="AF162" s="3"/>
      <c r="AY162" s="8" t="s">
        <v>245</v>
      </c>
      <c r="AZ162" s="8" t="s">
        <v>557</v>
      </c>
      <c r="BA162" s="7"/>
    </row>
    <row r="163" spans="24:53" ht="13.5" hidden="1" customHeight="1" x14ac:dyDescent="0.2">
      <c r="X163" s="4"/>
      <c r="Y163" s="4"/>
      <c r="Z163" s="4"/>
      <c r="AA163" s="4"/>
      <c r="AB163" s="4"/>
      <c r="AC163" s="4"/>
      <c r="AD163" s="4"/>
      <c r="AE163" s="4"/>
      <c r="AF163" s="3"/>
      <c r="AY163" s="8" t="s">
        <v>246</v>
      </c>
      <c r="AZ163" s="8" t="s">
        <v>558</v>
      </c>
      <c r="BA163" s="7"/>
    </row>
    <row r="164" spans="24:53" ht="13.5" hidden="1" customHeight="1" x14ac:dyDescent="0.2">
      <c r="X164" s="4"/>
      <c r="Y164" s="4"/>
      <c r="Z164" s="4"/>
      <c r="AA164" s="4"/>
      <c r="AB164" s="4"/>
      <c r="AC164" s="4"/>
      <c r="AD164" s="4"/>
      <c r="AE164" s="4"/>
      <c r="AF164" s="3"/>
      <c r="AY164" s="8" t="s">
        <v>247</v>
      </c>
      <c r="AZ164" s="8" t="s">
        <v>559</v>
      </c>
      <c r="BA164" s="7"/>
    </row>
    <row r="165" spans="24:53" ht="13.5" hidden="1" customHeight="1" x14ac:dyDescent="0.2">
      <c r="X165" s="4"/>
      <c r="Y165" s="4"/>
      <c r="Z165" s="4"/>
      <c r="AA165" s="4"/>
      <c r="AB165" s="4"/>
      <c r="AC165" s="4"/>
      <c r="AD165" s="4"/>
      <c r="AE165" s="4"/>
      <c r="AF165" s="3"/>
      <c r="AY165" s="8" t="s">
        <v>248</v>
      </c>
      <c r="AZ165" s="8" t="s">
        <v>560</v>
      </c>
      <c r="BA165" s="7"/>
    </row>
    <row r="166" spans="24:53" ht="13.5" hidden="1" customHeight="1" x14ac:dyDescent="0.2">
      <c r="X166" s="4"/>
      <c r="Y166" s="4"/>
      <c r="Z166" s="4"/>
      <c r="AA166" s="4"/>
      <c r="AB166" s="4"/>
      <c r="AC166" s="4"/>
      <c r="AD166" s="4"/>
      <c r="AE166" s="4"/>
      <c r="AF166" s="3"/>
      <c r="AY166" s="8" t="s">
        <v>249</v>
      </c>
      <c r="AZ166" s="8" t="s">
        <v>561</v>
      </c>
      <c r="BA166" s="7"/>
    </row>
    <row r="167" spans="24:53" ht="13.5" hidden="1" customHeight="1" x14ac:dyDescent="0.2">
      <c r="X167" s="4"/>
      <c r="Y167" s="4"/>
      <c r="Z167" s="4"/>
      <c r="AA167" s="4"/>
      <c r="AB167" s="4"/>
      <c r="AC167" s="4"/>
      <c r="AD167" s="4"/>
      <c r="AE167" s="4"/>
      <c r="AF167" s="3"/>
      <c r="AY167" s="8" t="s">
        <v>250</v>
      </c>
      <c r="AZ167" s="8" t="s">
        <v>562</v>
      </c>
      <c r="BA167" s="7"/>
    </row>
    <row r="168" spans="24:53" ht="13.5" hidden="1" customHeight="1" x14ac:dyDescent="0.2">
      <c r="X168" s="4"/>
      <c r="Y168" s="4"/>
      <c r="Z168" s="4"/>
      <c r="AA168" s="4"/>
      <c r="AB168" s="4"/>
      <c r="AC168" s="4"/>
      <c r="AD168" s="4"/>
      <c r="AE168" s="4"/>
      <c r="AF168" s="3"/>
      <c r="AY168" s="8" t="s">
        <v>251</v>
      </c>
      <c r="AZ168" s="8" t="s">
        <v>563</v>
      </c>
      <c r="BA168" s="7"/>
    </row>
    <row r="169" spans="24:53" ht="13.5" hidden="1" customHeight="1" x14ac:dyDescent="0.2">
      <c r="X169" s="4"/>
      <c r="Y169" s="4"/>
      <c r="Z169" s="4"/>
      <c r="AA169" s="4"/>
      <c r="AB169" s="4"/>
      <c r="AC169" s="4"/>
      <c r="AD169" s="4"/>
      <c r="AE169" s="4"/>
      <c r="AF169" s="3"/>
      <c r="AY169" s="8" t="s">
        <v>252</v>
      </c>
      <c r="AZ169" s="8" t="s">
        <v>564</v>
      </c>
      <c r="BA169" s="7">
        <v>9.0000000000000002E-6</v>
      </c>
    </row>
    <row r="170" spans="24:53" ht="13.5" hidden="1" customHeight="1" x14ac:dyDescent="0.2">
      <c r="X170" s="4"/>
      <c r="Y170" s="4"/>
      <c r="Z170" s="4"/>
      <c r="AA170" s="4"/>
      <c r="AB170" s="4"/>
      <c r="AC170" s="4"/>
      <c r="AD170" s="4"/>
      <c r="AE170" s="4"/>
      <c r="AF170" s="3"/>
      <c r="AY170" s="8" t="s">
        <v>253</v>
      </c>
      <c r="AZ170" s="8" t="s">
        <v>565</v>
      </c>
      <c r="BA170" s="7"/>
    </row>
    <row r="171" spans="24:53" ht="13.5" hidden="1" customHeight="1" x14ac:dyDescent="0.2">
      <c r="X171" s="4"/>
      <c r="Y171" s="4"/>
      <c r="Z171" s="4"/>
      <c r="AA171" s="4"/>
      <c r="AB171" s="4"/>
      <c r="AC171" s="4"/>
      <c r="AD171" s="4"/>
      <c r="AE171" s="4"/>
      <c r="AF171" s="3"/>
      <c r="AY171" s="8" t="s">
        <v>254</v>
      </c>
      <c r="AZ171" s="8" t="s">
        <v>566</v>
      </c>
      <c r="BA171" s="7"/>
    </row>
    <row r="172" spans="24:53" hidden="1" x14ac:dyDescent="0.2">
      <c r="X172" s="4"/>
      <c r="Y172" s="4"/>
      <c r="Z172" s="4"/>
      <c r="AA172" s="4"/>
      <c r="AB172" s="4"/>
      <c r="AC172" s="4"/>
      <c r="AD172" s="4"/>
      <c r="AE172" s="4"/>
      <c r="AF172" s="3"/>
      <c r="AY172" s="8" t="s">
        <v>255</v>
      </c>
      <c r="AZ172" s="8" t="s">
        <v>567</v>
      </c>
      <c r="BA172" s="7">
        <v>3.0000000000000001E-5</v>
      </c>
    </row>
    <row r="173" spans="24:53" hidden="1" x14ac:dyDescent="0.2">
      <c r="X173" s="4"/>
      <c r="Y173" s="4"/>
      <c r="Z173" s="4"/>
      <c r="AA173" s="4"/>
      <c r="AB173" s="4"/>
      <c r="AC173" s="4"/>
      <c r="AD173" s="4"/>
      <c r="AE173" s="4"/>
      <c r="AF173" s="3"/>
      <c r="AY173" s="8" t="s">
        <v>1223</v>
      </c>
      <c r="AZ173" s="8" t="s">
        <v>1224</v>
      </c>
      <c r="BA173" s="7"/>
    </row>
    <row r="174" spans="24:53" hidden="1" x14ac:dyDescent="0.2">
      <c r="X174" s="4"/>
      <c r="Y174" s="4"/>
      <c r="Z174" s="4"/>
      <c r="AA174" s="4"/>
      <c r="AB174" s="4"/>
      <c r="AC174" s="4"/>
      <c r="AD174" s="4"/>
      <c r="AE174" s="4"/>
      <c r="AF174" s="3"/>
      <c r="AY174" s="8" t="s">
        <v>256</v>
      </c>
      <c r="AZ174" s="8" t="s">
        <v>568</v>
      </c>
      <c r="BA174" s="7"/>
    </row>
    <row r="175" spans="24:53" hidden="1" x14ac:dyDescent="0.2">
      <c r="X175" s="4"/>
      <c r="Y175" s="4"/>
      <c r="Z175" s="4"/>
      <c r="AA175" s="4"/>
      <c r="AB175" s="4"/>
      <c r="AC175" s="4"/>
      <c r="AD175" s="4"/>
      <c r="AE175" s="4"/>
      <c r="AF175" s="3"/>
      <c r="AY175" s="8" t="s">
        <v>257</v>
      </c>
      <c r="AZ175" s="8" t="s">
        <v>569</v>
      </c>
      <c r="BA175" s="7"/>
    </row>
    <row r="176" spans="24:53" hidden="1" x14ac:dyDescent="0.2">
      <c r="X176" s="4"/>
      <c r="Y176" s="4"/>
      <c r="Z176" s="4"/>
      <c r="AA176" s="4"/>
      <c r="AB176" s="4"/>
      <c r="AC176" s="4"/>
      <c r="AD176" s="4"/>
      <c r="AE176" s="4"/>
      <c r="AF176" s="3"/>
      <c r="AY176" s="8" t="s">
        <v>258</v>
      </c>
      <c r="AZ176" s="8" t="s">
        <v>570</v>
      </c>
      <c r="BA176" s="7"/>
    </row>
    <row r="177" spans="24:53" hidden="1" x14ac:dyDescent="0.2">
      <c r="X177" s="4"/>
      <c r="Y177" s="4"/>
      <c r="Z177" s="4"/>
      <c r="AA177" s="4"/>
      <c r="AB177" s="4"/>
      <c r="AC177" s="4"/>
      <c r="AD177" s="4"/>
      <c r="AE177" s="4"/>
      <c r="AF177" s="3"/>
      <c r="AY177" s="8" t="s">
        <v>1225</v>
      </c>
      <c r="AZ177" s="8" t="s">
        <v>1226</v>
      </c>
      <c r="BA177" s="7">
        <v>1E-4</v>
      </c>
    </row>
    <row r="178" spans="24:53" hidden="1" x14ac:dyDescent="0.2">
      <c r="X178" s="4"/>
      <c r="Y178" s="4"/>
      <c r="Z178" s="4"/>
      <c r="AA178" s="4"/>
      <c r="AB178" s="4"/>
      <c r="AC178" s="4"/>
      <c r="AD178" s="4"/>
      <c r="AE178" s="4"/>
      <c r="AF178" s="3"/>
      <c r="AY178" s="8" t="s">
        <v>259</v>
      </c>
      <c r="AZ178" s="8" t="s">
        <v>571</v>
      </c>
      <c r="BA178" s="7"/>
    </row>
    <row r="179" spans="24:53" hidden="1" x14ac:dyDescent="0.2">
      <c r="X179" s="4"/>
      <c r="Y179" s="4"/>
      <c r="Z179" s="4"/>
      <c r="AA179" s="4"/>
      <c r="AB179" s="4"/>
      <c r="AC179" s="4"/>
      <c r="AD179" s="4"/>
      <c r="AE179" s="4"/>
      <c r="AF179" s="3"/>
      <c r="AY179" s="8" t="s">
        <v>260</v>
      </c>
      <c r="AZ179" s="8" t="s">
        <v>572</v>
      </c>
      <c r="BA179" s="7"/>
    </row>
    <row r="180" spans="24:53" hidden="1" x14ac:dyDescent="0.2">
      <c r="X180" s="4"/>
      <c r="Y180" s="4"/>
      <c r="Z180" s="4"/>
      <c r="AA180" s="4"/>
      <c r="AB180" s="4"/>
      <c r="AC180" s="4"/>
      <c r="AD180" s="4"/>
      <c r="AE180" s="4"/>
      <c r="AF180" s="3"/>
      <c r="AY180" s="8" t="s">
        <v>261</v>
      </c>
      <c r="AZ180" s="8" t="s">
        <v>573</v>
      </c>
      <c r="BA180" s="7"/>
    </row>
    <row r="181" spans="24:53" hidden="1" x14ac:dyDescent="0.2">
      <c r="X181" s="4"/>
      <c r="Y181" s="4"/>
      <c r="Z181" s="4"/>
      <c r="AA181" s="4"/>
      <c r="AB181" s="4"/>
      <c r="AC181" s="4"/>
      <c r="AD181" s="4"/>
      <c r="AE181" s="4"/>
      <c r="AF181" s="3"/>
      <c r="AY181" s="8" t="s">
        <v>262</v>
      </c>
      <c r="AZ181" s="8" t="s">
        <v>574</v>
      </c>
      <c r="BA181" s="7">
        <v>1.9999999999999999E-6</v>
      </c>
    </row>
    <row r="182" spans="24:53" hidden="1" x14ac:dyDescent="0.2">
      <c r="X182" s="4"/>
      <c r="Y182" s="4"/>
      <c r="Z182" s="4"/>
      <c r="AA182" s="4"/>
      <c r="AB182" s="4"/>
      <c r="AC182" s="4"/>
      <c r="AD182" s="4"/>
      <c r="AE182" s="4"/>
      <c r="AF182" s="3"/>
      <c r="AY182" s="8" t="s">
        <v>263</v>
      </c>
      <c r="AZ182" s="8" t="s">
        <v>575</v>
      </c>
      <c r="BA182" s="7"/>
    </row>
    <row r="183" spans="24:53" hidden="1" x14ac:dyDescent="0.2">
      <c r="X183" s="4"/>
      <c r="Y183" s="4"/>
      <c r="Z183" s="4"/>
      <c r="AA183" s="4"/>
      <c r="AB183" s="4"/>
      <c r="AC183" s="4"/>
      <c r="AD183" s="4"/>
      <c r="AE183" s="4"/>
      <c r="AF183" s="3"/>
      <c r="AY183" s="8" t="s">
        <v>264</v>
      </c>
      <c r="AZ183" s="8" t="s">
        <v>576</v>
      </c>
      <c r="BA183" s="7"/>
    </row>
    <row r="184" spans="24:53" hidden="1" x14ac:dyDescent="0.2">
      <c r="X184" s="4"/>
      <c r="Y184" s="4"/>
      <c r="Z184" s="4"/>
      <c r="AA184" s="4"/>
      <c r="AB184" s="4"/>
      <c r="AC184" s="4"/>
      <c r="AD184" s="4"/>
      <c r="AE184" s="4"/>
      <c r="AF184" s="3"/>
      <c r="AY184" s="8" t="s">
        <v>265</v>
      </c>
      <c r="AZ184" s="8" t="s">
        <v>577</v>
      </c>
      <c r="BA184" s="7">
        <v>4.8999999999999998E-4</v>
      </c>
    </row>
    <row r="185" spans="24:53" hidden="1" x14ac:dyDescent="0.2">
      <c r="X185" s="4"/>
      <c r="Y185" s="4"/>
      <c r="Z185" s="4"/>
      <c r="AA185" s="4"/>
      <c r="AB185" s="4"/>
      <c r="AC185" s="4"/>
      <c r="AD185" s="4"/>
      <c r="AE185" s="4"/>
      <c r="AF185" s="3"/>
      <c r="AY185" s="8" t="s">
        <v>266</v>
      </c>
      <c r="AZ185" s="8" t="s">
        <v>578</v>
      </c>
      <c r="BA185" s="7"/>
    </row>
    <row r="186" spans="24:53" hidden="1" x14ac:dyDescent="0.2">
      <c r="X186" s="4"/>
      <c r="Y186" s="4"/>
      <c r="Z186" s="4"/>
      <c r="AA186" s="4"/>
      <c r="AB186" s="4"/>
      <c r="AC186" s="4"/>
      <c r="AD186" s="4"/>
      <c r="AE186" s="4"/>
      <c r="AF186" s="3"/>
      <c r="AY186" s="8" t="s">
        <v>267</v>
      </c>
      <c r="AZ186" s="8" t="s">
        <v>579</v>
      </c>
      <c r="BA186" s="7"/>
    </row>
    <row r="187" spans="24:53" hidden="1" x14ac:dyDescent="0.2">
      <c r="X187" s="4"/>
      <c r="Y187" s="4"/>
      <c r="Z187" s="4"/>
      <c r="AA187" s="4"/>
      <c r="AB187" s="4"/>
      <c r="AC187" s="4"/>
      <c r="AD187" s="4"/>
      <c r="AE187" s="4"/>
      <c r="AF187" s="3"/>
      <c r="AY187" s="8" t="s">
        <v>268</v>
      </c>
      <c r="AZ187" s="8" t="s">
        <v>580</v>
      </c>
      <c r="BA187" s="7"/>
    </row>
    <row r="188" spans="24:53" hidden="1" x14ac:dyDescent="0.2">
      <c r="X188" s="4"/>
      <c r="Y188" s="4"/>
      <c r="Z188" s="4"/>
      <c r="AA188" s="4"/>
      <c r="AB188" s="4"/>
      <c r="AC188" s="4"/>
      <c r="AD188" s="4"/>
      <c r="AE188" s="4"/>
      <c r="AF188" s="3"/>
      <c r="AY188" s="8" t="s">
        <v>269</v>
      </c>
      <c r="AZ188" s="8" t="s">
        <v>581</v>
      </c>
      <c r="BA188" s="7">
        <v>2.9E-4</v>
      </c>
    </row>
    <row r="189" spans="24:53" hidden="1" x14ac:dyDescent="0.2">
      <c r="X189" s="4"/>
      <c r="Y189" s="4"/>
      <c r="Z189" s="4"/>
      <c r="AA189" s="4"/>
      <c r="AB189" s="4"/>
      <c r="AC189" s="4"/>
      <c r="AD189" s="4"/>
      <c r="AE189" s="4"/>
      <c r="AF189" s="3"/>
      <c r="AY189" s="8" t="s">
        <v>270</v>
      </c>
      <c r="AZ189" s="8" t="s">
        <v>582</v>
      </c>
      <c r="BA189" s="7"/>
    </row>
    <row r="190" spans="24:53" hidden="1" x14ac:dyDescent="0.2">
      <c r="X190" s="4"/>
      <c r="Y190" s="4"/>
      <c r="Z190" s="4"/>
      <c r="AA190" s="4"/>
      <c r="AB190" s="4"/>
      <c r="AC190" s="4"/>
      <c r="AD190" s="4"/>
      <c r="AE190" s="4"/>
      <c r="AF190" s="3"/>
      <c r="AY190" s="8" t="s">
        <v>271</v>
      </c>
      <c r="AZ190" s="8" t="s">
        <v>583</v>
      </c>
      <c r="BA190" s="7"/>
    </row>
    <row r="191" spans="24:53" hidden="1" x14ac:dyDescent="0.2">
      <c r="X191" s="4"/>
      <c r="Y191" s="4"/>
      <c r="Z191" s="4"/>
      <c r="AA191" s="4"/>
      <c r="AB191" s="4"/>
      <c r="AC191" s="4"/>
      <c r="AD191" s="4"/>
      <c r="AE191" s="4"/>
      <c r="AF191" s="3"/>
      <c r="AY191" s="8" t="s">
        <v>272</v>
      </c>
      <c r="AZ191" s="8" t="s">
        <v>584</v>
      </c>
      <c r="BA191" s="7"/>
    </row>
    <row r="192" spans="24:53" hidden="1" x14ac:dyDescent="0.2">
      <c r="X192" s="4"/>
      <c r="Y192" s="4"/>
      <c r="Z192" s="4"/>
      <c r="AA192" s="4"/>
      <c r="AB192" s="4"/>
      <c r="AC192" s="4"/>
      <c r="AD192" s="4"/>
      <c r="AE192" s="4"/>
      <c r="AF192" s="3"/>
      <c r="AY192" s="8" t="s">
        <v>273</v>
      </c>
      <c r="AZ192" s="8" t="s">
        <v>585</v>
      </c>
      <c r="BA192" s="7">
        <v>3.6000000000000002E-4</v>
      </c>
    </row>
    <row r="193" spans="24:53" hidden="1" x14ac:dyDescent="0.2">
      <c r="X193" s="4"/>
      <c r="Y193" s="4"/>
      <c r="Z193" s="4"/>
      <c r="AA193" s="4"/>
      <c r="AB193" s="4"/>
      <c r="AC193" s="4"/>
      <c r="AD193" s="4"/>
      <c r="AE193" s="4"/>
      <c r="AF193" s="3"/>
      <c r="AY193" s="8" t="s">
        <v>274</v>
      </c>
      <c r="AZ193" s="8" t="s">
        <v>586</v>
      </c>
      <c r="BA193" s="7"/>
    </row>
    <row r="194" spans="24:53" hidden="1" x14ac:dyDescent="0.2">
      <c r="X194" s="4"/>
      <c r="Y194" s="4"/>
      <c r="Z194" s="4"/>
      <c r="AA194" s="4"/>
      <c r="AB194" s="4"/>
      <c r="AC194" s="4"/>
      <c r="AD194" s="4"/>
      <c r="AE194" s="4"/>
      <c r="AF194" s="3"/>
      <c r="AY194" s="8" t="s">
        <v>275</v>
      </c>
      <c r="AZ194" s="8" t="s">
        <v>587</v>
      </c>
      <c r="BA194" s="7">
        <v>2.5000000000000001E-3</v>
      </c>
    </row>
    <row r="195" spans="24:53" hidden="1" x14ac:dyDescent="0.2">
      <c r="X195" s="4"/>
      <c r="Y195" s="4"/>
      <c r="Z195" s="4"/>
      <c r="AA195" s="4"/>
      <c r="AB195" s="4"/>
      <c r="AC195" s="4"/>
      <c r="AD195" s="4"/>
      <c r="AE195" s="4"/>
      <c r="AF195" s="3"/>
      <c r="AY195" s="8" t="s">
        <v>276</v>
      </c>
      <c r="AZ195" s="8" t="s">
        <v>588</v>
      </c>
      <c r="BA195" s="7"/>
    </row>
    <row r="196" spans="24:53" hidden="1" x14ac:dyDescent="0.2">
      <c r="X196" s="4"/>
      <c r="Y196" s="4"/>
      <c r="Z196" s="4"/>
      <c r="AA196" s="4"/>
      <c r="AB196" s="4"/>
      <c r="AC196" s="4"/>
      <c r="AD196" s="4"/>
      <c r="AE196" s="4"/>
      <c r="AF196" s="3"/>
      <c r="AY196" s="8" t="s">
        <v>277</v>
      </c>
      <c r="AZ196" s="8" t="s">
        <v>589</v>
      </c>
      <c r="BA196" s="7"/>
    </row>
    <row r="197" spans="24:53" hidden="1" x14ac:dyDescent="0.2">
      <c r="X197" s="4"/>
      <c r="Y197" s="4"/>
      <c r="Z197" s="4"/>
      <c r="AA197" s="4"/>
      <c r="AB197" s="4"/>
      <c r="AC197" s="4"/>
      <c r="AD197" s="4"/>
      <c r="AE197" s="4"/>
      <c r="AF197" s="3"/>
      <c r="AY197" s="8" t="s">
        <v>278</v>
      </c>
      <c r="AZ197" s="8" t="s">
        <v>590</v>
      </c>
      <c r="BA197" s="7">
        <v>5.0000000000000001E-4</v>
      </c>
    </row>
    <row r="198" spans="24:53" hidden="1" x14ac:dyDescent="0.2">
      <c r="X198" s="4"/>
      <c r="Y198" s="4"/>
      <c r="Z198" s="4"/>
      <c r="AA198" s="4"/>
      <c r="AB198" s="4"/>
      <c r="AC198" s="4"/>
      <c r="AD198" s="4"/>
      <c r="AE198" s="4"/>
      <c r="AF198" s="3"/>
      <c r="AY198" s="8" t="s">
        <v>279</v>
      </c>
      <c r="AZ198" s="8" t="s">
        <v>591</v>
      </c>
      <c r="BA198" s="7">
        <v>1E-3</v>
      </c>
    </row>
    <row r="199" spans="24:53" hidden="1" x14ac:dyDescent="0.2">
      <c r="X199" s="4"/>
      <c r="Y199" s="4"/>
      <c r="Z199" s="4"/>
      <c r="AA199" s="4"/>
      <c r="AB199" s="4"/>
      <c r="AC199" s="4"/>
      <c r="AD199" s="4"/>
      <c r="AE199" s="4"/>
      <c r="AF199" s="3"/>
      <c r="AY199" s="8" t="s">
        <v>280</v>
      </c>
      <c r="AZ199" s="8" t="s">
        <v>592</v>
      </c>
      <c r="BA199" s="7">
        <v>5.0000000000000001E-4</v>
      </c>
    </row>
    <row r="200" spans="24:53" hidden="1" x14ac:dyDescent="0.2">
      <c r="X200" s="4"/>
      <c r="Y200" s="4"/>
      <c r="Z200" s="4"/>
      <c r="AA200" s="4"/>
      <c r="AB200" s="4"/>
      <c r="AC200" s="4"/>
      <c r="AD200" s="4"/>
      <c r="AE200" s="4"/>
      <c r="AF200" s="3"/>
      <c r="AY200" s="8" t="s">
        <v>281</v>
      </c>
      <c r="AZ200" s="8" t="s">
        <v>593</v>
      </c>
      <c r="BA200" s="7">
        <v>2.9999999999999997E-4</v>
      </c>
    </row>
    <row r="201" spans="24:53" hidden="1" x14ac:dyDescent="0.2">
      <c r="X201" s="4"/>
      <c r="Y201" s="4"/>
      <c r="Z201" s="4"/>
      <c r="AA201" s="4"/>
      <c r="AB201" s="4"/>
      <c r="AC201" s="4"/>
      <c r="AD201" s="4"/>
      <c r="AE201" s="4"/>
      <c r="AF201" s="3"/>
      <c r="AY201" s="8" t="s">
        <v>282</v>
      </c>
      <c r="AZ201" s="8" t="s">
        <v>594</v>
      </c>
      <c r="BA201" s="7"/>
    </row>
    <row r="202" spans="24:53" hidden="1" x14ac:dyDescent="0.2">
      <c r="X202" s="4"/>
      <c r="Y202" s="4"/>
      <c r="Z202" s="4"/>
      <c r="AA202" s="4"/>
      <c r="AB202" s="4"/>
      <c r="AC202" s="4"/>
      <c r="AD202" s="4"/>
      <c r="AE202" s="4"/>
      <c r="AF202" s="3"/>
      <c r="AY202" s="8" t="s">
        <v>283</v>
      </c>
      <c r="AZ202" s="8" t="s">
        <v>595</v>
      </c>
      <c r="BA202" s="7">
        <v>5.9999999999999995E-4</v>
      </c>
    </row>
    <row r="203" spans="24:53" hidden="1" x14ac:dyDescent="0.2">
      <c r="X203" s="4"/>
      <c r="Y203" s="4"/>
      <c r="Z203" s="4"/>
      <c r="AA203" s="4"/>
      <c r="AB203" s="4"/>
      <c r="AC203" s="4"/>
      <c r="AD203" s="4"/>
      <c r="AE203" s="4"/>
      <c r="AF203" s="3"/>
      <c r="AY203" s="8" t="s">
        <v>284</v>
      </c>
      <c r="AZ203" s="8" t="s">
        <v>596</v>
      </c>
      <c r="BA203" s="7"/>
    </row>
    <row r="204" spans="24:53" hidden="1" x14ac:dyDescent="0.2">
      <c r="X204" s="4"/>
      <c r="Y204" s="4"/>
      <c r="Z204" s="4"/>
      <c r="AA204" s="4"/>
      <c r="AB204" s="4"/>
      <c r="AC204" s="4"/>
      <c r="AD204" s="4"/>
      <c r="AE204" s="4"/>
      <c r="AF204" s="3"/>
      <c r="AY204" s="8" t="s">
        <v>285</v>
      </c>
      <c r="AZ204" s="8" t="s">
        <v>597</v>
      </c>
      <c r="BA204" s="7">
        <v>2.9999999999999997E-4</v>
      </c>
    </row>
    <row r="205" spans="24:53" hidden="1" x14ac:dyDescent="0.2">
      <c r="X205" s="4"/>
      <c r="Y205" s="4"/>
      <c r="Z205" s="4"/>
      <c r="AA205" s="4"/>
      <c r="AB205" s="4"/>
      <c r="AC205" s="4"/>
      <c r="AD205" s="4"/>
      <c r="AE205" s="4"/>
      <c r="AF205" s="3"/>
      <c r="AY205" s="8" t="s">
        <v>286</v>
      </c>
      <c r="AZ205" s="8" t="s">
        <v>598</v>
      </c>
      <c r="BA205" s="7"/>
    </row>
    <row r="206" spans="24:53" hidden="1" x14ac:dyDescent="0.2">
      <c r="X206" s="4"/>
      <c r="Y206" s="4"/>
      <c r="Z206" s="4"/>
      <c r="AA206" s="4"/>
      <c r="AB206" s="4"/>
      <c r="AC206" s="4"/>
      <c r="AD206" s="4"/>
      <c r="AE206" s="4"/>
      <c r="AF206" s="3"/>
      <c r="AY206" s="8" t="s">
        <v>287</v>
      </c>
      <c r="AZ206" s="8" t="s">
        <v>599</v>
      </c>
      <c r="BA206" s="7"/>
    </row>
    <row r="207" spans="24:53" hidden="1" x14ac:dyDescent="0.2">
      <c r="X207" s="4"/>
      <c r="Y207" s="4"/>
      <c r="Z207" s="4"/>
      <c r="AA207" s="4"/>
      <c r="AB207" s="4"/>
      <c r="AC207" s="4"/>
      <c r="AD207" s="4"/>
      <c r="AE207" s="4"/>
      <c r="AF207" s="3"/>
      <c r="AY207" s="8" t="s">
        <v>288</v>
      </c>
      <c r="AZ207" s="8" t="s">
        <v>600</v>
      </c>
      <c r="BA207" s="7">
        <v>6.6000000000000005E-5</v>
      </c>
    </row>
    <row r="208" spans="24:53" hidden="1" x14ac:dyDescent="0.2">
      <c r="X208" s="4"/>
      <c r="Y208" s="4"/>
      <c r="Z208" s="4"/>
      <c r="AA208" s="4"/>
      <c r="AB208" s="4"/>
      <c r="AC208" s="4"/>
      <c r="AD208" s="4"/>
      <c r="AE208" s="4"/>
      <c r="AF208" s="3"/>
      <c r="AY208" s="8" t="s">
        <v>289</v>
      </c>
      <c r="AZ208" s="8" t="s">
        <v>601</v>
      </c>
      <c r="BA208" s="7">
        <v>6.0000000000000002E-6</v>
      </c>
    </row>
    <row r="209" spans="24:53" hidden="1" x14ac:dyDescent="0.2">
      <c r="X209" s="4"/>
      <c r="Y209" s="4"/>
      <c r="Z209" s="4"/>
      <c r="AA209" s="4"/>
      <c r="AB209" s="4"/>
      <c r="AC209" s="4"/>
      <c r="AD209" s="4"/>
      <c r="AE209" s="4"/>
      <c r="AF209" s="3"/>
      <c r="AY209" s="8" t="s">
        <v>290</v>
      </c>
      <c r="AZ209" s="8" t="s">
        <v>602</v>
      </c>
      <c r="BA209" s="7">
        <v>2.3E-5</v>
      </c>
    </row>
    <row r="210" spans="24:53" hidden="1" x14ac:dyDescent="0.2">
      <c r="X210" s="4"/>
      <c r="Y210" s="4"/>
      <c r="Z210" s="4"/>
      <c r="AA210" s="4"/>
      <c r="AB210" s="4"/>
      <c r="AC210" s="4"/>
      <c r="AD210" s="4"/>
      <c r="AE210" s="4"/>
      <c r="AF210" s="3"/>
      <c r="AY210" s="8" t="s">
        <v>291</v>
      </c>
      <c r="AZ210" s="8" t="s">
        <v>603</v>
      </c>
      <c r="BA210" s="7"/>
    </row>
    <row r="211" spans="24:53" hidden="1" x14ac:dyDescent="0.2">
      <c r="X211" s="4"/>
      <c r="Y211" s="4"/>
      <c r="Z211" s="4"/>
      <c r="AA211" s="4"/>
      <c r="AB211" s="4"/>
      <c r="AC211" s="4"/>
      <c r="AD211" s="4"/>
      <c r="AE211" s="4"/>
      <c r="AF211" s="3"/>
      <c r="AY211" s="8" t="s">
        <v>292</v>
      </c>
      <c r="AZ211" s="8" t="s">
        <v>604</v>
      </c>
      <c r="BA211" s="7"/>
    </row>
    <row r="212" spans="24:53" hidden="1" x14ac:dyDescent="0.2">
      <c r="X212" s="4"/>
      <c r="Y212" s="4"/>
      <c r="Z212" s="4"/>
      <c r="AA212" s="4"/>
      <c r="AB212" s="4"/>
      <c r="AC212" s="4"/>
      <c r="AD212" s="4"/>
      <c r="AE212" s="4"/>
      <c r="AF212" s="3"/>
      <c r="AY212" s="8" t="s">
        <v>293</v>
      </c>
      <c r="AZ212" s="8" t="s">
        <v>605</v>
      </c>
      <c r="BA212" s="7">
        <v>2.0000000000000001E-4</v>
      </c>
    </row>
    <row r="213" spans="24:53" hidden="1" x14ac:dyDescent="0.2">
      <c r="X213" s="4"/>
      <c r="Y213" s="4"/>
      <c r="Z213" s="4"/>
      <c r="AA213" s="4"/>
      <c r="AB213" s="4"/>
      <c r="AC213" s="4"/>
      <c r="AD213" s="4"/>
      <c r="AE213" s="4"/>
      <c r="AF213" s="3"/>
      <c r="AY213" s="8" t="s">
        <v>294</v>
      </c>
      <c r="AZ213" s="8" t="s">
        <v>606</v>
      </c>
      <c r="BA213" s="7"/>
    </row>
    <row r="214" spans="24:53" hidden="1" x14ac:dyDescent="0.2">
      <c r="X214" s="4"/>
      <c r="Y214" s="4"/>
      <c r="Z214" s="4"/>
      <c r="AA214" s="4"/>
      <c r="AB214" s="4"/>
      <c r="AC214" s="4"/>
      <c r="AD214" s="4"/>
      <c r="AE214" s="4"/>
      <c r="AF214" s="3"/>
      <c r="AY214" s="8" t="s">
        <v>295</v>
      </c>
      <c r="AZ214" s="8" t="s">
        <v>607</v>
      </c>
      <c r="BA214" s="7"/>
    </row>
    <row r="215" spans="24:53" hidden="1" x14ac:dyDescent="0.2">
      <c r="X215" s="4"/>
      <c r="Y215" s="4"/>
      <c r="Z215" s="4"/>
      <c r="AA215" s="4"/>
      <c r="AB215" s="4"/>
      <c r="AC215" s="4"/>
      <c r="AD215" s="4"/>
      <c r="AE215" s="4"/>
      <c r="AF215" s="3"/>
      <c r="AY215" s="8" t="s">
        <v>296</v>
      </c>
      <c r="AZ215" s="8" t="s">
        <v>608</v>
      </c>
      <c r="BA215" s="7"/>
    </row>
    <row r="216" spans="24:53" hidden="1" x14ac:dyDescent="0.2">
      <c r="X216" s="4"/>
      <c r="Y216" s="4"/>
      <c r="Z216" s="4"/>
      <c r="AA216" s="4"/>
      <c r="AB216" s="4"/>
      <c r="AC216" s="4"/>
      <c r="AD216" s="4"/>
      <c r="AE216" s="4"/>
      <c r="AF216" s="3"/>
      <c r="AY216" s="8" t="s">
        <v>298</v>
      </c>
      <c r="AZ216" s="8" t="s">
        <v>609</v>
      </c>
      <c r="BA216" s="7">
        <v>2.1000000000000001E-4</v>
      </c>
    </row>
    <row r="217" spans="24:53" hidden="1" x14ac:dyDescent="0.2">
      <c r="X217" s="4"/>
      <c r="Y217" s="4"/>
      <c r="Z217" s="4"/>
      <c r="AA217" s="4"/>
      <c r="AB217" s="4"/>
      <c r="AC217" s="4"/>
      <c r="AD217" s="4"/>
      <c r="AE217" s="4"/>
      <c r="AF217" s="3"/>
      <c r="AY217" s="8" t="s">
        <v>100</v>
      </c>
      <c r="AZ217" s="8" t="s">
        <v>1088</v>
      </c>
      <c r="BA217" s="7">
        <v>2.1000000000000001E-4</v>
      </c>
    </row>
    <row r="218" spans="24:53" hidden="1" x14ac:dyDescent="0.2">
      <c r="X218" s="4"/>
      <c r="Y218" s="4"/>
      <c r="Z218" s="4"/>
      <c r="AA218" s="4"/>
      <c r="AB218" s="4"/>
      <c r="AC218" s="4"/>
      <c r="AD218" s="4"/>
      <c r="AE218" s="4"/>
      <c r="AF218" s="3"/>
      <c r="AY218" s="8" t="s">
        <v>299</v>
      </c>
      <c r="AZ218" s="8" t="s">
        <v>610</v>
      </c>
      <c r="BA218" s="7"/>
    </row>
    <row r="219" spans="24:53" hidden="1" x14ac:dyDescent="0.2">
      <c r="X219" s="4"/>
      <c r="Y219" s="4"/>
      <c r="Z219" s="4"/>
      <c r="AA219" s="4"/>
      <c r="AB219" s="4"/>
      <c r="AC219" s="4"/>
      <c r="AD219" s="4"/>
      <c r="AE219" s="4"/>
      <c r="AF219" s="3"/>
      <c r="AY219" s="8" t="s">
        <v>301</v>
      </c>
      <c r="AZ219" s="8" t="s">
        <v>611</v>
      </c>
      <c r="BA219" s="7"/>
    </row>
    <row r="220" spans="24:53" hidden="1" x14ac:dyDescent="0.2">
      <c r="X220" s="4"/>
      <c r="Y220" s="4"/>
      <c r="Z220" s="4"/>
      <c r="AA220" s="4"/>
      <c r="AB220" s="4"/>
      <c r="AC220" s="4"/>
      <c r="AD220" s="4"/>
      <c r="AE220" s="4"/>
      <c r="AF220" s="3"/>
      <c r="AY220" s="8" t="s">
        <v>302</v>
      </c>
      <c r="AZ220" s="8" t="s">
        <v>612</v>
      </c>
      <c r="BA220" s="7"/>
    </row>
    <row r="221" spans="24:53" hidden="1" x14ac:dyDescent="0.2">
      <c r="X221" s="4"/>
      <c r="Y221" s="4"/>
      <c r="Z221" s="4"/>
      <c r="AA221" s="4"/>
      <c r="AB221" s="4"/>
      <c r="AC221" s="4"/>
      <c r="AD221" s="4"/>
      <c r="AE221" s="4"/>
      <c r="AF221" s="3"/>
      <c r="AY221" s="8" t="s">
        <v>303</v>
      </c>
      <c r="AZ221" s="8" t="s">
        <v>613</v>
      </c>
      <c r="BA221" s="7"/>
    </row>
    <row r="222" spans="24:53" hidden="1" x14ac:dyDescent="0.2">
      <c r="X222" s="4"/>
      <c r="Y222" s="4"/>
      <c r="Z222" s="4"/>
      <c r="AA222" s="4"/>
      <c r="AB222" s="4"/>
      <c r="AC222" s="4"/>
      <c r="AD222" s="4"/>
      <c r="AE222" s="4"/>
      <c r="AF222" s="3"/>
      <c r="AY222" s="8" t="s">
        <v>304</v>
      </c>
      <c r="AZ222" s="8" t="s">
        <v>614</v>
      </c>
      <c r="BA222" s="7">
        <v>1E-3</v>
      </c>
    </row>
    <row r="223" spans="24:53" hidden="1" x14ac:dyDescent="0.2">
      <c r="X223" s="4"/>
      <c r="Y223" s="4"/>
      <c r="Z223" s="4"/>
      <c r="AA223" s="4"/>
      <c r="AB223" s="4"/>
      <c r="AC223" s="4"/>
      <c r="AD223" s="4"/>
      <c r="AE223" s="4"/>
      <c r="AF223" s="3"/>
      <c r="AY223" s="8" t="s">
        <v>305</v>
      </c>
      <c r="AZ223" s="8" t="s">
        <v>615</v>
      </c>
      <c r="BA223" s="7">
        <v>3.9999999999999998E-6</v>
      </c>
    </row>
    <row r="224" spans="24:53" hidden="1" x14ac:dyDescent="0.2">
      <c r="X224" s="4"/>
      <c r="Y224" s="4"/>
      <c r="Z224" s="4"/>
      <c r="AA224" s="4"/>
      <c r="AB224" s="4"/>
      <c r="AC224" s="4"/>
      <c r="AD224" s="4"/>
      <c r="AE224" s="4"/>
      <c r="AF224" s="3"/>
      <c r="AY224" s="8" t="s">
        <v>306</v>
      </c>
      <c r="AZ224" s="8" t="s">
        <v>616</v>
      </c>
      <c r="BA224" s="7"/>
    </row>
    <row r="225" spans="24:53" hidden="1" x14ac:dyDescent="0.2">
      <c r="X225" s="4"/>
      <c r="Y225" s="4"/>
      <c r="Z225" s="4"/>
      <c r="AA225" s="4"/>
      <c r="AB225" s="4"/>
      <c r="AC225" s="4"/>
      <c r="AD225" s="4"/>
      <c r="AE225" s="4"/>
      <c r="AF225" s="3"/>
      <c r="AY225" s="8" t="s">
        <v>307</v>
      </c>
      <c r="AZ225" s="8" t="s">
        <v>617</v>
      </c>
      <c r="BA225" s="7"/>
    </row>
    <row r="226" spans="24:53" hidden="1" x14ac:dyDescent="0.2">
      <c r="X226" s="4"/>
      <c r="Y226" s="4"/>
      <c r="Z226" s="4"/>
      <c r="AA226" s="4"/>
      <c r="AB226" s="4"/>
      <c r="AC226" s="4"/>
      <c r="AD226" s="4"/>
      <c r="AE226" s="4"/>
      <c r="AF226" s="3"/>
      <c r="AY226" s="8" t="s">
        <v>308</v>
      </c>
      <c r="AZ226" s="8" t="s">
        <v>618</v>
      </c>
      <c r="BA226" s="7" t="s">
        <v>1070</v>
      </c>
    </row>
    <row r="227" spans="24:53" hidden="1" x14ac:dyDescent="0.2">
      <c r="X227" s="4"/>
      <c r="Y227" s="4"/>
      <c r="Z227" s="4"/>
      <c r="AA227" s="4"/>
      <c r="AB227" s="4"/>
      <c r="AC227" s="4"/>
      <c r="AD227" s="4"/>
      <c r="AE227" s="4"/>
      <c r="AF227" s="3"/>
      <c r="AY227" s="8" t="s">
        <v>309</v>
      </c>
      <c r="AZ227" s="8" t="s">
        <v>619</v>
      </c>
      <c r="BA227" s="7"/>
    </row>
    <row r="228" spans="24:53" hidden="1" x14ac:dyDescent="0.2">
      <c r="X228" s="4"/>
      <c r="Y228" s="4"/>
      <c r="Z228" s="4"/>
      <c r="AA228" s="4"/>
      <c r="AB228" s="4"/>
      <c r="AC228" s="4"/>
      <c r="AD228" s="4"/>
      <c r="AE228" s="4"/>
      <c r="AF228" s="3"/>
      <c r="AY228" s="8" t="s">
        <v>1218</v>
      </c>
      <c r="AZ228" s="8" t="s">
        <v>1217</v>
      </c>
      <c r="BA228" s="7"/>
    </row>
    <row r="229" spans="24:53" hidden="1" x14ac:dyDescent="0.2">
      <c r="X229" s="4"/>
      <c r="Y229" s="4"/>
      <c r="Z229" s="4"/>
      <c r="AA229" s="4"/>
      <c r="AB229" s="4"/>
      <c r="AC229" s="4"/>
      <c r="AD229" s="4"/>
      <c r="AE229" s="4"/>
      <c r="AF229" s="3"/>
      <c r="AY229" s="8" t="s">
        <v>310</v>
      </c>
      <c r="AZ229" s="8" t="s">
        <v>620</v>
      </c>
    </row>
    <row r="230" spans="24:53" hidden="1" x14ac:dyDescent="0.2">
      <c r="X230" s="4"/>
      <c r="Y230" s="4"/>
      <c r="Z230" s="4"/>
      <c r="AA230" s="4"/>
      <c r="AB230" s="4"/>
      <c r="AC230" s="4"/>
      <c r="AD230" s="4"/>
      <c r="AE230" s="4"/>
      <c r="AF230" s="3"/>
      <c r="AY230" s="8" t="s">
        <v>311</v>
      </c>
      <c r="AZ230" s="8" t="s">
        <v>621</v>
      </c>
      <c r="BA230" s="7">
        <v>3.0000000000000001E-6</v>
      </c>
    </row>
    <row r="231" spans="24:53" hidden="1" x14ac:dyDescent="0.2">
      <c r="X231" s="4"/>
      <c r="Y231" s="4"/>
      <c r="Z231" s="4"/>
      <c r="AA231" s="4"/>
      <c r="AB231" s="4"/>
      <c r="AC231" s="4"/>
      <c r="AD231" s="4"/>
      <c r="AE231" s="4"/>
      <c r="AF231" s="3"/>
      <c r="AY231" s="8" t="s">
        <v>312</v>
      </c>
      <c r="AZ231" s="8" t="s">
        <v>622</v>
      </c>
      <c r="BA231" s="7">
        <v>8.2999999999999998E-5</v>
      </c>
    </row>
    <row r="232" spans="24:53" hidden="1" x14ac:dyDescent="0.2">
      <c r="X232" s="4"/>
      <c r="Y232" s="4"/>
      <c r="Z232" s="4"/>
      <c r="AA232" s="4"/>
      <c r="AB232" s="4"/>
      <c r="AC232" s="4"/>
      <c r="AD232" s="4"/>
      <c r="AE232" s="4"/>
      <c r="AF232" s="3"/>
      <c r="AY232" s="8" t="s">
        <v>313</v>
      </c>
      <c r="AZ232" s="8" t="s">
        <v>623</v>
      </c>
    </row>
    <row r="233" spans="24:53" hidden="1" x14ac:dyDescent="0.2">
      <c r="X233" s="4"/>
      <c r="Y233" s="4"/>
      <c r="Z233" s="4"/>
      <c r="AA233" s="4"/>
      <c r="AB233" s="4"/>
      <c r="AC233" s="4"/>
      <c r="AD233" s="4"/>
      <c r="AE233" s="4"/>
      <c r="AF233" s="3"/>
      <c r="AY233" s="8" t="s">
        <v>314</v>
      </c>
      <c r="AZ233" s="8" t="s">
        <v>624</v>
      </c>
      <c r="BA233" s="7">
        <v>5.0000000000000002E-5</v>
      </c>
    </row>
    <row r="234" spans="24:53" hidden="1" x14ac:dyDescent="0.2">
      <c r="X234" s="4"/>
      <c r="Y234" s="4"/>
      <c r="Z234" s="4"/>
      <c r="AA234" s="4"/>
      <c r="AB234" s="4"/>
      <c r="AC234" s="4"/>
      <c r="AD234" s="4"/>
      <c r="AE234" s="4"/>
      <c r="AF234" s="3"/>
      <c r="AY234" s="8" t="s">
        <v>315</v>
      </c>
      <c r="AZ234" s="8" t="s">
        <v>625</v>
      </c>
      <c r="BA234" s="7">
        <v>3.4000000000000002E-4</v>
      </c>
    </row>
    <row r="235" spans="24:53" hidden="1" x14ac:dyDescent="0.2">
      <c r="X235" s="4"/>
      <c r="Y235" s="4"/>
      <c r="Z235" s="4"/>
      <c r="AA235" s="4"/>
      <c r="AB235" s="4"/>
      <c r="AC235" s="4"/>
      <c r="AD235" s="4"/>
      <c r="AE235" s="4"/>
      <c r="AF235" s="3"/>
      <c r="AY235" s="8" t="s">
        <v>316</v>
      </c>
      <c r="AZ235" s="8" t="s">
        <v>626</v>
      </c>
      <c r="BA235" s="7">
        <v>4.0000000000000002E-4</v>
      </c>
    </row>
    <row r="236" spans="24:53" hidden="1" x14ac:dyDescent="0.2">
      <c r="X236" s="4"/>
      <c r="Y236" s="4"/>
      <c r="Z236" s="4"/>
      <c r="AA236" s="4"/>
      <c r="AB236" s="4"/>
      <c r="AC236" s="4"/>
      <c r="AD236" s="4"/>
      <c r="AE236" s="4"/>
      <c r="AF236" s="3"/>
      <c r="AY236" s="8" t="s">
        <v>317</v>
      </c>
      <c r="AZ236" s="8" t="s">
        <v>627</v>
      </c>
      <c r="BA236" s="7">
        <v>3.0000000000000001E-5</v>
      </c>
    </row>
    <row r="237" spans="24:53" hidden="1" x14ac:dyDescent="0.2">
      <c r="X237" s="4"/>
      <c r="Y237" s="4"/>
      <c r="Z237" s="4"/>
      <c r="AA237" s="4"/>
      <c r="AB237" s="4"/>
      <c r="AC237" s="4"/>
      <c r="AD237" s="4"/>
      <c r="AE237" s="4"/>
      <c r="AF237" s="3"/>
      <c r="AY237" s="8" t="s">
        <v>318</v>
      </c>
      <c r="AZ237" s="8" t="s">
        <v>628</v>
      </c>
    </row>
    <row r="238" spans="24:53" hidden="1" x14ac:dyDescent="0.2">
      <c r="X238" s="4"/>
      <c r="Y238" s="4"/>
      <c r="Z238" s="4"/>
      <c r="AA238" s="4"/>
      <c r="AB238" s="4"/>
      <c r="AC238" s="4"/>
      <c r="AD238" s="4"/>
      <c r="AE238" s="4"/>
      <c r="AF238" s="3"/>
      <c r="AY238" s="8" t="s">
        <v>319</v>
      </c>
      <c r="AZ238" s="8" t="s">
        <v>629</v>
      </c>
      <c r="BA238" s="7">
        <v>7.0000000000000001E-3</v>
      </c>
    </row>
    <row r="239" spans="24:53" hidden="1" x14ac:dyDescent="0.2">
      <c r="X239" s="4"/>
      <c r="Y239" s="4"/>
      <c r="Z239" s="4"/>
      <c r="AA239" s="4"/>
      <c r="AB239" s="4"/>
      <c r="AC239" s="4"/>
      <c r="AD239" s="4"/>
      <c r="AE239" s="4"/>
      <c r="AF239" s="3"/>
      <c r="AY239" s="8" t="s">
        <v>320</v>
      </c>
      <c r="AZ239" s="8" t="s">
        <v>630</v>
      </c>
      <c r="BA239" s="7"/>
    </row>
    <row r="240" spans="24:53" hidden="1" x14ac:dyDescent="0.2">
      <c r="X240" s="4"/>
      <c r="Y240" s="4"/>
      <c r="Z240" s="4"/>
      <c r="AA240" s="4"/>
      <c r="AB240" s="4"/>
      <c r="AC240" s="4"/>
      <c r="AD240" s="4"/>
      <c r="AE240" s="4"/>
      <c r="AF240" s="3"/>
      <c r="AY240" s="8" t="s">
        <v>321</v>
      </c>
      <c r="AZ240" s="8" t="s">
        <v>631</v>
      </c>
      <c r="BA240" s="7"/>
    </row>
    <row r="241" spans="24:53" hidden="1" x14ac:dyDescent="0.2">
      <c r="X241" s="4"/>
      <c r="Y241" s="4"/>
      <c r="Z241" s="4"/>
      <c r="AA241" s="4"/>
      <c r="AB241" s="4"/>
      <c r="AC241" s="4"/>
      <c r="AD241" s="4"/>
      <c r="AE241" s="4"/>
      <c r="AF241" s="3"/>
      <c r="AY241" s="8" t="s">
        <v>322</v>
      </c>
      <c r="AZ241" s="8" t="s">
        <v>632</v>
      </c>
      <c r="BA241" s="7"/>
    </row>
    <row r="242" spans="24:53" hidden="1" x14ac:dyDescent="0.2">
      <c r="X242" s="4"/>
      <c r="Y242" s="4"/>
      <c r="Z242" s="4"/>
      <c r="AA242" s="4"/>
      <c r="AB242" s="4"/>
      <c r="AC242" s="4"/>
      <c r="AD242" s="4"/>
      <c r="AE242" s="4"/>
      <c r="AF242" s="3"/>
      <c r="AY242" s="8" t="s">
        <v>1261</v>
      </c>
      <c r="AZ242" s="8" t="s">
        <v>1262</v>
      </c>
      <c r="BA242" s="7"/>
    </row>
    <row r="243" spans="24:53" hidden="1" x14ac:dyDescent="0.2">
      <c r="X243" s="4"/>
      <c r="Y243" s="4"/>
      <c r="Z243" s="4"/>
      <c r="AA243" s="4"/>
      <c r="AB243" s="4"/>
      <c r="AC243" s="4"/>
      <c r="AD243" s="4"/>
      <c r="AE243" s="4"/>
      <c r="AF243" s="3"/>
      <c r="AY243" s="8" t="s">
        <v>323</v>
      </c>
      <c r="AZ243" s="8" t="s">
        <v>633</v>
      </c>
    </row>
    <row r="244" spans="24:53" hidden="1" x14ac:dyDescent="0.2">
      <c r="X244" s="4"/>
      <c r="Y244" s="4"/>
      <c r="Z244" s="4"/>
      <c r="AA244" s="4"/>
      <c r="AB244" s="4"/>
      <c r="AC244" s="4"/>
      <c r="AD244" s="4"/>
      <c r="AE244" s="4"/>
      <c r="AF244" s="3"/>
      <c r="AY244" s="8" t="s">
        <v>324</v>
      </c>
      <c r="AZ244" s="8" t="s">
        <v>634</v>
      </c>
      <c r="BA244" s="7">
        <v>4.3000000000000002E-5</v>
      </c>
    </row>
    <row r="245" spans="24:53" hidden="1" x14ac:dyDescent="0.2">
      <c r="X245" s="4"/>
      <c r="Y245" s="4"/>
      <c r="Z245" s="4"/>
      <c r="AA245" s="4"/>
      <c r="AB245" s="4"/>
      <c r="AC245" s="4"/>
      <c r="AD245" s="4"/>
      <c r="AE245" s="4"/>
      <c r="AF245" s="3"/>
      <c r="AY245" s="8" t="s">
        <v>325</v>
      </c>
      <c r="AZ245" s="8" t="s">
        <v>635</v>
      </c>
      <c r="BA245" s="7"/>
    </row>
    <row r="246" spans="24:53" hidden="1" x14ac:dyDescent="0.2">
      <c r="X246" s="4"/>
      <c r="Y246" s="4"/>
      <c r="Z246" s="4"/>
      <c r="AA246" s="4"/>
      <c r="AB246" s="4"/>
      <c r="AC246" s="4"/>
      <c r="AD246" s="4"/>
      <c r="AE246" s="4"/>
      <c r="AF246" s="3"/>
      <c r="AY246" s="8" t="s">
        <v>326</v>
      </c>
      <c r="AZ246" s="8" t="s">
        <v>636</v>
      </c>
    </row>
    <row r="247" spans="24:53" hidden="1" x14ac:dyDescent="0.2">
      <c r="X247" s="4"/>
      <c r="Y247" s="4"/>
      <c r="Z247" s="4"/>
      <c r="AA247" s="4"/>
      <c r="AB247" s="4"/>
      <c r="AC247" s="4"/>
      <c r="AD247" s="4"/>
      <c r="AE247" s="4"/>
      <c r="AF247" s="3"/>
      <c r="AY247" s="8" t="s">
        <v>327</v>
      </c>
      <c r="AZ247" s="8" t="s">
        <v>637</v>
      </c>
      <c r="BA247" s="7">
        <v>2.2000000000000001E-3</v>
      </c>
    </row>
    <row r="248" spans="24:53" hidden="1" x14ac:dyDescent="0.2">
      <c r="X248" s="4"/>
      <c r="Y248" s="4"/>
      <c r="Z248" s="4"/>
      <c r="AA248" s="4"/>
      <c r="AB248" s="4"/>
      <c r="AC248" s="4"/>
      <c r="AD248" s="4"/>
      <c r="AE248" s="4"/>
      <c r="AF248" s="3"/>
      <c r="AY248" s="8" t="s">
        <v>328</v>
      </c>
      <c r="AZ248" s="8" t="s">
        <v>638</v>
      </c>
      <c r="BA248" s="7"/>
    </row>
    <row r="249" spans="24:53" hidden="1" x14ac:dyDescent="0.2">
      <c r="X249" s="4"/>
      <c r="Y249" s="4"/>
      <c r="Z249" s="4"/>
      <c r="AA249" s="4"/>
      <c r="AB249" s="4"/>
      <c r="AC249" s="4"/>
      <c r="AD249" s="4"/>
      <c r="AE249" s="4"/>
      <c r="AF249" s="3"/>
      <c r="AY249" s="8" t="s">
        <v>329</v>
      </c>
      <c r="AZ249" s="8" t="s">
        <v>639</v>
      </c>
      <c r="BA249" s="7"/>
    </row>
    <row r="250" spans="24:53" hidden="1" x14ac:dyDescent="0.2">
      <c r="X250" s="4"/>
      <c r="Y250" s="4"/>
      <c r="Z250" s="4"/>
      <c r="AA250" s="4"/>
      <c r="AB250" s="4"/>
      <c r="AC250" s="4"/>
      <c r="AD250" s="4"/>
      <c r="AE250" s="4"/>
      <c r="AF250" s="3"/>
      <c r="AY250" s="8" t="s">
        <v>330</v>
      </c>
      <c r="AZ250" s="8" t="s">
        <v>640</v>
      </c>
      <c r="BA250" s="7"/>
    </row>
    <row r="251" spans="24:53" hidden="1" x14ac:dyDescent="0.2">
      <c r="X251" s="4"/>
      <c r="Y251" s="4"/>
      <c r="Z251" s="4"/>
      <c r="AA251" s="4"/>
      <c r="AB251" s="4"/>
      <c r="AC251" s="4"/>
      <c r="AD251" s="4"/>
      <c r="AE251" s="4"/>
      <c r="AF251" s="3"/>
      <c r="AY251" s="8" t="s">
        <v>331</v>
      </c>
      <c r="AZ251" s="8" t="s">
        <v>641</v>
      </c>
      <c r="BA251" s="7"/>
    </row>
    <row r="252" spans="24:53" hidden="1" x14ac:dyDescent="0.2">
      <c r="X252" s="4"/>
      <c r="Y252" s="4"/>
      <c r="Z252" s="4"/>
      <c r="AA252" s="4"/>
      <c r="AB252" s="4"/>
      <c r="AC252" s="4"/>
      <c r="AD252" s="4"/>
      <c r="AE252" s="4"/>
      <c r="AF252" s="3"/>
      <c r="AY252" s="8" t="s">
        <v>332</v>
      </c>
      <c r="AZ252" s="8" t="s">
        <v>642</v>
      </c>
      <c r="BA252" s="7"/>
    </row>
    <row r="253" spans="24:53" hidden="1" x14ac:dyDescent="0.2">
      <c r="X253" s="4"/>
      <c r="Y253" s="4"/>
      <c r="Z253" s="4"/>
      <c r="AA253" s="4"/>
      <c r="AB253" s="4"/>
      <c r="AC253" s="4"/>
      <c r="AD253" s="4"/>
      <c r="AE253" s="4"/>
      <c r="AF253" s="3"/>
      <c r="AY253" s="8" t="s">
        <v>333</v>
      </c>
      <c r="AZ253" s="8" t="s">
        <v>643</v>
      </c>
    </row>
    <row r="254" spans="24:53" hidden="1" x14ac:dyDescent="0.2">
      <c r="X254" s="4"/>
      <c r="Y254" s="4"/>
      <c r="Z254" s="4"/>
      <c r="AA254" s="4"/>
      <c r="AB254" s="4"/>
      <c r="AC254" s="4"/>
      <c r="AD254" s="4"/>
      <c r="AE254" s="4"/>
      <c r="AF254" s="3"/>
      <c r="AY254" s="8" t="s">
        <v>334</v>
      </c>
      <c r="AZ254" s="8" t="s">
        <v>644</v>
      </c>
      <c r="BA254" s="7">
        <v>1.1800000000000001E-3</v>
      </c>
    </row>
    <row r="255" spans="24:53" hidden="1" x14ac:dyDescent="0.2">
      <c r="X255" s="4"/>
      <c r="Y255" s="4"/>
      <c r="Z255" s="4"/>
      <c r="AA255" s="4"/>
      <c r="AB255" s="4"/>
      <c r="AC255" s="4"/>
      <c r="AD255" s="4"/>
      <c r="AE255" s="4"/>
      <c r="AF255" s="3"/>
      <c r="AY255" s="8" t="s">
        <v>335</v>
      </c>
      <c r="AZ255" s="8" t="s">
        <v>645</v>
      </c>
    </row>
    <row r="256" spans="24:53" hidden="1" x14ac:dyDescent="0.2">
      <c r="X256" s="4"/>
      <c r="Y256" s="4"/>
      <c r="Z256" s="4"/>
      <c r="AA256" s="4"/>
      <c r="AB256" s="4"/>
      <c r="AC256" s="4"/>
      <c r="AD256" s="4"/>
      <c r="AE256" s="4"/>
      <c r="AF256" s="3"/>
      <c r="AY256" s="8" t="s">
        <v>336</v>
      </c>
      <c r="AZ256" s="8" t="s">
        <v>646</v>
      </c>
      <c r="BA256" s="7">
        <v>8.0000000000000007E-5</v>
      </c>
    </row>
    <row r="257" spans="24:53" hidden="1" x14ac:dyDescent="0.2">
      <c r="X257" s="4"/>
      <c r="Y257" s="4"/>
      <c r="Z257" s="4"/>
      <c r="AA257" s="4"/>
      <c r="AB257" s="4"/>
      <c r="AC257" s="4"/>
      <c r="AD257" s="4"/>
      <c r="AE257" s="4"/>
      <c r="AF257" s="3"/>
      <c r="AY257" s="8" t="s">
        <v>337</v>
      </c>
      <c r="AZ257" s="8" t="s">
        <v>647</v>
      </c>
      <c r="BA257" s="7"/>
    </row>
    <row r="258" spans="24:53" hidden="1" x14ac:dyDescent="0.2">
      <c r="X258" s="4"/>
      <c r="Y258" s="4"/>
      <c r="Z258" s="4"/>
      <c r="AA258" s="4"/>
      <c r="AB258" s="4"/>
      <c r="AC258" s="4"/>
      <c r="AD258" s="4"/>
      <c r="AE258" s="4"/>
      <c r="AF258" s="3"/>
      <c r="AY258" s="8" t="s">
        <v>338</v>
      </c>
      <c r="AZ258" s="8" t="s">
        <v>648</v>
      </c>
      <c r="BA258" s="7"/>
    </row>
    <row r="259" spans="24:53" hidden="1" x14ac:dyDescent="0.2">
      <c r="X259" s="4"/>
      <c r="Y259" s="4"/>
      <c r="Z259" s="4"/>
      <c r="AA259" s="4"/>
      <c r="AB259" s="4"/>
      <c r="AC259" s="4"/>
      <c r="AD259" s="4"/>
      <c r="AE259" s="4"/>
      <c r="AF259" s="3"/>
      <c r="AY259" s="8" t="s">
        <v>339</v>
      </c>
      <c r="AZ259" s="8" t="s">
        <v>649</v>
      </c>
      <c r="BA259" s="7"/>
    </row>
    <row r="260" spans="24:53" hidden="1" x14ac:dyDescent="0.2">
      <c r="X260" s="4"/>
      <c r="Y260" s="4"/>
      <c r="Z260" s="4"/>
      <c r="AA260" s="4"/>
      <c r="AB260" s="4"/>
      <c r="AC260" s="4"/>
      <c r="AD260" s="4"/>
      <c r="AE260" s="4"/>
      <c r="AF260" s="3"/>
      <c r="AY260" s="8" t="s">
        <v>340</v>
      </c>
      <c r="AZ260" s="8" t="s">
        <v>650</v>
      </c>
    </row>
    <row r="261" spans="24:53" hidden="1" x14ac:dyDescent="0.2">
      <c r="X261" s="4"/>
      <c r="Y261" s="4"/>
      <c r="Z261" s="4"/>
      <c r="AA261" s="4"/>
      <c r="AB261" s="4"/>
      <c r="AC261" s="4"/>
      <c r="AD261" s="4"/>
      <c r="AE261" s="4"/>
      <c r="AF261" s="3"/>
      <c r="AY261" s="8" t="s">
        <v>341</v>
      </c>
      <c r="AZ261" s="8" t="s">
        <v>651</v>
      </c>
      <c r="BA261" s="7">
        <v>2.5000000000000001E-4</v>
      </c>
    </row>
    <row r="262" spans="24:53" hidden="1" x14ac:dyDescent="0.2">
      <c r="X262" s="4"/>
      <c r="Y262" s="4"/>
      <c r="Z262" s="4"/>
      <c r="AA262" s="4"/>
      <c r="AB262" s="4"/>
      <c r="AC262" s="4"/>
      <c r="AD262" s="4"/>
      <c r="AE262" s="4"/>
      <c r="AF262" s="3"/>
      <c r="AY262" s="8" t="s">
        <v>342</v>
      </c>
      <c r="AZ262" s="8" t="s">
        <v>652</v>
      </c>
      <c r="BA262" s="7"/>
    </row>
    <row r="263" spans="24:53" hidden="1" x14ac:dyDescent="0.2">
      <c r="X263" s="4"/>
      <c r="Y263" s="4"/>
      <c r="Z263" s="4"/>
      <c r="AA263" s="4"/>
      <c r="AB263" s="4"/>
      <c r="AC263" s="4"/>
      <c r="AD263" s="4"/>
      <c r="AE263" s="4"/>
      <c r="AF263" s="3"/>
      <c r="AY263" s="8" t="s">
        <v>343</v>
      </c>
      <c r="AZ263" s="8" t="s">
        <v>653</v>
      </c>
      <c r="BA263" s="7"/>
    </row>
    <row r="264" spans="24:53" hidden="1" x14ac:dyDescent="0.2">
      <c r="X264" s="4"/>
      <c r="Y264" s="4"/>
      <c r="Z264" s="4"/>
      <c r="AA264" s="4"/>
      <c r="AB264" s="4"/>
      <c r="AC264" s="4"/>
      <c r="AD264" s="4"/>
      <c r="AE264" s="4"/>
      <c r="AF264" s="3"/>
      <c r="AY264" s="8" t="s">
        <v>344</v>
      </c>
      <c r="AZ264" s="8" t="s">
        <v>654</v>
      </c>
      <c r="BA264" s="7"/>
    </row>
    <row r="265" spans="24:53" hidden="1" x14ac:dyDescent="0.2">
      <c r="X265" s="4"/>
      <c r="Y265" s="4"/>
      <c r="Z265" s="4"/>
      <c r="AA265" s="4"/>
      <c r="AB265" s="4"/>
      <c r="AC265" s="4"/>
      <c r="AD265" s="4"/>
      <c r="AE265" s="4"/>
      <c r="AF265" s="3"/>
      <c r="AY265" s="8" t="s">
        <v>345</v>
      </c>
      <c r="AZ265" s="8" t="s">
        <v>655</v>
      </c>
      <c r="BA265" s="7"/>
    </row>
    <row r="266" spans="24:53" hidden="1" x14ac:dyDescent="0.2">
      <c r="X266" s="4"/>
      <c r="Y266" s="4"/>
      <c r="Z266" s="4"/>
      <c r="AA266" s="4"/>
      <c r="AB266" s="4"/>
      <c r="AC266" s="4"/>
      <c r="AD266" s="4"/>
      <c r="AE266" s="4"/>
      <c r="AF266" s="3"/>
      <c r="AY266" s="8" t="s">
        <v>346</v>
      </c>
      <c r="AZ266" s="8" t="s">
        <v>656</v>
      </c>
      <c r="BA266" s="7"/>
    </row>
    <row r="267" spans="24:53" hidden="1" x14ac:dyDescent="0.2">
      <c r="X267" s="4"/>
      <c r="Y267" s="4"/>
      <c r="Z267" s="4"/>
      <c r="AA267" s="4"/>
      <c r="AB267" s="4"/>
      <c r="AC267" s="4"/>
      <c r="AD267" s="4"/>
      <c r="AE267" s="4"/>
      <c r="AF267" s="3"/>
      <c r="AY267" s="8" t="s">
        <v>347</v>
      </c>
      <c r="AZ267" s="8" t="s">
        <v>657</v>
      </c>
      <c r="BA267" s="7"/>
    </row>
    <row r="268" spans="24:53" hidden="1" x14ac:dyDescent="0.2">
      <c r="X268" s="4"/>
      <c r="Y268" s="4"/>
      <c r="Z268" s="4"/>
      <c r="AA268" s="4"/>
      <c r="AB268" s="4"/>
      <c r="AC268" s="4"/>
      <c r="AD268" s="4"/>
      <c r="AE268" s="4"/>
      <c r="AF268" s="3"/>
      <c r="AY268" s="8" t="s">
        <v>1219</v>
      </c>
      <c r="AZ268" s="8" t="s">
        <v>1220</v>
      </c>
      <c r="BA268" s="7"/>
    </row>
    <row r="269" spans="24:53" hidden="1" x14ac:dyDescent="0.2">
      <c r="X269" s="4"/>
      <c r="Y269" s="4"/>
      <c r="Z269" s="4"/>
      <c r="AA269" s="4"/>
      <c r="AB269" s="4"/>
      <c r="AC269" s="4"/>
      <c r="AD269" s="4"/>
      <c r="AE269" s="4"/>
      <c r="AF269" s="3"/>
      <c r="AY269" s="8" t="s">
        <v>1221</v>
      </c>
      <c r="AZ269" s="8" t="s">
        <v>1222</v>
      </c>
      <c r="BA269" s="7"/>
    </row>
    <row r="270" spans="24:53" hidden="1" x14ac:dyDescent="0.2">
      <c r="X270" s="4"/>
      <c r="Y270" s="4"/>
      <c r="Z270" s="4"/>
      <c r="AA270" s="4"/>
      <c r="AB270" s="4"/>
      <c r="AC270" s="4"/>
      <c r="AD270" s="4"/>
      <c r="AE270" s="4"/>
      <c r="AF270" s="3"/>
      <c r="AY270" s="8" t="s">
        <v>348</v>
      </c>
      <c r="AZ270" s="8" t="s">
        <v>658</v>
      </c>
      <c r="BA270" s="7"/>
    </row>
    <row r="271" spans="24:53" hidden="1" x14ac:dyDescent="0.2">
      <c r="X271" s="4"/>
      <c r="Y271" s="4"/>
      <c r="Z271" s="4"/>
      <c r="AA271" s="4"/>
      <c r="AB271" s="4"/>
      <c r="AC271" s="4"/>
      <c r="AD271" s="4"/>
      <c r="AE271" s="4"/>
      <c r="AF271" s="3"/>
      <c r="AY271" s="8" t="s">
        <v>349</v>
      </c>
      <c r="AZ271" s="8" t="s">
        <v>662</v>
      </c>
    </row>
    <row r="272" spans="24:53" hidden="1" x14ac:dyDescent="0.2">
      <c r="X272" s="4"/>
      <c r="Y272" s="4"/>
      <c r="Z272" s="4"/>
      <c r="AA272" s="4"/>
      <c r="AB272" s="4"/>
      <c r="AC272" s="4"/>
      <c r="AD272" s="4"/>
      <c r="AE272" s="4"/>
      <c r="AF272" s="3"/>
      <c r="AY272" s="8" t="s">
        <v>350</v>
      </c>
      <c r="AZ272" s="8" t="s">
        <v>663</v>
      </c>
      <c r="BA272" s="7">
        <v>1.6000000000000001E-3</v>
      </c>
    </row>
    <row r="273" spans="24:53" hidden="1" x14ac:dyDescent="0.2">
      <c r="X273" s="4"/>
      <c r="Y273" s="4"/>
      <c r="Z273" s="4"/>
      <c r="AA273" s="4"/>
      <c r="AB273" s="4"/>
      <c r="AC273" s="4"/>
      <c r="AD273" s="4"/>
      <c r="AE273" s="4"/>
      <c r="AF273" s="3"/>
      <c r="AY273" s="8" t="s">
        <v>351</v>
      </c>
      <c r="AZ273" s="8" t="s">
        <v>664</v>
      </c>
      <c r="BA273" s="7"/>
    </row>
    <row r="274" spans="24:53" hidden="1" x14ac:dyDescent="0.2">
      <c r="X274" s="4"/>
      <c r="Y274" s="4"/>
      <c r="Z274" s="4"/>
      <c r="AA274" s="4"/>
      <c r="AB274" s="4"/>
      <c r="AC274" s="4"/>
      <c r="AD274" s="4"/>
      <c r="AE274" s="4"/>
      <c r="AF274" s="3"/>
      <c r="AY274" s="8" t="s">
        <v>352</v>
      </c>
      <c r="AZ274" s="8" t="s">
        <v>665</v>
      </c>
      <c r="BA274" s="7"/>
    </row>
    <row r="275" spans="24:53" hidden="1" x14ac:dyDescent="0.2">
      <c r="X275" s="4"/>
      <c r="Y275" s="4"/>
      <c r="Z275" s="4"/>
      <c r="AA275" s="4"/>
      <c r="AB275" s="4"/>
      <c r="AC275" s="4"/>
      <c r="AD275" s="4"/>
      <c r="AE275" s="4"/>
      <c r="AF275" s="3"/>
      <c r="AY275" s="8" t="s">
        <v>1250</v>
      </c>
      <c r="AZ275" s="8" t="s">
        <v>1251</v>
      </c>
      <c r="BA275" s="7"/>
    </row>
    <row r="276" spans="24:53" hidden="1" x14ac:dyDescent="0.2">
      <c r="X276" s="4"/>
      <c r="Y276" s="4"/>
      <c r="Z276" s="4"/>
      <c r="AA276" s="4"/>
      <c r="AB276" s="4"/>
      <c r="AC276" s="4"/>
      <c r="AD276" s="4"/>
      <c r="AE276" s="4"/>
      <c r="AF276" s="3"/>
      <c r="AY276" s="8" t="s">
        <v>353</v>
      </c>
      <c r="AZ276" s="8" t="s">
        <v>666</v>
      </c>
      <c r="BA276" s="7"/>
    </row>
    <row r="277" spans="24:53" hidden="1" x14ac:dyDescent="0.2">
      <c r="X277" s="4"/>
      <c r="Y277" s="4"/>
      <c r="Z277" s="4"/>
      <c r="AA277" s="4"/>
      <c r="AB277" s="4"/>
      <c r="AC277" s="4"/>
      <c r="AD277" s="4"/>
      <c r="AE277" s="4"/>
      <c r="AF277" s="3"/>
      <c r="AY277" s="8" t="s">
        <v>354</v>
      </c>
      <c r="AZ277" s="8" t="s">
        <v>667</v>
      </c>
      <c r="BA277" s="7"/>
    </row>
    <row r="278" spans="24:53" hidden="1" x14ac:dyDescent="0.2">
      <c r="X278" s="4"/>
      <c r="Y278" s="4"/>
      <c r="Z278" s="4"/>
      <c r="AA278" s="4"/>
      <c r="AB278" s="4"/>
      <c r="AC278" s="4"/>
      <c r="AD278" s="4"/>
      <c r="AE278" s="4"/>
      <c r="AF278" s="3"/>
      <c r="AY278" s="8" t="s">
        <v>355</v>
      </c>
      <c r="AZ278" s="8" t="s">
        <v>668</v>
      </c>
    </row>
    <row r="279" spans="24:53" hidden="1" x14ac:dyDescent="0.2">
      <c r="X279" s="4"/>
      <c r="Y279" s="4"/>
      <c r="Z279" s="4"/>
      <c r="AA279" s="4"/>
      <c r="AB279" s="4"/>
      <c r="AC279" s="4"/>
      <c r="AD279" s="4"/>
      <c r="AE279" s="4"/>
      <c r="AF279" s="3"/>
      <c r="AY279" s="8" t="s">
        <v>356</v>
      </c>
      <c r="AZ279" s="8" t="s">
        <v>669</v>
      </c>
      <c r="BA279" s="7">
        <v>1.9E-3</v>
      </c>
    </row>
    <row r="280" spans="24:53" hidden="1" x14ac:dyDescent="0.2">
      <c r="X280" s="4"/>
      <c r="Y280" s="4"/>
      <c r="Z280" s="4"/>
      <c r="AA280" s="4"/>
      <c r="AB280" s="4"/>
      <c r="AC280" s="4"/>
      <c r="AD280" s="4"/>
      <c r="AE280" s="4"/>
      <c r="AF280" s="3"/>
      <c r="AY280" s="8" t="s">
        <v>357</v>
      </c>
      <c r="AZ280" s="8" t="s">
        <v>670</v>
      </c>
    </row>
    <row r="281" spans="24:53" hidden="1" x14ac:dyDescent="0.2">
      <c r="X281" s="4"/>
      <c r="Y281" s="4"/>
      <c r="Z281" s="4"/>
      <c r="AA281" s="4"/>
      <c r="AB281" s="4"/>
      <c r="AC281" s="4"/>
      <c r="AD281" s="4"/>
      <c r="AE281" s="4"/>
      <c r="AF281" s="3"/>
      <c r="AY281" s="8" t="s">
        <v>358</v>
      </c>
      <c r="AZ281" s="8" t="s">
        <v>671</v>
      </c>
      <c r="BA281" s="7">
        <v>1.4999999999999999E-4</v>
      </c>
    </row>
    <row r="282" spans="24:53" hidden="1" x14ac:dyDescent="0.2">
      <c r="X282" s="4"/>
      <c r="Y282" s="4"/>
      <c r="Z282" s="4"/>
      <c r="AA282" s="4"/>
      <c r="AB282" s="4"/>
      <c r="AC282" s="4"/>
      <c r="AD282" s="4"/>
      <c r="AE282" s="4"/>
      <c r="AF282" s="3"/>
      <c r="AY282" s="8" t="s">
        <v>1234</v>
      </c>
      <c r="AZ282" s="8" t="s">
        <v>1235</v>
      </c>
      <c r="BA282" s="7"/>
    </row>
    <row r="283" spans="24:53" hidden="1" x14ac:dyDescent="0.2">
      <c r="X283" s="4"/>
      <c r="Y283" s="4"/>
      <c r="Z283" s="4"/>
      <c r="AA283" s="4"/>
      <c r="AB283" s="4"/>
      <c r="AC283" s="4"/>
      <c r="AD283" s="4"/>
      <c r="AE283" s="4"/>
      <c r="AF283" s="3"/>
      <c r="AY283" s="8" t="s">
        <v>359</v>
      </c>
      <c r="AZ283" s="8" t="s">
        <v>672</v>
      </c>
      <c r="BA283" s="7">
        <v>4.6000000000000001E-4</v>
      </c>
    </row>
    <row r="284" spans="24:53" hidden="1" x14ac:dyDescent="0.2">
      <c r="X284" s="4"/>
      <c r="Y284" s="4"/>
      <c r="Z284" s="4"/>
      <c r="AA284" s="4"/>
      <c r="AB284" s="4"/>
      <c r="AC284" s="4"/>
      <c r="AD284" s="4"/>
      <c r="AE284" s="4"/>
      <c r="AF284" s="3"/>
      <c r="AY284" s="8" t="s">
        <v>360</v>
      </c>
      <c r="AZ284" s="8" t="s">
        <v>673</v>
      </c>
      <c r="BA284" s="7">
        <v>8.0999999999999996E-4</v>
      </c>
    </row>
    <row r="285" spans="24:53" hidden="1" x14ac:dyDescent="0.2">
      <c r="X285" s="4"/>
      <c r="Y285" s="4"/>
      <c r="Z285" s="4"/>
      <c r="AA285" s="4"/>
      <c r="AB285" s="4"/>
      <c r="AC285" s="4"/>
      <c r="AD285" s="4"/>
      <c r="AE285" s="4"/>
      <c r="AF285" s="3"/>
      <c r="AY285" s="8" t="s">
        <v>364</v>
      </c>
      <c r="AZ285" s="8" t="s">
        <v>674</v>
      </c>
      <c r="BA285" s="7"/>
    </row>
    <row r="286" spans="24:53" hidden="1" x14ac:dyDescent="0.2">
      <c r="X286" s="4"/>
      <c r="Y286" s="4"/>
      <c r="Z286" s="4"/>
      <c r="AA286" s="4"/>
      <c r="AB286" s="4"/>
      <c r="AC286" s="4"/>
      <c r="AD286" s="4"/>
      <c r="AE286" s="4"/>
      <c r="AF286" s="3"/>
      <c r="AY286" s="8" t="s">
        <v>365</v>
      </c>
      <c r="AZ286" s="8" t="s">
        <v>675</v>
      </c>
      <c r="BA286" s="7"/>
    </row>
    <row r="287" spans="24:53" hidden="1" x14ac:dyDescent="0.2">
      <c r="X287" s="4"/>
      <c r="Y287" s="4"/>
      <c r="Z287" s="4"/>
      <c r="AA287" s="4"/>
      <c r="AB287" s="4"/>
      <c r="AC287" s="4"/>
      <c r="AD287" s="4"/>
      <c r="AE287" s="4"/>
      <c r="AF287" s="3"/>
      <c r="AY287" s="8" t="s">
        <v>857</v>
      </c>
      <c r="AZ287" s="8" t="s">
        <v>676</v>
      </c>
      <c r="BA287" s="7"/>
    </row>
    <row r="288" spans="24:53" hidden="1" x14ac:dyDescent="0.2">
      <c r="X288" s="4"/>
      <c r="Y288" s="4"/>
      <c r="Z288" s="4"/>
      <c r="AA288" s="4"/>
      <c r="AB288" s="4"/>
      <c r="AC288" s="4"/>
      <c r="AD288" s="4"/>
      <c r="AE288" s="4"/>
      <c r="AF288" s="3"/>
      <c r="AY288" s="8" t="s">
        <v>858</v>
      </c>
      <c r="AZ288" s="8" t="s">
        <v>677</v>
      </c>
      <c r="BA288" s="7"/>
    </row>
    <row r="289" spans="24:53" hidden="1" x14ac:dyDescent="0.2">
      <c r="X289" s="4"/>
      <c r="Y289" s="4"/>
      <c r="Z289" s="4"/>
      <c r="AA289" s="4"/>
      <c r="AB289" s="4"/>
      <c r="AC289" s="4"/>
      <c r="AD289" s="4"/>
      <c r="AE289" s="4"/>
      <c r="AF289" s="3"/>
      <c r="AY289" s="8" t="s">
        <v>864</v>
      </c>
      <c r="AZ289" s="8" t="s">
        <v>678</v>
      </c>
      <c r="BA289" s="7"/>
    </row>
    <row r="290" spans="24:53" hidden="1" x14ac:dyDescent="0.2">
      <c r="X290" s="4"/>
      <c r="Y290" s="4"/>
      <c r="Z290" s="4"/>
      <c r="AA290" s="4"/>
      <c r="AB290" s="4"/>
      <c r="AC290" s="4"/>
      <c r="AD290" s="4"/>
      <c r="AE290" s="4"/>
      <c r="AF290" s="3"/>
      <c r="AY290" s="8" t="s">
        <v>865</v>
      </c>
      <c r="AZ290" s="8" t="s">
        <v>679</v>
      </c>
      <c r="BA290" s="7"/>
    </row>
    <row r="291" spans="24:53" hidden="1" x14ac:dyDescent="0.2">
      <c r="X291" s="4"/>
      <c r="Y291" s="4"/>
      <c r="Z291" s="4"/>
      <c r="AA291" s="4"/>
      <c r="AB291" s="4"/>
      <c r="AC291" s="4"/>
      <c r="AD291" s="4"/>
      <c r="AE291" s="4"/>
      <c r="AF291" s="3"/>
      <c r="AY291" s="8" t="s">
        <v>866</v>
      </c>
      <c r="AZ291" s="8" t="s">
        <v>680</v>
      </c>
      <c r="BA291" s="7"/>
    </row>
    <row r="292" spans="24:53" hidden="1" x14ac:dyDescent="0.2">
      <c r="X292" s="4"/>
      <c r="Y292" s="4"/>
      <c r="Z292" s="4"/>
      <c r="AA292" s="4"/>
      <c r="AB292" s="4"/>
      <c r="AC292" s="4"/>
      <c r="AD292" s="4"/>
      <c r="AE292" s="4"/>
      <c r="AF292" s="3"/>
      <c r="AY292" s="8" t="s">
        <v>867</v>
      </c>
      <c r="AZ292" s="8" t="s">
        <v>681</v>
      </c>
      <c r="BA292" s="7"/>
    </row>
    <row r="293" spans="24:53" hidden="1" x14ac:dyDescent="0.2">
      <c r="X293" s="4"/>
      <c r="Y293" s="4"/>
      <c r="Z293" s="4"/>
      <c r="AA293" s="4"/>
      <c r="AB293" s="4"/>
      <c r="AC293" s="4"/>
      <c r="AD293" s="4"/>
      <c r="AE293" s="4"/>
      <c r="AF293" s="3"/>
      <c r="AY293" s="8" t="s">
        <v>868</v>
      </c>
      <c r="AZ293" s="8" t="s">
        <v>682</v>
      </c>
      <c r="BA293" s="7"/>
    </row>
    <row r="294" spans="24:53" hidden="1" x14ac:dyDescent="0.2">
      <c r="X294" s="4"/>
      <c r="Y294" s="4"/>
      <c r="Z294" s="4"/>
      <c r="AA294" s="4"/>
      <c r="AB294" s="4"/>
      <c r="AC294" s="4"/>
      <c r="AD294" s="4"/>
      <c r="AE294" s="4"/>
      <c r="AF294" s="3"/>
      <c r="AY294" s="8" t="s">
        <v>869</v>
      </c>
      <c r="AZ294" s="8" t="s">
        <v>683</v>
      </c>
      <c r="BA294" s="7"/>
    </row>
    <row r="295" spans="24:53" hidden="1" x14ac:dyDescent="0.2">
      <c r="X295" s="4"/>
      <c r="Y295" s="4"/>
      <c r="Z295" s="4"/>
      <c r="AA295" s="4"/>
      <c r="AB295" s="4"/>
      <c r="AC295" s="4"/>
      <c r="AD295" s="4"/>
      <c r="AE295" s="4"/>
      <c r="AF295" s="3"/>
      <c r="AY295" s="8" t="s">
        <v>870</v>
      </c>
      <c r="AZ295" s="8" t="s">
        <v>684</v>
      </c>
      <c r="BA295" s="7"/>
    </row>
    <row r="296" spans="24:53" hidden="1" x14ac:dyDescent="0.2">
      <c r="X296" s="4"/>
      <c r="Y296" s="4"/>
      <c r="Z296" s="4"/>
      <c r="AA296" s="4"/>
      <c r="AB296" s="4"/>
      <c r="AC296" s="4"/>
      <c r="AD296" s="4"/>
      <c r="AE296" s="4"/>
      <c r="AF296" s="3"/>
      <c r="AY296" s="8" t="s">
        <v>871</v>
      </c>
      <c r="AZ296" s="8" t="s">
        <v>685</v>
      </c>
      <c r="BA296" s="7"/>
    </row>
    <row r="297" spans="24:53" hidden="1" x14ac:dyDescent="0.2">
      <c r="X297" s="4"/>
      <c r="Y297" s="4"/>
      <c r="Z297" s="4"/>
      <c r="AA297" s="4"/>
      <c r="AB297" s="4"/>
      <c r="AC297" s="4"/>
      <c r="AD297" s="4"/>
      <c r="AE297" s="4"/>
      <c r="AF297" s="3"/>
      <c r="AY297" s="8" t="s">
        <v>872</v>
      </c>
      <c r="AZ297" s="8" t="s">
        <v>686</v>
      </c>
      <c r="BA297" s="7"/>
    </row>
    <row r="298" spans="24:53" hidden="1" x14ac:dyDescent="0.2">
      <c r="X298" s="4"/>
      <c r="Y298" s="4"/>
      <c r="Z298" s="4"/>
      <c r="AA298" s="4"/>
      <c r="AB298" s="4"/>
      <c r="AC298" s="4"/>
      <c r="AD298" s="4"/>
      <c r="AE298" s="4"/>
      <c r="AF298" s="3"/>
      <c r="AY298" s="8" t="s">
        <v>873</v>
      </c>
      <c r="AZ298" s="8" t="s">
        <v>687</v>
      </c>
      <c r="BA298" s="7">
        <v>0.03</v>
      </c>
    </row>
    <row r="299" spans="24:53" hidden="1" x14ac:dyDescent="0.2">
      <c r="X299" s="4"/>
      <c r="Y299" s="4"/>
      <c r="Z299" s="4"/>
      <c r="AA299" s="4"/>
      <c r="AB299" s="4"/>
      <c r="AC299" s="4"/>
      <c r="AD299" s="4"/>
      <c r="AE299" s="4"/>
      <c r="AF299" s="3"/>
      <c r="AY299" s="8" t="s">
        <v>874</v>
      </c>
      <c r="AZ299" s="8" t="s">
        <v>688</v>
      </c>
      <c r="BA299" s="7" t="s">
        <v>1070</v>
      </c>
    </row>
    <row r="300" spans="24:53" hidden="1" x14ac:dyDescent="0.2">
      <c r="X300" s="4"/>
      <c r="Y300" s="4"/>
      <c r="Z300" s="4"/>
      <c r="AA300" s="4"/>
      <c r="AB300" s="4"/>
      <c r="AC300" s="4"/>
      <c r="AD300" s="4"/>
      <c r="AE300" s="4"/>
      <c r="AF300" s="3"/>
      <c r="AY300" s="8" t="s">
        <v>875</v>
      </c>
      <c r="AZ300" s="8" t="s">
        <v>689</v>
      </c>
      <c r="BA300" s="7">
        <v>6.4999999999999994E-5</v>
      </c>
    </row>
    <row r="301" spans="24:53" hidden="1" x14ac:dyDescent="0.2">
      <c r="X301" s="4"/>
      <c r="Y301" s="4"/>
      <c r="Z301" s="4"/>
      <c r="AA301" s="4"/>
      <c r="AB301" s="4"/>
      <c r="AC301" s="4"/>
      <c r="AD301" s="4"/>
      <c r="AE301" s="4"/>
      <c r="AF301" s="3"/>
      <c r="AY301" s="8" t="s">
        <v>876</v>
      </c>
      <c r="AZ301" s="8" t="s">
        <v>690</v>
      </c>
      <c r="BA301" s="7"/>
    </row>
    <row r="302" spans="24:53" hidden="1" x14ac:dyDescent="0.2">
      <c r="X302" s="4"/>
      <c r="Y302" s="4"/>
      <c r="Z302" s="4"/>
      <c r="AA302" s="4"/>
      <c r="AB302" s="4"/>
      <c r="AC302" s="4"/>
      <c r="AD302" s="4"/>
      <c r="AE302" s="4"/>
      <c r="AF302" s="3"/>
      <c r="AY302" s="8" t="s">
        <v>877</v>
      </c>
      <c r="AZ302" s="8" t="s">
        <v>691</v>
      </c>
      <c r="BA302" s="7">
        <v>3.5999999999999997E-2</v>
      </c>
    </row>
    <row r="303" spans="24:53" hidden="1" x14ac:dyDescent="0.2">
      <c r="X303" s="4"/>
      <c r="Y303" s="4"/>
      <c r="Z303" s="4"/>
      <c r="AA303" s="4"/>
      <c r="AB303" s="4"/>
      <c r="AC303" s="4"/>
      <c r="AD303" s="4"/>
      <c r="AE303" s="4"/>
      <c r="AF303" s="3"/>
      <c r="AY303" s="8" t="s">
        <v>878</v>
      </c>
      <c r="AZ303" s="8" t="s">
        <v>692</v>
      </c>
      <c r="BA303" s="7"/>
    </row>
    <row r="304" spans="24:53" hidden="1" x14ac:dyDescent="0.2">
      <c r="X304" s="4"/>
      <c r="Y304" s="4"/>
      <c r="Z304" s="4"/>
      <c r="AA304" s="4"/>
      <c r="AB304" s="4"/>
      <c r="AC304" s="4"/>
      <c r="AD304" s="4"/>
      <c r="AE304" s="4"/>
      <c r="AF304" s="3"/>
      <c r="AY304" s="8" t="s">
        <v>879</v>
      </c>
      <c r="AZ304" s="8" t="s">
        <v>693</v>
      </c>
      <c r="BA304" s="7"/>
    </row>
    <row r="305" spans="24:53" hidden="1" x14ac:dyDescent="0.2">
      <c r="X305" s="4"/>
      <c r="Y305" s="4"/>
      <c r="Z305" s="4"/>
      <c r="AA305" s="4"/>
      <c r="AB305" s="4"/>
      <c r="AC305" s="4"/>
      <c r="AD305" s="4"/>
      <c r="AE305" s="4"/>
      <c r="AF305" s="3"/>
      <c r="AY305" s="8" t="s">
        <v>880</v>
      </c>
      <c r="AZ305" s="8" t="s">
        <v>694</v>
      </c>
      <c r="BA305" s="7"/>
    </row>
    <row r="306" spans="24:53" hidden="1" x14ac:dyDescent="0.2">
      <c r="X306" s="4"/>
      <c r="Y306" s="4"/>
      <c r="Z306" s="4"/>
      <c r="AA306" s="4"/>
      <c r="AB306" s="4"/>
      <c r="AC306" s="4"/>
      <c r="AD306" s="4"/>
      <c r="AE306" s="4"/>
      <c r="AF306" s="3"/>
      <c r="AY306" s="8" t="s">
        <v>881</v>
      </c>
      <c r="AZ306" s="8" t="s">
        <v>695</v>
      </c>
      <c r="BA306" s="7"/>
    </row>
    <row r="307" spans="24:53" hidden="1" x14ac:dyDescent="0.2">
      <c r="X307" s="4"/>
      <c r="Y307" s="4"/>
      <c r="Z307" s="4"/>
      <c r="AA307" s="4"/>
      <c r="AB307" s="4"/>
      <c r="AC307" s="4"/>
      <c r="AD307" s="4"/>
      <c r="AE307" s="4"/>
      <c r="AF307" s="3"/>
      <c r="AY307" s="8" t="s">
        <v>882</v>
      </c>
      <c r="AZ307" s="8" t="s">
        <v>696</v>
      </c>
      <c r="BA307" s="7">
        <v>3.6000000000000002E-4</v>
      </c>
    </row>
    <row r="308" spans="24:53" hidden="1" x14ac:dyDescent="0.2">
      <c r="X308" s="4"/>
      <c r="Y308" s="4"/>
      <c r="Z308" s="4"/>
      <c r="AA308" s="4"/>
      <c r="AB308" s="4"/>
      <c r="AC308" s="4"/>
      <c r="AD308" s="4"/>
      <c r="AE308" s="4"/>
      <c r="AF308" s="3"/>
      <c r="AY308" s="8" t="s">
        <v>883</v>
      </c>
      <c r="AZ308" s="8" t="s">
        <v>697</v>
      </c>
      <c r="BA308" s="7"/>
    </row>
    <row r="309" spans="24:53" hidden="1" x14ac:dyDescent="0.2">
      <c r="X309" s="4"/>
      <c r="Y309" s="4"/>
      <c r="Z309" s="4"/>
      <c r="AA309" s="4"/>
      <c r="AB309" s="4"/>
      <c r="AC309" s="4"/>
      <c r="AD309" s="4"/>
      <c r="AE309" s="4"/>
      <c r="AF309" s="3"/>
      <c r="AY309" s="8" t="s">
        <v>884</v>
      </c>
      <c r="AZ309" s="8" t="s">
        <v>698</v>
      </c>
      <c r="BA309" s="7"/>
    </row>
    <row r="310" spans="24:53" hidden="1" x14ac:dyDescent="0.2">
      <c r="X310" s="4"/>
      <c r="Y310" s="4"/>
      <c r="Z310" s="4"/>
      <c r="AA310" s="4"/>
      <c r="AB310" s="4"/>
      <c r="AC310" s="4"/>
      <c r="AD310" s="4"/>
      <c r="AE310" s="4"/>
      <c r="AF310" s="3"/>
      <c r="AY310" s="8" t="s">
        <v>885</v>
      </c>
      <c r="AZ310" s="8" t="s">
        <v>699</v>
      </c>
      <c r="BA310" s="7">
        <v>5.9000000000000003E-4</v>
      </c>
    </row>
    <row r="311" spans="24:53" hidden="1" x14ac:dyDescent="0.2">
      <c r="X311" s="4"/>
      <c r="Y311" s="4"/>
      <c r="Z311" s="4"/>
      <c r="AA311" s="4"/>
      <c r="AB311" s="4"/>
      <c r="AC311" s="4"/>
      <c r="AD311" s="4"/>
      <c r="AE311" s="4"/>
      <c r="AF311" s="3"/>
      <c r="AY311" s="8" t="s">
        <v>886</v>
      </c>
      <c r="AZ311" s="8" t="s">
        <v>700</v>
      </c>
      <c r="BA311" s="7">
        <v>6.4000000000000005E-4</v>
      </c>
    </row>
    <row r="312" spans="24:53" hidden="1" x14ac:dyDescent="0.2">
      <c r="X312" s="4"/>
      <c r="Y312" s="4"/>
      <c r="Z312" s="4"/>
      <c r="AA312" s="4"/>
      <c r="AB312" s="4"/>
      <c r="AC312" s="4"/>
      <c r="AD312" s="4"/>
      <c r="AE312" s="4"/>
      <c r="AF312" s="3"/>
      <c r="AY312" s="8" t="s">
        <v>887</v>
      </c>
      <c r="AZ312" s="8" t="s">
        <v>701</v>
      </c>
      <c r="BA312" s="7">
        <v>1.3999999999999999E-4</v>
      </c>
    </row>
    <row r="313" spans="24:53" hidden="1" x14ac:dyDescent="0.2">
      <c r="X313" s="4"/>
      <c r="Y313" s="4"/>
      <c r="Z313" s="4"/>
      <c r="AA313" s="4"/>
      <c r="AB313" s="4"/>
      <c r="AC313" s="4"/>
      <c r="AD313" s="4"/>
      <c r="AE313" s="4"/>
      <c r="AF313" s="3"/>
      <c r="AY313" s="8" t="s">
        <v>888</v>
      </c>
      <c r="AZ313" s="8" t="s">
        <v>702</v>
      </c>
      <c r="BA313" s="7"/>
    </row>
    <row r="314" spans="24:53" hidden="1" x14ac:dyDescent="0.2">
      <c r="X314" s="4"/>
      <c r="Y314" s="4"/>
      <c r="Z314" s="4"/>
      <c r="AA314" s="4"/>
      <c r="AB314" s="4"/>
      <c r="AC314" s="4"/>
      <c r="AD314" s="4"/>
      <c r="AE314" s="4"/>
      <c r="AF314" s="3"/>
      <c r="AY314" s="8" t="s">
        <v>889</v>
      </c>
      <c r="AZ314" s="8" t="s">
        <v>703</v>
      </c>
      <c r="BA314" s="7"/>
    </row>
    <row r="315" spans="24:53" hidden="1" x14ac:dyDescent="0.2">
      <c r="X315" s="4"/>
      <c r="Y315" s="4"/>
      <c r="Z315" s="4"/>
      <c r="AA315" s="4"/>
      <c r="AB315" s="4"/>
      <c r="AC315" s="4"/>
      <c r="AD315" s="4"/>
      <c r="AE315" s="4"/>
      <c r="AF315" s="3"/>
      <c r="AY315" s="8" t="s">
        <v>890</v>
      </c>
      <c r="AZ315" s="8" t="s">
        <v>704</v>
      </c>
      <c r="BA315" s="7"/>
    </row>
    <row r="316" spans="24:53" hidden="1" x14ac:dyDescent="0.2">
      <c r="X316" s="4"/>
      <c r="Y316" s="4"/>
      <c r="Z316" s="4"/>
      <c r="AA316" s="4"/>
      <c r="AB316" s="4"/>
      <c r="AC316" s="4"/>
      <c r="AD316" s="4"/>
      <c r="AE316" s="4"/>
      <c r="AF316" s="3"/>
      <c r="AY316" s="8" t="s">
        <v>1263</v>
      </c>
      <c r="AZ316" s="8" t="s">
        <v>1264</v>
      </c>
      <c r="BA316" s="7"/>
    </row>
    <row r="317" spans="24:53" hidden="1" x14ac:dyDescent="0.2">
      <c r="X317" s="4"/>
      <c r="Y317" s="4"/>
      <c r="Z317" s="4"/>
      <c r="AA317" s="4"/>
      <c r="AB317" s="4"/>
      <c r="AC317" s="4"/>
      <c r="AD317" s="4"/>
      <c r="AE317" s="4"/>
      <c r="AF317" s="3"/>
      <c r="AY317" s="8" t="s">
        <v>1236</v>
      </c>
      <c r="AZ317" s="8" t="s">
        <v>1237</v>
      </c>
      <c r="BA317" s="7"/>
    </row>
    <row r="318" spans="24:53" hidden="1" x14ac:dyDescent="0.2">
      <c r="X318" s="4"/>
      <c r="Y318" s="4"/>
      <c r="Z318" s="4"/>
      <c r="AA318" s="4"/>
      <c r="AB318" s="4"/>
      <c r="AC318" s="4"/>
      <c r="AD318" s="4"/>
      <c r="AE318" s="4"/>
      <c r="AF318" s="3"/>
      <c r="AY318" s="8" t="s">
        <v>1238</v>
      </c>
      <c r="AZ318" s="8" t="s">
        <v>1239</v>
      </c>
      <c r="BA318" s="7"/>
    </row>
    <row r="319" spans="24:53" hidden="1" x14ac:dyDescent="0.2">
      <c r="X319" s="4"/>
      <c r="Y319" s="4"/>
      <c r="Z319" s="4"/>
      <c r="AA319" s="4"/>
      <c r="AB319" s="4"/>
      <c r="AC319" s="4"/>
      <c r="AD319" s="4"/>
      <c r="AE319" s="4"/>
      <c r="AF319" s="3"/>
      <c r="AY319" s="8" t="s">
        <v>891</v>
      </c>
      <c r="AZ319" s="8" t="s">
        <v>705</v>
      </c>
      <c r="BA319" s="7"/>
    </row>
    <row r="320" spans="24:53" hidden="1" x14ac:dyDescent="0.2">
      <c r="X320" s="4"/>
      <c r="Y320" s="4"/>
      <c r="Z320" s="4"/>
      <c r="AA320" s="4"/>
      <c r="AB320" s="4"/>
      <c r="AC320" s="4"/>
      <c r="AD320" s="4"/>
      <c r="AE320" s="4"/>
      <c r="AF320" s="3"/>
      <c r="AY320" s="8" t="s">
        <v>892</v>
      </c>
      <c r="AZ320" s="8" t="s">
        <v>706</v>
      </c>
      <c r="BA320" s="7"/>
    </row>
    <row r="321" spans="24:53" hidden="1" x14ac:dyDescent="0.2">
      <c r="X321" s="4"/>
      <c r="Y321" s="4"/>
      <c r="Z321" s="4"/>
      <c r="AA321" s="4"/>
      <c r="AB321" s="4"/>
      <c r="AC321" s="4"/>
      <c r="AD321" s="4"/>
      <c r="AE321" s="4"/>
      <c r="AF321" s="3"/>
      <c r="AY321" s="8" t="s">
        <v>893</v>
      </c>
      <c r="AZ321" s="8" t="s">
        <v>707</v>
      </c>
      <c r="BA321" s="7"/>
    </row>
    <row r="322" spans="24:53" hidden="1" x14ac:dyDescent="0.2">
      <c r="X322" s="4"/>
      <c r="Y322" s="4"/>
      <c r="Z322" s="4"/>
      <c r="AA322" s="4"/>
      <c r="AB322" s="4"/>
      <c r="AC322" s="4"/>
      <c r="AD322" s="4"/>
      <c r="AE322" s="4"/>
      <c r="AF322" s="3"/>
      <c r="AY322" s="8" t="s">
        <v>894</v>
      </c>
      <c r="AZ322" s="8" t="s">
        <v>708</v>
      </c>
      <c r="BA322" s="7"/>
    </row>
    <row r="323" spans="24:53" hidden="1" x14ac:dyDescent="0.2">
      <c r="X323" s="4"/>
      <c r="Y323" s="4"/>
      <c r="Z323" s="4"/>
      <c r="AA323" s="4"/>
      <c r="AB323" s="4"/>
      <c r="AC323" s="4"/>
      <c r="AD323" s="4"/>
      <c r="AE323" s="4"/>
      <c r="AF323" s="3"/>
      <c r="AY323" s="8" t="s">
        <v>895</v>
      </c>
      <c r="AZ323" s="8" t="s">
        <v>709</v>
      </c>
      <c r="BA323" s="7"/>
    </row>
    <row r="324" spans="24:53" hidden="1" x14ac:dyDescent="0.2">
      <c r="X324" s="4"/>
      <c r="Y324" s="4"/>
      <c r="Z324" s="4"/>
      <c r="AA324" s="4"/>
      <c r="AB324" s="4"/>
      <c r="AC324" s="4"/>
      <c r="AD324" s="4"/>
      <c r="AE324" s="4"/>
      <c r="AF324" s="3"/>
      <c r="AY324" s="8" t="s">
        <v>896</v>
      </c>
      <c r="AZ324" s="8" t="s">
        <v>710</v>
      </c>
      <c r="BA324" s="7"/>
    </row>
    <row r="325" spans="24:53" hidden="1" x14ac:dyDescent="0.2">
      <c r="X325" s="4"/>
      <c r="Y325" s="4"/>
      <c r="Z325" s="4"/>
      <c r="AA325" s="4"/>
      <c r="AB325" s="4"/>
      <c r="AC325" s="4"/>
      <c r="AD325" s="4"/>
      <c r="AE325" s="4"/>
      <c r="AF325" s="3"/>
      <c r="AY325" s="8" t="s">
        <v>897</v>
      </c>
      <c r="AZ325" s="8" t="s">
        <v>711</v>
      </c>
      <c r="BA325" s="7"/>
    </row>
    <row r="326" spans="24:53" hidden="1" x14ac:dyDescent="0.2">
      <c r="X326" s="4"/>
      <c r="Y326" s="4"/>
      <c r="Z326" s="4"/>
      <c r="AA326" s="4"/>
      <c r="AB326" s="4"/>
      <c r="AC326" s="4"/>
      <c r="AD326" s="4"/>
      <c r="AE326" s="4"/>
      <c r="AF326" s="3"/>
      <c r="AY326" s="8" t="s">
        <v>898</v>
      </c>
      <c r="AZ326" s="8" t="s">
        <v>712</v>
      </c>
      <c r="BA326" s="7">
        <v>2.7E-4</v>
      </c>
    </row>
    <row r="327" spans="24:53" hidden="1" x14ac:dyDescent="0.2">
      <c r="X327" s="4"/>
      <c r="Y327" s="4"/>
      <c r="Z327" s="4"/>
      <c r="AA327" s="4"/>
      <c r="AB327" s="4"/>
      <c r="AC327" s="4"/>
      <c r="AD327" s="4"/>
      <c r="AE327" s="4"/>
      <c r="AF327" s="3"/>
      <c r="AY327" s="8" t="s">
        <v>899</v>
      </c>
      <c r="AZ327" s="8" t="s">
        <v>713</v>
      </c>
      <c r="BA327" s="7"/>
    </row>
    <row r="328" spans="24:53" hidden="1" x14ac:dyDescent="0.2">
      <c r="X328" s="4"/>
      <c r="Y328" s="4"/>
      <c r="Z328" s="4"/>
      <c r="AA328" s="4"/>
      <c r="AB328" s="4"/>
      <c r="AC328" s="4"/>
      <c r="AD328" s="4"/>
      <c r="AE328" s="4"/>
      <c r="AF328" s="3"/>
      <c r="AY328" s="8" t="s">
        <v>900</v>
      </c>
      <c r="AZ328" s="8" t="s">
        <v>714</v>
      </c>
      <c r="BA328" s="7"/>
    </row>
    <row r="329" spans="24:53" hidden="1" x14ac:dyDescent="0.2">
      <c r="X329" s="4"/>
      <c r="Y329" s="4"/>
      <c r="Z329" s="4"/>
      <c r="AA329" s="4"/>
      <c r="AB329" s="4"/>
      <c r="AC329" s="4"/>
      <c r="AD329" s="4"/>
      <c r="AE329" s="4"/>
      <c r="AF329" s="3"/>
      <c r="AY329" s="8" t="s">
        <v>901</v>
      </c>
      <c r="AZ329" s="8" t="s">
        <v>715</v>
      </c>
      <c r="BA329" s="7"/>
    </row>
    <row r="330" spans="24:53" hidden="1" x14ac:dyDescent="0.2">
      <c r="X330" s="4"/>
      <c r="Y330" s="4"/>
      <c r="Z330" s="4"/>
      <c r="AA330" s="4"/>
      <c r="AB330" s="4"/>
      <c r="AC330" s="4"/>
      <c r="AD330" s="4"/>
      <c r="AE330" s="4"/>
      <c r="AF330" s="3"/>
      <c r="AY330" s="8" t="s">
        <v>902</v>
      </c>
      <c r="AZ330" s="8" t="s">
        <v>716</v>
      </c>
      <c r="BA330" s="7"/>
    </row>
    <row r="331" spans="24:53" hidden="1" x14ac:dyDescent="0.2">
      <c r="X331" s="4"/>
      <c r="Y331" s="4"/>
      <c r="Z331" s="4"/>
      <c r="AA331" s="4"/>
      <c r="AB331" s="4"/>
      <c r="AC331" s="4"/>
      <c r="AD331" s="4"/>
      <c r="AE331" s="4"/>
      <c r="AF331" s="3"/>
      <c r="AY331" s="8" t="s">
        <v>903</v>
      </c>
      <c r="AZ331" s="8" t="s">
        <v>717</v>
      </c>
      <c r="BA331" s="7"/>
    </row>
    <row r="332" spans="24:53" hidden="1" x14ac:dyDescent="0.2">
      <c r="X332" s="4"/>
      <c r="Y332" s="4"/>
      <c r="Z332" s="4"/>
      <c r="AA332" s="4"/>
      <c r="AB332" s="4"/>
      <c r="AC332" s="4"/>
      <c r="AD332" s="4"/>
      <c r="AE332" s="4"/>
      <c r="AF332" s="3"/>
      <c r="AY332" s="8" t="s">
        <v>904</v>
      </c>
      <c r="AZ332" s="8" t="s">
        <v>718</v>
      </c>
      <c r="BA332" s="7"/>
    </row>
    <row r="333" spans="24:53" hidden="1" x14ac:dyDescent="0.2">
      <c r="X333" s="4"/>
      <c r="Y333" s="4"/>
      <c r="Z333" s="4"/>
      <c r="AA333" s="4"/>
      <c r="AB333" s="4"/>
      <c r="AC333" s="4"/>
      <c r="AD333" s="4"/>
      <c r="AE333" s="4"/>
      <c r="AF333" s="3"/>
      <c r="AY333" s="8" t="s">
        <v>905</v>
      </c>
      <c r="AZ333" s="8" t="s">
        <v>719</v>
      </c>
      <c r="BA333" s="7"/>
    </row>
    <row r="334" spans="24:53" hidden="1" x14ac:dyDescent="0.2">
      <c r="X334" s="4"/>
      <c r="Y334" s="4"/>
      <c r="Z334" s="4"/>
      <c r="AA334" s="4"/>
      <c r="AB334" s="4"/>
      <c r="AC334" s="4"/>
      <c r="AD334" s="4"/>
      <c r="AE334" s="4"/>
      <c r="AF334" s="3"/>
      <c r="AY334" s="8" t="s">
        <v>906</v>
      </c>
      <c r="AZ334" s="8" t="s">
        <v>720</v>
      </c>
      <c r="BA334" s="7"/>
    </row>
    <row r="335" spans="24:53" hidden="1" x14ac:dyDescent="0.2">
      <c r="X335" s="4"/>
      <c r="Y335" s="4"/>
      <c r="Z335" s="4"/>
      <c r="AA335" s="4"/>
      <c r="AB335" s="4"/>
      <c r="AC335" s="4"/>
      <c r="AD335" s="4"/>
      <c r="AE335" s="4"/>
      <c r="AF335" s="3"/>
      <c r="AY335" s="8" t="s">
        <v>907</v>
      </c>
      <c r="AZ335" s="8" t="s">
        <v>721</v>
      </c>
      <c r="BA335" s="7"/>
    </row>
    <row r="336" spans="24:53" hidden="1" x14ac:dyDescent="0.2">
      <c r="X336" s="4"/>
      <c r="Y336" s="4"/>
      <c r="Z336" s="4"/>
      <c r="AA336" s="4"/>
      <c r="AB336" s="4"/>
      <c r="AC336" s="4"/>
      <c r="AD336" s="4"/>
      <c r="AE336" s="4"/>
      <c r="AF336" s="3"/>
      <c r="AY336" s="8" t="s">
        <v>1258</v>
      </c>
      <c r="AZ336" s="8" t="s">
        <v>1259</v>
      </c>
      <c r="BA336" s="7"/>
    </row>
    <row r="337" spans="24:53" hidden="1" x14ac:dyDescent="0.2">
      <c r="X337" s="4"/>
      <c r="Y337" s="4"/>
      <c r="Z337" s="4"/>
      <c r="AA337" s="4"/>
      <c r="AB337" s="4"/>
      <c r="AC337" s="4"/>
      <c r="AD337" s="4"/>
      <c r="AE337" s="4"/>
      <c r="AF337" s="3"/>
      <c r="AY337" s="8" t="s">
        <v>908</v>
      </c>
      <c r="AZ337" s="8" t="s">
        <v>722</v>
      </c>
      <c r="BA337" s="7"/>
    </row>
    <row r="338" spans="24:53" hidden="1" x14ac:dyDescent="0.2">
      <c r="X338" s="4"/>
      <c r="Y338" s="4"/>
      <c r="Z338" s="4"/>
      <c r="AA338" s="4"/>
      <c r="AB338" s="4"/>
      <c r="AC338" s="4"/>
      <c r="AD338" s="4"/>
      <c r="AE338" s="4"/>
      <c r="AF338" s="3"/>
      <c r="AY338" s="8" t="s">
        <v>909</v>
      </c>
      <c r="AZ338" s="8" t="s">
        <v>723</v>
      </c>
      <c r="BA338" s="7"/>
    </row>
    <row r="339" spans="24:53" hidden="1" x14ac:dyDescent="0.2">
      <c r="X339" s="4"/>
      <c r="Y339" s="4"/>
      <c r="Z339" s="4"/>
      <c r="AA339" s="4"/>
      <c r="AB339" s="4"/>
      <c r="AC339" s="4"/>
      <c r="AD339" s="4"/>
      <c r="AE339" s="4"/>
      <c r="AF339" s="3"/>
      <c r="AY339" s="8" t="s">
        <v>910</v>
      </c>
      <c r="AZ339" s="8" t="s">
        <v>724</v>
      </c>
      <c r="BA339" s="7"/>
    </row>
    <row r="340" spans="24:53" hidden="1" x14ac:dyDescent="0.2">
      <c r="X340" s="4"/>
      <c r="Y340" s="4"/>
      <c r="Z340" s="4"/>
      <c r="AA340" s="4"/>
      <c r="AB340" s="4"/>
      <c r="AC340" s="4"/>
      <c r="AD340" s="4"/>
      <c r="AE340" s="4"/>
      <c r="AF340" s="3"/>
      <c r="AY340" s="8" t="s">
        <v>911</v>
      </c>
      <c r="AZ340" s="8" t="s">
        <v>725</v>
      </c>
      <c r="BA340" s="7"/>
    </row>
    <row r="341" spans="24:53" hidden="1" x14ac:dyDescent="0.2">
      <c r="X341" s="4"/>
      <c r="Y341" s="4"/>
      <c r="Z341" s="4"/>
      <c r="AA341" s="4"/>
      <c r="AB341" s="4"/>
      <c r="AC341" s="4"/>
      <c r="AD341" s="4"/>
      <c r="AE341" s="4"/>
      <c r="AF341" s="3"/>
      <c r="AY341" s="8" t="s">
        <v>912</v>
      </c>
      <c r="AZ341" s="8" t="s">
        <v>726</v>
      </c>
      <c r="BA341" s="7"/>
    </row>
    <row r="342" spans="24:53" hidden="1" x14ac:dyDescent="0.2">
      <c r="X342" s="4"/>
      <c r="Y342" s="4"/>
      <c r="Z342" s="4"/>
      <c r="AA342" s="4"/>
      <c r="AB342" s="4"/>
      <c r="AC342" s="4"/>
      <c r="AD342" s="4"/>
      <c r="AE342" s="4"/>
      <c r="AF342" s="3"/>
      <c r="AY342" s="8" t="s">
        <v>913</v>
      </c>
      <c r="AZ342" s="8" t="s">
        <v>727</v>
      </c>
      <c r="BA342" s="7"/>
    </row>
    <row r="343" spans="24:53" hidden="1" x14ac:dyDescent="0.2">
      <c r="X343" s="4"/>
      <c r="Y343" s="4"/>
      <c r="Z343" s="4"/>
      <c r="AA343" s="4"/>
      <c r="AB343" s="4"/>
      <c r="AC343" s="4"/>
      <c r="AD343" s="4"/>
      <c r="AE343" s="4"/>
      <c r="AF343" s="3"/>
      <c r="AY343" s="8" t="s">
        <v>914</v>
      </c>
      <c r="AZ343" s="8" t="s">
        <v>728</v>
      </c>
      <c r="BA343" s="7"/>
    </row>
    <row r="344" spans="24:53" hidden="1" x14ac:dyDescent="0.2">
      <c r="X344" s="4"/>
      <c r="Y344" s="4"/>
      <c r="Z344" s="4"/>
      <c r="AA344" s="4"/>
      <c r="AB344" s="4"/>
      <c r="AC344" s="4"/>
      <c r="AD344" s="4"/>
      <c r="AE344" s="4"/>
      <c r="AF344" s="3"/>
      <c r="AY344" s="8" t="s">
        <v>915</v>
      </c>
      <c r="AZ344" s="8" t="s">
        <v>729</v>
      </c>
      <c r="BA344" s="7"/>
    </row>
    <row r="345" spans="24:53" hidden="1" x14ac:dyDescent="0.2">
      <c r="X345" s="4"/>
      <c r="Y345" s="4"/>
      <c r="Z345" s="4"/>
      <c r="AA345" s="4"/>
      <c r="AB345" s="4"/>
      <c r="AC345" s="4"/>
      <c r="AD345" s="4"/>
      <c r="AE345" s="4"/>
      <c r="AF345" s="3"/>
      <c r="AY345" s="8" t="s">
        <v>916</v>
      </c>
      <c r="AZ345" s="8" t="s">
        <v>730</v>
      </c>
      <c r="BA345" s="7"/>
    </row>
    <row r="346" spans="24:53" hidden="1" x14ac:dyDescent="0.2">
      <c r="X346" s="4"/>
      <c r="Y346" s="4"/>
      <c r="Z346" s="4"/>
      <c r="AA346" s="4"/>
      <c r="AB346" s="4"/>
      <c r="AC346" s="4"/>
      <c r="AD346" s="4"/>
      <c r="AE346" s="4"/>
      <c r="AF346" s="3"/>
      <c r="AY346" s="8" t="s">
        <v>917</v>
      </c>
      <c r="AZ346" s="8" t="s">
        <v>731</v>
      </c>
      <c r="BA346" s="7"/>
    </row>
    <row r="347" spans="24:53" hidden="1" x14ac:dyDescent="0.2">
      <c r="X347" s="4"/>
      <c r="Y347" s="4"/>
      <c r="Z347" s="4"/>
      <c r="AA347" s="4"/>
      <c r="AB347" s="4"/>
      <c r="AC347" s="4"/>
      <c r="AD347" s="4"/>
      <c r="AE347" s="4"/>
      <c r="AF347" s="3"/>
      <c r="AY347" s="8" t="s">
        <v>918</v>
      </c>
      <c r="AZ347" s="8" t="s">
        <v>732</v>
      </c>
      <c r="BA347" s="7"/>
    </row>
    <row r="348" spans="24:53" hidden="1" x14ac:dyDescent="0.2">
      <c r="X348" s="4"/>
      <c r="Y348" s="4"/>
      <c r="Z348" s="4"/>
      <c r="AA348" s="4"/>
      <c r="AB348" s="4"/>
      <c r="AC348" s="4"/>
      <c r="AD348" s="4"/>
      <c r="AE348" s="4"/>
      <c r="AF348" s="3"/>
      <c r="AY348" s="8" t="s">
        <v>919</v>
      </c>
      <c r="AZ348" s="8" t="s">
        <v>733</v>
      </c>
      <c r="BA348" s="7">
        <v>3.0000000000000001E-5</v>
      </c>
    </row>
    <row r="349" spans="24:53" hidden="1" x14ac:dyDescent="0.2">
      <c r="X349" s="4"/>
      <c r="Y349" s="4"/>
      <c r="Z349" s="4"/>
      <c r="AA349" s="4"/>
      <c r="AB349" s="4"/>
      <c r="AC349" s="4"/>
      <c r="AD349" s="4"/>
      <c r="AE349" s="4"/>
      <c r="AF349" s="3"/>
      <c r="AY349" s="8" t="s">
        <v>920</v>
      </c>
      <c r="AZ349" s="8" t="s">
        <v>734</v>
      </c>
      <c r="BA349" s="7"/>
    </row>
    <row r="350" spans="24:53" hidden="1" x14ac:dyDescent="0.2">
      <c r="X350" s="4"/>
      <c r="Y350" s="4"/>
      <c r="Z350" s="4"/>
      <c r="AA350" s="4"/>
      <c r="AB350" s="4"/>
      <c r="AC350" s="4"/>
      <c r="AD350" s="4"/>
      <c r="AE350" s="4"/>
      <c r="AF350" s="3"/>
      <c r="AY350" s="8" t="s">
        <v>921</v>
      </c>
      <c r="AZ350" s="8" t="s">
        <v>735</v>
      </c>
      <c r="BA350" s="7"/>
    </row>
    <row r="351" spans="24:53" hidden="1" x14ac:dyDescent="0.2">
      <c r="X351" s="4"/>
      <c r="Y351" s="4"/>
      <c r="Z351" s="4"/>
      <c r="AA351" s="4"/>
      <c r="AB351" s="4"/>
      <c r="AC351" s="4"/>
      <c r="AD351" s="4"/>
      <c r="AE351" s="4"/>
      <c r="AF351" s="3"/>
      <c r="AY351" s="8" t="s">
        <v>922</v>
      </c>
      <c r="AZ351" s="8" t="s">
        <v>736</v>
      </c>
      <c r="BA351" s="7"/>
    </row>
    <row r="352" spans="24:53" hidden="1" x14ac:dyDescent="0.2">
      <c r="X352" s="4"/>
      <c r="Y352" s="4"/>
      <c r="Z352" s="4"/>
      <c r="AA352" s="4"/>
      <c r="AB352" s="4"/>
      <c r="AC352" s="4"/>
      <c r="AD352" s="4"/>
      <c r="AE352" s="4"/>
      <c r="AF352" s="3"/>
      <c r="AY352" s="8" t="s">
        <v>1256</v>
      </c>
      <c r="AZ352" s="8" t="s">
        <v>1257</v>
      </c>
      <c r="BA352" s="7"/>
    </row>
    <row r="353" spans="24:53" hidden="1" x14ac:dyDescent="0.2">
      <c r="X353" s="4"/>
      <c r="Y353" s="4"/>
      <c r="Z353" s="4"/>
      <c r="AA353" s="4"/>
      <c r="AB353" s="4"/>
      <c r="AC353" s="4"/>
      <c r="AD353" s="4"/>
      <c r="AE353" s="4"/>
      <c r="AF353" s="3"/>
      <c r="AY353" s="8" t="s">
        <v>923</v>
      </c>
      <c r="AZ353" s="8" t="s">
        <v>737</v>
      </c>
      <c r="BA353" s="7">
        <v>2.0000000000000001E-4</v>
      </c>
    </row>
    <row r="354" spans="24:53" hidden="1" x14ac:dyDescent="0.2">
      <c r="X354" s="4"/>
      <c r="Y354" s="4"/>
      <c r="Z354" s="4"/>
      <c r="AA354" s="4"/>
      <c r="AB354" s="4"/>
      <c r="AC354" s="4"/>
      <c r="AD354" s="4"/>
      <c r="AE354" s="4"/>
      <c r="AF354" s="3"/>
      <c r="AY354" s="8" t="s">
        <v>924</v>
      </c>
      <c r="AZ354" s="8" t="s">
        <v>738</v>
      </c>
      <c r="BA354" s="7"/>
    </row>
    <row r="355" spans="24:53" hidden="1" x14ac:dyDescent="0.2">
      <c r="X355" s="4"/>
      <c r="Y355" s="4"/>
      <c r="Z355" s="4"/>
      <c r="AA355" s="4"/>
      <c r="AB355" s="4"/>
      <c r="AC355" s="4"/>
      <c r="AD355" s="4"/>
      <c r="AE355" s="4"/>
      <c r="AF355" s="3"/>
      <c r="AY355" s="8" t="s">
        <v>925</v>
      </c>
      <c r="AZ355" s="8" t="s">
        <v>739</v>
      </c>
      <c r="BA355" s="7"/>
    </row>
    <row r="356" spans="24:53" hidden="1" x14ac:dyDescent="0.2">
      <c r="X356" s="4"/>
      <c r="Y356" s="4"/>
      <c r="Z356" s="4"/>
      <c r="AA356" s="4"/>
      <c r="AB356" s="4"/>
      <c r="AC356" s="4"/>
      <c r="AD356" s="4"/>
      <c r="AE356" s="4"/>
      <c r="AF356" s="3"/>
      <c r="AY356" s="8" t="s">
        <v>926</v>
      </c>
      <c r="AZ356" s="8" t="s">
        <v>740</v>
      </c>
      <c r="BA356" s="7">
        <v>1E-3</v>
      </c>
    </row>
    <row r="357" spans="24:53" hidden="1" x14ac:dyDescent="0.2">
      <c r="X357" s="4"/>
      <c r="Y357" s="4"/>
      <c r="Z357" s="4"/>
      <c r="AA357" s="4"/>
      <c r="AB357" s="4"/>
      <c r="AC357" s="4"/>
      <c r="AD357" s="4"/>
      <c r="AE357" s="4"/>
      <c r="AF357" s="3"/>
      <c r="AY357" s="8" t="s">
        <v>927</v>
      </c>
      <c r="AZ357" s="8" t="s">
        <v>741</v>
      </c>
      <c r="BA357" s="7">
        <v>4.0000000000000002E-4</v>
      </c>
    </row>
    <row r="358" spans="24:53" hidden="1" x14ac:dyDescent="0.2">
      <c r="X358" s="4"/>
      <c r="Y358" s="4"/>
      <c r="Z358" s="4"/>
      <c r="AA358" s="4"/>
      <c r="AB358" s="4"/>
      <c r="AC358" s="4"/>
      <c r="AD358" s="4"/>
      <c r="AE358" s="4"/>
      <c r="AF358" s="3"/>
      <c r="AY358" s="8" t="s">
        <v>928</v>
      </c>
      <c r="AZ358" s="8" t="s">
        <v>742</v>
      </c>
      <c r="BA358" s="7">
        <v>5.0000000000000001E-4</v>
      </c>
    </row>
    <row r="359" spans="24:53" hidden="1" x14ac:dyDescent="0.2">
      <c r="X359" s="4"/>
      <c r="Y359" s="4"/>
      <c r="Z359" s="4"/>
      <c r="AA359" s="4"/>
      <c r="AB359" s="4"/>
      <c r="AC359" s="4"/>
      <c r="AD359" s="4"/>
      <c r="AE359" s="4"/>
      <c r="AF359" s="3"/>
      <c r="AY359" s="8" t="s">
        <v>929</v>
      </c>
      <c r="AZ359" s="8" t="s">
        <v>743</v>
      </c>
      <c r="BA359" s="7">
        <v>1E-3</v>
      </c>
    </row>
    <row r="360" spans="24:53" hidden="1" x14ac:dyDescent="0.2">
      <c r="X360" s="4"/>
      <c r="Y360" s="4"/>
      <c r="Z360" s="4"/>
      <c r="AA360" s="4"/>
      <c r="AB360" s="4"/>
      <c r="AC360" s="4"/>
      <c r="AD360" s="4"/>
      <c r="AE360" s="4"/>
      <c r="AF360" s="3"/>
      <c r="AY360" s="8" t="s">
        <v>930</v>
      </c>
      <c r="AZ360" s="8" t="s">
        <v>744</v>
      </c>
      <c r="BA360" s="7">
        <v>2.0000000000000002E-5</v>
      </c>
    </row>
    <row r="361" spans="24:53" hidden="1" x14ac:dyDescent="0.2">
      <c r="X361" s="4"/>
      <c r="Y361" s="4"/>
      <c r="Z361" s="4"/>
      <c r="AA361" s="4"/>
      <c r="AB361" s="4"/>
      <c r="AC361" s="4"/>
      <c r="AD361" s="4"/>
      <c r="AE361" s="4"/>
      <c r="AF361" s="3"/>
      <c r="AY361" s="8" t="s">
        <v>931</v>
      </c>
      <c r="AZ361" s="8" t="s">
        <v>745</v>
      </c>
      <c r="BA361" s="7"/>
    </row>
    <row r="362" spans="24:53" hidden="1" x14ac:dyDescent="0.2">
      <c r="X362" s="4"/>
      <c r="Y362" s="4"/>
      <c r="Z362" s="4"/>
      <c r="AA362" s="4"/>
      <c r="AB362" s="4"/>
      <c r="AC362" s="4"/>
      <c r="AD362" s="4"/>
      <c r="AE362" s="4"/>
      <c r="AF362" s="3"/>
      <c r="AY362" s="8" t="s">
        <v>932</v>
      </c>
      <c r="AZ362" s="8" t="s">
        <v>746</v>
      </c>
      <c r="BA362" s="7">
        <v>2.0000000000000001E-4</v>
      </c>
    </row>
    <row r="363" spans="24:53" hidden="1" x14ac:dyDescent="0.2">
      <c r="X363" s="4"/>
      <c r="Y363" s="4"/>
      <c r="Z363" s="4"/>
      <c r="AA363" s="4"/>
      <c r="AB363" s="4"/>
      <c r="AC363" s="4"/>
      <c r="AD363" s="4"/>
      <c r="AE363" s="4"/>
      <c r="AF363" s="3"/>
      <c r="AY363" s="8" t="s">
        <v>933</v>
      </c>
      <c r="AZ363" s="8" t="s">
        <v>747</v>
      </c>
      <c r="BA363" s="7"/>
    </row>
    <row r="364" spans="24:53" hidden="1" x14ac:dyDescent="0.2">
      <c r="X364" s="4"/>
      <c r="Y364" s="4"/>
      <c r="Z364" s="4"/>
      <c r="AA364" s="4"/>
      <c r="AB364" s="4"/>
      <c r="AC364" s="4"/>
      <c r="AD364" s="4"/>
      <c r="AE364" s="4"/>
      <c r="AF364" s="3"/>
      <c r="AY364" s="8" t="s">
        <v>934</v>
      </c>
      <c r="AZ364" s="8" t="s">
        <v>748</v>
      </c>
      <c r="BA364" s="7">
        <v>5.0000000000000002E-5</v>
      </c>
    </row>
    <row r="365" spans="24:53" hidden="1" x14ac:dyDescent="0.2">
      <c r="X365" s="4"/>
      <c r="Y365" s="4"/>
      <c r="Z365" s="4"/>
      <c r="AA365" s="4"/>
      <c r="AB365" s="4"/>
      <c r="AC365" s="4"/>
      <c r="AD365" s="4"/>
      <c r="AE365" s="4"/>
      <c r="AF365" s="3"/>
      <c r="AY365" s="8" t="s">
        <v>935</v>
      </c>
      <c r="AZ365" s="8" t="s">
        <v>749</v>
      </c>
      <c r="BA365" s="7"/>
    </row>
    <row r="366" spans="24:53" hidden="1" x14ac:dyDescent="0.2">
      <c r="X366" s="4"/>
      <c r="Y366" s="4"/>
      <c r="Z366" s="4"/>
      <c r="AA366" s="4"/>
      <c r="AB366" s="4"/>
      <c r="AC366" s="4"/>
      <c r="AD366" s="4"/>
      <c r="AE366" s="4"/>
      <c r="AF366" s="3"/>
      <c r="AY366" s="8" t="s">
        <v>936</v>
      </c>
      <c r="AZ366" s="8" t="s">
        <v>750</v>
      </c>
      <c r="BA366" s="7"/>
    </row>
    <row r="367" spans="24:53" hidden="1" x14ac:dyDescent="0.2">
      <c r="X367" s="4"/>
      <c r="Y367" s="4"/>
      <c r="Z367" s="4"/>
      <c r="AA367" s="4"/>
      <c r="AB367" s="4"/>
      <c r="AC367" s="4"/>
      <c r="AD367" s="4"/>
      <c r="AE367" s="4"/>
      <c r="AF367" s="3"/>
      <c r="AY367" s="8" t="s">
        <v>937</v>
      </c>
      <c r="AZ367" s="8" t="s">
        <v>751</v>
      </c>
      <c r="BA367" s="7">
        <v>1E-4</v>
      </c>
    </row>
    <row r="368" spans="24:53" hidden="1" x14ac:dyDescent="0.2">
      <c r="X368" s="4"/>
      <c r="Y368" s="4"/>
      <c r="Z368" s="4"/>
      <c r="AA368" s="4"/>
      <c r="AB368" s="4"/>
      <c r="AC368" s="4"/>
      <c r="AD368" s="4"/>
      <c r="AE368" s="4"/>
      <c r="AF368" s="3"/>
      <c r="AY368" s="8" t="s">
        <v>938</v>
      </c>
      <c r="AZ368" s="8" t="s">
        <v>752</v>
      </c>
      <c r="BA368" s="7"/>
    </row>
    <row r="369" spans="24:53" hidden="1" x14ac:dyDescent="0.2">
      <c r="X369" s="4"/>
      <c r="Y369" s="4"/>
      <c r="Z369" s="4"/>
      <c r="AA369" s="4"/>
      <c r="AB369" s="4"/>
      <c r="AC369" s="4"/>
      <c r="AD369" s="4"/>
      <c r="AE369" s="4"/>
      <c r="AF369" s="3"/>
      <c r="AY369" s="8" t="s">
        <v>939</v>
      </c>
      <c r="AZ369" s="8" t="s">
        <v>753</v>
      </c>
      <c r="BA369" s="7">
        <v>9.0000000000000006E-5</v>
      </c>
    </row>
    <row r="370" spans="24:53" hidden="1" x14ac:dyDescent="0.2">
      <c r="X370" s="4"/>
      <c r="Y370" s="4"/>
      <c r="Z370" s="4"/>
      <c r="AA370" s="4"/>
      <c r="AB370" s="4"/>
      <c r="AC370" s="4"/>
      <c r="AD370" s="4"/>
      <c r="AE370" s="4"/>
      <c r="AF370" s="3"/>
      <c r="AY370" s="8" t="s">
        <v>940</v>
      </c>
      <c r="AZ370" s="8" t="s">
        <v>754</v>
      </c>
      <c r="BA370" s="7"/>
    </row>
    <row r="371" spans="24:53" hidden="1" x14ac:dyDescent="0.2">
      <c r="X371" s="4"/>
      <c r="Y371" s="4"/>
      <c r="Z371" s="4"/>
      <c r="AA371" s="4"/>
      <c r="AB371" s="4"/>
      <c r="AC371" s="4"/>
      <c r="AD371" s="4"/>
      <c r="AE371" s="4"/>
      <c r="AF371" s="3"/>
      <c r="AY371" s="8" t="s">
        <v>941</v>
      </c>
      <c r="AZ371" s="8" t="s">
        <v>755</v>
      </c>
      <c r="BA371" s="7">
        <v>5.0000000000000001E-4</v>
      </c>
    </row>
    <row r="372" spans="24:53" hidden="1" x14ac:dyDescent="0.2">
      <c r="X372" s="4"/>
      <c r="Y372" s="4"/>
      <c r="Z372" s="4"/>
      <c r="AA372" s="4"/>
      <c r="AB372" s="4"/>
      <c r="AC372" s="4"/>
      <c r="AD372" s="4"/>
      <c r="AE372" s="4"/>
      <c r="AF372" s="3"/>
      <c r="AY372" s="8" t="s">
        <v>942</v>
      </c>
      <c r="AZ372" s="8" t="s">
        <v>756</v>
      </c>
      <c r="BA372" s="7">
        <v>5.0000000000000001E-3</v>
      </c>
    </row>
    <row r="373" spans="24:53" hidden="1" x14ac:dyDescent="0.2">
      <c r="X373" s="4"/>
      <c r="Y373" s="4"/>
      <c r="Z373" s="4"/>
      <c r="AA373" s="4"/>
      <c r="AB373" s="4"/>
      <c r="AC373" s="4"/>
      <c r="AD373" s="4"/>
      <c r="AE373" s="4"/>
      <c r="AF373" s="3"/>
      <c r="AY373" s="8" t="s">
        <v>943</v>
      </c>
      <c r="AZ373" s="8" t="s">
        <v>757</v>
      </c>
      <c r="BA373" s="7"/>
    </row>
    <row r="374" spans="24:53" hidden="1" x14ac:dyDescent="0.2">
      <c r="X374" s="4"/>
      <c r="Y374" s="4"/>
      <c r="Z374" s="4"/>
      <c r="AA374" s="4"/>
      <c r="AB374" s="4"/>
      <c r="AC374" s="4"/>
      <c r="AD374" s="4"/>
      <c r="AE374" s="4"/>
      <c r="AF374" s="3"/>
      <c r="AY374" s="8" t="s">
        <v>944</v>
      </c>
      <c r="AZ374" s="8" t="s">
        <v>758</v>
      </c>
      <c r="BA374" s="7"/>
    </row>
    <row r="375" spans="24:53" hidden="1" x14ac:dyDescent="0.2">
      <c r="X375" s="4"/>
      <c r="Y375" s="4"/>
      <c r="Z375" s="4"/>
      <c r="AA375" s="4"/>
      <c r="AB375" s="4"/>
      <c r="AC375" s="4"/>
      <c r="AD375" s="4"/>
      <c r="AE375" s="4"/>
      <c r="AF375" s="3"/>
      <c r="AY375" s="8" t="s">
        <v>945</v>
      </c>
      <c r="AZ375" s="8" t="s">
        <v>759</v>
      </c>
      <c r="BA375" s="7"/>
    </row>
    <row r="376" spans="24:53" hidden="1" x14ac:dyDescent="0.2">
      <c r="X376" s="4"/>
      <c r="Y376" s="4"/>
      <c r="Z376" s="4"/>
      <c r="AA376" s="4"/>
      <c r="AB376" s="4"/>
      <c r="AC376" s="4"/>
      <c r="AD376" s="4"/>
      <c r="AE376" s="4"/>
      <c r="AF376" s="3"/>
      <c r="AY376" s="8" t="s">
        <v>946</v>
      </c>
      <c r="AZ376" s="8" t="s">
        <v>760</v>
      </c>
      <c r="BA376" s="7"/>
    </row>
    <row r="377" spans="24:53" hidden="1" x14ac:dyDescent="0.2">
      <c r="X377" s="4"/>
      <c r="Y377" s="4"/>
      <c r="Z377" s="4"/>
      <c r="AA377" s="4"/>
      <c r="AB377" s="4"/>
      <c r="AC377" s="4"/>
      <c r="AD377" s="4"/>
      <c r="AE377" s="4"/>
      <c r="AF377" s="3"/>
      <c r="AY377" s="8" t="s">
        <v>947</v>
      </c>
      <c r="AZ377" s="8" t="s">
        <v>761</v>
      </c>
      <c r="BA377" s="7">
        <v>1E-3</v>
      </c>
    </row>
    <row r="378" spans="24:53" hidden="1" x14ac:dyDescent="0.2">
      <c r="X378" s="4"/>
      <c r="Y378" s="4"/>
      <c r="Z378" s="4"/>
      <c r="AA378" s="4"/>
      <c r="AB378" s="4"/>
      <c r="AC378" s="4"/>
      <c r="AD378" s="4"/>
      <c r="AE378" s="4"/>
      <c r="AF378" s="3"/>
      <c r="AY378" s="8" t="s">
        <v>948</v>
      </c>
      <c r="AZ378" s="8" t="s">
        <v>762</v>
      </c>
      <c r="BA378" s="7">
        <v>5.9999999999999995E-4</v>
      </c>
    </row>
    <row r="379" spans="24:53" hidden="1" x14ac:dyDescent="0.2">
      <c r="X379" s="4"/>
      <c r="Y379" s="4"/>
      <c r="Z379" s="4"/>
      <c r="AA379" s="4"/>
      <c r="AB379" s="4"/>
      <c r="AC379" s="4"/>
      <c r="AD379" s="4"/>
      <c r="AE379" s="4"/>
      <c r="AF379" s="3"/>
      <c r="AY379" s="8" t="s">
        <v>949</v>
      </c>
      <c r="AZ379" s="8" t="s">
        <v>763</v>
      </c>
      <c r="BA379" s="7"/>
    </row>
    <row r="380" spans="24:53" hidden="1" x14ac:dyDescent="0.2">
      <c r="X380" s="4"/>
      <c r="Y380" s="4"/>
      <c r="Z380" s="4"/>
      <c r="AA380" s="4"/>
      <c r="AB380" s="4"/>
      <c r="AC380" s="4"/>
      <c r="AD380" s="4"/>
      <c r="AE380" s="4"/>
      <c r="AF380" s="3"/>
      <c r="AY380" s="8" t="s">
        <v>950</v>
      </c>
      <c r="AZ380" s="8" t="s">
        <v>764</v>
      </c>
      <c r="BA380" s="7">
        <v>5.0000000000000001E-4</v>
      </c>
    </row>
    <row r="381" spans="24:53" hidden="1" x14ac:dyDescent="0.2">
      <c r="X381" s="4"/>
      <c r="Y381" s="4"/>
      <c r="Z381" s="4"/>
      <c r="AA381" s="4"/>
      <c r="AB381" s="4"/>
      <c r="AC381" s="4"/>
      <c r="AD381" s="4"/>
      <c r="AE381" s="4"/>
      <c r="AF381" s="3"/>
      <c r="AY381" s="8" t="s">
        <v>951</v>
      </c>
      <c r="AZ381" s="8" t="s">
        <v>765</v>
      </c>
      <c r="BA381" s="7">
        <v>1E-4</v>
      </c>
    </row>
    <row r="382" spans="24:53" hidden="1" x14ac:dyDescent="0.2">
      <c r="X382" s="4"/>
      <c r="Y382" s="4"/>
      <c r="Z382" s="4"/>
      <c r="AA382" s="4"/>
      <c r="AB382" s="4"/>
      <c r="AC382" s="4"/>
      <c r="AD382" s="4"/>
      <c r="AE382" s="4"/>
      <c r="AF382" s="3"/>
      <c r="AY382" s="8" t="s">
        <v>1255</v>
      </c>
      <c r="AZ382" s="8" t="s">
        <v>1260</v>
      </c>
      <c r="BA382" s="7"/>
    </row>
    <row r="383" spans="24:53" hidden="1" x14ac:dyDescent="0.2">
      <c r="X383" s="4"/>
      <c r="Y383" s="4"/>
      <c r="Z383" s="4"/>
      <c r="AA383" s="4"/>
      <c r="AB383" s="4"/>
      <c r="AC383" s="4"/>
      <c r="AD383" s="4"/>
      <c r="AE383" s="4"/>
      <c r="AF383" s="3"/>
      <c r="AY383" s="8" t="s">
        <v>1248</v>
      </c>
      <c r="AZ383" s="8" t="s">
        <v>1249</v>
      </c>
      <c r="BA383" s="7"/>
    </row>
    <row r="384" spans="24:53" hidden="1" x14ac:dyDescent="0.2">
      <c r="X384" s="4"/>
      <c r="Y384" s="4"/>
      <c r="Z384" s="4"/>
      <c r="AA384" s="4"/>
      <c r="AB384" s="4"/>
      <c r="AC384" s="4"/>
      <c r="AD384" s="4"/>
      <c r="AE384" s="4"/>
      <c r="AF384" s="3"/>
      <c r="AY384" s="8" t="s">
        <v>963</v>
      </c>
      <c r="AZ384" s="8" t="s">
        <v>766</v>
      </c>
      <c r="BA384" s="7">
        <v>1.9999999999999999E-7</v>
      </c>
    </row>
    <row r="385" spans="24:53" hidden="1" x14ac:dyDescent="0.2">
      <c r="X385" s="4"/>
      <c r="Y385" s="4"/>
      <c r="Z385" s="4"/>
      <c r="AA385" s="4"/>
      <c r="AB385" s="4"/>
      <c r="AC385" s="4"/>
      <c r="AD385" s="4"/>
      <c r="AE385" s="4"/>
      <c r="AF385" s="3"/>
      <c r="AY385" s="8" t="s">
        <v>965</v>
      </c>
      <c r="AZ385" s="8" t="s">
        <v>767</v>
      </c>
      <c r="BA385" s="7"/>
    </row>
    <row r="386" spans="24:53" hidden="1" x14ac:dyDescent="0.2">
      <c r="X386" s="4"/>
      <c r="Y386" s="4"/>
      <c r="Z386" s="4"/>
      <c r="AA386" s="4"/>
      <c r="AB386" s="4"/>
      <c r="AC386" s="4"/>
      <c r="AD386" s="4"/>
      <c r="AE386" s="4"/>
      <c r="AF386" s="3"/>
      <c r="AY386" s="8" t="s">
        <v>966</v>
      </c>
      <c r="AZ386" s="8" t="s">
        <v>768</v>
      </c>
      <c r="BA386" s="7">
        <v>2.9999999999999997E-4</v>
      </c>
    </row>
    <row r="387" spans="24:53" hidden="1" x14ac:dyDescent="0.2">
      <c r="X387" s="4"/>
      <c r="Y387" s="4"/>
      <c r="Z387" s="4"/>
      <c r="AA387" s="4"/>
      <c r="AB387" s="4"/>
      <c r="AC387" s="4"/>
      <c r="AD387" s="4"/>
      <c r="AE387" s="4"/>
      <c r="AF387" s="3"/>
      <c r="AY387" s="8" t="s">
        <v>967</v>
      </c>
      <c r="AZ387" s="8" t="s">
        <v>769</v>
      </c>
      <c r="BA387" s="7">
        <v>5.0000000000000001E-4</v>
      </c>
    </row>
    <row r="388" spans="24:53" hidden="1" x14ac:dyDescent="0.2">
      <c r="X388" s="4"/>
      <c r="Y388" s="4"/>
      <c r="Z388" s="4"/>
      <c r="AA388" s="4"/>
      <c r="AB388" s="4"/>
      <c r="AC388" s="4"/>
      <c r="AD388" s="4"/>
      <c r="AE388" s="4"/>
      <c r="AF388" s="3"/>
      <c r="AY388" s="8" t="s">
        <v>968</v>
      </c>
      <c r="AZ388" s="8" t="s">
        <v>770</v>
      </c>
      <c r="BA388" s="7"/>
    </row>
    <row r="389" spans="24:53" hidden="1" x14ac:dyDescent="0.2">
      <c r="X389" s="4"/>
      <c r="Y389" s="4"/>
      <c r="Z389" s="4"/>
      <c r="AA389" s="4"/>
      <c r="AB389" s="4"/>
      <c r="AC389" s="4"/>
      <c r="AD389" s="4"/>
      <c r="AE389" s="4"/>
      <c r="AF389" s="3"/>
      <c r="AY389" s="8" t="s">
        <v>969</v>
      </c>
      <c r="AZ389" s="8" t="s">
        <v>771</v>
      </c>
      <c r="BA389" s="7"/>
    </row>
    <row r="390" spans="24:53" hidden="1" x14ac:dyDescent="0.2">
      <c r="X390" s="4"/>
      <c r="Y390" s="4"/>
      <c r="Z390" s="4"/>
      <c r="AA390" s="4"/>
      <c r="AB390" s="4"/>
      <c r="AC390" s="4"/>
      <c r="AD390" s="4"/>
      <c r="AE390" s="4"/>
      <c r="AF390" s="3"/>
      <c r="AY390" s="8" t="s">
        <v>970</v>
      </c>
      <c r="AZ390" s="8" t="s">
        <v>772</v>
      </c>
      <c r="BA390" s="7"/>
    </row>
    <row r="391" spans="24:53" hidden="1" x14ac:dyDescent="0.2">
      <c r="X391" s="4"/>
      <c r="Y391" s="4"/>
      <c r="Z391" s="4"/>
      <c r="AA391" s="4"/>
      <c r="AB391" s="4"/>
      <c r="AC391" s="4"/>
      <c r="AD391" s="4"/>
      <c r="AE391" s="4"/>
      <c r="AF391" s="3"/>
      <c r="AY391" s="8" t="s">
        <v>971</v>
      </c>
      <c r="AZ391" s="8" t="s">
        <v>773</v>
      </c>
      <c r="BA391" s="7">
        <v>2E-3</v>
      </c>
    </row>
    <row r="392" spans="24:53" hidden="1" x14ac:dyDescent="0.2">
      <c r="X392" s="4"/>
      <c r="Y392" s="4"/>
      <c r="Z392" s="4"/>
      <c r="AA392" s="4"/>
      <c r="AB392" s="4"/>
      <c r="AC392" s="4"/>
      <c r="AD392" s="4"/>
      <c r="AE392" s="4"/>
      <c r="AF392" s="3"/>
      <c r="AY392" s="8" t="s">
        <v>972</v>
      </c>
      <c r="AZ392" s="8" t="s">
        <v>774</v>
      </c>
      <c r="BA392" s="7"/>
    </row>
    <row r="393" spans="24:53" hidden="1" x14ac:dyDescent="0.2">
      <c r="X393" s="4"/>
      <c r="Y393" s="4"/>
      <c r="Z393" s="4"/>
      <c r="AA393" s="4"/>
      <c r="AB393" s="4"/>
      <c r="AC393" s="4"/>
      <c r="AD393" s="4"/>
      <c r="AE393" s="4"/>
      <c r="AF393" s="3"/>
      <c r="AY393" s="8" t="s">
        <v>973</v>
      </c>
      <c r="AZ393" s="8" t="s">
        <v>775</v>
      </c>
      <c r="BA393" s="7"/>
    </row>
    <row r="394" spans="24:53" hidden="1" x14ac:dyDescent="0.2">
      <c r="X394" s="4"/>
      <c r="Y394" s="4"/>
      <c r="Z394" s="4"/>
      <c r="AA394" s="4"/>
      <c r="AB394" s="4"/>
      <c r="AC394" s="4"/>
      <c r="AD394" s="4"/>
      <c r="AE394" s="4"/>
      <c r="AF394" s="3"/>
      <c r="AY394" s="8" t="s">
        <v>974</v>
      </c>
      <c r="AZ394" s="8" t="s">
        <v>776</v>
      </c>
      <c r="BA394" s="7"/>
    </row>
    <row r="395" spans="24:53" hidden="1" x14ac:dyDescent="0.2">
      <c r="X395" s="4"/>
      <c r="Y395" s="4"/>
      <c r="Z395" s="4"/>
      <c r="AA395" s="4"/>
      <c r="AB395" s="4"/>
      <c r="AC395" s="4"/>
      <c r="AD395" s="4"/>
      <c r="AE395" s="4"/>
      <c r="AF395" s="3"/>
      <c r="AY395" s="8" t="s">
        <v>975</v>
      </c>
      <c r="AZ395" s="8" t="s">
        <v>777</v>
      </c>
      <c r="BA395" s="7"/>
    </row>
    <row r="396" spans="24:53" hidden="1" x14ac:dyDescent="0.2">
      <c r="X396" s="4"/>
      <c r="Y396" s="4"/>
      <c r="Z396" s="4"/>
      <c r="AA396" s="4"/>
      <c r="AB396" s="4"/>
      <c r="AC396" s="4"/>
      <c r="AD396" s="4"/>
      <c r="AE396" s="4"/>
      <c r="AF396" s="3"/>
      <c r="AY396" s="8" t="s">
        <v>1240</v>
      </c>
      <c r="AZ396" s="8" t="s">
        <v>1241</v>
      </c>
      <c r="BA396" s="7"/>
    </row>
    <row r="397" spans="24:53" hidden="1" x14ac:dyDescent="0.2">
      <c r="X397" s="4"/>
      <c r="Y397" s="4"/>
      <c r="Z397" s="4"/>
      <c r="AA397" s="4"/>
      <c r="AB397" s="4"/>
      <c r="AC397" s="4"/>
      <c r="AD397" s="4"/>
      <c r="AE397" s="4"/>
      <c r="AF397" s="3"/>
      <c r="AY397" s="8" t="s">
        <v>976</v>
      </c>
      <c r="AZ397" s="8" t="s">
        <v>778</v>
      </c>
      <c r="BA397" s="7"/>
    </row>
    <row r="398" spans="24:53" hidden="1" x14ac:dyDescent="0.2">
      <c r="X398" s="4"/>
      <c r="Y398" s="4"/>
      <c r="Z398" s="4"/>
      <c r="AA398" s="4"/>
      <c r="AB398" s="4"/>
      <c r="AC398" s="4"/>
      <c r="AD398" s="4"/>
      <c r="AE398" s="4"/>
      <c r="AF398" s="3"/>
      <c r="AY398" s="8" t="s">
        <v>977</v>
      </c>
      <c r="AZ398" s="8" t="s">
        <v>779</v>
      </c>
      <c r="BA398" s="7"/>
    </row>
    <row r="399" spans="24:53" hidden="1" x14ac:dyDescent="0.2">
      <c r="X399" s="4"/>
      <c r="Y399" s="4"/>
      <c r="Z399" s="4"/>
      <c r="AA399" s="4"/>
      <c r="AB399" s="4"/>
      <c r="AC399" s="4"/>
      <c r="AD399" s="4"/>
      <c r="AE399" s="4"/>
      <c r="AF399" s="3"/>
      <c r="AY399" s="8" t="s">
        <v>978</v>
      </c>
      <c r="AZ399" s="8" t="s">
        <v>780</v>
      </c>
      <c r="BA399" s="7"/>
    </row>
    <row r="400" spans="24:53" hidden="1" x14ac:dyDescent="0.2">
      <c r="X400" s="4"/>
      <c r="Y400" s="4"/>
      <c r="Z400" s="4"/>
      <c r="AA400" s="4"/>
      <c r="AB400" s="4"/>
      <c r="AC400" s="4"/>
      <c r="AD400" s="4"/>
      <c r="AE400" s="4"/>
      <c r="AF400" s="3"/>
      <c r="AY400" s="8" t="s">
        <v>979</v>
      </c>
      <c r="AZ400" s="8" t="s">
        <v>781</v>
      </c>
      <c r="BA400" s="7">
        <v>5.9999999999999995E-4</v>
      </c>
    </row>
    <row r="401" spans="24:53" hidden="1" x14ac:dyDescent="0.2">
      <c r="X401" s="4"/>
      <c r="Y401" s="4"/>
      <c r="Z401" s="4"/>
      <c r="AA401" s="4"/>
      <c r="AB401" s="4"/>
      <c r="AC401" s="4"/>
      <c r="AD401" s="4"/>
      <c r="AE401" s="4"/>
      <c r="AF401" s="3"/>
      <c r="AY401" s="8" t="s">
        <v>980</v>
      </c>
      <c r="AZ401" s="8" t="s">
        <v>782</v>
      </c>
      <c r="BA401" s="7">
        <v>1E-4</v>
      </c>
    </row>
    <row r="402" spans="24:53" hidden="1" x14ac:dyDescent="0.2">
      <c r="X402" s="4"/>
      <c r="Y402" s="4"/>
      <c r="Z402" s="4"/>
      <c r="AA402" s="4"/>
      <c r="AB402" s="4"/>
      <c r="AC402" s="4"/>
      <c r="AD402" s="4"/>
      <c r="AE402" s="4"/>
      <c r="AF402" s="3"/>
      <c r="AY402" s="8" t="s">
        <v>981</v>
      </c>
      <c r="AZ402" s="8" t="s">
        <v>783</v>
      </c>
      <c r="BA402" s="7"/>
    </row>
    <row r="403" spans="24:53" hidden="1" x14ac:dyDescent="0.2">
      <c r="X403" s="4"/>
      <c r="Y403" s="4"/>
      <c r="Z403" s="4"/>
      <c r="AA403" s="4"/>
      <c r="AB403" s="4"/>
      <c r="AC403" s="4"/>
      <c r="AD403" s="4"/>
      <c r="AE403" s="4"/>
      <c r="AF403" s="3"/>
      <c r="AY403" s="8" t="s">
        <v>982</v>
      </c>
      <c r="AZ403" s="8" t="s">
        <v>784</v>
      </c>
      <c r="BA403" s="7"/>
    </row>
    <row r="404" spans="24:53" hidden="1" x14ac:dyDescent="0.2">
      <c r="X404" s="4"/>
      <c r="Y404" s="4"/>
      <c r="Z404" s="4"/>
      <c r="AA404" s="4"/>
      <c r="AB404" s="4"/>
      <c r="AC404" s="4"/>
      <c r="AD404" s="4"/>
      <c r="AE404" s="4"/>
      <c r="AF404" s="3"/>
      <c r="AY404" s="8" t="s">
        <v>983</v>
      </c>
      <c r="AZ404" s="8" t="s">
        <v>785</v>
      </c>
      <c r="BA404" s="7"/>
    </row>
    <row r="405" spans="24:53" hidden="1" x14ac:dyDescent="0.2">
      <c r="X405" s="4"/>
      <c r="Y405" s="4"/>
      <c r="Z405" s="4"/>
      <c r="AA405" s="4"/>
      <c r="AB405" s="4"/>
      <c r="AC405" s="4"/>
      <c r="AD405" s="4"/>
      <c r="AE405" s="4"/>
      <c r="AF405" s="3"/>
      <c r="AY405" s="8" t="s">
        <v>984</v>
      </c>
      <c r="AZ405" s="8" t="s">
        <v>786</v>
      </c>
      <c r="BA405" s="7"/>
    </row>
    <row r="406" spans="24:53" hidden="1" x14ac:dyDescent="0.2">
      <c r="X406" s="4"/>
      <c r="Y406" s="4"/>
      <c r="Z406" s="4"/>
      <c r="AA406" s="4"/>
      <c r="AB406" s="4"/>
      <c r="AC406" s="4"/>
      <c r="AD406" s="4"/>
      <c r="AE406" s="4"/>
      <c r="AF406" s="3"/>
      <c r="AY406" s="8" t="s">
        <v>985</v>
      </c>
      <c r="AZ406" s="8" t="s">
        <v>787</v>
      </c>
      <c r="BA406" s="7"/>
    </row>
    <row r="407" spans="24:53" hidden="1" x14ac:dyDescent="0.2">
      <c r="X407" s="4"/>
      <c r="Y407" s="4"/>
      <c r="Z407" s="4"/>
      <c r="AA407" s="4"/>
      <c r="AB407" s="4"/>
      <c r="AC407" s="4"/>
      <c r="AD407" s="4"/>
      <c r="AE407" s="4"/>
      <c r="AF407" s="3"/>
      <c r="AY407" s="8" t="s">
        <v>986</v>
      </c>
      <c r="AZ407" s="8" t="s">
        <v>788</v>
      </c>
      <c r="BA407" s="7"/>
    </row>
    <row r="408" spans="24:53" hidden="1" x14ac:dyDescent="0.2">
      <c r="X408" s="4"/>
      <c r="Y408" s="4"/>
      <c r="Z408" s="4"/>
      <c r="AA408" s="4"/>
      <c r="AB408" s="4"/>
      <c r="AC408" s="4"/>
      <c r="AD408" s="4"/>
      <c r="AE408" s="4"/>
      <c r="AF408" s="3"/>
      <c r="AY408" s="8" t="s">
        <v>987</v>
      </c>
      <c r="AZ408" s="8" t="s">
        <v>789</v>
      </c>
      <c r="BA408" s="7">
        <v>2.9999999999999997E-4</v>
      </c>
    </row>
    <row r="409" spans="24:53" hidden="1" x14ac:dyDescent="0.2">
      <c r="X409" s="4"/>
      <c r="Y409" s="4"/>
      <c r="Z409" s="4"/>
      <c r="AA409" s="4"/>
      <c r="AB409" s="4"/>
      <c r="AC409" s="4"/>
      <c r="AD409" s="4"/>
      <c r="AE409" s="4"/>
      <c r="AF409" s="3"/>
      <c r="AY409" s="8" t="s">
        <v>988</v>
      </c>
      <c r="AZ409" s="8" t="s">
        <v>790</v>
      </c>
      <c r="BA409" s="7">
        <v>1.6999999999999999E-3</v>
      </c>
    </row>
    <row r="410" spans="24:53" hidden="1" x14ac:dyDescent="0.2">
      <c r="X410" s="4"/>
      <c r="Y410" s="4"/>
      <c r="Z410" s="4"/>
      <c r="AA410" s="4"/>
      <c r="AB410" s="4"/>
      <c r="AC410" s="4"/>
      <c r="AD410" s="4"/>
      <c r="AE410" s="4"/>
      <c r="AF410" s="3"/>
      <c r="AY410" s="8" t="s">
        <v>989</v>
      </c>
      <c r="AZ410" s="8" t="s">
        <v>791</v>
      </c>
      <c r="BA410" s="7">
        <v>0.01</v>
      </c>
    </row>
    <row r="411" spans="24:53" hidden="1" x14ac:dyDescent="0.2">
      <c r="X411" s="4"/>
      <c r="Y411" s="4"/>
      <c r="Z411" s="4"/>
      <c r="AA411" s="4"/>
      <c r="AB411" s="4"/>
      <c r="AC411" s="4"/>
      <c r="AD411" s="4"/>
      <c r="AE411" s="4"/>
      <c r="AF411" s="3"/>
      <c r="AY411" s="8" t="s">
        <v>990</v>
      </c>
      <c r="AZ411" s="8" t="s">
        <v>792</v>
      </c>
    </row>
    <row r="412" spans="24:53" hidden="1" x14ac:dyDescent="0.2">
      <c r="X412" s="4"/>
      <c r="Y412" s="4"/>
      <c r="Z412" s="4"/>
      <c r="AA412" s="4"/>
      <c r="AB412" s="4"/>
      <c r="AC412" s="4"/>
      <c r="AD412" s="4"/>
      <c r="AE412" s="4"/>
      <c r="AF412" s="3"/>
      <c r="AY412" s="8" t="s">
        <v>991</v>
      </c>
      <c r="AZ412" s="8" t="s">
        <v>793</v>
      </c>
      <c r="BA412" s="7"/>
    </row>
    <row r="413" spans="24:53" hidden="1" x14ac:dyDescent="0.2">
      <c r="X413" s="4"/>
      <c r="Y413" s="4"/>
      <c r="Z413" s="4"/>
      <c r="AA413" s="4"/>
      <c r="AB413" s="4"/>
      <c r="AC413" s="4"/>
      <c r="AD413" s="4"/>
      <c r="AE413" s="4"/>
      <c r="AF413" s="3"/>
      <c r="AY413" s="8" t="s">
        <v>992</v>
      </c>
      <c r="AZ413" s="8" t="s">
        <v>794</v>
      </c>
      <c r="BA413" s="7"/>
    </row>
    <row r="414" spans="24:53" hidden="1" x14ac:dyDescent="0.2">
      <c r="X414" s="4"/>
      <c r="Y414" s="4"/>
      <c r="Z414" s="4"/>
      <c r="AA414" s="4"/>
      <c r="AB414" s="4"/>
      <c r="AC414" s="4"/>
      <c r="AD414" s="4"/>
      <c r="AE414" s="4"/>
      <c r="AF414" s="3"/>
      <c r="AY414" s="8" t="s">
        <v>993</v>
      </c>
      <c r="AZ414" s="8" t="s">
        <v>795</v>
      </c>
      <c r="BA414" s="7"/>
    </row>
    <row r="415" spans="24:53" hidden="1" x14ac:dyDescent="0.2">
      <c r="X415" s="4"/>
      <c r="Y415" s="4"/>
      <c r="Z415" s="4"/>
      <c r="AA415" s="4"/>
      <c r="AB415" s="4"/>
      <c r="AC415" s="4"/>
      <c r="AD415" s="4"/>
      <c r="AE415" s="4"/>
      <c r="AF415" s="3"/>
      <c r="AY415" s="8" t="s">
        <v>994</v>
      </c>
      <c r="AZ415" s="8" t="s">
        <v>796</v>
      </c>
      <c r="BA415" s="7"/>
    </row>
    <row r="416" spans="24:53" hidden="1" x14ac:dyDescent="0.2">
      <c r="X416" s="4"/>
      <c r="Y416" s="4"/>
      <c r="Z416" s="4"/>
      <c r="AA416" s="4"/>
      <c r="AB416" s="4"/>
      <c r="AC416" s="4"/>
      <c r="AD416" s="4"/>
      <c r="AE416" s="4"/>
      <c r="AF416" s="3"/>
      <c r="AY416" s="8" t="s">
        <v>995</v>
      </c>
      <c r="AZ416" s="8" t="s">
        <v>797</v>
      </c>
      <c r="BA416" s="7"/>
    </row>
    <row r="417" spans="24:53" hidden="1" x14ac:dyDescent="0.2">
      <c r="X417" s="4"/>
      <c r="Y417" s="4"/>
      <c r="Z417" s="4"/>
      <c r="AA417" s="4"/>
      <c r="AB417" s="4"/>
      <c r="AC417" s="4"/>
      <c r="AD417" s="4"/>
      <c r="AE417" s="4"/>
      <c r="AF417" s="3"/>
      <c r="AY417" s="8" t="s">
        <v>996</v>
      </c>
      <c r="AZ417" s="8" t="s">
        <v>798</v>
      </c>
      <c r="BA417" s="7">
        <v>5.0000000000000002E-5</v>
      </c>
    </row>
    <row r="418" spans="24:53" hidden="1" x14ac:dyDescent="0.2">
      <c r="X418" s="4"/>
      <c r="Y418" s="4"/>
      <c r="Z418" s="4"/>
      <c r="AA418" s="4"/>
      <c r="AB418" s="4"/>
      <c r="AC418" s="4"/>
      <c r="AD418" s="4"/>
      <c r="AE418" s="4"/>
      <c r="AF418" s="3"/>
      <c r="AY418" s="8" t="s">
        <v>997</v>
      </c>
      <c r="AZ418" s="8" t="s">
        <v>799</v>
      </c>
      <c r="BA418" s="7">
        <v>2.4000000000000001E-4</v>
      </c>
    </row>
    <row r="419" spans="24:53" hidden="1" x14ac:dyDescent="0.2">
      <c r="X419" s="4"/>
      <c r="Y419" s="4"/>
      <c r="Z419" s="4"/>
      <c r="AA419" s="4"/>
      <c r="AB419" s="4"/>
      <c r="AC419" s="4"/>
      <c r="AD419" s="4"/>
      <c r="AE419" s="4"/>
      <c r="AF419" s="3"/>
      <c r="AY419" s="8" t="s">
        <v>998</v>
      </c>
      <c r="AZ419" s="8" t="s">
        <v>800</v>
      </c>
      <c r="BA419" s="7">
        <v>1E-4</v>
      </c>
    </row>
    <row r="420" spans="24:53" hidden="1" x14ac:dyDescent="0.2">
      <c r="X420" s="4"/>
      <c r="Y420" s="4"/>
      <c r="Z420" s="4"/>
      <c r="AA420" s="4"/>
      <c r="AB420" s="4"/>
      <c r="AC420" s="4"/>
      <c r="AD420" s="4"/>
      <c r="AE420" s="4"/>
      <c r="AF420" s="3"/>
      <c r="AY420" s="8" t="s">
        <v>999</v>
      </c>
      <c r="AZ420" s="8" t="s">
        <v>801</v>
      </c>
      <c r="BA420" s="7"/>
    </row>
    <row r="421" spans="24:53" hidden="1" x14ac:dyDescent="0.2">
      <c r="X421" s="4"/>
      <c r="Y421" s="4"/>
      <c r="Z421" s="4"/>
      <c r="AA421" s="4"/>
      <c r="AB421" s="4"/>
      <c r="AC421" s="4"/>
      <c r="AD421" s="4"/>
      <c r="AE421" s="4"/>
      <c r="AF421" s="3"/>
      <c r="AY421" s="8" t="s">
        <v>1000</v>
      </c>
      <c r="AZ421" s="8" t="s">
        <v>802</v>
      </c>
      <c r="BA421" s="7"/>
    </row>
    <row r="422" spans="24:53" hidden="1" x14ac:dyDescent="0.2">
      <c r="X422" s="4"/>
      <c r="Y422" s="4"/>
      <c r="Z422" s="4"/>
      <c r="AA422" s="4"/>
      <c r="AB422" s="4"/>
      <c r="AC422" s="4"/>
      <c r="AD422" s="4"/>
      <c r="AE422" s="4"/>
      <c r="AF422" s="3"/>
      <c r="AY422" s="8" t="s">
        <v>1001</v>
      </c>
      <c r="AZ422" s="8" t="s">
        <v>803</v>
      </c>
      <c r="BA422" s="7">
        <v>1.2E-4</v>
      </c>
    </row>
    <row r="423" spans="24:53" hidden="1" x14ac:dyDescent="0.2">
      <c r="X423" s="4"/>
      <c r="Y423" s="4"/>
      <c r="Z423" s="4"/>
      <c r="AA423" s="4"/>
      <c r="AB423" s="4"/>
      <c r="AC423" s="4"/>
      <c r="AD423" s="4"/>
      <c r="AE423" s="4"/>
      <c r="AF423" s="3"/>
      <c r="AY423" s="8" t="s">
        <v>1002</v>
      </c>
      <c r="AZ423" s="8" t="s">
        <v>804</v>
      </c>
      <c r="BA423" s="7"/>
    </row>
    <row r="424" spans="24:53" hidden="1" x14ac:dyDescent="0.2">
      <c r="X424" s="4"/>
      <c r="Y424" s="4"/>
      <c r="Z424" s="4"/>
      <c r="AA424" s="4"/>
      <c r="AB424" s="4"/>
      <c r="AC424" s="4"/>
      <c r="AD424" s="4"/>
      <c r="AE424" s="4"/>
      <c r="AF424" s="3"/>
      <c r="AY424" s="8" t="s">
        <v>1003</v>
      </c>
      <c r="AZ424" s="8" t="s">
        <v>805</v>
      </c>
      <c r="BA424" s="7"/>
    </row>
    <row r="425" spans="24:53" hidden="1" x14ac:dyDescent="0.2">
      <c r="X425" s="4"/>
      <c r="Y425" s="4"/>
      <c r="Z425" s="4"/>
      <c r="AA425" s="4"/>
      <c r="AB425" s="4"/>
      <c r="AC425" s="4"/>
      <c r="AD425" s="4"/>
      <c r="AE425" s="4"/>
      <c r="AF425" s="3"/>
      <c r="AY425" s="8" t="s">
        <v>1004</v>
      </c>
      <c r="AZ425" s="8" t="s">
        <v>806</v>
      </c>
      <c r="BA425" s="7"/>
    </row>
    <row r="426" spans="24:53" hidden="1" x14ac:dyDescent="0.2">
      <c r="X426" s="4"/>
      <c r="Y426" s="4"/>
      <c r="Z426" s="4"/>
      <c r="AA426" s="4"/>
      <c r="AB426" s="4"/>
      <c r="AC426" s="4"/>
      <c r="AD426" s="4"/>
      <c r="AE426" s="4"/>
      <c r="AF426" s="3"/>
      <c r="AY426" s="8" t="s">
        <v>1005</v>
      </c>
      <c r="AZ426" s="8" t="s">
        <v>807</v>
      </c>
      <c r="BA426" s="7"/>
    </row>
    <row r="427" spans="24:53" hidden="1" x14ac:dyDescent="0.2">
      <c r="X427" s="4"/>
      <c r="Y427" s="4"/>
      <c r="Z427" s="4"/>
      <c r="AA427" s="4"/>
      <c r="AB427" s="4"/>
      <c r="AC427" s="4"/>
      <c r="AD427" s="4"/>
      <c r="AE427" s="4"/>
      <c r="AF427" s="3"/>
      <c r="AY427" s="8" t="s">
        <v>1227</v>
      </c>
      <c r="AZ427" s="8" t="s">
        <v>1228</v>
      </c>
      <c r="BA427" s="7"/>
    </row>
    <row r="428" spans="24:53" hidden="1" x14ac:dyDescent="0.2">
      <c r="X428" s="4"/>
      <c r="Y428" s="4"/>
      <c r="Z428" s="4"/>
      <c r="AA428" s="4"/>
      <c r="AB428" s="4"/>
      <c r="AC428" s="4"/>
      <c r="AD428" s="4"/>
      <c r="AE428" s="4"/>
      <c r="AF428" s="3"/>
      <c r="AY428" s="8" t="s">
        <v>1006</v>
      </c>
      <c r="AZ428" s="8" t="s">
        <v>808</v>
      </c>
      <c r="BA428" s="7"/>
    </row>
    <row r="429" spans="24:53" hidden="1" x14ac:dyDescent="0.2">
      <c r="X429" s="4"/>
      <c r="Y429" s="4"/>
      <c r="Z429" s="4"/>
      <c r="AA429" s="4"/>
      <c r="AB429" s="4"/>
      <c r="AC429" s="4"/>
      <c r="AD429" s="4"/>
      <c r="AE429" s="4"/>
      <c r="AF429" s="3"/>
      <c r="AY429" s="8" t="s">
        <v>1007</v>
      </c>
      <c r="AZ429" s="8" t="s">
        <v>809</v>
      </c>
      <c r="BA429" s="7"/>
    </row>
    <row r="430" spans="24:53" hidden="1" x14ac:dyDescent="0.2">
      <c r="X430" s="4"/>
      <c r="Y430" s="4"/>
      <c r="Z430" s="4"/>
      <c r="AA430" s="4"/>
      <c r="AB430" s="4"/>
      <c r="AC430" s="4"/>
      <c r="AD430" s="4"/>
      <c r="AE430" s="4"/>
      <c r="AF430" s="3"/>
      <c r="AY430" s="8" t="s">
        <v>1008</v>
      </c>
      <c r="AZ430" s="8" t="s">
        <v>810</v>
      </c>
      <c r="BA430" s="7"/>
    </row>
    <row r="431" spans="24:53" hidden="1" x14ac:dyDescent="0.2">
      <c r="X431" s="4"/>
      <c r="Y431" s="4"/>
      <c r="Z431" s="4"/>
      <c r="AA431" s="4"/>
      <c r="AB431" s="4"/>
      <c r="AC431" s="4"/>
      <c r="AD431" s="4"/>
      <c r="AE431" s="4"/>
      <c r="AF431" s="3"/>
      <c r="AY431" s="8" t="s">
        <v>1009</v>
      </c>
      <c r="AZ431" s="8" t="s">
        <v>811</v>
      </c>
      <c r="BA431" s="7"/>
    </row>
    <row r="432" spans="24:53" hidden="1" x14ac:dyDescent="0.2">
      <c r="X432" s="4"/>
      <c r="Y432" s="4"/>
      <c r="Z432" s="4"/>
      <c r="AA432" s="4"/>
      <c r="AB432" s="4"/>
      <c r="AC432" s="4"/>
      <c r="AD432" s="4"/>
      <c r="AE432" s="4"/>
      <c r="AF432" s="3"/>
      <c r="AY432" s="8" t="s">
        <v>1010</v>
      </c>
      <c r="AZ432" s="8" t="s">
        <v>812</v>
      </c>
      <c r="BA432" s="7"/>
    </row>
    <row r="433" spans="24:53" hidden="1" x14ac:dyDescent="0.2">
      <c r="X433" s="4"/>
      <c r="Y433" s="4"/>
      <c r="Z433" s="4"/>
      <c r="AA433" s="4"/>
      <c r="AB433" s="4"/>
      <c r="AC433" s="4"/>
      <c r="AD433" s="4"/>
      <c r="AE433" s="4"/>
      <c r="AF433" s="3"/>
      <c r="AY433" s="8" t="s">
        <v>1011</v>
      </c>
      <c r="AZ433" s="8" t="s">
        <v>813</v>
      </c>
      <c r="BA433" s="7"/>
    </row>
    <row r="434" spans="24:53" hidden="1" x14ac:dyDescent="0.2">
      <c r="X434" s="4"/>
      <c r="Y434" s="4"/>
      <c r="Z434" s="4"/>
      <c r="AA434" s="4"/>
      <c r="AB434" s="4"/>
      <c r="AC434" s="4"/>
      <c r="AD434" s="4"/>
      <c r="AE434" s="4"/>
      <c r="AF434" s="3"/>
      <c r="AY434" s="8" t="s">
        <v>1012</v>
      </c>
      <c r="AZ434" s="8" t="s">
        <v>814</v>
      </c>
      <c r="BA434" s="7"/>
    </row>
    <row r="435" spans="24:53" hidden="1" x14ac:dyDescent="0.2">
      <c r="X435" s="4"/>
      <c r="Y435" s="4"/>
      <c r="Z435" s="4"/>
      <c r="AA435" s="4"/>
      <c r="AB435" s="4"/>
      <c r="AC435" s="4"/>
      <c r="AD435" s="4"/>
      <c r="AE435" s="4"/>
      <c r="AF435" s="3"/>
      <c r="AY435" s="8" t="s">
        <v>1013</v>
      </c>
      <c r="AZ435" s="8" t="s">
        <v>815</v>
      </c>
      <c r="BA435" s="7"/>
    </row>
    <row r="436" spans="24:53" hidden="1" x14ac:dyDescent="0.2">
      <c r="X436" s="4"/>
      <c r="Y436" s="4"/>
      <c r="Z436" s="4"/>
      <c r="AA436" s="4"/>
      <c r="AB436" s="4"/>
      <c r="AC436" s="4"/>
      <c r="AD436" s="4"/>
      <c r="AE436" s="4"/>
      <c r="AF436" s="3"/>
      <c r="AY436" s="8" t="s">
        <v>1014</v>
      </c>
      <c r="AZ436" s="8" t="s">
        <v>816</v>
      </c>
      <c r="BA436" s="7"/>
    </row>
    <row r="437" spans="24:53" hidden="1" x14ac:dyDescent="0.2">
      <c r="X437" s="4"/>
      <c r="Y437" s="4"/>
      <c r="Z437" s="4"/>
      <c r="AA437" s="4"/>
      <c r="AB437" s="4"/>
      <c r="AC437" s="4"/>
      <c r="AD437" s="4"/>
      <c r="AE437" s="4"/>
      <c r="AF437" s="3"/>
      <c r="AY437" s="8" t="s">
        <v>1015</v>
      </c>
      <c r="AZ437" s="8" t="s">
        <v>817</v>
      </c>
      <c r="BA437" s="7"/>
    </row>
    <row r="438" spans="24:53" hidden="1" x14ac:dyDescent="0.2">
      <c r="X438" s="4"/>
      <c r="Y438" s="4"/>
      <c r="Z438" s="4"/>
      <c r="AA438" s="4"/>
      <c r="AB438" s="4"/>
      <c r="AC438" s="4"/>
      <c r="AD438" s="4"/>
      <c r="AE438" s="4"/>
      <c r="AF438" s="3"/>
      <c r="AY438" s="8" t="s">
        <v>1016</v>
      </c>
      <c r="AZ438" s="8" t="s">
        <v>818</v>
      </c>
      <c r="BA438" s="7"/>
    </row>
    <row r="439" spans="24:53" hidden="1" x14ac:dyDescent="0.2">
      <c r="X439" s="4"/>
      <c r="Y439" s="4"/>
      <c r="Z439" s="4"/>
      <c r="AA439" s="4"/>
      <c r="AB439" s="4"/>
      <c r="AC439" s="4"/>
      <c r="AD439" s="4"/>
      <c r="AE439" s="4"/>
      <c r="AF439" s="3"/>
      <c r="AY439" s="8" t="s">
        <v>1017</v>
      </c>
      <c r="AZ439" s="8" t="s">
        <v>819</v>
      </c>
      <c r="BA439" s="7"/>
    </row>
    <row r="440" spans="24:53" hidden="1" x14ac:dyDescent="0.2">
      <c r="X440" s="4"/>
      <c r="Y440" s="4"/>
      <c r="Z440" s="4"/>
      <c r="AA440" s="4"/>
      <c r="AB440" s="4"/>
      <c r="AC440" s="4"/>
      <c r="AD440" s="4"/>
      <c r="AE440" s="4"/>
      <c r="AF440" s="3"/>
      <c r="AY440" s="8" t="s">
        <v>1018</v>
      </c>
      <c r="AZ440" s="8" t="s">
        <v>820</v>
      </c>
      <c r="BA440" s="7"/>
    </row>
    <row r="441" spans="24:53" hidden="1" x14ac:dyDescent="0.2">
      <c r="X441" s="4"/>
      <c r="Y441" s="4"/>
      <c r="Z441" s="4"/>
      <c r="AA441" s="4"/>
      <c r="AB441" s="4"/>
      <c r="AC441" s="4"/>
      <c r="AD441" s="4"/>
      <c r="AE441" s="4"/>
      <c r="AF441" s="3"/>
      <c r="AY441" s="8" t="s">
        <v>1019</v>
      </c>
      <c r="AZ441" s="8" t="s">
        <v>821</v>
      </c>
    </row>
    <row r="442" spans="24:53" hidden="1" x14ac:dyDescent="0.2">
      <c r="X442" s="4"/>
      <c r="Y442" s="4"/>
      <c r="Z442" s="4"/>
      <c r="AA442" s="4"/>
      <c r="AB442" s="4"/>
      <c r="AC442" s="4"/>
      <c r="AD442" s="4"/>
      <c r="AE442" s="4"/>
      <c r="AF442" s="3"/>
      <c r="AY442" s="8" t="s">
        <v>1020</v>
      </c>
      <c r="AZ442" s="8" t="s">
        <v>822</v>
      </c>
    </row>
    <row r="443" spans="24:53" hidden="1" x14ac:dyDescent="0.2">
      <c r="X443" s="4"/>
      <c r="Y443" s="4"/>
      <c r="Z443" s="4"/>
      <c r="AA443" s="4"/>
      <c r="AB443" s="4"/>
      <c r="AC443" s="4"/>
      <c r="AD443" s="4"/>
      <c r="AE443" s="4"/>
      <c r="AF443" s="3"/>
      <c r="AY443" s="8" t="s">
        <v>1021</v>
      </c>
      <c r="AZ443" s="8" t="s">
        <v>823</v>
      </c>
    </row>
    <row r="444" spans="24:53" hidden="1" x14ac:dyDescent="0.2">
      <c r="X444" s="4"/>
      <c r="Y444" s="4"/>
      <c r="Z444" s="4"/>
      <c r="AA444" s="4"/>
      <c r="AB444" s="4"/>
      <c r="AC444" s="4"/>
      <c r="AD444" s="4"/>
      <c r="AE444" s="4"/>
      <c r="AF444" s="3"/>
      <c r="AY444" s="8" t="s">
        <v>1022</v>
      </c>
      <c r="AZ444" s="8" t="s">
        <v>824</v>
      </c>
    </row>
    <row r="445" spans="24:53" hidden="1" x14ac:dyDescent="0.2">
      <c r="X445" s="4"/>
      <c r="Y445" s="4"/>
      <c r="Z445" s="4"/>
      <c r="AA445" s="4"/>
      <c r="AB445" s="4"/>
      <c r="AC445" s="4"/>
      <c r="AD445" s="4"/>
      <c r="AE445" s="4"/>
      <c r="AF445" s="3"/>
      <c r="AY445" s="8" t="s">
        <v>1023</v>
      </c>
      <c r="AZ445" s="8" t="s">
        <v>825</v>
      </c>
    </row>
    <row r="446" spans="24:53" hidden="1" x14ac:dyDescent="0.2">
      <c r="X446" s="4"/>
      <c r="Y446" s="4"/>
      <c r="Z446" s="4"/>
      <c r="AA446" s="4"/>
      <c r="AB446" s="4"/>
      <c r="AC446" s="4"/>
      <c r="AD446" s="4"/>
      <c r="AE446" s="4"/>
      <c r="AF446" s="3"/>
      <c r="AY446" s="1" t="s">
        <v>1230</v>
      </c>
      <c r="AZ446" s="1" t="s">
        <v>1230</v>
      </c>
    </row>
    <row r="447" spans="24:53" hidden="1" x14ac:dyDescent="0.2">
      <c r="X447" s="4"/>
      <c r="Y447" s="4"/>
      <c r="Z447" s="4"/>
      <c r="AA447" s="4"/>
      <c r="AB447" s="4"/>
      <c r="AC447" s="4"/>
      <c r="AD447" s="4"/>
      <c r="AE447" s="4"/>
      <c r="AF447" s="3"/>
      <c r="AY447" s="8" t="s">
        <v>1024</v>
      </c>
      <c r="AZ447" s="8" t="s">
        <v>826</v>
      </c>
      <c r="BA447" s="7">
        <v>1.8000000000000001E-4</v>
      </c>
    </row>
    <row r="448" spans="24:53" hidden="1" x14ac:dyDescent="0.2">
      <c r="X448" s="4"/>
      <c r="Y448" s="4"/>
      <c r="Z448" s="4"/>
      <c r="AA448" s="4"/>
      <c r="AB448" s="4"/>
      <c r="AC448" s="4"/>
      <c r="AD448" s="4"/>
      <c r="AE448" s="4"/>
      <c r="AF448" s="3"/>
    </row>
    <row r="449" spans="24:32" hidden="1" x14ac:dyDescent="0.2">
      <c r="X449" s="4"/>
      <c r="Y449" s="4"/>
      <c r="Z449" s="4"/>
      <c r="AA449" s="4"/>
      <c r="AB449" s="4"/>
      <c r="AC449" s="4"/>
      <c r="AD449" s="4"/>
      <c r="AE449" s="4"/>
      <c r="AF449" s="3"/>
    </row>
    <row r="450" spans="24:32" hidden="1" x14ac:dyDescent="0.2">
      <c r="X450" s="4"/>
      <c r="Y450" s="4"/>
      <c r="Z450" s="4"/>
      <c r="AA450" s="4"/>
      <c r="AB450" s="4"/>
      <c r="AC450" s="4"/>
      <c r="AD450" s="4"/>
      <c r="AE450" s="4"/>
      <c r="AF450" s="3"/>
    </row>
    <row r="451" spans="24:32" hidden="1" x14ac:dyDescent="0.2">
      <c r="X451" s="4"/>
      <c r="Y451" s="4"/>
      <c r="Z451" s="4"/>
      <c r="AA451" s="4"/>
      <c r="AB451" s="4"/>
      <c r="AC451" s="4"/>
      <c r="AD451" s="4"/>
      <c r="AE451" s="4"/>
      <c r="AF451" s="3"/>
    </row>
    <row r="452" spans="24:32" hidden="1" x14ac:dyDescent="0.2">
      <c r="X452" s="4"/>
      <c r="Y452" s="4"/>
      <c r="Z452" s="4"/>
      <c r="AA452" s="4"/>
      <c r="AB452" s="4"/>
      <c r="AC452" s="4"/>
      <c r="AD452" s="4"/>
      <c r="AE452" s="4"/>
      <c r="AF452" s="3"/>
    </row>
    <row r="453" spans="24:32" hidden="1" x14ac:dyDescent="0.2">
      <c r="X453" s="4"/>
      <c r="Y453" s="4"/>
      <c r="Z453" s="4"/>
      <c r="AA453" s="4"/>
      <c r="AB453" s="4"/>
      <c r="AC453" s="4"/>
      <c r="AD453" s="4"/>
      <c r="AE453" s="4"/>
      <c r="AF453" s="3"/>
    </row>
    <row r="454" spans="24:32" hidden="1" x14ac:dyDescent="0.2">
      <c r="X454" s="4"/>
      <c r="Y454" s="4"/>
      <c r="Z454" s="4"/>
      <c r="AA454" s="4"/>
      <c r="AB454" s="4"/>
      <c r="AC454" s="4"/>
      <c r="AD454" s="4"/>
      <c r="AE454" s="4"/>
      <c r="AF454" s="3"/>
    </row>
    <row r="455" spans="24:32" hidden="1" x14ac:dyDescent="0.2">
      <c r="X455" s="4"/>
      <c r="Y455" s="4"/>
      <c r="Z455" s="4"/>
      <c r="AA455" s="4"/>
      <c r="AB455" s="4"/>
      <c r="AC455" s="4"/>
      <c r="AD455" s="4"/>
      <c r="AE455" s="4"/>
      <c r="AF455" s="3"/>
    </row>
    <row r="456" spans="24:32" hidden="1" x14ac:dyDescent="0.2">
      <c r="X456" s="4"/>
      <c r="Y456" s="4"/>
      <c r="Z456" s="4"/>
      <c r="AA456" s="4"/>
      <c r="AB456" s="4"/>
      <c r="AC456" s="4"/>
      <c r="AD456" s="4"/>
      <c r="AE456" s="4"/>
      <c r="AF456" s="3"/>
    </row>
    <row r="457" spans="24:32" hidden="1" x14ac:dyDescent="0.2">
      <c r="X457" s="4"/>
      <c r="Y457" s="4"/>
      <c r="Z457" s="4"/>
      <c r="AA457" s="4"/>
      <c r="AB457" s="4"/>
      <c r="AC457" s="4"/>
      <c r="AD457" s="4"/>
      <c r="AE457" s="4"/>
      <c r="AF457" s="3"/>
    </row>
    <row r="458" spans="24:32" hidden="1" x14ac:dyDescent="0.2">
      <c r="X458" s="4"/>
      <c r="Y458" s="4"/>
      <c r="Z458" s="4"/>
      <c r="AA458" s="4"/>
      <c r="AB458" s="4"/>
      <c r="AC458" s="4"/>
      <c r="AD458" s="4"/>
      <c r="AE458" s="4"/>
      <c r="AF458" s="3"/>
    </row>
    <row r="459" spans="24:32" hidden="1" x14ac:dyDescent="0.2">
      <c r="X459" s="4"/>
      <c r="Y459" s="4"/>
      <c r="Z459" s="4"/>
      <c r="AA459" s="4"/>
      <c r="AB459" s="4"/>
      <c r="AC459" s="4"/>
      <c r="AD459" s="4"/>
      <c r="AE459" s="4"/>
      <c r="AF459" s="3"/>
    </row>
    <row r="460" spans="24:32" hidden="1" x14ac:dyDescent="0.2">
      <c r="X460" s="4"/>
      <c r="Y460" s="4"/>
      <c r="Z460" s="4"/>
      <c r="AA460" s="4"/>
      <c r="AB460" s="4"/>
      <c r="AC460" s="4"/>
      <c r="AD460" s="4"/>
      <c r="AE460" s="4"/>
      <c r="AF460" s="3"/>
    </row>
    <row r="461" spans="24:32" hidden="1" x14ac:dyDescent="0.2">
      <c r="X461" s="4"/>
      <c r="Y461" s="4"/>
      <c r="Z461" s="4"/>
      <c r="AA461" s="4"/>
      <c r="AB461" s="4"/>
      <c r="AC461" s="4"/>
      <c r="AD461" s="4"/>
      <c r="AE461" s="4"/>
      <c r="AF461" s="3"/>
    </row>
    <row r="462" spans="24:32" hidden="1" x14ac:dyDescent="0.2">
      <c r="X462" s="4"/>
      <c r="Y462" s="4"/>
      <c r="Z462" s="4"/>
      <c r="AA462" s="4"/>
      <c r="AB462" s="4"/>
      <c r="AC462" s="4"/>
      <c r="AD462" s="4"/>
      <c r="AE462" s="4"/>
      <c r="AF462" s="3"/>
    </row>
    <row r="463" spans="24:32" hidden="1" x14ac:dyDescent="0.2">
      <c r="X463" s="4"/>
      <c r="Y463" s="4"/>
      <c r="Z463" s="4"/>
      <c r="AA463" s="4"/>
      <c r="AB463" s="4"/>
      <c r="AC463" s="4"/>
      <c r="AD463" s="4"/>
      <c r="AE463" s="4"/>
      <c r="AF463" s="3"/>
    </row>
    <row r="464" spans="24:32" hidden="1" x14ac:dyDescent="0.2">
      <c r="X464" s="4"/>
      <c r="Y464" s="4"/>
      <c r="Z464" s="4"/>
      <c r="AA464" s="4"/>
      <c r="AB464" s="4"/>
      <c r="AC464" s="4"/>
      <c r="AD464" s="4"/>
      <c r="AE464" s="4"/>
      <c r="AF464" s="3"/>
    </row>
    <row r="465" spans="24:32" hidden="1" x14ac:dyDescent="0.2">
      <c r="X465" s="4"/>
      <c r="Y465" s="4"/>
      <c r="Z465" s="4"/>
      <c r="AA465" s="4"/>
      <c r="AB465" s="4"/>
      <c r="AC465" s="4"/>
      <c r="AD465" s="4"/>
      <c r="AE465" s="4"/>
      <c r="AF465" s="3"/>
    </row>
    <row r="466" spans="24:32" hidden="1" x14ac:dyDescent="0.2">
      <c r="X466" s="4"/>
      <c r="Y466" s="4"/>
      <c r="Z466" s="4"/>
      <c r="AA466" s="4"/>
      <c r="AB466" s="4"/>
      <c r="AC466" s="4"/>
      <c r="AD466" s="4"/>
      <c r="AE466" s="4"/>
      <c r="AF466" s="3"/>
    </row>
    <row r="467" spans="24:32" hidden="1" x14ac:dyDescent="0.2">
      <c r="X467" s="4"/>
      <c r="Y467" s="4"/>
      <c r="Z467" s="4"/>
      <c r="AA467" s="4"/>
      <c r="AB467" s="4"/>
      <c r="AC467" s="4"/>
      <c r="AD467" s="4"/>
      <c r="AE467" s="4"/>
      <c r="AF467" s="3"/>
    </row>
    <row r="468" spans="24:32" hidden="1" x14ac:dyDescent="0.2">
      <c r="X468" s="4"/>
      <c r="Y468" s="4"/>
      <c r="Z468" s="4"/>
      <c r="AA468" s="4"/>
      <c r="AB468" s="4"/>
      <c r="AC468" s="4"/>
      <c r="AD468" s="4"/>
      <c r="AE468" s="4"/>
      <c r="AF468" s="3"/>
    </row>
    <row r="469" spans="24:32" hidden="1" x14ac:dyDescent="0.2">
      <c r="X469" s="4"/>
      <c r="Y469" s="4"/>
      <c r="Z469" s="4"/>
      <c r="AA469" s="4"/>
      <c r="AB469" s="4"/>
      <c r="AC469" s="4"/>
      <c r="AD469" s="4"/>
      <c r="AE469" s="4"/>
      <c r="AF469" s="3"/>
    </row>
    <row r="470" spans="24:32" hidden="1" x14ac:dyDescent="0.2">
      <c r="X470" s="4"/>
      <c r="Y470" s="4"/>
      <c r="Z470" s="4"/>
      <c r="AA470" s="4"/>
      <c r="AB470" s="4"/>
      <c r="AC470" s="4"/>
      <c r="AD470" s="4"/>
      <c r="AE470" s="4"/>
      <c r="AF470" s="3"/>
    </row>
    <row r="471" spans="24:32" hidden="1" x14ac:dyDescent="0.2">
      <c r="X471" s="4"/>
      <c r="Y471" s="4"/>
      <c r="Z471" s="4"/>
      <c r="AA471" s="4"/>
      <c r="AB471" s="4"/>
      <c r="AC471" s="4"/>
      <c r="AD471" s="4"/>
      <c r="AE471" s="4"/>
      <c r="AF471" s="3"/>
    </row>
    <row r="472" spans="24:32" hidden="1" x14ac:dyDescent="0.2">
      <c r="X472" s="4"/>
      <c r="Y472" s="4"/>
      <c r="Z472" s="4"/>
      <c r="AA472" s="4"/>
      <c r="AB472" s="4"/>
      <c r="AC472" s="4"/>
      <c r="AD472" s="4"/>
      <c r="AE472" s="4"/>
      <c r="AF472" s="3"/>
    </row>
    <row r="473" spans="24:32" hidden="1" x14ac:dyDescent="0.2">
      <c r="X473" s="4"/>
      <c r="Y473" s="4"/>
      <c r="Z473" s="4"/>
      <c r="AA473" s="4"/>
      <c r="AB473" s="4"/>
      <c r="AC473" s="4"/>
      <c r="AD473" s="4"/>
      <c r="AE473" s="4"/>
      <c r="AF473" s="3"/>
    </row>
    <row r="474" spans="24:32" hidden="1" x14ac:dyDescent="0.2">
      <c r="X474" s="4"/>
      <c r="Y474" s="4"/>
      <c r="Z474" s="4"/>
      <c r="AA474" s="4"/>
      <c r="AB474" s="4"/>
      <c r="AC474" s="4"/>
      <c r="AD474" s="4"/>
      <c r="AE474" s="4"/>
      <c r="AF474" s="3"/>
    </row>
    <row r="475" spans="24:32" hidden="1" x14ac:dyDescent="0.2">
      <c r="X475" s="4"/>
      <c r="Y475" s="4"/>
      <c r="Z475" s="4"/>
      <c r="AA475" s="4"/>
      <c r="AB475" s="4"/>
      <c r="AC475" s="4"/>
      <c r="AD475" s="4"/>
      <c r="AE475" s="4"/>
      <c r="AF475" s="3"/>
    </row>
    <row r="476" spans="24:32" hidden="1" x14ac:dyDescent="0.2">
      <c r="X476" s="4"/>
      <c r="Y476" s="4"/>
      <c r="Z476" s="4"/>
      <c r="AA476" s="4"/>
      <c r="AB476" s="4"/>
      <c r="AC476" s="4"/>
      <c r="AD476" s="4"/>
      <c r="AE476" s="4"/>
      <c r="AF476" s="3"/>
    </row>
    <row r="477" spans="24:32" hidden="1" x14ac:dyDescent="0.2">
      <c r="X477" s="4"/>
      <c r="Y477" s="4"/>
      <c r="Z477" s="4"/>
      <c r="AA477" s="4"/>
      <c r="AB477" s="4"/>
      <c r="AC477" s="4"/>
      <c r="AD477" s="4"/>
      <c r="AE477" s="4"/>
      <c r="AF477" s="3"/>
    </row>
    <row r="478" spans="24:32" hidden="1" x14ac:dyDescent="0.2">
      <c r="X478" s="4"/>
      <c r="Y478" s="4"/>
      <c r="Z478" s="4"/>
      <c r="AA478" s="4"/>
      <c r="AB478" s="4"/>
      <c r="AC478" s="4"/>
      <c r="AD478" s="4"/>
      <c r="AE478" s="4"/>
      <c r="AF478" s="3"/>
    </row>
    <row r="479" spans="24:32" hidden="1" x14ac:dyDescent="0.2">
      <c r="X479" s="4"/>
      <c r="Y479" s="4"/>
      <c r="Z479" s="4"/>
      <c r="AA479" s="4"/>
      <c r="AB479" s="4"/>
      <c r="AC479" s="4"/>
      <c r="AD479" s="4"/>
      <c r="AE479" s="4"/>
      <c r="AF479" s="3"/>
    </row>
    <row r="480" spans="24:32" hidden="1" x14ac:dyDescent="0.2">
      <c r="X480" s="4"/>
      <c r="Y480" s="4"/>
      <c r="Z480" s="4"/>
      <c r="AA480" s="4"/>
      <c r="AB480" s="4"/>
      <c r="AC480" s="4"/>
      <c r="AD480" s="4"/>
      <c r="AE480" s="4"/>
      <c r="AF480" s="3"/>
    </row>
    <row r="481" spans="24:32" hidden="1" x14ac:dyDescent="0.2">
      <c r="X481" s="4"/>
      <c r="Y481" s="4"/>
      <c r="Z481" s="4"/>
      <c r="AA481" s="4"/>
      <c r="AB481" s="4"/>
      <c r="AC481" s="4"/>
      <c r="AD481" s="4"/>
      <c r="AE481" s="4"/>
      <c r="AF481" s="3"/>
    </row>
    <row r="482" spans="24:32" hidden="1" x14ac:dyDescent="0.2">
      <c r="X482" s="4"/>
      <c r="Y482" s="4"/>
      <c r="Z482" s="4"/>
      <c r="AA482" s="4"/>
      <c r="AB482" s="4"/>
      <c r="AC482" s="4"/>
      <c r="AD482" s="4"/>
      <c r="AE482" s="4"/>
      <c r="AF482" s="3"/>
    </row>
    <row r="483" spans="24:32" hidden="1" x14ac:dyDescent="0.2">
      <c r="X483" s="4"/>
      <c r="Y483" s="4"/>
      <c r="Z483" s="4"/>
      <c r="AA483" s="4"/>
      <c r="AB483" s="4"/>
      <c r="AC483" s="4"/>
      <c r="AD483" s="4"/>
      <c r="AE483" s="4"/>
      <c r="AF483" s="3"/>
    </row>
    <row r="484" spans="24:32" hidden="1" x14ac:dyDescent="0.2">
      <c r="X484" s="4"/>
      <c r="Y484" s="4"/>
      <c r="Z484" s="4"/>
      <c r="AA484" s="4"/>
      <c r="AB484" s="4"/>
      <c r="AC484" s="4"/>
      <c r="AD484" s="4"/>
      <c r="AE484" s="4"/>
      <c r="AF484" s="3"/>
    </row>
    <row r="485" spans="24:32" hidden="1" x14ac:dyDescent="0.2">
      <c r="X485" s="4"/>
      <c r="Y485" s="4"/>
      <c r="Z485" s="4"/>
      <c r="AA485" s="4"/>
      <c r="AB485" s="4"/>
      <c r="AC485" s="4"/>
      <c r="AD485" s="4"/>
      <c r="AE485" s="4"/>
      <c r="AF485" s="3"/>
    </row>
    <row r="486" spans="24:32" hidden="1" x14ac:dyDescent="0.2">
      <c r="X486" s="4"/>
      <c r="Y486" s="4"/>
      <c r="Z486" s="4"/>
      <c r="AA486" s="4"/>
      <c r="AB486" s="4"/>
      <c r="AC486" s="4"/>
      <c r="AD486" s="4"/>
      <c r="AE486" s="4"/>
      <c r="AF486" s="3"/>
    </row>
    <row r="487" spans="24:32" hidden="1" x14ac:dyDescent="0.2">
      <c r="X487" s="4"/>
      <c r="Y487" s="4"/>
      <c r="Z487" s="4"/>
      <c r="AA487" s="4"/>
      <c r="AB487" s="4"/>
      <c r="AC487" s="4"/>
      <c r="AD487" s="4"/>
      <c r="AE487" s="4"/>
      <c r="AF487" s="3"/>
    </row>
    <row r="488" spans="24:32" hidden="1" x14ac:dyDescent="0.2">
      <c r="X488" s="4"/>
      <c r="Y488" s="4"/>
      <c r="Z488" s="4"/>
      <c r="AA488" s="4"/>
      <c r="AB488" s="4"/>
      <c r="AC488" s="4"/>
      <c r="AD488" s="4"/>
      <c r="AE488" s="4"/>
      <c r="AF488" s="3"/>
    </row>
    <row r="489" spans="24:32" hidden="1" x14ac:dyDescent="0.2">
      <c r="X489" s="4"/>
      <c r="Y489" s="4"/>
      <c r="Z489" s="4"/>
      <c r="AA489" s="4"/>
      <c r="AB489" s="4"/>
      <c r="AC489" s="4"/>
      <c r="AD489" s="4"/>
      <c r="AE489" s="4"/>
      <c r="AF489" s="3"/>
    </row>
    <row r="490" spans="24:32" hidden="1" x14ac:dyDescent="0.2">
      <c r="X490" s="4"/>
      <c r="Y490" s="4"/>
      <c r="Z490" s="4"/>
      <c r="AA490" s="4"/>
      <c r="AB490" s="4"/>
      <c r="AC490" s="4"/>
      <c r="AD490" s="4"/>
      <c r="AE490" s="4"/>
      <c r="AF490" s="3"/>
    </row>
    <row r="491" spans="24:32" hidden="1" x14ac:dyDescent="0.2">
      <c r="X491" s="4"/>
      <c r="Y491" s="4"/>
      <c r="Z491" s="4"/>
      <c r="AA491" s="4"/>
      <c r="AB491" s="4"/>
      <c r="AC491" s="4"/>
      <c r="AD491" s="4"/>
      <c r="AE491" s="4"/>
      <c r="AF491" s="3"/>
    </row>
    <row r="492" spans="24:32" hidden="1" x14ac:dyDescent="0.2">
      <c r="X492" s="4"/>
      <c r="Y492" s="4"/>
      <c r="Z492" s="4"/>
      <c r="AA492" s="4"/>
      <c r="AB492" s="4"/>
      <c r="AC492" s="4"/>
      <c r="AD492" s="4"/>
      <c r="AE492" s="4"/>
      <c r="AF492" s="3"/>
    </row>
    <row r="493" spans="24:32" hidden="1" x14ac:dyDescent="0.2">
      <c r="X493" s="4"/>
      <c r="Y493" s="4"/>
      <c r="Z493" s="4"/>
      <c r="AA493" s="4"/>
      <c r="AB493" s="4"/>
      <c r="AC493" s="4"/>
      <c r="AD493" s="4"/>
      <c r="AE493" s="4"/>
      <c r="AF493" s="3"/>
    </row>
    <row r="494" spans="24:32" hidden="1" x14ac:dyDescent="0.2">
      <c r="X494" s="4"/>
      <c r="Y494" s="4"/>
      <c r="Z494" s="4"/>
      <c r="AA494" s="4"/>
      <c r="AB494" s="4"/>
      <c r="AC494" s="4"/>
      <c r="AD494" s="4"/>
      <c r="AE494" s="4"/>
      <c r="AF494" s="3"/>
    </row>
    <row r="495" spans="24:32" hidden="1" x14ac:dyDescent="0.2">
      <c r="X495" s="4"/>
      <c r="Y495" s="4"/>
      <c r="Z495" s="4"/>
      <c r="AA495" s="4"/>
      <c r="AB495" s="4"/>
      <c r="AC495" s="4"/>
      <c r="AD495" s="4"/>
      <c r="AE495" s="4"/>
      <c r="AF495" s="3"/>
    </row>
    <row r="496" spans="24:32" hidden="1" x14ac:dyDescent="0.2">
      <c r="X496" s="4"/>
      <c r="Y496" s="4"/>
      <c r="Z496" s="4"/>
      <c r="AA496" s="4"/>
      <c r="AB496" s="4"/>
      <c r="AC496" s="4"/>
      <c r="AD496" s="4"/>
      <c r="AE496" s="4"/>
      <c r="AF496" s="3"/>
    </row>
    <row r="497" spans="24:32" hidden="1" x14ac:dyDescent="0.2">
      <c r="X497" s="4"/>
      <c r="Y497" s="4"/>
      <c r="Z497" s="4"/>
      <c r="AA497" s="4"/>
      <c r="AB497" s="4"/>
      <c r="AC497" s="4"/>
      <c r="AD497" s="4"/>
      <c r="AE497" s="4"/>
      <c r="AF497" s="3"/>
    </row>
    <row r="498" spans="24:32" hidden="1" x14ac:dyDescent="0.2">
      <c r="X498" s="4"/>
      <c r="Y498" s="4"/>
      <c r="Z498" s="4"/>
      <c r="AA498" s="4"/>
      <c r="AB498" s="4"/>
      <c r="AC498" s="4"/>
      <c r="AD498" s="4"/>
      <c r="AE498" s="4"/>
      <c r="AF498" s="3"/>
    </row>
    <row r="499" spans="24:32" hidden="1" x14ac:dyDescent="0.2">
      <c r="X499" s="4"/>
      <c r="Y499" s="4"/>
      <c r="Z499" s="4"/>
      <c r="AA499" s="4"/>
      <c r="AB499" s="4"/>
      <c r="AC499" s="4"/>
      <c r="AD499" s="4"/>
      <c r="AE499" s="4"/>
      <c r="AF499" s="3"/>
    </row>
    <row r="500" spans="24:32" hidden="1" x14ac:dyDescent="0.2">
      <c r="X500" s="4"/>
      <c r="Y500" s="4"/>
      <c r="Z500" s="4"/>
      <c r="AA500" s="4"/>
      <c r="AB500" s="4"/>
      <c r="AC500" s="4"/>
      <c r="AD500" s="4"/>
      <c r="AE500" s="4"/>
      <c r="AF500" s="3"/>
    </row>
    <row r="501" spans="24:32" hidden="1" x14ac:dyDescent="0.2">
      <c r="X501" s="4"/>
      <c r="Y501" s="4"/>
      <c r="Z501" s="4"/>
      <c r="AA501" s="4"/>
      <c r="AB501" s="4"/>
      <c r="AC501" s="4"/>
      <c r="AD501" s="4"/>
      <c r="AE501" s="4"/>
      <c r="AF501" s="3"/>
    </row>
    <row r="502" spans="24:32" hidden="1" x14ac:dyDescent="0.2">
      <c r="X502" s="4"/>
      <c r="Y502" s="4"/>
      <c r="Z502" s="4"/>
      <c r="AA502" s="4"/>
      <c r="AB502" s="4"/>
      <c r="AC502" s="4"/>
      <c r="AD502" s="4"/>
      <c r="AE502" s="4"/>
      <c r="AF502" s="3"/>
    </row>
    <row r="503" spans="24:32" hidden="1" x14ac:dyDescent="0.2">
      <c r="X503" s="4"/>
      <c r="Y503" s="4"/>
      <c r="Z503" s="4"/>
      <c r="AA503" s="4"/>
      <c r="AB503" s="4"/>
      <c r="AC503" s="4"/>
      <c r="AD503" s="4"/>
      <c r="AE503" s="4"/>
      <c r="AF503" s="3"/>
    </row>
    <row r="504" spans="24:32" hidden="1" x14ac:dyDescent="0.2">
      <c r="X504" s="4"/>
      <c r="Y504" s="4"/>
      <c r="Z504" s="4"/>
      <c r="AA504" s="4"/>
      <c r="AB504" s="4"/>
      <c r="AC504" s="4"/>
      <c r="AD504" s="4"/>
      <c r="AE504" s="4"/>
      <c r="AF504" s="3"/>
    </row>
    <row r="505" spans="24:32" hidden="1" x14ac:dyDescent="0.2">
      <c r="X505" s="4"/>
      <c r="Y505" s="4"/>
      <c r="Z505" s="4"/>
      <c r="AA505" s="4"/>
      <c r="AB505" s="4"/>
      <c r="AC505" s="4"/>
      <c r="AD505" s="4"/>
      <c r="AE505" s="4"/>
      <c r="AF505" s="3"/>
    </row>
    <row r="506" spans="24:32" hidden="1" x14ac:dyDescent="0.2">
      <c r="X506" s="4"/>
      <c r="Y506" s="4"/>
      <c r="Z506" s="4"/>
      <c r="AA506" s="4"/>
      <c r="AB506" s="4"/>
      <c r="AC506" s="4"/>
      <c r="AD506" s="4"/>
      <c r="AE506" s="4"/>
      <c r="AF506" s="3"/>
    </row>
    <row r="507" spans="24:32" hidden="1" x14ac:dyDescent="0.2">
      <c r="X507" s="4"/>
      <c r="Y507" s="4"/>
      <c r="Z507" s="4"/>
      <c r="AA507" s="4"/>
      <c r="AB507" s="4"/>
      <c r="AC507" s="4"/>
      <c r="AD507" s="4"/>
      <c r="AE507" s="4"/>
      <c r="AF507" s="3"/>
    </row>
    <row r="508" spans="24:32" hidden="1" x14ac:dyDescent="0.2">
      <c r="X508" s="4"/>
      <c r="Y508" s="4"/>
      <c r="Z508" s="4"/>
      <c r="AA508" s="4"/>
      <c r="AB508" s="4"/>
      <c r="AC508" s="4"/>
      <c r="AD508" s="4"/>
      <c r="AE508" s="4"/>
      <c r="AF508" s="3"/>
    </row>
    <row r="509" spans="24:32" hidden="1" x14ac:dyDescent="0.2">
      <c r="X509" s="4"/>
      <c r="Y509" s="4"/>
      <c r="Z509" s="4"/>
      <c r="AA509" s="4"/>
      <c r="AB509" s="4"/>
      <c r="AC509" s="4"/>
      <c r="AD509" s="4"/>
      <c r="AE509" s="4"/>
      <c r="AF509" s="3"/>
    </row>
    <row r="510" spans="24:32" hidden="1" x14ac:dyDescent="0.2">
      <c r="X510" s="4"/>
      <c r="Y510" s="4"/>
      <c r="Z510" s="4"/>
      <c r="AA510" s="4"/>
      <c r="AB510" s="4"/>
      <c r="AC510" s="4"/>
      <c r="AD510" s="4"/>
      <c r="AE510" s="4"/>
      <c r="AF510" s="3"/>
    </row>
    <row r="511" spans="24:32" hidden="1" x14ac:dyDescent="0.2">
      <c r="X511" s="4"/>
      <c r="Y511" s="4"/>
      <c r="Z511" s="4"/>
      <c r="AA511" s="4"/>
      <c r="AB511" s="4"/>
      <c r="AC511" s="4"/>
      <c r="AD511" s="4"/>
      <c r="AE511" s="4"/>
      <c r="AF511" s="3"/>
    </row>
    <row r="512" spans="24:32" hidden="1" x14ac:dyDescent="0.2">
      <c r="X512" s="4"/>
      <c r="Y512" s="4"/>
      <c r="Z512" s="4"/>
      <c r="AA512" s="4"/>
      <c r="AB512" s="4"/>
      <c r="AC512" s="4"/>
      <c r="AD512" s="4"/>
      <c r="AE512" s="4"/>
      <c r="AF512" s="3"/>
    </row>
    <row r="513" spans="24:32" hidden="1" x14ac:dyDescent="0.2">
      <c r="X513" s="4"/>
      <c r="Y513" s="4"/>
      <c r="Z513" s="4"/>
      <c r="AA513" s="4"/>
      <c r="AB513" s="4"/>
      <c r="AC513" s="4"/>
      <c r="AD513" s="4"/>
      <c r="AE513" s="4"/>
      <c r="AF513" s="3"/>
    </row>
    <row r="514" spans="24:32" hidden="1" x14ac:dyDescent="0.2">
      <c r="X514" s="4"/>
      <c r="Y514" s="4"/>
      <c r="Z514" s="4"/>
      <c r="AA514" s="4"/>
      <c r="AB514" s="4"/>
      <c r="AC514" s="4"/>
      <c r="AD514" s="4"/>
      <c r="AE514" s="4"/>
      <c r="AF514" s="3"/>
    </row>
    <row r="515" spans="24:32" hidden="1" x14ac:dyDescent="0.2">
      <c r="X515" s="4"/>
      <c r="Y515" s="4"/>
      <c r="Z515" s="4"/>
      <c r="AA515" s="4"/>
      <c r="AB515" s="4"/>
      <c r="AC515" s="4"/>
      <c r="AD515" s="4"/>
      <c r="AE515" s="4"/>
      <c r="AF515" s="3"/>
    </row>
    <row r="516" spans="24:32" hidden="1" x14ac:dyDescent="0.2">
      <c r="X516" s="4"/>
      <c r="Y516" s="4"/>
      <c r="Z516" s="4"/>
      <c r="AA516" s="4"/>
      <c r="AB516" s="4"/>
      <c r="AC516" s="4"/>
      <c r="AD516" s="4"/>
      <c r="AE516" s="4"/>
      <c r="AF516" s="3"/>
    </row>
    <row r="517" spans="24:32" hidden="1" x14ac:dyDescent="0.2">
      <c r="X517" s="4"/>
      <c r="Y517" s="4"/>
      <c r="Z517" s="4"/>
      <c r="AA517" s="4"/>
      <c r="AB517" s="4"/>
      <c r="AC517" s="4"/>
      <c r="AD517" s="4"/>
      <c r="AE517" s="4"/>
      <c r="AF517" s="3"/>
    </row>
    <row r="518" spans="24:32" hidden="1" x14ac:dyDescent="0.2">
      <c r="X518" s="4"/>
      <c r="Y518" s="4"/>
      <c r="Z518" s="4"/>
      <c r="AA518" s="4"/>
      <c r="AB518" s="4"/>
      <c r="AC518" s="4"/>
      <c r="AD518" s="4"/>
      <c r="AE518" s="4"/>
      <c r="AF518" s="3"/>
    </row>
    <row r="519" spans="24:32" hidden="1" x14ac:dyDescent="0.2">
      <c r="X519" s="4"/>
      <c r="Y519" s="4"/>
      <c r="Z519" s="4"/>
      <c r="AA519" s="4"/>
      <c r="AB519" s="4"/>
      <c r="AC519" s="4"/>
      <c r="AD519" s="4"/>
      <c r="AE519" s="4"/>
      <c r="AF519" s="3"/>
    </row>
    <row r="520" spans="24:32" hidden="1" x14ac:dyDescent="0.2">
      <c r="X520" s="4"/>
      <c r="Y520" s="4"/>
      <c r="Z520" s="4"/>
      <c r="AA520" s="4"/>
      <c r="AB520" s="4"/>
      <c r="AC520" s="4"/>
      <c r="AD520" s="4"/>
      <c r="AE520" s="4"/>
      <c r="AF520" s="3"/>
    </row>
    <row r="521" spans="24:32" hidden="1" x14ac:dyDescent="0.2">
      <c r="X521" s="4"/>
      <c r="Y521" s="4"/>
      <c r="Z521" s="4"/>
      <c r="AA521" s="4"/>
      <c r="AB521" s="4"/>
      <c r="AC521" s="4"/>
      <c r="AD521" s="4"/>
      <c r="AE521" s="4"/>
      <c r="AF521" s="3"/>
    </row>
    <row r="522" spans="24:32" hidden="1" x14ac:dyDescent="0.2">
      <c r="X522" s="4"/>
      <c r="Y522" s="4"/>
      <c r="Z522" s="4"/>
      <c r="AA522" s="4"/>
      <c r="AB522" s="4"/>
      <c r="AC522" s="4"/>
      <c r="AD522" s="4"/>
      <c r="AE522" s="4"/>
      <c r="AF522" s="3"/>
    </row>
    <row r="523" spans="24:32" hidden="1" x14ac:dyDescent="0.2">
      <c r="X523" s="4"/>
      <c r="Y523" s="4"/>
      <c r="Z523" s="4"/>
      <c r="AA523" s="4"/>
      <c r="AB523" s="4"/>
      <c r="AC523" s="4"/>
      <c r="AD523" s="4"/>
      <c r="AE523" s="4"/>
      <c r="AF523" s="3"/>
    </row>
    <row r="524" spans="24:32" hidden="1" x14ac:dyDescent="0.2">
      <c r="X524" s="4"/>
      <c r="Y524" s="4"/>
      <c r="Z524" s="4"/>
      <c r="AA524" s="4"/>
      <c r="AB524" s="4"/>
      <c r="AC524" s="4"/>
      <c r="AD524" s="4"/>
      <c r="AE524" s="4"/>
      <c r="AF524" s="3"/>
    </row>
    <row r="525" spans="24:32" hidden="1" x14ac:dyDescent="0.2">
      <c r="X525" s="4"/>
      <c r="Y525" s="4"/>
      <c r="Z525" s="4"/>
      <c r="AA525" s="4"/>
      <c r="AB525" s="4"/>
      <c r="AC525" s="4"/>
      <c r="AD525" s="4"/>
      <c r="AE525" s="4"/>
      <c r="AF525" s="3"/>
    </row>
    <row r="526" spans="24:32" hidden="1" x14ac:dyDescent="0.2">
      <c r="X526" s="4"/>
      <c r="Y526" s="4"/>
      <c r="Z526" s="4"/>
      <c r="AA526" s="4"/>
      <c r="AB526" s="4"/>
      <c r="AC526" s="4"/>
      <c r="AD526" s="4"/>
      <c r="AE526" s="4"/>
      <c r="AF526" s="3"/>
    </row>
    <row r="527" spans="24:32" hidden="1" x14ac:dyDescent="0.2">
      <c r="X527" s="4"/>
      <c r="Y527" s="4"/>
      <c r="Z527" s="4"/>
      <c r="AA527" s="4"/>
      <c r="AB527" s="4"/>
      <c r="AC527" s="4"/>
      <c r="AD527" s="4"/>
      <c r="AE527" s="4"/>
      <c r="AF527" s="3"/>
    </row>
    <row r="528" spans="24:32" hidden="1" x14ac:dyDescent="0.2">
      <c r="X528" s="4"/>
      <c r="Y528" s="4"/>
      <c r="Z528" s="4"/>
      <c r="AA528" s="4"/>
      <c r="AB528" s="4"/>
      <c r="AC528" s="4"/>
      <c r="AD528" s="4"/>
      <c r="AE528" s="4"/>
      <c r="AF528" s="3"/>
    </row>
    <row r="529" spans="24:32" hidden="1" x14ac:dyDescent="0.2">
      <c r="X529" s="4"/>
      <c r="Y529" s="4"/>
      <c r="Z529" s="4"/>
      <c r="AA529" s="4"/>
      <c r="AB529" s="4"/>
      <c r="AC529" s="4"/>
      <c r="AD529" s="4"/>
      <c r="AE529" s="4"/>
      <c r="AF529" s="3"/>
    </row>
    <row r="530" spans="24:32" hidden="1" x14ac:dyDescent="0.2">
      <c r="X530" s="4"/>
      <c r="Y530" s="4"/>
      <c r="Z530" s="4"/>
      <c r="AA530" s="4"/>
      <c r="AB530" s="4"/>
      <c r="AC530" s="4"/>
      <c r="AD530" s="4"/>
      <c r="AE530" s="4"/>
      <c r="AF530" s="3"/>
    </row>
    <row r="531" spans="24:32" hidden="1" x14ac:dyDescent="0.2">
      <c r="X531" s="4"/>
      <c r="Y531" s="4"/>
      <c r="Z531" s="4"/>
      <c r="AA531" s="4"/>
      <c r="AB531" s="4"/>
      <c r="AC531" s="4"/>
      <c r="AD531" s="4"/>
      <c r="AE531" s="4"/>
      <c r="AF531" s="3"/>
    </row>
    <row r="532" spans="24:32" hidden="1" x14ac:dyDescent="0.2">
      <c r="X532" s="4"/>
      <c r="Y532" s="4"/>
      <c r="Z532" s="4"/>
      <c r="AA532" s="4"/>
      <c r="AB532" s="4"/>
      <c r="AC532" s="4"/>
      <c r="AD532" s="4"/>
      <c r="AE532" s="4"/>
      <c r="AF532" s="3"/>
    </row>
    <row r="533" spans="24:32" hidden="1" x14ac:dyDescent="0.2">
      <c r="X533" s="4"/>
      <c r="Y533" s="4"/>
      <c r="Z533" s="4"/>
      <c r="AA533" s="4"/>
      <c r="AB533" s="4"/>
      <c r="AC533" s="4"/>
      <c r="AD533" s="4"/>
      <c r="AE533" s="4"/>
      <c r="AF533" s="3"/>
    </row>
    <row r="534" spans="24:32" hidden="1" x14ac:dyDescent="0.2">
      <c r="X534" s="4"/>
      <c r="Y534" s="4"/>
      <c r="Z534" s="4"/>
      <c r="AA534" s="4"/>
      <c r="AB534" s="4"/>
      <c r="AC534" s="4"/>
      <c r="AD534" s="4"/>
      <c r="AE534" s="4"/>
      <c r="AF534" s="3"/>
    </row>
    <row r="535" spans="24:32" hidden="1" x14ac:dyDescent="0.2">
      <c r="X535" s="4"/>
      <c r="Y535" s="4"/>
      <c r="Z535" s="4"/>
      <c r="AA535" s="4"/>
      <c r="AB535" s="4"/>
      <c r="AC535" s="4"/>
      <c r="AD535" s="4"/>
      <c r="AE535" s="4"/>
      <c r="AF535" s="3"/>
    </row>
    <row r="536" spans="24:32" hidden="1" x14ac:dyDescent="0.2">
      <c r="X536" s="4"/>
      <c r="Y536" s="4"/>
      <c r="Z536" s="4"/>
      <c r="AA536" s="4"/>
      <c r="AB536" s="4"/>
      <c r="AC536" s="4"/>
      <c r="AD536" s="4"/>
      <c r="AE536" s="4"/>
      <c r="AF536" s="3"/>
    </row>
    <row r="537" spans="24:32" hidden="1" x14ac:dyDescent="0.2">
      <c r="X537" s="4"/>
      <c r="Y537" s="4"/>
      <c r="Z537" s="4"/>
      <c r="AA537" s="4"/>
      <c r="AB537" s="4"/>
      <c r="AC537" s="4"/>
      <c r="AD537" s="4"/>
      <c r="AE537" s="4"/>
      <c r="AF537" s="3"/>
    </row>
    <row r="538" spans="24:32" hidden="1" x14ac:dyDescent="0.2">
      <c r="X538" s="4"/>
      <c r="Y538" s="4"/>
      <c r="Z538" s="4"/>
      <c r="AA538" s="4"/>
      <c r="AB538" s="4"/>
      <c r="AC538" s="4"/>
      <c r="AD538" s="4"/>
      <c r="AE538" s="4"/>
      <c r="AF538" s="3"/>
    </row>
    <row r="539" spans="24:32" hidden="1" x14ac:dyDescent="0.2">
      <c r="X539" s="4"/>
      <c r="Y539" s="4"/>
      <c r="Z539" s="4"/>
      <c r="AA539" s="4"/>
      <c r="AB539" s="4"/>
      <c r="AC539" s="4"/>
      <c r="AD539" s="4"/>
      <c r="AE539" s="4"/>
      <c r="AF539" s="3"/>
    </row>
    <row r="540" spans="24:32" hidden="1" x14ac:dyDescent="0.2">
      <c r="X540" s="4"/>
      <c r="Y540" s="4"/>
      <c r="Z540" s="4"/>
      <c r="AA540" s="4"/>
      <c r="AB540" s="4"/>
      <c r="AC540" s="4"/>
      <c r="AD540" s="4"/>
      <c r="AE540" s="4"/>
      <c r="AF540" s="3"/>
    </row>
    <row r="541" spans="24:32" hidden="1" x14ac:dyDescent="0.2">
      <c r="X541" s="4"/>
      <c r="Y541" s="4"/>
      <c r="Z541" s="4"/>
      <c r="AA541" s="4"/>
      <c r="AB541" s="4"/>
      <c r="AC541" s="4"/>
      <c r="AD541" s="4"/>
      <c r="AE541" s="4"/>
      <c r="AF541" s="3"/>
    </row>
    <row r="542" spans="24:32" hidden="1" x14ac:dyDescent="0.2">
      <c r="X542" s="4"/>
      <c r="Y542" s="4"/>
      <c r="Z542" s="4"/>
      <c r="AA542" s="4"/>
      <c r="AB542" s="4"/>
      <c r="AC542" s="4"/>
      <c r="AD542" s="4"/>
      <c r="AE542" s="4"/>
      <c r="AF542" s="3"/>
    </row>
    <row r="543" spans="24:32" hidden="1" x14ac:dyDescent="0.2">
      <c r="X543" s="4"/>
      <c r="Y543" s="4"/>
      <c r="Z543" s="4"/>
      <c r="AA543" s="4"/>
      <c r="AB543" s="4"/>
      <c r="AC543" s="4"/>
      <c r="AD543" s="4"/>
      <c r="AE543" s="4"/>
      <c r="AF543" s="3"/>
    </row>
    <row r="544" spans="24:32" hidden="1" x14ac:dyDescent="0.2">
      <c r="X544" s="4"/>
      <c r="Y544" s="4"/>
      <c r="Z544" s="4"/>
      <c r="AA544" s="4"/>
      <c r="AB544" s="4"/>
      <c r="AC544" s="4"/>
      <c r="AD544" s="4"/>
      <c r="AE544" s="4"/>
      <c r="AF544" s="3"/>
    </row>
    <row r="545" spans="24:32" hidden="1" x14ac:dyDescent="0.2">
      <c r="X545" s="4"/>
      <c r="Y545" s="4"/>
      <c r="Z545" s="4"/>
      <c r="AA545" s="4"/>
      <c r="AB545" s="4"/>
      <c r="AC545" s="4"/>
      <c r="AD545" s="4"/>
      <c r="AE545" s="4"/>
      <c r="AF545" s="3"/>
    </row>
    <row r="546" spans="24:32" hidden="1" x14ac:dyDescent="0.2">
      <c r="X546" s="4"/>
      <c r="Y546" s="4"/>
      <c r="Z546" s="4"/>
      <c r="AA546" s="4"/>
      <c r="AB546" s="4"/>
      <c r="AC546" s="4"/>
      <c r="AD546" s="4"/>
      <c r="AE546" s="4"/>
      <c r="AF546" s="3"/>
    </row>
    <row r="547" spans="24:32" hidden="1" x14ac:dyDescent="0.2">
      <c r="X547" s="4"/>
      <c r="Y547" s="4"/>
      <c r="Z547" s="4"/>
      <c r="AA547" s="4"/>
      <c r="AB547" s="4"/>
      <c r="AC547" s="4"/>
      <c r="AD547" s="4"/>
      <c r="AE547" s="4"/>
      <c r="AF547" s="3"/>
    </row>
    <row r="548" spans="24:32" hidden="1" x14ac:dyDescent="0.2">
      <c r="X548" s="4"/>
      <c r="Y548" s="4"/>
      <c r="Z548" s="4"/>
      <c r="AA548" s="4"/>
      <c r="AB548" s="4"/>
      <c r="AC548" s="4"/>
      <c r="AD548" s="4"/>
      <c r="AE548" s="4"/>
      <c r="AF548" s="3"/>
    </row>
    <row r="549" spans="24:32" hidden="1" x14ac:dyDescent="0.2">
      <c r="X549" s="4"/>
      <c r="Y549" s="4"/>
      <c r="Z549" s="4"/>
      <c r="AA549" s="4"/>
      <c r="AB549" s="4"/>
      <c r="AC549" s="4"/>
      <c r="AD549" s="4"/>
      <c r="AE549" s="4"/>
      <c r="AF549" s="3"/>
    </row>
    <row r="550" spans="24:32" hidden="1" x14ac:dyDescent="0.2">
      <c r="X550" s="4"/>
      <c r="Y550" s="4"/>
      <c r="Z550" s="4"/>
      <c r="AA550" s="4"/>
      <c r="AB550" s="4"/>
      <c r="AC550" s="4"/>
      <c r="AD550" s="4"/>
      <c r="AE550" s="4"/>
      <c r="AF550" s="3"/>
    </row>
    <row r="551" spans="24:32" hidden="1" x14ac:dyDescent="0.2">
      <c r="X551" s="4"/>
      <c r="Y551" s="4"/>
      <c r="Z551" s="4"/>
      <c r="AA551" s="4"/>
      <c r="AB551" s="4"/>
      <c r="AC551" s="4"/>
      <c r="AD551" s="4"/>
      <c r="AE551" s="4"/>
      <c r="AF551" s="3"/>
    </row>
    <row r="552" spans="24:32" hidden="1" x14ac:dyDescent="0.2">
      <c r="X552" s="4"/>
      <c r="Y552" s="4"/>
      <c r="Z552" s="4"/>
      <c r="AA552" s="4"/>
      <c r="AB552" s="4"/>
      <c r="AC552" s="4"/>
      <c r="AD552" s="4"/>
      <c r="AE552" s="4"/>
      <c r="AF552" s="3"/>
    </row>
    <row r="553" spans="24:32" hidden="1" x14ac:dyDescent="0.2">
      <c r="X553" s="4"/>
      <c r="Y553" s="4"/>
      <c r="Z553" s="4"/>
      <c r="AA553" s="4"/>
      <c r="AB553" s="4"/>
      <c r="AC553" s="4"/>
      <c r="AD553" s="4"/>
      <c r="AE553" s="4"/>
      <c r="AF553" s="3"/>
    </row>
    <row r="554" spans="24:32" hidden="1" x14ac:dyDescent="0.2">
      <c r="X554" s="4"/>
      <c r="Y554" s="4"/>
      <c r="Z554" s="4"/>
      <c r="AA554" s="4"/>
      <c r="AB554" s="4"/>
      <c r="AC554" s="4"/>
      <c r="AD554" s="4"/>
      <c r="AE554" s="4"/>
      <c r="AF554" s="3"/>
    </row>
    <row r="555" spans="24:32" hidden="1" x14ac:dyDescent="0.2">
      <c r="X555" s="4"/>
      <c r="Y555" s="4"/>
      <c r="Z555" s="4"/>
      <c r="AA555" s="4"/>
      <c r="AB555" s="4"/>
      <c r="AC555" s="4"/>
      <c r="AD555" s="4"/>
      <c r="AE555" s="4"/>
      <c r="AF555" s="3"/>
    </row>
    <row r="556" spans="24:32" hidden="1" x14ac:dyDescent="0.2">
      <c r="X556" s="4"/>
      <c r="Y556" s="4"/>
      <c r="Z556" s="4"/>
      <c r="AA556" s="4"/>
      <c r="AB556" s="4"/>
      <c r="AC556" s="4"/>
      <c r="AD556" s="4"/>
      <c r="AE556" s="4"/>
      <c r="AF556" s="3"/>
    </row>
    <row r="557" spans="24:32" hidden="1" x14ac:dyDescent="0.2">
      <c r="X557" s="4"/>
      <c r="Y557" s="4"/>
      <c r="Z557" s="4"/>
      <c r="AA557" s="4"/>
      <c r="AB557" s="4"/>
      <c r="AC557" s="4"/>
      <c r="AD557" s="4"/>
      <c r="AE557" s="4"/>
      <c r="AF557" s="3"/>
    </row>
    <row r="558" spans="24:32" hidden="1" x14ac:dyDescent="0.2">
      <c r="X558" s="4"/>
      <c r="Y558" s="4"/>
      <c r="Z558" s="4"/>
      <c r="AA558" s="4"/>
      <c r="AB558" s="4"/>
      <c r="AC558" s="4"/>
      <c r="AD558" s="4"/>
      <c r="AE558" s="4"/>
      <c r="AF558" s="3"/>
    </row>
    <row r="559" spans="24:32" hidden="1" x14ac:dyDescent="0.2">
      <c r="X559" s="4"/>
      <c r="Y559" s="4"/>
      <c r="Z559" s="4"/>
      <c r="AA559" s="4"/>
      <c r="AB559" s="4"/>
      <c r="AC559" s="4"/>
      <c r="AD559" s="4"/>
      <c r="AE559" s="4"/>
      <c r="AF559" s="3"/>
    </row>
    <row r="560" spans="24:32" hidden="1" x14ac:dyDescent="0.2">
      <c r="X560" s="4"/>
      <c r="Y560" s="4"/>
      <c r="Z560" s="4"/>
      <c r="AA560" s="4"/>
      <c r="AB560" s="4"/>
      <c r="AC560" s="4"/>
      <c r="AD560" s="4"/>
      <c r="AE560" s="4"/>
      <c r="AF560" s="3"/>
    </row>
    <row r="561" spans="24:32" hidden="1" x14ac:dyDescent="0.2">
      <c r="X561" s="4"/>
      <c r="Y561" s="4"/>
      <c r="Z561" s="4"/>
      <c r="AA561" s="4"/>
      <c r="AB561" s="4"/>
      <c r="AC561" s="4"/>
      <c r="AD561" s="4"/>
      <c r="AE561" s="4"/>
      <c r="AF561" s="3"/>
    </row>
    <row r="562" spans="24:32" hidden="1" x14ac:dyDescent="0.2">
      <c r="X562" s="4"/>
      <c r="Y562" s="4"/>
      <c r="Z562" s="4"/>
      <c r="AA562" s="4"/>
      <c r="AB562" s="4"/>
      <c r="AC562" s="4"/>
      <c r="AD562" s="4"/>
      <c r="AE562" s="4"/>
      <c r="AF562" s="3"/>
    </row>
    <row r="563" spans="24:32" hidden="1" x14ac:dyDescent="0.2">
      <c r="X563" s="4"/>
      <c r="Y563" s="4"/>
      <c r="Z563" s="4"/>
      <c r="AA563" s="4"/>
      <c r="AB563" s="4"/>
      <c r="AC563" s="4"/>
      <c r="AD563" s="4"/>
      <c r="AE563" s="4"/>
      <c r="AF563" s="3"/>
    </row>
    <row r="564" spans="24:32" hidden="1" x14ac:dyDescent="0.2">
      <c r="X564" s="4"/>
      <c r="Y564" s="4"/>
      <c r="Z564" s="4"/>
      <c r="AA564" s="4"/>
      <c r="AB564" s="4"/>
      <c r="AC564" s="4"/>
      <c r="AD564" s="4"/>
      <c r="AE564" s="4"/>
      <c r="AF564" s="3"/>
    </row>
    <row r="565" spans="24:32" hidden="1" x14ac:dyDescent="0.2">
      <c r="X565" s="4"/>
      <c r="Y565" s="4"/>
      <c r="Z565" s="4"/>
      <c r="AA565" s="4"/>
      <c r="AB565" s="4"/>
      <c r="AC565" s="4"/>
      <c r="AD565" s="4"/>
      <c r="AE565" s="4"/>
      <c r="AF565" s="3"/>
    </row>
    <row r="566" spans="24:32" hidden="1" x14ac:dyDescent="0.2">
      <c r="X566" s="4"/>
      <c r="Y566" s="4"/>
      <c r="Z566" s="4"/>
      <c r="AA566" s="4"/>
      <c r="AB566" s="4"/>
      <c r="AC566" s="4"/>
      <c r="AD566" s="4"/>
      <c r="AE566" s="4"/>
      <c r="AF566" s="3"/>
    </row>
    <row r="567" spans="24:32" hidden="1" x14ac:dyDescent="0.2">
      <c r="X567" s="4"/>
      <c r="Y567" s="4"/>
      <c r="Z567" s="4"/>
      <c r="AA567" s="4"/>
      <c r="AB567" s="4"/>
      <c r="AC567" s="4"/>
      <c r="AD567" s="4"/>
      <c r="AE567" s="4"/>
      <c r="AF567" s="3"/>
    </row>
    <row r="568" spans="24:32" hidden="1" x14ac:dyDescent="0.2">
      <c r="X568" s="4"/>
      <c r="Y568" s="4"/>
      <c r="Z568" s="4"/>
      <c r="AA568" s="4"/>
      <c r="AB568" s="4"/>
      <c r="AC568" s="4"/>
      <c r="AD568" s="4"/>
      <c r="AE568" s="4"/>
      <c r="AF568" s="3"/>
    </row>
    <row r="569" spans="24:32" hidden="1" x14ac:dyDescent="0.2">
      <c r="X569" s="4"/>
      <c r="Y569" s="4"/>
      <c r="Z569" s="4"/>
      <c r="AA569" s="4"/>
      <c r="AB569" s="4"/>
      <c r="AC569" s="4"/>
      <c r="AD569" s="4"/>
      <c r="AE569" s="4"/>
      <c r="AF569" s="3"/>
    </row>
    <row r="570" spans="24:32" hidden="1" x14ac:dyDescent="0.2">
      <c r="X570" s="4"/>
      <c r="Y570" s="4"/>
      <c r="Z570" s="4"/>
      <c r="AA570" s="4"/>
      <c r="AB570" s="4"/>
      <c r="AC570" s="4"/>
      <c r="AD570" s="4"/>
      <c r="AE570" s="4"/>
      <c r="AF570" s="3"/>
    </row>
    <row r="571" spans="24:32" hidden="1" x14ac:dyDescent="0.2">
      <c r="X571" s="4"/>
      <c r="Y571" s="4"/>
      <c r="Z571" s="4"/>
      <c r="AA571" s="4"/>
      <c r="AB571" s="4"/>
      <c r="AC571" s="4"/>
      <c r="AD571" s="4"/>
      <c r="AE571" s="4"/>
      <c r="AF571" s="3"/>
    </row>
    <row r="572" spans="24:32" hidden="1" x14ac:dyDescent="0.2">
      <c r="X572" s="4"/>
      <c r="Y572" s="4"/>
      <c r="Z572" s="4"/>
      <c r="AA572" s="4"/>
      <c r="AB572" s="4"/>
      <c r="AC572" s="4"/>
      <c r="AD572" s="4"/>
      <c r="AE572" s="4"/>
      <c r="AF572" s="3"/>
    </row>
    <row r="573" spans="24:32" hidden="1" x14ac:dyDescent="0.2">
      <c r="X573" s="4"/>
      <c r="Y573" s="4"/>
      <c r="Z573" s="4"/>
      <c r="AA573" s="4"/>
      <c r="AB573" s="4"/>
      <c r="AC573" s="4"/>
      <c r="AD573" s="4"/>
      <c r="AE573" s="4"/>
      <c r="AF573" s="3"/>
    </row>
    <row r="574" spans="24:32" hidden="1" x14ac:dyDescent="0.2">
      <c r="X574" s="4"/>
      <c r="Y574" s="4"/>
      <c r="Z574" s="4"/>
      <c r="AA574" s="4"/>
      <c r="AB574" s="4"/>
      <c r="AC574" s="4"/>
      <c r="AD574" s="4"/>
      <c r="AE574" s="4"/>
      <c r="AF574" s="3"/>
    </row>
    <row r="575" spans="24:32" hidden="1" x14ac:dyDescent="0.2">
      <c r="X575" s="4"/>
      <c r="Y575" s="4"/>
      <c r="Z575" s="4"/>
      <c r="AA575" s="4"/>
      <c r="AB575" s="4"/>
      <c r="AC575" s="4"/>
      <c r="AD575" s="4"/>
      <c r="AE575" s="4"/>
      <c r="AF575" s="3"/>
    </row>
    <row r="576" spans="24:32" hidden="1" x14ac:dyDescent="0.2">
      <c r="X576" s="4"/>
      <c r="Y576" s="4"/>
      <c r="Z576" s="4"/>
      <c r="AA576" s="4"/>
      <c r="AB576" s="4"/>
      <c r="AC576" s="4"/>
      <c r="AD576" s="4"/>
      <c r="AE576" s="4"/>
      <c r="AF576" s="3"/>
    </row>
    <row r="577" spans="24:32" hidden="1" x14ac:dyDescent="0.2">
      <c r="X577" s="4"/>
      <c r="Y577" s="4"/>
      <c r="Z577" s="4"/>
      <c r="AA577" s="4"/>
      <c r="AB577" s="4"/>
      <c r="AC577" s="4"/>
      <c r="AD577" s="4"/>
      <c r="AE577" s="4"/>
      <c r="AF577" s="3"/>
    </row>
    <row r="578" spans="24:32" hidden="1" x14ac:dyDescent="0.2">
      <c r="X578" s="4"/>
      <c r="Y578" s="4"/>
      <c r="Z578" s="4"/>
      <c r="AA578" s="4"/>
      <c r="AB578" s="4"/>
      <c r="AC578" s="4"/>
      <c r="AD578" s="4"/>
      <c r="AE578" s="4"/>
      <c r="AF578" s="3"/>
    </row>
    <row r="579" spans="24:32" hidden="1" x14ac:dyDescent="0.2">
      <c r="X579" s="4"/>
      <c r="Y579" s="4"/>
      <c r="Z579" s="4"/>
      <c r="AA579" s="4"/>
      <c r="AB579" s="4"/>
      <c r="AC579" s="4"/>
      <c r="AD579" s="4"/>
      <c r="AE579" s="4"/>
      <c r="AF579" s="3"/>
    </row>
    <row r="580" spans="24:32" hidden="1" x14ac:dyDescent="0.2">
      <c r="X580" s="4"/>
      <c r="Y580" s="4"/>
      <c r="Z580" s="4"/>
      <c r="AA580" s="4"/>
      <c r="AB580" s="4"/>
      <c r="AC580" s="4"/>
      <c r="AD580" s="4"/>
      <c r="AE580" s="4"/>
      <c r="AF580" s="3"/>
    </row>
    <row r="581" spans="24:32" hidden="1" x14ac:dyDescent="0.2">
      <c r="X581" s="4"/>
      <c r="Y581" s="4"/>
      <c r="Z581" s="4"/>
      <c r="AA581" s="4"/>
      <c r="AB581" s="4"/>
      <c r="AC581" s="4"/>
      <c r="AD581" s="4"/>
      <c r="AE581" s="4"/>
      <c r="AF581" s="3"/>
    </row>
    <row r="582" spans="24:32" hidden="1" x14ac:dyDescent="0.2">
      <c r="X582" s="4"/>
      <c r="Y582" s="4"/>
      <c r="Z582" s="4"/>
      <c r="AA582" s="4"/>
      <c r="AB582" s="4"/>
      <c r="AC582" s="4"/>
      <c r="AD582" s="4"/>
      <c r="AE582" s="4"/>
      <c r="AF582" s="3"/>
    </row>
    <row r="583" spans="24:32" hidden="1" x14ac:dyDescent="0.2">
      <c r="X583" s="4"/>
      <c r="Y583" s="4"/>
      <c r="Z583" s="4"/>
      <c r="AA583" s="4"/>
      <c r="AB583" s="4"/>
      <c r="AC583" s="4"/>
      <c r="AD583" s="4"/>
      <c r="AE583" s="4"/>
      <c r="AF583" s="3"/>
    </row>
    <row r="584" spans="24:32" hidden="1" x14ac:dyDescent="0.2">
      <c r="X584" s="4"/>
      <c r="Y584" s="4"/>
      <c r="Z584" s="4"/>
      <c r="AA584" s="4"/>
      <c r="AB584" s="4"/>
      <c r="AC584" s="4"/>
      <c r="AD584" s="4"/>
      <c r="AE584" s="4"/>
      <c r="AF584" s="3"/>
    </row>
    <row r="585" spans="24:32" hidden="1" x14ac:dyDescent="0.2">
      <c r="X585" s="4"/>
      <c r="Y585" s="4"/>
      <c r="Z585" s="4"/>
      <c r="AA585" s="4"/>
      <c r="AB585" s="4"/>
      <c r="AC585" s="4"/>
      <c r="AD585" s="4"/>
      <c r="AE585" s="4"/>
      <c r="AF585" s="3"/>
    </row>
    <row r="586" spans="24:32" hidden="1" x14ac:dyDescent="0.2">
      <c r="X586" s="4"/>
      <c r="Y586" s="4"/>
      <c r="Z586" s="4"/>
      <c r="AA586" s="4"/>
      <c r="AB586" s="4"/>
      <c r="AC586" s="4"/>
      <c r="AD586" s="4"/>
      <c r="AE586" s="4"/>
      <c r="AF586" s="3"/>
    </row>
    <row r="587" spans="24:32" hidden="1" x14ac:dyDescent="0.2">
      <c r="X587" s="4"/>
      <c r="Y587" s="4"/>
      <c r="Z587" s="4"/>
      <c r="AA587" s="4"/>
      <c r="AB587" s="4"/>
      <c r="AC587" s="4"/>
      <c r="AD587" s="4"/>
      <c r="AE587" s="4"/>
      <c r="AF587" s="3"/>
    </row>
    <row r="588" spans="24:32" hidden="1" x14ac:dyDescent="0.2">
      <c r="X588" s="4"/>
      <c r="Y588" s="4"/>
      <c r="Z588" s="4"/>
      <c r="AA588" s="4"/>
      <c r="AB588" s="4"/>
      <c r="AC588" s="4"/>
      <c r="AD588" s="4"/>
      <c r="AE588" s="4"/>
      <c r="AF588" s="3"/>
    </row>
    <row r="589" spans="24:32" hidden="1" x14ac:dyDescent="0.2">
      <c r="X589" s="4"/>
      <c r="Y589" s="4"/>
      <c r="Z589" s="4"/>
      <c r="AA589" s="4"/>
      <c r="AB589" s="4"/>
      <c r="AC589" s="4"/>
      <c r="AD589" s="4"/>
      <c r="AE589" s="4"/>
      <c r="AF589" s="3"/>
    </row>
    <row r="590" spans="24:32" hidden="1" x14ac:dyDescent="0.2">
      <c r="X590" s="4"/>
      <c r="Y590" s="4"/>
      <c r="Z590" s="4"/>
      <c r="AA590" s="4"/>
      <c r="AB590" s="4"/>
      <c r="AC590" s="4"/>
      <c r="AD590" s="4"/>
      <c r="AE590" s="4"/>
      <c r="AF590" s="3"/>
    </row>
    <row r="591" spans="24:32" hidden="1" x14ac:dyDescent="0.2">
      <c r="X591" s="4"/>
      <c r="Y591" s="4"/>
      <c r="Z591" s="4"/>
      <c r="AA591" s="4"/>
      <c r="AB591" s="4"/>
      <c r="AC591" s="4"/>
      <c r="AD591" s="4"/>
      <c r="AE591" s="4"/>
      <c r="AF591" s="3"/>
    </row>
    <row r="592" spans="24:32" hidden="1" x14ac:dyDescent="0.2">
      <c r="X592" s="4"/>
      <c r="Y592" s="4"/>
      <c r="Z592" s="4"/>
      <c r="AA592" s="4"/>
      <c r="AB592" s="4"/>
      <c r="AC592" s="4"/>
      <c r="AD592" s="4"/>
      <c r="AE592" s="4"/>
      <c r="AF592" s="3"/>
    </row>
    <row r="593" spans="24:32" hidden="1" x14ac:dyDescent="0.2">
      <c r="X593" s="4"/>
      <c r="Y593" s="4"/>
      <c r="Z593" s="4"/>
      <c r="AA593" s="4"/>
      <c r="AB593" s="4"/>
      <c r="AC593" s="4"/>
      <c r="AD593" s="4"/>
      <c r="AE593" s="4"/>
      <c r="AF593" s="3"/>
    </row>
    <row r="594" spans="24:32" hidden="1" x14ac:dyDescent="0.2">
      <c r="X594" s="4"/>
      <c r="Y594" s="4"/>
      <c r="Z594" s="4"/>
      <c r="AA594" s="4"/>
      <c r="AB594" s="4"/>
      <c r="AC594" s="4"/>
      <c r="AD594" s="4"/>
      <c r="AE594" s="4"/>
      <c r="AF594" s="3"/>
    </row>
    <row r="595" spans="24:32" hidden="1" x14ac:dyDescent="0.2">
      <c r="X595" s="4"/>
      <c r="Y595" s="4"/>
      <c r="Z595" s="4"/>
      <c r="AA595" s="4"/>
      <c r="AB595" s="4"/>
      <c r="AC595" s="4"/>
      <c r="AD595" s="4"/>
      <c r="AE595" s="4"/>
      <c r="AF595" s="3"/>
    </row>
    <row r="596" spans="24:32" hidden="1" x14ac:dyDescent="0.2">
      <c r="X596" s="4"/>
      <c r="Y596" s="4"/>
      <c r="Z596" s="4"/>
      <c r="AA596" s="4"/>
      <c r="AB596" s="4"/>
      <c r="AC596" s="4"/>
      <c r="AD596" s="4"/>
      <c r="AE596" s="4"/>
      <c r="AF596" s="3"/>
    </row>
    <row r="597" spans="24:32" hidden="1" x14ac:dyDescent="0.2">
      <c r="X597" s="4"/>
      <c r="Y597" s="4"/>
      <c r="Z597" s="4"/>
      <c r="AA597" s="4"/>
      <c r="AB597" s="4"/>
      <c r="AC597" s="4"/>
      <c r="AD597" s="4"/>
      <c r="AE597" s="4"/>
      <c r="AF597" s="3"/>
    </row>
    <row r="598" spans="24:32" hidden="1" x14ac:dyDescent="0.2">
      <c r="X598" s="4"/>
      <c r="Y598" s="4"/>
      <c r="Z598" s="4"/>
      <c r="AA598" s="4"/>
      <c r="AB598" s="4"/>
      <c r="AC598" s="4"/>
      <c r="AD598" s="4"/>
      <c r="AE598" s="4"/>
      <c r="AF598" s="3"/>
    </row>
    <row r="599" spans="24:32" hidden="1" x14ac:dyDescent="0.2">
      <c r="X599" s="4"/>
      <c r="Y599" s="4"/>
      <c r="Z599" s="4"/>
      <c r="AA599" s="4"/>
      <c r="AB599" s="4"/>
      <c r="AC599" s="4"/>
      <c r="AD599" s="4"/>
      <c r="AE599" s="4"/>
      <c r="AF599" s="3"/>
    </row>
    <row r="600" spans="24:32" hidden="1" x14ac:dyDescent="0.2">
      <c r="X600" s="4"/>
      <c r="Y600" s="4"/>
      <c r="Z600" s="4"/>
      <c r="AA600" s="4"/>
      <c r="AB600" s="4"/>
      <c r="AC600" s="4"/>
      <c r="AD600" s="4"/>
      <c r="AE600" s="4"/>
      <c r="AF600" s="3"/>
    </row>
    <row r="601" spans="24:32" hidden="1" x14ac:dyDescent="0.2">
      <c r="X601" s="4"/>
      <c r="Y601" s="4"/>
      <c r="Z601" s="4"/>
      <c r="AA601" s="4"/>
      <c r="AB601" s="4"/>
      <c r="AC601" s="4"/>
      <c r="AD601" s="4"/>
      <c r="AE601" s="4"/>
      <c r="AF601" s="3"/>
    </row>
    <row r="602" spans="24:32" hidden="1" x14ac:dyDescent="0.2">
      <c r="X602" s="4"/>
      <c r="Y602" s="4"/>
      <c r="Z602" s="4"/>
      <c r="AA602" s="4"/>
      <c r="AB602" s="4"/>
      <c r="AC602" s="4"/>
      <c r="AD602" s="4"/>
      <c r="AE602" s="4"/>
      <c r="AF602" s="3"/>
    </row>
    <row r="603" spans="24:32" hidden="1" x14ac:dyDescent="0.2">
      <c r="X603" s="4"/>
      <c r="Y603" s="4"/>
      <c r="Z603" s="4"/>
      <c r="AA603" s="4"/>
      <c r="AB603" s="4"/>
      <c r="AC603" s="4"/>
      <c r="AD603" s="4"/>
      <c r="AE603" s="4"/>
      <c r="AF603" s="3"/>
    </row>
    <row r="604" spans="24:32" hidden="1" x14ac:dyDescent="0.2">
      <c r="X604" s="4"/>
      <c r="Y604" s="4"/>
      <c r="Z604" s="4"/>
      <c r="AA604" s="4"/>
      <c r="AB604" s="4"/>
      <c r="AC604" s="4"/>
      <c r="AD604" s="4"/>
      <c r="AE604" s="4"/>
      <c r="AF604" s="3"/>
    </row>
    <row r="605" spans="24:32" hidden="1" x14ac:dyDescent="0.2">
      <c r="X605" s="4"/>
      <c r="Y605" s="4"/>
      <c r="Z605" s="4"/>
      <c r="AA605" s="4"/>
      <c r="AB605" s="4"/>
      <c r="AC605" s="4"/>
      <c r="AD605" s="4"/>
      <c r="AE605" s="4"/>
      <c r="AF605" s="3"/>
    </row>
    <row r="606" spans="24:32" hidden="1" x14ac:dyDescent="0.2">
      <c r="X606" s="4"/>
      <c r="Y606" s="4"/>
      <c r="Z606" s="4"/>
      <c r="AA606" s="4"/>
      <c r="AB606" s="4"/>
      <c r="AC606" s="4"/>
      <c r="AD606" s="4"/>
      <c r="AE606" s="4"/>
      <c r="AF606" s="3"/>
    </row>
    <row r="607" spans="24:32" hidden="1" x14ac:dyDescent="0.2">
      <c r="X607" s="4"/>
      <c r="Y607" s="4"/>
      <c r="Z607" s="4"/>
      <c r="AA607" s="4"/>
      <c r="AB607" s="4"/>
      <c r="AC607" s="4"/>
      <c r="AD607" s="4"/>
      <c r="AE607" s="4"/>
      <c r="AF607" s="3"/>
    </row>
    <row r="608" spans="24:32" hidden="1" x14ac:dyDescent="0.2">
      <c r="X608" s="4"/>
      <c r="Y608" s="4"/>
      <c r="Z608" s="4"/>
      <c r="AA608" s="4"/>
      <c r="AB608" s="4"/>
      <c r="AC608" s="4"/>
      <c r="AD608" s="4"/>
      <c r="AE608" s="4"/>
      <c r="AF608" s="3"/>
    </row>
    <row r="609" spans="24:32" hidden="1" x14ac:dyDescent="0.2">
      <c r="X609" s="4"/>
      <c r="Y609" s="4"/>
      <c r="Z609" s="4"/>
      <c r="AA609" s="4"/>
      <c r="AB609" s="4"/>
      <c r="AC609" s="4"/>
      <c r="AD609" s="4"/>
      <c r="AE609" s="4"/>
      <c r="AF609" s="3"/>
    </row>
    <row r="610" spans="24:32" hidden="1" x14ac:dyDescent="0.2">
      <c r="X610" s="4"/>
      <c r="Y610" s="4"/>
      <c r="Z610" s="4"/>
      <c r="AA610" s="4"/>
      <c r="AB610" s="4"/>
      <c r="AC610" s="4"/>
      <c r="AD610" s="4"/>
      <c r="AE610" s="4"/>
      <c r="AF610" s="3"/>
    </row>
    <row r="611" spans="24:32" hidden="1" x14ac:dyDescent="0.2">
      <c r="X611" s="4"/>
      <c r="Y611" s="4"/>
      <c r="Z611" s="4"/>
      <c r="AA611" s="4"/>
      <c r="AB611" s="4"/>
      <c r="AC611" s="4"/>
      <c r="AD611" s="4"/>
      <c r="AE611" s="4"/>
      <c r="AF611" s="3"/>
    </row>
    <row r="612" spans="24:32" hidden="1" x14ac:dyDescent="0.2">
      <c r="X612" s="4"/>
      <c r="Y612" s="4"/>
      <c r="Z612" s="4"/>
      <c r="AA612" s="4"/>
      <c r="AB612" s="4"/>
      <c r="AC612" s="4"/>
      <c r="AD612" s="4"/>
      <c r="AE612" s="4"/>
      <c r="AF612" s="3"/>
    </row>
    <row r="613" spans="24:32" hidden="1" x14ac:dyDescent="0.2">
      <c r="X613" s="4"/>
      <c r="Y613" s="4"/>
      <c r="Z613" s="4"/>
      <c r="AA613" s="4"/>
      <c r="AB613" s="4"/>
      <c r="AC613" s="4"/>
      <c r="AD613" s="4"/>
      <c r="AE613" s="4"/>
      <c r="AF613" s="3"/>
    </row>
    <row r="614" spans="24:32" hidden="1" x14ac:dyDescent="0.2">
      <c r="X614" s="4"/>
      <c r="Y614" s="4"/>
      <c r="Z614" s="4"/>
      <c r="AA614" s="4"/>
      <c r="AB614" s="4"/>
      <c r="AC614" s="4"/>
      <c r="AD614" s="4"/>
      <c r="AE614" s="4"/>
      <c r="AF614" s="3"/>
    </row>
    <row r="615" spans="24:32" hidden="1" x14ac:dyDescent="0.2">
      <c r="X615" s="4"/>
      <c r="Y615" s="4"/>
      <c r="Z615" s="4"/>
      <c r="AA615" s="4"/>
      <c r="AB615" s="4"/>
      <c r="AC615" s="4"/>
      <c r="AD615" s="4"/>
      <c r="AE615" s="4"/>
      <c r="AF615" s="3"/>
    </row>
    <row r="616" spans="24:32" hidden="1" x14ac:dyDescent="0.2">
      <c r="X616" s="4"/>
      <c r="Y616" s="4"/>
      <c r="Z616" s="4"/>
      <c r="AA616" s="4"/>
      <c r="AB616" s="4"/>
      <c r="AC616" s="4"/>
      <c r="AD616" s="4"/>
      <c r="AE616" s="4"/>
      <c r="AF616" s="3"/>
    </row>
    <row r="617" spans="24:32" hidden="1" x14ac:dyDescent="0.2">
      <c r="X617" s="4"/>
      <c r="Y617" s="4"/>
      <c r="Z617" s="4"/>
      <c r="AA617" s="4"/>
      <c r="AB617" s="4"/>
      <c r="AC617" s="4"/>
      <c r="AD617" s="4"/>
      <c r="AE617" s="4"/>
      <c r="AF617" s="3"/>
    </row>
    <row r="618" spans="24:32" hidden="1" x14ac:dyDescent="0.2">
      <c r="X618" s="4"/>
      <c r="Y618" s="4"/>
      <c r="Z618" s="4"/>
      <c r="AA618" s="4"/>
      <c r="AB618" s="4"/>
      <c r="AC618" s="4"/>
      <c r="AD618" s="4"/>
      <c r="AE618" s="4"/>
      <c r="AF618" s="3"/>
    </row>
    <row r="619" spans="24:32" hidden="1" x14ac:dyDescent="0.2">
      <c r="X619" s="4"/>
      <c r="Y619" s="4"/>
      <c r="Z619" s="4"/>
      <c r="AA619" s="4"/>
      <c r="AB619" s="4"/>
      <c r="AC619" s="4"/>
      <c r="AD619" s="4"/>
      <c r="AE619" s="4"/>
      <c r="AF619" s="3"/>
    </row>
    <row r="620" spans="24:32" hidden="1" x14ac:dyDescent="0.2">
      <c r="X620" s="4"/>
      <c r="Y620" s="4"/>
      <c r="Z620" s="4"/>
      <c r="AA620" s="4"/>
      <c r="AB620" s="4"/>
      <c r="AC620" s="4"/>
      <c r="AD620" s="4"/>
      <c r="AE620" s="4"/>
      <c r="AF620" s="3"/>
    </row>
    <row r="621" spans="24:32" hidden="1" x14ac:dyDescent="0.2">
      <c r="X621" s="4"/>
      <c r="Y621" s="4"/>
      <c r="Z621" s="4"/>
      <c r="AA621" s="4"/>
      <c r="AB621" s="4"/>
      <c r="AC621" s="4"/>
      <c r="AD621" s="4"/>
      <c r="AE621" s="4"/>
      <c r="AF621" s="3"/>
    </row>
    <row r="622" spans="24:32" hidden="1" x14ac:dyDescent="0.2">
      <c r="X622" s="4"/>
      <c r="Y622" s="4"/>
      <c r="Z622" s="4"/>
      <c r="AA622" s="4"/>
      <c r="AB622" s="4"/>
      <c r="AC622" s="4"/>
      <c r="AD622" s="4"/>
      <c r="AE622" s="4"/>
      <c r="AF622" s="3"/>
    </row>
    <row r="623" spans="24:32" hidden="1" x14ac:dyDescent="0.2">
      <c r="X623" s="4"/>
      <c r="Y623" s="4"/>
      <c r="Z623" s="4"/>
      <c r="AA623" s="4"/>
      <c r="AB623" s="4"/>
      <c r="AC623" s="4"/>
      <c r="AD623" s="4"/>
      <c r="AE623" s="4"/>
      <c r="AF623" s="3"/>
    </row>
    <row r="624" spans="24:32" hidden="1" x14ac:dyDescent="0.2">
      <c r="X624" s="4"/>
      <c r="Y624" s="4"/>
      <c r="Z624" s="4"/>
      <c r="AA624" s="4"/>
      <c r="AB624" s="4"/>
      <c r="AC624" s="4"/>
      <c r="AD624" s="4"/>
      <c r="AE624" s="4"/>
      <c r="AF624" s="3"/>
    </row>
    <row r="625" spans="24:32" hidden="1" x14ac:dyDescent="0.2">
      <c r="X625" s="4"/>
      <c r="Y625" s="4"/>
      <c r="Z625" s="4"/>
      <c r="AA625" s="4"/>
      <c r="AB625" s="4"/>
      <c r="AC625" s="4"/>
      <c r="AD625" s="4"/>
      <c r="AE625" s="4"/>
      <c r="AF625" s="3"/>
    </row>
    <row r="626" spans="24:32" hidden="1" x14ac:dyDescent="0.2">
      <c r="X626" s="4"/>
      <c r="Y626" s="4"/>
      <c r="Z626" s="4"/>
      <c r="AA626" s="4"/>
      <c r="AB626" s="4"/>
      <c r="AC626" s="4"/>
      <c r="AD626" s="4"/>
      <c r="AE626" s="4"/>
      <c r="AF626" s="3"/>
    </row>
    <row r="627" spans="24:32" hidden="1" x14ac:dyDescent="0.2">
      <c r="X627" s="4"/>
      <c r="Y627" s="4"/>
      <c r="Z627" s="4"/>
      <c r="AA627" s="4"/>
      <c r="AB627" s="4"/>
      <c r="AC627" s="4"/>
      <c r="AD627" s="4"/>
      <c r="AE627" s="4"/>
      <c r="AF627" s="3"/>
    </row>
    <row r="628" spans="24:32" hidden="1" x14ac:dyDescent="0.2">
      <c r="X628" s="4"/>
      <c r="Y628" s="4"/>
      <c r="Z628" s="4"/>
      <c r="AA628" s="4"/>
      <c r="AB628" s="4"/>
      <c r="AC628" s="4"/>
      <c r="AD628" s="4"/>
      <c r="AE628" s="4"/>
      <c r="AF628" s="3"/>
    </row>
    <row r="629" spans="24:32" hidden="1" x14ac:dyDescent="0.2">
      <c r="X629" s="4"/>
      <c r="Y629" s="4"/>
      <c r="Z629" s="4"/>
      <c r="AA629" s="4"/>
      <c r="AB629" s="4"/>
      <c r="AC629" s="4"/>
      <c r="AD629" s="4"/>
      <c r="AE629" s="4"/>
      <c r="AF629" s="3"/>
    </row>
    <row r="630" spans="24:32" hidden="1" x14ac:dyDescent="0.2">
      <c r="X630" s="4"/>
      <c r="Y630" s="4"/>
      <c r="Z630" s="4"/>
      <c r="AA630" s="4"/>
      <c r="AB630" s="4"/>
      <c r="AC630" s="4"/>
      <c r="AD630" s="4"/>
      <c r="AE630" s="4"/>
      <c r="AF630" s="3"/>
    </row>
    <row r="631" spans="24:32" hidden="1" x14ac:dyDescent="0.2">
      <c r="X631" s="4"/>
      <c r="Y631" s="4"/>
      <c r="Z631" s="4"/>
      <c r="AA631" s="4"/>
      <c r="AB631" s="4"/>
      <c r="AC631" s="4"/>
      <c r="AD631" s="4"/>
      <c r="AE631" s="4"/>
      <c r="AF631" s="3"/>
    </row>
    <row r="632" spans="24:32" hidden="1" x14ac:dyDescent="0.2">
      <c r="X632" s="4"/>
      <c r="Y632" s="4"/>
      <c r="Z632" s="4"/>
      <c r="AA632" s="4"/>
      <c r="AB632" s="4"/>
      <c r="AC632" s="4"/>
      <c r="AD632" s="4"/>
      <c r="AE632" s="4"/>
      <c r="AF632" s="3"/>
    </row>
    <row r="633" spans="24:32" hidden="1" x14ac:dyDescent="0.2">
      <c r="X633" s="4"/>
      <c r="Y633" s="4"/>
      <c r="Z633" s="4"/>
      <c r="AA633" s="4"/>
      <c r="AB633" s="4"/>
      <c r="AC633" s="4"/>
      <c r="AD633" s="4"/>
      <c r="AE633" s="4"/>
      <c r="AF633" s="3"/>
    </row>
    <row r="634" spans="24:32" hidden="1" x14ac:dyDescent="0.2">
      <c r="X634" s="4"/>
      <c r="Y634" s="4"/>
      <c r="Z634" s="4"/>
      <c r="AA634" s="4"/>
      <c r="AB634" s="4"/>
      <c r="AC634" s="4"/>
      <c r="AD634" s="4"/>
      <c r="AE634" s="4"/>
      <c r="AF634" s="3"/>
    </row>
    <row r="635" spans="24:32" hidden="1" x14ac:dyDescent="0.2">
      <c r="X635" s="4"/>
      <c r="Y635" s="4"/>
      <c r="Z635" s="4"/>
      <c r="AA635" s="4"/>
      <c r="AB635" s="4"/>
      <c r="AC635" s="4"/>
      <c r="AD635" s="4"/>
      <c r="AE635" s="4"/>
      <c r="AF635" s="3"/>
    </row>
    <row r="636" spans="24:32" hidden="1" x14ac:dyDescent="0.2">
      <c r="X636" s="4"/>
      <c r="Y636" s="4"/>
      <c r="Z636" s="4"/>
      <c r="AA636" s="4"/>
      <c r="AB636" s="4"/>
      <c r="AC636" s="4"/>
      <c r="AD636" s="4"/>
      <c r="AE636" s="4"/>
      <c r="AF636" s="3"/>
    </row>
    <row r="637" spans="24:32" hidden="1" x14ac:dyDescent="0.2">
      <c r="X637" s="4"/>
      <c r="Y637" s="4"/>
      <c r="Z637" s="4"/>
      <c r="AA637" s="4"/>
      <c r="AB637" s="4"/>
      <c r="AC637" s="4"/>
      <c r="AD637" s="4"/>
      <c r="AE637" s="4"/>
      <c r="AF637" s="3"/>
    </row>
    <row r="638" spans="24:32" hidden="1" x14ac:dyDescent="0.2">
      <c r="X638" s="4"/>
      <c r="Y638" s="4"/>
      <c r="Z638" s="4"/>
      <c r="AA638" s="4"/>
      <c r="AB638" s="4"/>
      <c r="AC638" s="4"/>
      <c r="AD638" s="4"/>
      <c r="AE638" s="4"/>
      <c r="AF638" s="3"/>
    </row>
    <row r="639" spans="24:32" hidden="1" x14ac:dyDescent="0.2">
      <c r="X639" s="4"/>
      <c r="Y639" s="4"/>
      <c r="Z639" s="4"/>
      <c r="AA639" s="4"/>
      <c r="AB639" s="4"/>
      <c r="AC639" s="4"/>
      <c r="AD639" s="4"/>
      <c r="AE639" s="4"/>
      <c r="AF639" s="3"/>
    </row>
    <row r="640" spans="24:32" hidden="1" x14ac:dyDescent="0.2">
      <c r="X640" s="4"/>
      <c r="Y640" s="4"/>
      <c r="Z640" s="4"/>
      <c r="AA640" s="4"/>
      <c r="AB640" s="4"/>
      <c r="AC640" s="4"/>
      <c r="AD640" s="4"/>
      <c r="AE640" s="4"/>
      <c r="AF640" s="3"/>
    </row>
    <row r="641" spans="24:32" hidden="1" x14ac:dyDescent="0.2">
      <c r="X641" s="4"/>
      <c r="Y641" s="4"/>
      <c r="Z641" s="4"/>
      <c r="AA641" s="4"/>
      <c r="AB641" s="4"/>
      <c r="AC641" s="4"/>
      <c r="AD641" s="4"/>
      <c r="AE641" s="4"/>
      <c r="AF641" s="3"/>
    </row>
    <row r="642" spans="24:32" hidden="1" x14ac:dyDescent="0.2">
      <c r="X642" s="4"/>
      <c r="Y642" s="4"/>
      <c r="Z642" s="4"/>
      <c r="AA642" s="4"/>
      <c r="AB642" s="4"/>
      <c r="AC642" s="4"/>
      <c r="AD642" s="4"/>
      <c r="AE642" s="4"/>
      <c r="AF642" s="3"/>
    </row>
    <row r="643" spans="24:32" hidden="1" x14ac:dyDescent="0.2">
      <c r="X643" s="4"/>
      <c r="Y643" s="4"/>
      <c r="Z643" s="4"/>
      <c r="AA643" s="4"/>
      <c r="AB643" s="4"/>
      <c r="AC643" s="4"/>
      <c r="AD643" s="4"/>
      <c r="AE643" s="4"/>
      <c r="AF643" s="3"/>
    </row>
    <row r="644" spans="24:32" hidden="1" x14ac:dyDescent="0.2">
      <c r="X644" s="4"/>
      <c r="Y644" s="4"/>
      <c r="Z644" s="4"/>
      <c r="AA644" s="4"/>
      <c r="AB644" s="4"/>
      <c r="AC644" s="4"/>
      <c r="AD644" s="4"/>
      <c r="AE644" s="4"/>
      <c r="AF644" s="3"/>
    </row>
    <row r="645" spans="24:32" hidden="1" x14ac:dyDescent="0.2">
      <c r="X645" s="4"/>
      <c r="Y645" s="4"/>
      <c r="Z645" s="4"/>
      <c r="AA645" s="4"/>
      <c r="AB645" s="4"/>
      <c r="AC645" s="4"/>
      <c r="AD645" s="4"/>
      <c r="AE645" s="4"/>
      <c r="AF645" s="3"/>
    </row>
    <row r="646" spans="24:32" hidden="1" x14ac:dyDescent="0.2">
      <c r="X646" s="4"/>
      <c r="Y646" s="4"/>
      <c r="Z646" s="4"/>
      <c r="AA646" s="4"/>
      <c r="AB646" s="4"/>
      <c r="AC646" s="4"/>
      <c r="AD646" s="4"/>
      <c r="AE646" s="4"/>
      <c r="AF646" s="3"/>
    </row>
    <row r="647" spans="24:32" hidden="1" x14ac:dyDescent="0.2">
      <c r="X647" s="4"/>
      <c r="Y647" s="4"/>
      <c r="Z647" s="4"/>
      <c r="AA647" s="4"/>
      <c r="AB647" s="4"/>
      <c r="AC647" s="4"/>
      <c r="AD647" s="4"/>
      <c r="AE647" s="4"/>
      <c r="AF647" s="3"/>
    </row>
    <row r="648" spans="24:32" hidden="1" x14ac:dyDescent="0.2">
      <c r="X648" s="4"/>
      <c r="Y648" s="4"/>
      <c r="Z648" s="4"/>
      <c r="AA648" s="4"/>
      <c r="AB648" s="4"/>
      <c r="AC648" s="4"/>
      <c r="AD648" s="4"/>
      <c r="AE648" s="4"/>
      <c r="AF648" s="3"/>
    </row>
    <row r="649" spans="24:32" hidden="1" x14ac:dyDescent="0.2">
      <c r="X649" s="4"/>
      <c r="Y649" s="4"/>
      <c r="Z649" s="4"/>
      <c r="AA649" s="4"/>
      <c r="AB649" s="4"/>
      <c r="AC649" s="4"/>
      <c r="AD649" s="4"/>
      <c r="AE649" s="4"/>
      <c r="AF649" s="3"/>
    </row>
    <row r="650" spans="24:32" hidden="1" x14ac:dyDescent="0.2">
      <c r="X650" s="4"/>
      <c r="Y650" s="4"/>
      <c r="Z650" s="4"/>
      <c r="AA650" s="4"/>
      <c r="AB650" s="4"/>
      <c r="AC650" s="4"/>
      <c r="AD650" s="4"/>
      <c r="AE650" s="4"/>
      <c r="AF650" s="3"/>
    </row>
    <row r="651" spans="24:32" hidden="1" x14ac:dyDescent="0.2">
      <c r="X651" s="4"/>
      <c r="Y651" s="4"/>
      <c r="Z651" s="4"/>
      <c r="AA651" s="4"/>
      <c r="AB651" s="4"/>
      <c r="AC651" s="4"/>
      <c r="AD651" s="4"/>
      <c r="AE651" s="4"/>
      <c r="AF651" s="3"/>
    </row>
    <row r="652" spans="24:32" hidden="1" x14ac:dyDescent="0.2">
      <c r="X652" s="4"/>
      <c r="Y652" s="4"/>
      <c r="Z652" s="4"/>
      <c r="AA652" s="4"/>
      <c r="AB652" s="4"/>
      <c r="AC652" s="4"/>
      <c r="AD652" s="4"/>
      <c r="AE652" s="4"/>
      <c r="AF652" s="3"/>
    </row>
    <row r="653" spans="24:32" hidden="1" x14ac:dyDescent="0.2">
      <c r="X653" s="4"/>
      <c r="Y653" s="4"/>
      <c r="Z653" s="4"/>
      <c r="AA653" s="4"/>
      <c r="AB653" s="4"/>
      <c r="AC653" s="4"/>
      <c r="AD653" s="4"/>
      <c r="AE653" s="4"/>
      <c r="AF653" s="3"/>
    </row>
    <row r="654" spans="24:32" hidden="1" x14ac:dyDescent="0.2">
      <c r="X654" s="4"/>
      <c r="Y654" s="4"/>
      <c r="Z654" s="4"/>
      <c r="AA654" s="4"/>
      <c r="AB654" s="4"/>
      <c r="AC654" s="4"/>
      <c r="AD654" s="4"/>
      <c r="AE654" s="4"/>
      <c r="AF654" s="3"/>
    </row>
    <row r="655" spans="24:32" hidden="1" x14ac:dyDescent="0.2">
      <c r="X655" s="4"/>
      <c r="Y655" s="4"/>
      <c r="Z655" s="4"/>
      <c r="AA655" s="4"/>
      <c r="AB655" s="4"/>
      <c r="AC655" s="4"/>
      <c r="AD655" s="4"/>
      <c r="AE655" s="4"/>
      <c r="AF655" s="3"/>
    </row>
    <row r="656" spans="24:32" hidden="1" x14ac:dyDescent="0.2">
      <c r="X656" s="4"/>
      <c r="Y656" s="4"/>
      <c r="Z656" s="4"/>
      <c r="AA656" s="4"/>
      <c r="AB656" s="4"/>
      <c r="AC656" s="4"/>
      <c r="AD656" s="4"/>
      <c r="AE656" s="4"/>
      <c r="AF656" s="3"/>
    </row>
    <row r="657" spans="24:32" hidden="1" x14ac:dyDescent="0.2">
      <c r="X657" s="4"/>
      <c r="Y657" s="4"/>
      <c r="Z657" s="4"/>
      <c r="AA657" s="4"/>
      <c r="AB657" s="4"/>
      <c r="AC657" s="4"/>
      <c r="AD657" s="4"/>
      <c r="AE657" s="4"/>
      <c r="AF657" s="3"/>
    </row>
    <row r="658" spans="24:32" hidden="1" x14ac:dyDescent="0.2">
      <c r="X658" s="4"/>
      <c r="Y658" s="4"/>
      <c r="Z658" s="4"/>
      <c r="AA658" s="4"/>
      <c r="AB658" s="4"/>
      <c r="AC658" s="4"/>
      <c r="AD658" s="4"/>
      <c r="AE658" s="4"/>
      <c r="AF658" s="3"/>
    </row>
    <row r="659" spans="24:32" hidden="1" x14ac:dyDescent="0.2">
      <c r="X659" s="4"/>
      <c r="Y659" s="4"/>
      <c r="Z659" s="4"/>
      <c r="AA659" s="4"/>
      <c r="AB659" s="4"/>
      <c r="AC659" s="4"/>
      <c r="AD659" s="4"/>
      <c r="AE659" s="4"/>
      <c r="AF659" s="3"/>
    </row>
    <row r="660" spans="24:32" hidden="1" x14ac:dyDescent="0.2">
      <c r="X660" s="4"/>
      <c r="Y660" s="4"/>
      <c r="Z660" s="4"/>
      <c r="AA660" s="4"/>
      <c r="AB660" s="4"/>
      <c r="AC660" s="4"/>
      <c r="AD660" s="4"/>
      <c r="AE660" s="4"/>
      <c r="AF660" s="3"/>
    </row>
    <row r="661" spans="24:32" hidden="1" x14ac:dyDescent="0.2">
      <c r="X661" s="4"/>
      <c r="Y661" s="4"/>
      <c r="Z661" s="4"/>
      <c r="AA661" s="4"/>
      <c r="AB661" s="4"/>
      <c r="AC661" s="4"/>
      <c r="AD661" s="4"/>
      <c r="AE661" s="4"/>
      <c r="AF661" s="3"/>
    </row>
    <row r="662" spans="24:32" hidden="1" x14ac:dyDescent="0.2">
      <c r="X662" s="4"/>
      <c r="Y662" s="4"/>
      <c r="Z662" s="4"/>
      <c r="AA662" s="4"/>
      <c r="AB662" s="4"/>
      <c r="AC662" s="4"/>
      <c r="AD662" s="4"/>
      <c r="AE662" s="4"/>
      <c r="AF662" s="3"/>
    </row>
    <row r="663" spans="24:32" hidden="1" x14ac:dyDescent="0.2">
      <c r="X663" s="4"/>
      <c r="Y663" s="4"/>
      <c r="Z663" s="4"/>
      <c r="AA663" s="4"/>
      <c r="AB663" s="4"/>
      <c r="AC663" s="4"/>
      <c r="AD663" s="4"/>
      <c r="AE663" s="4"/>
      <c r="AF663" s="3"/>
    </row>
    <row r="664" spans="24:32" hidden="1" x14ac:dyDescent="0.2">
      <c r="X664" s="4"/>
      <c r="Y664" s="4"/>
      <c r="Z664" s="4"/>
      <c r="AA664" s="4"/>
      <c r="AB664" s="4"/>
      <c r="AC664" s="4"/>
      <c r="AD664" s="4"/>
      <c r="AE664" s="4"/>
      <c r="AF664" s="3"/>
    </row>
    <row r="665" spans="24:32" hidden="1" x14ac:dyDescent="0.2">
      <c r="X665" s="4"/>
      <c r="Y665" s="4"/>
      <c r="Z665" s="4"/>
      <c r="AA665" s="4"/>
      <c r="AB665" s="4"/>
      <c r="AC665" s="4"/>
      <c r="AD665" s="4"/>
      <c r="AE665" s="4"/>
      <c r="AF665" s="3"/>
    </row>
    <row r="666" spans="24:32" hidden="1" x14ac:dyDescent="0.2">
      <c r="X666" s="4"/>
      <c r="Y666" s="4"/>
      <c r="Z666" s="4"/>
      <c r="AA666" s="4"/>
      <c r="AB666" s="4"/>
      <c r="AC666" s="4"/>
      <c r="AD666" s="4"/>
      <c r="AE666" s="4"/>
      <c r="AF666" s="3"/>
    </row>
    <row r="667" spans="24:32" hidden="1" x14ac:dyDescent="0.2">
      <c r="X667" s="4"/>
      <c r="Y667" s="4"/>
      <c r="Z667" s="4"/>
      <c r="AA667" s="4"/>
      <c r="AB667" s="4"/>
      <c r="AC667" s="4"/>
      <c r="AD667" s="4"/>
      <c r="AE667" s="4"/>
      <c r="AF667" s="3"/>
    </row>
    <row r="668" spans="24:32" hidden="1" x14ac:dyDescent="0.2">
      <c r="X668" s="4"/>
      <c r="Y668" s="4"/>
      <c r="Z668" s="4"/>
      <c r="AA668" s="4"/>
      <c r="AB668" s="4"/>
      <c r="AC668" s="4"/>
      <c r="AD668" s="4"/>
      <c r="AE668" s="4"/>
      <c r="AF668" s="3"/>
    </row>
    <row r="669" spans="24:32" hidden="1" x14ac:dyDescent="0.2">
      <c r="X669" s="4"/>
      <c r="Y669" s="4"/>
      <c r="Z669" s="4"/>
      <c r="AA669" s="4"/>
      <c r="AB669" s="4"/>
      <c r="AC669" s="4"/>
      <c r="AD669" s="4"/>
      <c r="AE669" s="4"/>
      <c r="AF669" s="3"/>
    </row>
    <row r="670" spans="24:32" hidden="1" x14ac:dyDescent="0.2">
      <c r="X670" s="4"/>
      <c r="Y670" s="4"/>
      <c r="Z670" s="4"/>
      <c r="AA670" s="4"/>
      <c r="AB670" s="4"/>
      <c r="AC670" s="4"/>
      <c r="AD670" s="4"/>
      <c r="AE670" s="4"/>
      <c r="AF670" s="3"/>
    </row>
    <row r="671" spans="24:32" hidden="1" x14ac:dyDescent="0.2">
      <c r="X671" s="4"/>
      <c r="Y671" s="4"/>
      <c r="Z671" s="4"/>
      <c r="AA671" s="4"/>
      <c r="AB671" s="4"/>
      <c r="AC671" s="4"/>
      <c r="AD671" s="4"/>
      <c r="AE671" s="4"/>
      <c r="AF671" s="3"/>
    </row>
    <row r="672" spans="24:32" hidden="1" x14ac:dyDescent="0.2">
      <c r="X672" s="4"/>
      <c r="Y672" s="4"/>
      <c r="Z672" s="4"/>
      <c r="AA672" s="4"/>
      <c r="AB672" s="4"/>
      <c r="AC672" s="4"/>
      <c r="AD672" s="4"/>
      <c r="AE672" s="4"/>
      <c r="AF672" s="3"/>
    </row>
    <row r="673" spans="24:32" hidden="1" x14ac:dyDescent="0.2">
      <c r="X673" s="4"/>
      <c r="Y673" s="4"/>
      <c r="Z673" s="4"/>
      <c r="AA673" s="4"/>
      <c r="AB673" s="4"/>
      <c r="AC673" s="4"/>
      <c r="AD673" s="4"/>
      <c r="AE673" s="4"/>
      <c r="AF673" s="3"/>
    </row>
    <row r="674" spans="24:32" hidden="1" x14ac:dyDescent="0.2">
      <c r="X674" s="4"/>
      <c r="Y674" s="4"/>
      <c r="Z674" s="4"/>
      <c r="AA674" s="4"/>
      <c r="AB674" s="4"/>
      <c r="AC674" s="4"/>
      <c r="AD674" s="4"/>
      <c r="AE674" s="4"/>
      <c r="AF674" s="3"/>
    </row>
    <row r="675" spans="24:32" hidden="1" x14ac:dyDescent="0.2">
      <c r="X675" s="4"/>
      <c r="Y675" s="4"/>
      <c r="Z675" s="4"/>
      <c r="AA675" s="4"/>
      <c r="AB675" s="4"/>
      <c r="AC675" s="4"/>
      <c r="AD675" s="4"/>
      <c r="AE675" s="4"/>
      <c r="AF675" s="3"/>
    </row>
    <row r="676" spans="24:32" hidden="1" x14ac:dyDescent="0.2">
      <c r="X676" s="4"/>
      <c r="Y676" s="4"/>
      <c r="Z676" s="4"/>
      <c r="AA676" s="4"/>
      <c r="AB676" s="4"/>
      <c r="AC676" s="4"/>
      <c r="AD676" s="4"/>
      <c r="AE676" s="4"/>
      <c r="AF676" s="3"/>
    </row>
    <row r="677" spans="24:32" hidden="1" x14ac:dyDescent="0.2">
      <c r="X677" s="4"/>
      <c r="Y677" s="4"/>
      <c r="Z677" s="4"/>
      <c r="AA677" s="4"/>
      <c r="AB677" s="4"/>
      <c r="AC677" s="4"/>
      <c r="AD677" s="4"/>
      <c r="AE677" s="4"/>
      <c r="AF677" s="3"/>
    </row>
    <row r="678" spans="24:32" hidden="1" x14ac:dyDescent="0.2">
      <c r="X678" s="4"/>
      <c r="Y678" s="4"/>
      <c r="Z678" s="4"/>
      <c r="AA678" s="4"/>
      <c r="AB678" s="4"/>
      <c r="AC678" s="4"/>
      <c r="AD678" s="4"/>
      <c r="AE678" s="4"/>
      <c r="AF678" s="3"/>
    </row>
    <row r="679" spans="24:32" hidden="1" x14ac:dyDescent="0.2">
      <c r="X679" s="4"/>
      <c r="Y679" s="4"/>
      <c r="Z679" s="4"/>
      <c r="AA679" s="4"/>
      <c r="AB679" s="4"/>
      <c r="AC679" s="4"/>
      <c r="AD679" s="4"/>
      <c r="AE679" s="4"/>
      <c r="AF679" s="3"/>
    </row>
    <row r="680" spans="24:32" hidden="1" x14ac:dyDescent="0.2">
      <c r="X680" s="4"/>
      <c r="Y680" s="4"/>
      <c r="Z680" s="4"/>
      <c r="AA680" s="4"/>
      <c r="AB680" s="4"/>
      <c r="AC680" s="4"/>
      <c r="AD680" s="4"/>
      <c r="AE680" s="4"/>
      <c r="AF680" s="3"/>
    </row>
    <row r="681" spans="24:32" hidden="1" x14ac:dyDescent="0.2">
      <c r="X681" s="4"/>
      <c r="Y681" s="4"/>
      <c r="Z681" s="4"/>
      <c r="AA681" s="4"/>
      <c r="AB681" s="4"/>
      <c r="AC681" s="4"/>
      <c r="AD681" s="4"/>
      <c r="AE681" s="4"/>
      <c r="AF681" s="3"/>
    </row>
    <row r="682" spans="24:32" hidden="1" x14ac:dyDescent="0.2">
      <c r="X682" s="4"/>
      <c r="Y682" s="4"/>
      <c r="Z682" s="4"/>
      <c r="AA682" s="4"/>
      <c r="AB682" s="4"/>
      <c r="AC682" s="4"/>
      <c r="AD682" s="4"/>
      <c r="AE682" s="4"/>
      <c r="AF682" s="3"/>
    </row>
    <row r="683" spans="24:32" hidden="1" x14ac:dyDescent="0.2">
      <c r="X683" s="4"/>
      <c r="Y683" s="4"/>
      <c r="Z683" s="4"/>
      <c r="AA683" s="4"/>
      <c r="AB683" s="4"/>
      <c r="AC683" s="4"/>
      <c r="AD683" s="4"/>
      <c r="AE683" s="4"/>
      <c r="AF683" s="3"/>
    </row>
    <row r="684" spans="24:32" hidden="1" x14ac:dyDescent="0.2">
      <c r="X684" s="4"/>
      <c r="Y684" s="4"/>
      <c r="Z684" s="4"/>
      <c r="AA684" s="4"/>
      <c r="AB684" s="4"/>
      <c r="AC684" s="4"/>
      <c r="AD684" s="4"/>
      <c r="AE684" s="4"/>
      <c r="AF684" s="3"/>
    </row>
    <row r="685" spans="24:32" hidden="1" x14ac:dyDescent="0.2">
      <c r="X685" s="4"/>
      <c r="Y685" s="4"/>
      <c r="Z685" s="4"/>
      <c r="AA685" s="4"/>
      <c r="AB685" s="4"/>
      <c r="AC685" s="4"/>
      <c r="AD685" s="4"/>
      <c r="AE685" s="4"/>
      <c r="AF685" s="3"/>
    </row>
    <row r="686" spans="24:32" hidden="1" x14ac:dyDescent="0.2">
      <c r="X686" s="4"/>
      <c r="Y686" s="4"/>
      <c r="Z686" s="4"/>
      <c r="AA686" s="4"/>
      <c r="AB686" s="4"/>
      <c r="AC686" s="4"/>
      <c r="AD686" s="4"/>
      <c r="AE686" s="4"/>
      <c r="AF686" s="3"/>
    </row>
    <row r="687" spans="24:32" hidden="1" x14ac:dyDescent="0.2">
      <c r="X687" s="4"/>
      <c r="Y687" s="4"/>
      <c r="Z687" s="4"/>
      <c r="AA687" s="4"/>
      <c r="AB687" s="4"/>
      <c r="AC687" s="4"/>
      <c r="AD687" s="4"/>
      <c r="AE687" s="4"/>
      <c r="AF687" s="3"/>
    </row>
    <row r="688" spans="24:32" hidden="1" x14ac:dyDescent="0.2">
      <c r="X688" s="4"/>
      <c r="Y688" s="4"/>
      <c r="Z688" s="4"/>
      <c r="AA688" s="4"/>
      <c r="AB688" s="4"/>
      <c r="AC688" s="4"/>
      <c r="AD688" s="4"/>
      <c r="AE688" s="4"/>
      <c r="AF688" s="3"/>
    </row>
    <row r="689" spans="24:32" hidden="1" x14ac:dyDescent="0.2">
      <c r="X689" s="4"/>
      <c r="Y689" s="4"/>
      <c r="Z689" s="4"/>
      <c r="AA689" s="4"/>
      <c r="AB689" s="4"/>
      <c r="AC689" s="4"/>
      <c r="AD689" s="4"/>
      <c r="AE689" s="4"/>
      <c r="AF689" s="3"/>
    </row>
    <row r="690" spans="24:32" hidden="1" x14ac:dyDescent="0.2">
      <c r="X690" s="4"/>
      <c r="Y690" s="4"/>
      <c r="Z690" s="4"/>
      <c r="AA690" s="4"/>
      <c r="AB690" s="4"/>
      <c r="AC690" s="4"/>
      <c r="AD690" s="4"/>
      <c r="AE690" s="4"/>
      <c r="AF690" s="3"/>
    </row>
    <row r="691" spans="24:32" hidden="1" x14ac:dyDescent="0.2">
      <c r="X691" s="4"/>
      <c r="Y691" s="4"/>
      <c r="Z691" s="4"/>
      <c r="AA691" s="4"/>
      <c r="AB691" s="4"/>
      <c r="AC691" s="4"/>
      <c r="AD691" s="4"/>
      <c r="AE691" s="4"/>
      <c r="AF691" s="3"/>
    </row>
    <row r="692" spans="24:32" hidden="1" x14ac:dyDescent="0.2">
      <c r="X692" s="4"/>
      <c r="Y692" s="4"/>
      <c r="Z692" s="4"/>
      <c r="AA692" s="4"/>
      <c r="AB692" s="4"/>
      <c r="AC692" s="4"/>
      <c r="AD692" s="4"/>
      <c r="AE692" s="4"/>
      <c r="AF692" s="3"/>
    </row>
    <row r="693" spans="24:32" hidden="1" x14ac:dyDescent="0.2">
      <c r="X693" s="4"/>
      <c r="Y693" s="4"/>
      <c r="Z693" s="4"/>
      <c r="AA693" s="4"/>
      <c r="AB693" s="4"/>
      <c r="AC693" s="4"/>
      <c r="AD693" s="4"/>
      <c r="AE693" s="4"/>
      <c r="AF693" s="3"/>
    </row>
    <row r="694" spans="24:32" hidden="1" x14ac:dyDescent="0.2">
      <c r="X694" s="4"/>
      <c r="Y694" s="4"/>
      <c r="Z694" s="4"/>
      <c r="AA694" s="4"/>
      <c r="AB694" s="4"/>
      <c r="AC694" s="4"/>
      <c r="AD694" s="4"/>
      <c r="AE694" s="4"/>
      <c r="AF694" s="3"/>
    </row>
    <row r="695" spans="24:32" hidden="1" x14ac:dyDescent="0.2">
      <c r="X695" s="4"/>
      <c r="Y695" s="4"/>
      <c r="Z695" s="4"/>
      <c r="AA695" s="4"/>
      <c r="AB695" s="4"/>
      <c r="AC695" s="4"/>
      <c r="AD695" s="4"/>
      <c r="AE695" s="4"/>
      <c r="AF695" s="3"/>
    </row>
    <row r="696" spans="24:32" hidden="1" x14ac:dyDescent="0.2">
      <c r="X696" s="4"/>
      <c r="Y696" s="4"/>
      <c r="Z696" s="4"/>
      <c r="AA696" s="4"/>
      <c r="AB696" s="4"/>
      <c r="AC696" s="4"/>
      <c r="AD696" s="4"/>
      <c r="AE696" s="4"/>
      <c r="AF696" s="3"/>
    </row>
    <row r="697" spans="24:32" hidden="1" x14ac:dyDescent="0.2">
      <c r="X697" s="4"/>
      <c r="Y697" s="4"/>
      <c r="Z697" s="4"/>
      <c r="AA697" s="4"/>
      <c r="AB697" s="4"/>
      <c r="AC697" s="4"/>
      <c r="AD697" s="4"/>
      <c r="AE697" s="4"/>
      <c r="AF697" s="3"/>
    </row>
    <row r="698" spans="24:32" hidden="1" x14ac:dyDescent="0.2">
      <c r="X698" s="4"/>
      <c r="Y698" s="4"/>
      <c r="Z698" s="4"/>
      <c r="AA698" s="4"/>
      <c r="AB698" s="4"/>
      <c r="AC698" s="4"/>
      <c r="AD698" s="4"/>
      <c r="AE698" s="4"/>
      <c r="AF698" s="3"/>
    </row>
    <row r="699" spans="24:32" hidden="1" x14ac:dyDescent="0.2">
      <c r="X699" s="4"/>
      <c r="Y699" s="4"/>
      <c r="Z699" s="4"/>
      <c r="AA699" s="4"/>
      <c r="AB699" s="4"/>
      <c r="AC699" s="4"/>
      <c r="AD699" s="4"/>
      <c r="AE699" s="4"/>
      <c r="AF699" s="3"/>
    </row>
    <row r="700" spans="24:32" hidden="1" x14ac:dyDescent="0.2">
      <c r="X700" s="4"/>
      <c r="Y700" s="4"/>
      <c r="Z700" s="4"/>
      <c r="AA700" s="4"/>
      <c r="AB700" s="4"/>
      <c r="AC700" s="4"/>
      <c r="AD700" s="4"/>
      <c r="AE700" s="4"/>
      <c r="AF700" s="3"/>
    </row>
    <row r="701" spans="24:32" hidden="1" x14ac:dyDescent="0.2">
      <c r="X701" s="4"/>
      <c r="Y701" s="4"/>
      <c r="Z701" s="4"/>
      <c r="AA701" s="4"/>
      <c r="AB701" s="4"/>
      <c r="AC701" s="4"/>
      <c r="AD701" s="4"/>
      <c r="AE701" s="4"/>
      <c r="AF701" s="3"/>
    </row>
    <row r="702" spans="24:32" hidden="1" x14ac:dyDescent="0.2">
      <c r="X702" s="4"/>
      <c r="Y702" s="4"/>
      <c r="Z702" s="4"/>
      <c r="AA702" s="4"/>
      <c r="AB702" s="4"/>
      <c r="AC702" s="4"/>
      <c r="AD702" s="4"/>
      <c r="AE702" s="4"/>
      <c r="AF702" s="3"/>
    </row>
    <row r="703" spans="24:32" hidden="1" x14ac:dyDescent="0.2">
      <c r="X703" s="4"/>
      <c r="Y703" s="4"/>
      <c r="Z703" s="4"/>
      <c r="AA703" s="4"/>
      <c r="AB703" s="4"/>
      <c r="AC703" s="4"/>
      <c r="AD703" s="4"/>
      <c r="AE703" s="4"/>
      <c r="AF703" s="3"/>
    </row>
    <row r="704" spans="24:32" hidden="1" x14ac:dyDescent="0.2">
      <c r="X704" s="4"/>
      <c r="Y704" s="4"/>
      <c r="Z704" s="4"/>
      <c r="AA704" s="4"/>
      <c r="AB704" s="4"/>
      <c r="AC704" s="4"/>
      <c r="AD704" s="4"/>
      <c r="AE704" s="4"/>
      <c r="AF704" s="3"/>
    </row>
    <row r="705" spans="24:32" hidden="1" x14ac:dyDescent="0.2">
      <c r="X705" s="4"/>
      <c r="Y705" s="4"/>
      <c r="Z705" s="4"/>
      <c r="AA705" s="4"/>
      <c r="AB705" s="4"/>
      <c r="AC705" s="4"/>
      <c r="AD705" s="4"/>
      <c r="AE705" s="4"/>
      <c r="AF705" s="3"/>
    </row>
    <row r="706" spans="24:32" hidden="1" x14ac:dyDescent="0.2">
      <c r="X706" s="4"/>
      <c r="Y706" s="4"/>
      <c r="Z706" s="4"/>
      <c r="AA706" s="4"/>
      <c r="AB706" s="4"/>
      <c r="AC706" s="4"/>
      <c r="AD706" s="4"/>
      <c r="AE706" s="4"/>
      <c r="AF706" s="3"/>
    </row>
    <row r="707" spans="24:32" hidden="1" x14ac:dyDescent="0.2">
      <c r="X707" s="4"/>
      <c r="Y707" s="4"/>
      <c r="Z707" s="4"/>
      <c r="AA707" s="4"/>
      <c r="AB707" s="4"/>
      <c r="AC707" s="4"/>
      <c r="AD707" s="4"/>
      <c r="AE707" s="4"/>
      <c r="AF707" s="3"/>
    </row>
    <row r="708" spans="24:32" hidden="1" x14ac:dyDescent="0.2">
      <c r="X708" s="4"/>
      <c r="Y708" s="4"/>
      <c r="Z708" s="4"/>
      <c r="AA708" s="4"/>
      <c r="AB708" s="4"/>
      <c r="AC708" s="4"/>
      <c r="AD708" s="4"/>
      <c r="AE708" s="4"/>
      <c r="AF708" s="3"/>
    </row>
    <row r="709" spans="24:32" hidden="1" x14ac:dyDescent="0.2">
      <c r="X709" s="4"/>
      <c r="Y709" s="4"/>
      <c r="Z709" s="4"/>
      <c r="AA709" s="4"/>
      <c r="AB709" s="4"/>
      <c r="AC709" s="4"/>
      <c r="AD709" s="4"/>
      <c r="AE709" s="4"/>
      <c r="AF709" s="3"/>
    </row>
    <row r="710" spans="24:32" hidden="1" x14ac:dyDescent="0.2">
      <c r="X710" s="4"/>
      <c r="Y710" s="4"/>
      <c r="Z710" s="4"/>
      <c r="AA710" s="4"/>
      <c r="AB710" s="4"/>
      <c r="AC710" s="4"/>
      <c r="AD710" s="4"/>
      <c r="AE710" s="4"/>
      <c r="AF710" s="3"/>
    </row>
    <row r="711" spans="24:32" hidden="1" x14ac:dyDescent="0.2">
      <c r="X711" s="4"/>
      <c r="Y711" s="4"/>
      <c r="Z711" s="4"/>
      <c r="AA711" s="4"/>
      <c r="AB711" s="4"/>
      <c r="AC711" s="4"/>
      <c r="AD711" s="4"/>
      <c r="AE711" s="4"/>
      <c r="AF711" s="3"/>
    </row>
    <row r="712" spans="24:32" hidden="1" x14ac:dyDescent="0.2">
      <c r="X712" s="4"/>
      <c r="Y712" s="4"/>
      <c r="Z712" s="4"/>
      <c r="AA712" s="4"/>
      <c r="AB712" s="4"/>
      <c r="AC712" s="4"/>
      <c r="AD712" s="4"/>
      <c r="AE712" s="4"/>
      <c r="AF712" s="3"/>
    </row>
    <row r="713" spans="24:32" hidden="1" x14ac:dyDescent="0.2">
      <c r="X713" s="4"/>
      <c r="Y713" s="4"/>
      <c r="Z713" s="4"/>
      <c r="AA713" s="4"/>
      <c r="AB713" s="4"/>
      <c r="AC713" s="4"/>
      <c r="AD713" s="4"/>
      <c r="AE713" s="4"/>
      <c r="AF713" s="3"/>
    </row>
    <row r="714" spans="24:32" hidden="1" x14ac:dyDescent="0.2">
      <c r="X714" s="4"/>
      <c r="Y714" s="4"/>
      <c r="Z714" s="4"/>
      <c r="AA714" s="4"/>
      <c r="AB714" s="4"/>
      <c r="AC714" s="4"/>
      <c r="AD714" s="4"/>
      <c r="AE714" s="4"/>
      <c r="AF714" s="3"/>
    </row>
    <row r="715" spans="24:32" hidden="1" x14ac:dyDescent="0.2">
      <c r="X715" s="4"/>
      <c r="Y715" s="4"/>
      <c r="Z715" s="4"/>
      <c r="AA715" s="4"/>
      <c r="AB715" s="4"/>
      <c r="AC715" s="4"/>
      <c r="AD715" s="4"/>
      <c r="AE715" s="4"/>
      <c r="AF715" s="3"/>
    </row>
    <row r="716" spans="24:32" hidden="1" x14ac:dyDescent="0.2">
      <c r="X716" s="4"/>
      <c r="Y716" s="4"/>
      <c r="Z716" s="4"/>
      <c r="AA716" s="4"/>
      <c r="AB716" s="4"/>
      <c r="AC716" s="4"/>
      <c r="AD716" s="4"/>
      <c r="AE716" s="4"/>
      <c r="AF716" s="3"/>
    </row>
    <row r="717" spans="24:32" hidden="1" x14ac:dyDescent="0.2">
      <c r="X717" s="4"/>
      <c r="Y717" s="4"/>
      <c r="Z717" s="4"/>
      <c r="AA717" s="4"/>
      <c r="AB717" s="4"/>
      <c r="AC717" s="4"/>
      <c r="AD717" s="4"/>
      <c r="AE717" s="4"/>
      <c r="AF717" s="3"/>
    </row>
    <row r="718" spans="24:32" hidden="1" x14ac:dyDescent="0.2">
      <c r="X718" s="4"/>
      <c r="Y718" s="4"/>
      <c r="Z718" s="4"/>
      <c r="AA718" s="4"/>
      <c r="AB718" s="4"/>
      <c r="AC718" s="4"/>
      <c r="AD718" s="4"/>
      <c r="AE718" s="4"/>
      <c r="AF718" s="3"/>
    </row>
    <row r="719" spans="24:32" hidden="1" x14ac:dyDescent="0.2">
      <c r="X719" s="4"/>
      <c r="Y719" s="4"/>
      <c r="Z719" s="4"/>
      <c r="AA719" s="4"/>
      <c r="AB719" s="4"/>
      <c r="AC719" s="4"/>
      <c r="AD719" s="4"/>
      <c r="AE719" s="4"/>
      <c r="AF719" s="3"/>
    </row>
    <row r="720" spans="24:32" hidden="1" x14ac:dyDescent="0.2">
      <c r="X720" s="4"/>
      <c r="Y720" s="4"/>
      <c r="Z720" s="4"/>
      <c r="AA720" s="4"/>
      <c r="AB720" s="4"/>
      <c r="AC720" s="4"/>
      <c r="AD720" s="4"/>
      <c r="AE720" s="4"/>
      <c r="AF720" s="3"/>
    </row>
    <row r="721" spans="24:32" hidden="1" x14ac:dyDescent="0.2">
      <c r="X721" s="4"/>
      <c r="Y721" s="4"/>
      <c r="Z721" s="4"/>
      <c r="AA721" s="4"/>
      <c r="AB721" s="4"/>
      <c r="AC721" s="4"/>
      <c r="AD721" s="4"/>
      <c r="AE721" s="4"/>
      <c r="AF721" s="3"/>
    </row>
    <row r="722" spans="24:32" hidden="1" x14ac:dyDescent="0.2">
      <c r="X722" s="4"/>
      <c r="Y722" s="4"/>
      <c r="Z722" s="4"/>
      <c r="AA722" s="4"/>
      <c r="AB722" s="4"/>
      <c r="AC722" s="4"/>
      <c r="AD722" s="4"/>
      <c r="AE722" s="4"/>
      <c r="AF722" s="3"/>
    </row>
    <row r="723" spans="24:32" hidden="1" x14ac:dyDescent="0.2">
      <c r="X723" s="4"/>
      <c r="Y723" s="4"/>
      <c r="Z723" s="4"/>
      <c r="AA723" s="4"/>
      <c r="AB723" s="4"/>
      <c r="AC723" s="4"/>
      <c r="AD723" s="4"/>
      <c r="AE723" s="4"/>
      <c r="AF723" s="3"/>
    </row>
    <row r="724" spans="24:32" hidden="1" x14ac:dyDescent="0.2">
      <c r="X724" s="4"/>
      <c r="Y724" s="4"/>
      <c r="Z724" s="4"/>
      <c r="AA724" s="4"/>
      <c r="AB724" s="4"/>
      <c r="AC724" s="4"/>
      <c r="AD724" s="4"/>
      <c r="AE724" s="4"/>
      <c r="AF724" s="3"/>
    </row>
    <row r="725" spans="24:32" hidden="1" x14ac:dyDescent="0.2">
      <c r="X725" s="4"/>
      <c r="Y725" s="4"/>
      <c r="Z725" s="4"/>
      <c r="AA725" s="4"/>
      <c r="AB725" s="4"/>
      <c r="AC725" s="4"/>
      <c r="AD725" s="4"/>
      <c r="AE725" s="4"/>
      <c r="AF725" s="3"/>
    </row>
    <row r="726" spans="24:32" hidden="1" x14ac:dyDescent="0.2">
      <c r="X726" s="4"/>
      <c r="Y726" s="4"/>
      <c r="Z726" s="4"/>
      <c r="AA726" s="4"/>
      <c r="AB726" s="4"/>
      <c r="AC726" s="4"/>
      <c r="AD726" s="4"/>
      <c r="AE726" s="4"/>
      <c r="AF726" s="3"/>
    </row>
    <row r="727" spans="24:32" hidden="1" x14ac:dyDescent="0.2">
      <c r="X727" s="4"/>
      <c r="Y727" s="4"/>
      <c r="Z727" s="4"/>
      <c r="AA727" s="4"/>
      <c r="AB727" s="4"/>
      <c r="AC727" s="4"/>
      <c r="AD727" s="4"/>
      <c r="AE727" s="4"/>
      <c r="AF727" s="3"/>
    </row>
    <row r="728" spans="24:32" hidden="1" x14ac:dyDescent="0.2">
      <c r="X728" s="4"/>
      <c r="Y728" s="4"/>
      <c r="Z728" s="4"/>
      <c r="AA728" s="4"/>
      <c r="AB728" s="4"/>
      <c r="AC728" s="4"/>
      <c r="AD728" s="4"/>
      <c r="AE728" s="4"/>
      <c r="AF728" s="3"/>
    </row>
    <row r="729" spans="24:32" hidden="1" x14ac:dyDescent="0.2">
      <c r="X729" s="4"/>
      <c r="Y729" s="4"/>
      <c r="Z729" s="4"/>
      <c r="AA729" s="4"/>
      <c r="AB729" s="4"/>
      <c r="AC729" s="4"/>
      <c r="AD729" s="4"/>
      <c r="AE729" s="4"/>
      <c r="AF729" s="3"/>
    </row>
    <row r="730" spans="24:32" hidden="1" x14ac:dyDescent="0.2">
      <c r="X730" s="4"/>
      <c r="Y730" s="4"/>
      <c r="Z730" s="4"/>
      <c r="AA730" s="4"/>
      <c r="AB730" s="4"/>
      <c r="AC730" s="4"/>
      <c r="AD730" s="4"/>
      <c r="AE730" s="4"/>
      <c r="AF730" s="3"/>
    </row>
    <row r="731" spans="24:32" hidden="1" x14ac:dyDescent="0.2">
      <c r="X731" s="4"/>
      <c r="Y731" s="4"/>
      <c r="Z731" s="4"/>
      <c r="AA731" s="4"/>
      <c r="AB731" s="4"/>
      <c r="AC731" s="4"/>
      <c r="AD731" s="4"/>
      <c r="AE731" s="4"/>
      <c r="AF731" s="3"/>
    </row>
    <row r="732" spans="24:32" hidden="1" x14ac:dyDescent="0.2">
      <c r="X732" s="4"/>
      <c r="Y732" s="4"/>
      <c r="Z732" s="4"/>
      <c r="AA732" s="4"/>
      <c r="AB732" s="4"/>
      <c r="AC732" s="4"/>
      <c r="AD732" s="4"/>
      <c r="AE732" s="4"/>
      <c r="AF732" s="3"/>
    </row>
    <row r="733" spans="24:32" hidden="1" x14ac:dyDescent="0.2">
      <c r="X733" s="4"/>
      <c r="Y733" s="4"/>
      <c r="Z733" s="4"/>
      <c r="AA733" s="4"/>
      <c r="AB733" s="4"/>
      <c r="AC733" s="4"/>
      <c r="AD733" s="4"/>
      <c r="AE733" s="4"/>
      <c r="AF733" s="3"/>
    </row>
    <row r="734" spans="24:32" hidden="1" x14ac:dyDescent="0.2">
      <c r="X734" s="4"/>
      <c r="Y734" s="4"/>
      <c r="Z734" s="4"/>
      <c r="AA734" s="4"/>
      <c r="AB734" s="4"/>
      <c r="AC734" s="4"/>
      <c r="AD734" s="4"/>
      <c r="AE734" s="4"/>
      <c r="AF734" s="3"/>
    </row>
    <row r="735" spans="24:32" hidden="1" x14ac:dyDescent="0.2">
      <c r="X735" s="4"/>
      <c r="Y735" s="4"/>
      <c r="Z735" s="4"/>
      <c r="AA735" s="4"/>
      <c r="AB735" s="4"/>
      <c r="AC735" s="4"/>
      <c r="AD735" s="4"/>
      <c r="AE735" s="4"/>
      <c r="AF735" s="3"/>
    </row>
    <row r="736" spans="24:32" hidden="1" x14ac:dyDescent="0.2">
      <c r="X736" s="4"/>
      <c r="Y736" s="4"/>
      <c r="Z736" s="4"/>
      <c r="AA736" s="4"/>
      <c r="AB736" s="4"/>
      <c r="AC736" s="4"/>
      <c r="AD736" s="4"/>
      <c r="AE736" s="4"/>
      <c r="AF736" s="3"/>
    </row>
    <row r="737" spans="24:32" hidden="1" x14ac:dyDescent="0.2">
      <c r="X737" s="4"/>
      <c r="Y737" s="4"/>
      <c r="Z737" s="4"/>
      <c r="AA737" s="4"/>
      <c r="AB737" s="4"/>
      <c r="AC737" s="4"/>
      <c r="AD737" s="4"/>
      <c r="AE737" s="4"/>
      <c r="AF737" s="3"/>
    </row>
    <row r="738" spans="24:32" hidden="1" x14ac:dyDescent="0.2">
      <c r="X738" s="4"/>
      <c r="Y738" s="4"/>
      <c r="Z738" s="4"/>
      <c r="AA738" s="4"/>
      <c r="AB738" s="4"/>
      <c r="AC738" s="4"/>
      <c r="AD738" s="4"/>
      <c r="AE738" s="4"/>
      <c r="AF738" s="3"/>
    </row>
    <row r="739" spans="24:32" hidden="1" x14ac:dyDescent="0.2">
      <c r="X739" s="4"/>
      <c r="Y739" s="4"/>
      <c r="Z739" s="4"/>
      <c r="AA739" s="4"/>
      <c r="AB739" s="4"/>
      <c r="AC739" s="4"/>
      <c r="AD739" s="4"/>
      <c r="AE739" s="4"/>
      <c r="AF739" s="3"/>
    </row>
    <row r="740" spans="24:32" hidden="1" x14ac:dyDescent="0.2">
      <c r="X740" s="4"/>
      <c r="Y740" s="4"/>
      <c r="Z740" s="4"/>
      <c r="AA740" s="4"/>
      <c r="AB740" s="4"/>
      <c r="AC740" s="4"/>
      <c r="AD740" s="4"/>
      <c r="AE740" s="4"/>
      <c r="AF740" s="3"/>
    </row>
    <row r="741" spans="24:32" hidden="1" x14ac:dyDescent="0.2">
      <c r="X741" s="4"/>
      <c r="Y741" s="4"/>
      <c r="Z741" s="4"/>
      <c r="AA741" s="4"/>
      <c r="AB741" s="4"/>
      <c r="AC741" s="4"/>
      <c r="AD741" s="4"/>
      <c r="AE741" s="4"/>
      <c r="AF741" s="3"/>
    </row>
    <row r="742" spans="24:32" hidden="1" x14ac:dyDescent="0.2">
      <c r="X742" s="4"/>
      <c r="Y742" s="4"/>
      <c r="Z742" s="4"/>
      <c r="AA742" s="4"/>
      <c r="AB742" s="4"/>
      <c r="AC742" s="4"/>
      <c r="AD742" s="4"/>
      <c r="AE742" s="4"/>
      <c r="AF742" s="3"/>
    </row>
    <row r="743" spans="24:32" hidden="1" x14ac:dyDescent="0.2">
      <c r="X743" s="4"/>
      <c r="Y743" s="4"/>
      <c r="Z743" s="4"/>
      <c r="AA743" s="4"/>
      <c r="AB743" s="4"/>
      <c r="AC743" s="4"/>
      <c r="AD743" s="4"/>
      <c r="AE743" s="4"/>
      <c r="AF743" s="3"/>
    </row>
    <row r="744" spans="24:32" hidden="1" x14ac:dyDescent="0.2">
      <c r="X744" s="4"/>
      <c r="Y744" s="4"/>
      <c r="Z744" s="4"/>
      <c r="AA744" s="4"/>
      <c r="AB744" s="4"/>
      <c r="AC744" s="4"/>
      <c r="AD744" s="4"/>
      <c r="AE744" s="4"/>
      <c r="AF744" s="3"/>
    </row>
    <row r="745" spans="24:32" hidden="1" x14ac:dyDescent="0.2">
      <c r="X745" s="4"/>
      <c r="Y745" s="4"/>
      <c r="Z745" s="4"/>
      <c r="AA745" s="4"/>
      <c r="AB745" s="4"/>
      <c r="AC745" s="4"/>
      <c r="AD745" s="4"/>
      <c r="AE745" s="4"/>
      <c r="AF745" s="3"/>
    </row>
    <row r="746" spans="24:32" hidden="1" x14ac:dyDescent="0.2">
      <c r="X746" s="4"/>
      <c r="Y746" s="4"/>
      <c r="Z746" s="4"/>
      <c r="AA746" s="4"/>
      <c r="AB746" s="4"/>
      <c r="AC746" s="4"/>
      <c r="AD746" s="4"/>
      <c r="AE746" s="4"/>
      <c r="AF746" s="3"/>
    </row>
    <row r="747" spans="24:32" hidden="1" x14ac:dyDescent="0.2">
      <c r="X747" s="4"/>
      <c r="Y747" s="4"/>
      <c r="Z747" s="4"/>
      <c r="AA747" s="4"/>
      <c r="AB747" s="4"/>
      <c r="AC747" s="4"/>
      <c r="AD747" s="4"/>
      <c r="AE747" s="4"/>
      <c r="AF747" s="3"/>
    </row>
    <row r="748" spans="24:32" hidden="1" x14ac:dyDescent="0.2">
      <c r="X748" s="4"/>
      <c r="Y748" s="4"/>
      <c r="Z748" s="4"/>
      <c r="AA748" s="4"/>
      <c r="AB748" s="4"/>
      <c r="AC748" s="4"/>
      <c r="AD748" s="4"/>
      <c r="AE748" s="4"/>
      <c r="AF748" s="3"/>
    </row>
    <row r="749" spans="24:32" hidden="1" x14ac:dyDescent="0.2">
      <c r="X749" s="4"/>
      <c r="Y749" s="4"/>
      <c r="Z749" s="4"/>
      <c r="AA749" s="4"/>
      <c r="AB749" s="4"/>
      <c r="AC749" s="4"/>
      <c r="AD749" s="4"/>
      <c r="AE749" s="4"/>
      <c r="AF749" s="3"/>
    </row>
    <row r="750" spans="24:32" hidden="1" x14ac:dyDescent="0.2">
      <c r="X750" s="4"/>
      <c r="Y750" s="4"/>
      <c r="Z750" s="4"/>
      <c r="AA750" s="4"/>
      <c r="AB750" s="4"/>
      <c r="AC750" s="4"/>
      <c r="AD750" s="4"/>
      <c r="AE750" s="4"/>
      <c r="AF750" s="3"/>
    </row>
    <row r="751" spans="24:32" hidden="1" x14ac:dyDescent="0.2">
      <c r="X751" s="4"/>
      <c r="Y751" s="4"/>
      <c r="Z751" s="4"/>
      <c r="AA751" s="4"/>
      <c r="AB751" s="4"/>
      <c r="AC751" s="4"/>
      <c r="AD751" s="4"/>
      <c r="AE751" s="4"/>
      <c r="AF751" s="3"/>
    </row>
    <row r="752" spans="24:32" hidden="1" x14ac:dyDescent="0.2">
      <c r="X752" s="4"/>
      <c r="Y752" s="4"/>
      <c r="Z752" s="4"/>
      <c r="AA752" s="4"/>
      <c r="AB752" s="4"/>
      <c r="AC752" s="4"/>
      <c r="AD752" s="4"/>
      <c r="AE752" s="4"/>
      <c r="AF752" s="3"/>
    </row>
    <row r="753" spans="24:32" hidden="1" x14ac:dyDescent="0.2">
      <c r="X753" s="4"/>
      <c r="Y753" s="4"/>
      <c r="Z753" s="4"/>
      <c r="AA753" s="4"/>
      <c r="AB753" s="4"/>
      <c r="AC753" s="4"/>
      <c r="AD753" s="4"/>
      <c r="AE753" s="4"/>
      <c r="AF753" s="3"/>
    </row>
    <row r="754" spans="24:32" hidden="1" x14ac:dyDescent="0.2">
      <c r="X754" s="4"/>
      <c r="Y754" s="4"/>
      <c r="Z754" s="4"/>
      <c r="AA754" s="4"/>
      <c r="AB754" s="4"/>
      <c r="AC754" s="4"/>
      <c r="AD754" s="4"/>
      <c r="AE754" s="4"/>
      <c r="AF754" s="3"/>
    </row>
    <row r="755" spans="24:32" hidden="1" x14ac:dyDescent="0.2">
      <c r="X755" s="4"/>
      <c r="Y755" s="4"/>
      <c r="Z755" s="4"/>
      <c r="AA755" s="4"/>
      <c r="AB755" s="4"/>
      <c r="AC755" s="4"/>
      <c r="AD755" s="4"/>
      <c r="AE755" s="4"/>
      <c r="AF755" s="3"/>
    </row>
    <row r="756" spans="24:32" hidden="1" x14ac:dyDescent="0.2">
      <c r="X756" s="4"/>
      <c r="Y756" s="4"/>
      <c r="Z756" s="4"/>
      <c r="AA756" s="4"/>
      <c r="AB756" s="4"/>
      <c r="AC756" s="4"/>
      <c r="AD756" s="4"/>
      <c r="AE756" s="4"/>
      <c r="AF756" s="3"/>
    </row>
    <row r="757" spans="24:32" hidden="1" x14ac:dyDescent="0.2">
      <c r="X757" s="4"/>
      <c r="Y757" s="4"/>
      <c r="Z757" s="4"/>
      <c r="AA757" s="4"/>
      <c r="AB757" s="4"/>
      <c r="AC757" s="4"/>
      <c r="AD757" s="4"/>
      <c r="AE757" s="4"/>
      <c r="AF757" s="3"/>
    </row>
    <row r="758" spans="24:32" hidden="1" x14ac:dyDescent="0.2">
      <c r="X758" s="4"/>
      <c r="Y758" s="4"/>
      <c r="Z758" s="4"/>
      <c r="AA758" s="4"/>
      <c r="AB758" s="4"/>
      <c r="AC758" s="4"/>
      <c r="AD758" s="4"/>
      <c r="AE758" s="4"/>
      <c r="AF758" s="3"/>
    </row>
    <row r="759" spans="24:32" hidden="1" x14ac:dyDescent="0.2">
      <c r="X759" s="4"/>
      <c r="Y759" s="4"/>
      <c r="Z759" s="4"/>
      <c r="AA759" s="4"/>
      <c r="AB759" s="4"/>
      <c r="AC759" s="4"/>
      <c r="AD759" s="4"/>
      <c r="AE759" s="4"/>
      <c r="AF759" s="3"/>
    </row>
    <row r="760" spans="24:32" hidden="1" x14ac:dyDescent="0.2">
      <c r="X760" s="4"/>
      <c r="Y760" s="4"/>
      <c r="Z760" s="4"/>
      <c r="AA760" s="4"/>
      <c r="AB760" s="4"/>
      <c r="AC760" s="4"/>
      <c r="AD760" s="4"/>
      <c r="AE760" s="4"/>
      <c r="AF760" s="3"/>
    </row>
    <row r="761" spans="24:32" hidden="1" x14ac:dyDescent="0.2">
      <c r="X761" s="4"/>
      <c r="Y761" s="4"/>
      <c r="Z761" s="4"/>
      <c r="AA761" s="4"/>
      <c r="AB761" s="4"/>
      <c r="AC761" s="4"/>
      <c r="AD761" s="4"/>
      <c r="AE761" s="4"/>
      <c r="AF761" s="3"/>
    </row>
    <row r="762" spans="24:32" hidden="1" x14ac:dyDescent="0.2">
      <c r="X762" s="4"/>
      <c r="Y762" s="4"/>
      <c r="Z762" s="4"/>
      <c r="AA762" s="4"/>
      <c r="AB762" s="4"/>
      <c r="AC762" s="4"/>
      <c r="AD762" s="4"/>
      <c r="AE762" s="4"/>
      <c r="AF762" s="3"/>
    </row>
    <row r="763" spans="24:32" hidden="1" x14ac:dyDescent="0.2">
      <c r="X763" s="4"/>
      <c r="Y763" s="4"/>
      <c r="Z763" s="4"/>
      <c r="AA763" s="4"/>
      <c r="AB763" s="4"/>
      <c r="AC763" s="4"/>
      <c r="AD763" s="4"/>
      <c r="AE763" s="4"/>
      <c r="AF763" s="3"/>
    </row>
    <row r="764" spans="24:32" hidden="1" x14ac:dyDescent="0.2">
      <c r="X764" s="4"/>
      <c r="Y764" s="4"/>
      <c r="Z764" s="4"/>
      <c r="AA764" s="4"/>
      <c r="AB764" s="4"/>
      <c r="AC764" s="4"/>
      <c r="AD764" s="4"/>
      <c r="AE764" s="4"/>
      <c r="AF764" s="3"/>
    </row>
    <row r="765" spans="24:32" hidden="1" x14ac:dyDescent="0.2">
      <c r="X765" s="4"/>
      <c r="Y765" s="4"/>
      <c r="Z765" s="4"/>
      <c r="AA765" s="4"/>
      <c r="AB765" s="4"/>
      <c r="AC765" s="4"/>
      <c r="AD765" s="4"/>
      <c r="AE765" s="4"/>
      <c r="AF765" s="3"/>
    </row>
    <row r="766" spans="24:32" hidden="1" x14ac:dyDescent="0.2">
      <c r="X766" s="4"/>
      <c r="Y766" s="4"/>
      <c r="Z766" s="4"/>
      <c r="AA766" s="4"/>
      <c r="AB766" s="4"/>
      <c r="AC766" s="4"/>
      <c r="AD766" s="4"/>
      <c r="AE766" s="4"/>
      <c r="AF766" s="3"/>
    </row>
    <row r="767" spans="24:32" hidden="1" x14ac:dyDescent="0.2">
      <c r="X767" s="4"/>
      <c r="Y767" s="4"/>
      <c r="Z767" s="4"/>
      <c r="AA767" s="4"/>
      <c r="AB767" s="4"/>
      <c r="AC767" s="4"/>
      <c r="AD767" s="4"/>
      <c r="AE767" s="4"/>
      <c r="AF767" s="3"/>
    </row>
    <row r="768" spans="24:32" hidden="1" x14ac:dyDescent="0.2">
      <c r="X768" s="4"/>
      <c r="Y768" s="4"/>
      <c r="Z768" s="4"/>
      <c r="AA768" s="4"/>
      <c r="AB768" s="4"/>
      <c r="AC768" s="4"/>
      <c r="AD768" s="4"/>
      <c r="AE768" s="4"/>
      <c r="AF768" s="3"/>
    </row>
    <row r="769" spans="24:32" hidden="1" x14ac:dyDescent="0.2">
      <c r="X769" s="4"/>
      <c r="Y769" s="4"/>
      <c r="Z769" s="4"/>
      <c r="AA769" s="4"/>
      <c r="AB769" s="4"/>
      <c r="AC769" s="4"/>
      <c r="AD769" s="4"/>
      <c r="AE769" s="4"/>
      <c r="AF769" s="3"/>
    </row>
    <row r="770" spans="24:32" hidden="1" x14ac:dyDescent="0.2">
      <c r="X770" s="4"/>
      <c r="Y770" s="4"/>
      <c r="Z770" s="4"/>
      <c r="AA770" s="4"/>
      <c r="AB770" s="4"/>
      <c r="AC770" s="4"/>
      <c r="AD770" s="4"/>
      <c r="AE770" s="4"/>
      <c r="AF770" s="3"/>
    </row>
    <row r="771" spans="24:32" hidden="1" x14ac:dyDescent="0.2">
      <c r="X771" s="4"/>
      <c r="Y771" s="4"/>
      <c r="Z771" s="4"/>
      <c r="AA771" s="4"/>
      <c r="AB771" s="4"/>
      <c r="AC771" s="4"/>
      <c r="AD771" s="4"/>
      <c r="AE771" s="4"/>
      <c r="AF771" s="3"/>
    </row>
    <row r="772" spans="24:32" hidden="1" x14ac:dyDescent="0.2">
      <c r="X772" s="4"/>
      <c r="Y772" s="4"/>
      <c r="Z772" s="4"/>
      <c r="AA772" s="4"/>
      <c r="AB772" s="4"/>
      <c r="AC772" s="4"/>
      <c r="AD772" s="4"/>
      <c r="AE772" s="4"/>
      <c r="AF772" s="3"/>
    </row>
    <row r="773" spans="24:32" hidden="1" x14ac:dyDescent="0.2">
      <c r="X773" s="4"/>
      <c r="Y773" s="4"/>
      <c r="Z773" s="4"/>
      <c r="AA773" s="4"/>
      <c r="AB773" s="4"/>
      <c r="AC773" s="4"/>
      <c r="AD773" s="4"/>
      <c r="AE773" s="4"/>
      <c r="AF773" s="3"/>
    </row>
    <row r="774" spans="24:32" hidden="1" x14ac:dyDescent="0.2">
      <c r="X774" s="4"/>
      <c r="Y774" s="4"/>
      <c r="Z774" s="4"/>
      <c r="AA774" s="4"/>
      <c r="AB774" s="4"/>
      <c r="AC774" s="4"/>
      <c r="AD774" s="4"/>
      <c r="AE774" s="4"/>
      <c r="AF774" s="3"/>
    </row>
    <row r="775" spans="24:32" hidden="1" x14ac:dyDescent="0.2">
      <c r="X775" s="4"/>
      <c r="Y775" s="4"/>
      <c r="Z775" s="4"/>
      <c r="AA775" s="4"/>
      <c r="AB775" s="4"/>
      <c r="AC775" s="4"/>
      <c r="AD775" s="4"/>
      <c r="AE775" s="4"/>
      <c r="AF775" s="3"/>
    </row>
    <row r="776" spans="24:32" hidden="1" x14ac:dyDescent="0.2">
      <c r="X776" s="4"/>
      <c r="Y776" s="4"/>
      <c r="Z776" s="4"/>
      <c r="AA776" s="4"/>
      <c r="AB776" s="4"/>
      <c r="AC776" s="4"/>
      <c r="AD776" s="4"/>
      <c r="AE776" s="4"/>
      <c r="AF776" s="3"/>
    </row>
    <row r="777" spans="24:32" hidden="1" x14ac:dyDescent="0.2">
      <c r="X777" s="4"/>
      <c r="Y777" s="4"/>
      <c r="Z777" s="4"/>
      <c r="AA777" s="4"/>
      <c r="AB777" s="4"/>
      <c r="AC777" s="4"/>
      <c r="AD777" s="4"/>
      <c r="AE777" s="4"/>
      <c r="AF777" s="3"/>
    </row>
    <row r="778" spans="24:32" hidden="1" x14ac:dyDescent="0.2">
      <c r="X778" s="4"/>
      <c r="Y778" s="4"/>
      <c r="Z778" s="4"/>
      <c r="AA778" s="4"/>
      <c r="AB778" s="4"/>
      <c r="AC778" s="4"/>
      <c r="AD778" s="4"/>
      <c r="AE778" s="4"/>
      <c r="AF778" s="3"/>
    </row>
    <row r="779" spans="24:32" hidden="1" x14ac:dyDescent="0.2">
      <c r="X779" s="4"/>
      <c r="Y779" s="4"/>
      <c r="Z779" s="4"/>
      <c r="AA779" s="4"/>
      <c r="AB779" s="4"/>
      <c r="AC779" s="4"/>
      <c r="AD779" s="4"/>
      <c r="AE779" s="4"/>
      <c r="AF779" s="3"/>
    </row>
    <row r="780" spans="24:32" hidden="1" x14ac:dyDescent="0.2">
      <c r="X780" s="4"/>
      <c r="Y780" s="4"/>
      <c r="Z780" s="4"/>
      <c r="AA780" s="4"/>
      <c r="AB780" s="4"/>
      <c r="AC780" s="4"/>
      <c r="AD780" s="4"/>
      <c r="AE780" s="4"/>
      <c r="AF780" s="3"/>
    </row>
    <row r="781" spans="24:32" hidden="1" x14ac:dyDescent="0.2">
      <c r="X781" s="4"/>
      <c r="Y781" s="4"/>
      <c r="Z781" s="4"/>
      <c r="AA781" s="4"/>
      <c r="AB781" s="4"/>
      <c r="AC781" s="4"/>
      <c r="AD781" s="4"/>
      <c r="AE781" s="4"/>
      <c r="AF781" s="3"/>
    </row>
    <row r="782" spans="24:32" hidden="1" x14ac:dyDescent="0.2">
      <c r="X782" s="4"/>
      <c r="Y782" s="4"/>
      <c r="Z782" s="4"/>
      <c r="AA782" s="4"/>
      <c r="AB782" s="4"/>
      <c r="AC782" s="4"/>
      <c r="AD782" s="4"/>
      <c r="AE782" s="4"/>
      <c r="AF782" s="3"/>
    </row>
    <row r="783" spans="24:32" hidden="1" x14ac:dyDescent="0.2">
      <c r="X783" s="4"/>
      <c r="Y783" s="4"/>
      <c r="Z783" s="4"/>
      <c r="AA783" s="4"/>
      <c r="AB783" s="4"/>
      <c r="AC783" s="4"/>
      <c r="AD783" s="4"/>
      <c r="AE783" s="4"/>
      <c r="AF783" s="3"/>
    </row>
    <row r="784" spans="24:32" hidden="1" x14ac:dyDescent="0.2">
      <c r="X784" s="4"/>
      <c r="Y784" s="4"/>
      <c r="Z784" s="4"/>
      <c r="AA784" s="4"/>
      <c r="AB784" s="4"/>
      <c r="AC784" s="4"/>
      <c r="AD784" s="4"/>
      <c r="AE784" s="4"/>
      <c r="AF784" s="3"/>
    </row>
    <row r="785" spans="24:32" hidden="1" x14ac:dyDescent="0.2">
      <c r="X785" s="4"/>
      <c r="Y785" s="4"/>
      <c r="Z785" s="4"/>
      <c r="AA785" s="4"/>
      <c r="AB785" s="4"/>
      <c r="AC785" s="4"/>
      <c r="AD785" s="4"/>
      <c r="AE785" s="4"/>
      <c r="AF785" s="3"/>
    </row>
    <row r="786" spans="24:32" hidden="1" x14ac:dyDescent="0.2">
      <c r="X786" s="4"/>
      <c r="Y786" s="4"/>
      <c r="Z786" s="4"/>
      <c r="AA786" s="4"/>
      <c r="AB786" s="4"/>
      <c r="AC786" s="4"/>
      <c r="AD786" s="4"/>
      <c r="AE786" s="4"/>
      <c r="AF786" s="3"/>
    </row>
    <row r="787" spans="24:32" hidden="1" x14ac:dyDescent="0.2">
      <c r="X787" s="4"/>
      <c r="Y787" s="4"/>
      <c r="Z787" s="4"/>
      <c r="AA787" s="4"/>
      <c r="AB787" s="4"/>
      <c r="AC787" s="4"/>
      <c r="AD787" s="4"/>
      <c r="AE787" s="4"/>
      <c r="AF787" s="3"/>
    </row>
    <row r="788" spans="24:32" hidden="1" x14ac:dyDescent="0.2">
      <c r="X788" s="4"/>
      <c r="Y788" s="4"/>
      <c r="Z788" s="4"/>
      <c r="AA788" s="4"/>
      <c r="AB788" s="4"/>
      <c r="AC788" s="4"/>
      <c r="AD788" s="4"/>
      <c r="AE788" s="4"/>
      <c r="AF788" s="3"/>
    </row>
    <row r="789" spans="24:32" hidden="1" x14ac:dyDescent="0.2">
      <c r="X789" s="4"/>
      <c r="Y789" s="4"/>
      <c r="Z789" s="4"/>
      <c r="AA789" s="4"/>
      <c r="AB789" s="4"/>
      <c r="AC789" s="4"/>
      <c r="AD789" s="4"/>
      <c r="AE789" s="4"/>
      <c r="AF789" s="3"/>
    </row>
    <row r="790" spans="24:32" hidden="1" x14ac:dyDescent="0.2">
      <c r="X790" s="4"/>
      <c r="Y790" s="4"/>
      <c r="Z790" s="4"/>
      <c r="AA790" s="4"/>
      <c r="AB790" s="4"/>
      <c r="AC790" s="4"/>
      <c r="AD790" s="4"/>
      <c r="AE790" s="4"/>
      <c r="AF790" s="3"/>
    </row>
    <row r="791" spans="24:32" hidden="1" x14ac:dyDescent="0.2">
      <c r="X791" s="4"/>
      <c r="Y791" s="4"/>
      <c r="Z791" s="4"/>
      <c r="AA791" s="4"/>
      <c r="AB791" s="4"/>
      <c r="AC791" s="4"/>
      <c r="AD791" s="4"/>
      <c r="AE791" s="4"/>
      <c r="AF791" s="3"/>
    </row>
    <row r="792" spans="24:32" hidden="1" x14ac:dyDescent="0.2">
      <c r="X792" s="4"/>
      <c r="Y792" s="4"/>
      <c r="Z792" s="4"/>
      <c r="AA792" s="4"/>
      <c r="AB792" s="4"/>
      <c r="AC792" s="4"/>
      <c r="AD792" s="4"/>
      <c r="AE792" s="4"/>
      <c r="AF792" s="3"/>
    </row>
    <row r="793" spans="24:32" hidden="1" x14ac:dyDescent="0.2">
      <c r="X793" s="4"/>
      <c r="Y793" s="4"/>
      <c r="Z793" s="4"/>
      <c r="AA793" s="4"/>
      <c r="AB793" s="4"/>
      <c r="AC793" s="4"/>
      <c r="AD793" s="4"/>
      <c r="AE793" s="4"/>
      <c r="AF793" s="3"/>
    </row>
    <row r="794" spans="24:32" hidden="1" x14ac:dyDescent="0.2">
      <c r="X794" s="4"/>
      <c r="Y794" s="4"/>
      <c r="Z794" s="4"/>
      <c r="AA794" s="4"/>
      <c r="AB794" s="4"/>
      <c r="AC794" s="4"/>
      <c r="AD794" s="4"/>
      <c r="AE794" s="4"/>
      <c r="AF794" s="3"/>
    </row>
    <row r="795" spans="24:32" hidden="1" x14ac:dyDescent="0.2">
      <c r="X795" s="4"/>
      <c r="Y795" s="4"/>
      <c r="Z795" s="4"/>
      <c r="AA795" s="4"/>
      <c r="AB795" s="4"/>
      <c r="AC795" s="4"/>
      <c r="AD795" s="4"/>
      <c r="AE795" s="4"/>
      <c r="AF795" s="3"/>
    </row>
    <row r="796" spans="24:32" hidden="1" x14ac:dyDescent="0.2">
      <c r="X796" s="4"/>
      <c r="Y796" s="4"/>
      <c r="Z796" s="4"/>
      <c r="AA796" s="4"/>
      <c r="AB796" s="4"/>
      <c r="AC796" s="4"/>
      <c r="AD796" s="4"/>
      <c r="AE796" s="4"/>
      <c r="AF796" s="3"/>
    </row>
    <row r="797" spans="24:32" hidden="1" x14ac:dyDescent="0.2">
      <c r="X797" s="4"/>
      <c r="Y797" s="4"/>
      <c r="Z797" s="4"/>
      <c r="AA797" s="4"/>
      <c r="AB797" s="4"/>
      <c r="AC797" s="4"/>
      <c r="AD797" s="4"/>
      <c r="AE797" s="4"/>
      <c r="AF797" s="3"/>
    </row>
    <row r="798" spans="24:32" hidden="1" x14ac:dyDescent="0.2">
      <c r="X798" s="4"/>
      <c r="Y798" s="4"/>
      <c r="Z798" s="4"/>
      <c r="AA798" s="4"/>
      <c r="AB798" s="4"/>
      <c r="AC798" s="4"/>
      <c r="AD798" s="4"/>
      <c r="AE798" s="4"/>
      <c r="AF798" s="3"/>
    </row>
    <row r="799" spans="24:32" hidden="1" x14ac:dyDescent="0.2">
      <c r="X799" s="4"/>
      <c r="Y799" s="4"/>
      <c r="Z799" s="4"/>
      <c r="AA799" s="4"/>
      <c r="AB799" s="4"/>
      <c r="AC799" s="4"/>
      <c r="AD799" s="4"/>
      <c r="AE799" s="4"/>
      <c r="AF799" s="3"/>
    </row>
    <row r="800" spans="24:32" hidden="1" x14ac:dyDescent="0.2">
      <c r="X800" s="4"/>
      <c r="Y800" s="4"/>
      <c r="Z800" s="4"/>
      <c r="AA800" s="4"/>
      <c r="AB800" s="4"/>
      <c r="AC800" s="4"/>
      <c r="AD800" s="4"/>
      <c r="AE800" s="4"/>
      <c r="AF800" s="3"/>
    </row>
    <row r="801" spans="24:32" hidden="1" x14ac:dyDescent="0.2">
      <c r="X801" s="4"/>
      <c r="Y801" s="4"/>
      <c r="Z801" s="4"/>
      <c r="AA801" s="4"/>
      <c r="AB801" s="4"/>
      <c r="AC801" s="4"/>
      <c r="AD801" s="4"/>
      <c r="AE801" s="4"/>
      <c r="AF801" s="3"/>
    </row>
    <row r="802" spans="24:32" hidden="1" x14ac:dyDescent="0.2">
      <c r="X802" s="4"/>
      <c r="Y802" s="4"/>
      <c r="Z802" s="4"/>
      <c r="AA802" s="4"/>
      <c r="AB802" s="4"/>
      <c r="AC802" s="4"/>
      <c r="AD802" s="4"/>
      <c r="AE802" s="4"/>
      <c r="AF802" s="3"/>
    </row>
    <row r="803" spans="24:32" hidden="1" x14ac:dyDescent="0.2">
      <c r="X803" s="4"/>
      <c r="Y803" s="4"/>
      <c r="Z803" s="4"/>
      <c r="AA803" s="4"/>
      <c r="AB803" s="4"/>
      <c r="AC803" s="4"/>
      <c r="AD803" s="4"/>
      <c r="AE803" s="4"/>
      <c r="AF803" s="3"/>
    </row>
    <row r="804" spans="24:32" hidden="1" x14ac:dyDescent="0.2">
      <c r="X804" s="4"/>
      <c r="Y804" s="4"/>
      <c r="Z804" s="4"/>
      <c r="AA804" s="4"/>
      <c r="AB804" s="4"/>
      <c r="AC804" s="4"/>
      <c r="AD804" s="4"/>
      <c r="AE804" s="4"/>
      <c r="AF804" s="3"/>
    </row>
    <row r="805" spans="24:32" hidden="1" x14ac:dyDescent="0.2">
      <c r="X805" s="4"/>
      <c r="Y805" s="4"/>
      <c r="Z805" s="4"/>
      <c r="AA805" s="4"/>
      <c r="AB805" s="4"/>
      <c r="AC805" s="4"/>
      <c r="AD805" s="4"/>
      <c r="AE805" s="4"/>
      <c r="AF805" s="3"/>
    </row>
    <row r="806" spans="24:32" hidden="1" x14ac:dyDescent="0.2">
      <c r="X806" s="4"/>
      <c r="Y806" s="4"/>
      <c r="Z806" s="4"/>
      <c r="AA806" s="4"/>
      <c r="AB806" s="4"/>
      <c r="AC806" s="4"/>
      <c r="AD806" s="4"/>
      <c r="AE806" s="4"/>
      <c r="AF806" s="3"/>
    </row>
    <row r="807" spans="24:32" hidden="1" x14ac:dyDescent="0.2">
      <c r="X807" s="4"/>
      <c r="Y807" s="4"/>
      <c r="Z807" s="4"/>
      <c r="AA807" s="4"/>
      <c r="AB807" s="4"/>
      <c r="AC807" s="4"/>
      <c r="AD807" s="4"/>
      <c r="AE807" s="4"/>
      <c r="AF807" s="3"/>
    </row>
    <row r="808" spans="24:32" hidden="1" x14ac:dyDescent="0.2">
      <c r="X808" s="4"/>
      <c r="Y808" s="4"/>
      <c r="Z808" s="4"/>
      <c r="AA808" s="4"/>
      <c r="AB808" s="4"/>
      <c r="AC808" s="4"/>
      <c r="AD808" s="4"/>
      <c r="AE808" s="4"/>
      <c r="AF808" s="3"/>
    </row>
    <row r="809" spans="24:32" hidden="1" x14ac:dyDescent="0.2">
      <c r="X809" s="4"/>
      <c r="Y809" s="4"/>
      <c r="Z809" s="4"/>
      <c r="AA809" s="4"/>
      <c r="AB809" s="4"/>
      <c r="AC809" s="4"/>
      <c r="AD809" s="4"/>
      <c r="AE809" s="4"/>
      <c r="AF809" s="3"/>
    </row>
    <row r="810" spans="24:32" hidden="1" x14ac:dyDescent="0.2">
      <c r="X810" s="4"/>
      <c r="Y810" s="4"/>
      <c r="Z810" s="4"/>
      <c r="AA810" s="4"/>
      <c r="AB810" s="4"/>
      <c r="AC810" s="4"/>
      <c r="AD810" s="4"/>
      <c r="AE810" s="4"/>
      <c r="AF810" s="3"/>
    </row>
    <row r="811" spans="24:32" hidden="1" x14ac:dyDescent="0.2">
      <c r="X811" s="4"/>
      <c r="Y811" s="4"/>
      <c r="Z811" s="4"/>
      <c r="AA811" s="4"/>
      <c r="AB811" s="4"/>
      <c r="AC811" s="4"/>
      <c r="AD811" s="4"/>
      <c r="AE811" s="4"/>
      <c r="AF811" s="3"/>
    </row>
    <row r="812" spans="24:32" hidden="1" x14ac:dyDescent="0.2">
      <c r="X812" s="4"/>
      <c r="Y812" s="4"/>
      <c r="Z812" s="4"/>
      <c r="AA812" s="4"/>
      <c r="AB812" s="4"/>
      <c r="AC812" s="4"/>
      <c r="AD812" s="4"/>
      <c r="AE812" s="4"/>
      <c r="AF812" s="3"/>
    </row>
    <row r="813" spans="24:32" hidden="1" x14ac:dyDescent="0.2">
      <c r="X813" s="4"/>
      <c r="Y813" s="4"/>
      <c r="Z813" s="4"/>
      <c r="AA813" s="4"/>
      <c r="AB813" s="4"/>
      <c r="AC813" s="4"/>
      <c r="AD813" s="4"/>
      <c r="AE813" s="4"/>
      <c r="AF813" s="3"/>
    </row>
    <row r="814" spans="24:32" hidden="1" x14ac:dyDescent="0.2">
      <c r="X814" s="4"/>
      <c r="Y814" s="4"/>
      <c r="Z814" s="4"/>
      <c r="AA814" s="4"/>
      <c r="AB814" s="4"/>
      <c r="AC814" s="4"/>
      <c r="AD814" s="4"/>
      <c r="AE814" s="4"/>
      <c r="AF814" s="3"/>
    </row>
    <row r="815" spans="24:32" hidden="1" x14ac:dyDescent="0.2">
      <c r="X815" s="4"/>
      <c r="Y815" s="4"/>
      <c r="Z815" s="4"/>
      <c r="AA815" s="4"/>
      <c r="AB815" s="4"/>
      <c r="AC815" s="4"/>
      <c r="AD815" s="4"/>
      <c r="AE815" s="4"/>
      <c r="AF815" s="3"/>
    </row>
    <row r="816" spans="24:32" hidden="1" x14ac:dyDescent="0.2">
      <c r="X816" s="4"/>
      <c r="Y816" s="4"/>
      <c r="Z816" s="4"/>
      <c r="AA816" s="4"/>
      <c r="AB816" s="4"/>
      <c r="AC816" s="4"/>
      <c r="AD816" s="4"/>
      <c r="AE816" s="4"/>
      <c r="AF816" s="3"/>
    </row>
    <row r="817" spans="24:32" hidden="1" x14ac:dyDescent="0.2">
      <c r="X817" s="4"/>
      <c r="Y817" s="4"/>
      <c r="Z817" s="4"/>
      <c r="AA817" s="4"/>
      <c r="AB817" s="4"/>
      <c r="AC817" s="4"/>
      <c r="AD817" s="4"/>
      <c r="AE817" s="4"/>
      <c r="AF817" s="3"/>
    </row>
    <row r="818" spans="24:32" hidden="1" x14ac:dyDescent="0.2">
      <c r="X818" s="4"/>
      <c r="Y818" s="4"/>
      <c r="Z818" s="4"/>
      <c r="AA818" s="4"/>
      <c r="AB818" s="4"/>
      <c r="AC818" s="4"/>
      <c r="AD818" s="4"/>
      <c r="AE818" s="4"/>
      <c r="AF818" s="3"/>
    </row>
    <row r="819" spans="24:32" hidden="1" x14ac:dyDescent="0.2">
      <c r="X819" s="4"/>
      <c r="Y819" s="4"/>
      <c r="Z819" s="4"/>
      <c r="AA819" s="4"/>
      <c r="AB819" s="4"/>
      <c r="AC819" s="4"/>
      <c r="AD819" s="4"/>
      <c r="AE819" s="4"/>
      <c r="AF819" s="3"/>
    </row>
    <row r="820" spans="24:32" hidden="1" x14ac:dyDescent="0.2">
      <c r="X820" s="4"/>
      <c r="Y820" s="4"/>
      <c r="Z820" s="4"/>
      <c r="AA820" s="4"/>
      <c r="AB820" s="4"/>
      <c r="AC820" s="4"/>
      <c r="AD820" s="4"/>
      <c r="AE820" s="4"/>
      <c r="AF820" s="3"/>
    </row>
    <row r="821" spans="24:32" hidden="1" x14ac:dyDescent="0.2">
      <c r="X821" s="4"/>
      <c r="Y821" s="4"/>
      <c r="Z821" s="4"/>
      <c r="AA821" s="4"/>
      <c r="AB821" s="4"/>
      <c r="AC821" s="4"/>
      <c r="AD821" s="4"/>
      <c r="AE821" s="4"/>
      <c r="AF821" s="3"/>
    </row>
    <row r="822" spans="24:32" hidden="1" x14ac:dyDescent="0.2">
      <c r="X822" s="4"/>
      <c r="Y822" s="4"/>
      <c r="Z822" s="4"/>
      <c r="AA822" s="4"/>
      <c r="AB822" s="4"/>
      <c r="AC822" s="4"/>
      <c r="AD822" s="4"/>
      <c r="AE822" s="4"/>
      <c r="AF822" s="3"/>
    </row>
    <row r="823" spans="24:32" hidden="1" x14ac:dyDescent="0.2">
      <c r="X823" s="4"/>
      <c r="Y823" s="4"/>
      <c r="Z823" s="4"/>
      <c r="AA823" s="4"/>
      <c r="AB823" s="4"/>
      <c r="AC823" s="4"/>
      <c r="AD823" s="4"/>
      <c r="AE823" s="4"/>
      <c r="AF823" s="3"/>
    </row>
    <row r="824" spans="24:32" hidden="1" x14ac:dyDescent="0.2">
      <c r="X824" s="4"/>
      <c r="Y824" s="4"/>
      <c r="Z824" s="4"/>
      <c r="AA824" s="4"/>
      <c r="AB824" s="4"/>
      <c r="AC824" s="4"/>
      <c r="AD824" s="4"/>
      <c r="AE824" s="4"/>
      <c r="AF824" s="3"/>
    </row>
    <row r="825" spans="24:32" hidden="1" x14ac:dyDescent="0.2">
      <c r="X825" s="4"/>
      <c r="Y825" s="4"/>
      <c r="Z825" s="4"/>
      <c r="AA825" s="4"/>
      <c r="AB825" s="4"/>
      <c r="AC825" s="4"/>
      <c r="AD825" s="4"/>
      <c r="AE825" s="4"/>
      <c r="AF825" s="3"/>
    </row>
    <row r="826" spans="24:32" hidden="1" x14ac:dyDescent="0.2">
      <c r="X826" s="4"/>
      <c r="Y826" s="4"/>
      <c r="Z826" s="4"/>
      <c r="AA826" s="4"/>
      <c r="AB826" s="4"/>
      <c r="AC826" s="4"/>
      <c r="AD826" s="4"/>
      <c r="AE826" s="4"/>
      <c r="AF826" s="3"/>
    </row>
    <row r="827" spans="24:32" hidden="1" x14ac:dyDescent="0.2">
      <c r="X827" s="4"/>
      <c r="Y827" s="4"/>
      <c r="Z827" s="4"/>
      <c r="AA827" s="4"/>
      <c r="AB827" s="4"/>
      <c r="AC827" s="4"/>
      <c r="AD827" s="4"/>
      <c r="AE827" s="4"/>
      <c r="AF827" s="3"/>
    </row>
    <row r="828" spans="24:32" hidden="1" x14ac:dyDescent="0.2">
      <c r="X828" s="4"/>
      <c r="Y828" s="4"/>
      <c r="Z828" s="4"/>
      <c r="AA828" s="4"/>
      <c r="AB828" s="4"/>
      <c r="AC828" s="4"/>
      <c r="AD828" s="4"/>
      <c r="AE828" s="4"/>
      <c r="AF828" s="3"/>
    </row>
    <row r="829" spans="24:32" hidden="1" x14ac:dyDescent="0.2">
      <c r="X829" s="4"/>
      <c r="Y829" s="4"/>
      <c r="Z829" s="4"/>
      <c r="AA829" s="4"/>
      <c r="AB829" s="4"/>
      <c r="AC829" s="4"/>
      <c r="AD829" s="4"/>
      <c r="AE829" s="4"/>
      <c r="AF829" s="3"/>
    </row>
    <row r="830" spans="24:32" hidden="1" x14ac:dyDescent="0.2">
      <c r="X830" s="4"/>
      <c r="Y830" s="4"/>
      <c r="Z830" s="4"/>
      <c r="AA830" s="4"/>
      <c r="AB830" s="4"/>
      <c r="AC830" s="4"/>
      <c r="AD830" s="4"/>
      <c r="AE830" s="4"/>
      <c r="AF830" s="3"/>
    </row>
    <row r="831" spans="24:32" hidden="1" x14ac:dyDescent="0.2">
      <c r="X831" s="4"/>
      <c r="Y831" s="4"/>
      <c r="Z831" s="4"/>
      <c r="AA831" s="4"/>
      <c r="AB831" s="4"/>
      <c r="AC831" s="4"/>
      <c r="AD831" s="4"/>
      <c r="AE831" s="4"/>
      <c r="AF831" s="3"/>
    </row>
    <row r="832" spans="24:32" hidden="1" x14ac:dyDescent="0.2">
      <c r="X832" s="4"/>
      <c r="Y832" s="4"/>
      <c r="Z832" s="4"/>
      <c r="AA832" s="4"/>
      <c r="AB832" s="4"/>
      <c r="AC832" s="4"/>
      <c r="AD832" s="4"/>
      <c r="AE832" s="4"/>
      <c r="AF832" s="3"/>
    </row>
    <row r="833" spans="24:32" hidden="1" x14ac:dyDescent="0.2">
      <c r="X833" s="4"/>
      <c r="Y833" s="4"/>
      <c r="Z833" s="4"/>
      <c r="AA833" s="4"/>
      <c r="AB833" s="4"/>
      <c r="AC833" s="4"/>
      <c r="AD833" s="4"/>
      <c r="AE833" s="4"/>
      <c r="AF833" s="3"/>
    </row>
    <row r="834" spans="24:32" hidden="1" x14ac:dyDescent="0.2">
      <c r="X834" s="4"/>
      <c r="Y834" s="4"/>
      <c r="Z834" s="4"/>
      <c r="AA834" s="4"/>
      <c r="AB834" s="4"/>
      <c r="AC834" s="4"/>
      <c r="AD834" s="4"/>
      <c r="AE834" s="4"/>
      <c r="AF834" s="3"/>
    </row>
    <row r="835" spans="24:32" hidden="1" x14ac:dyDescent="0.2">
      <c r="X835" s="4"/>
      <c r="Y835" s="4"/>
      <c r="Z835" s="4"/>
      <c r="AA835" s="4"/>
      <c r="AB835" s="4"/>
      <c r="AC835" s="4"/>
      <c r="AD835" s="4"/>
      <c r="AE835" s="4"/>
      <c r="AF835" s="3"/>
    </row>
    <row r="836" spans="24:32" hidden="1" x14ac:dyDescent="0.2">
      <c r="X836" s="4"/>
      <c r="Y836" s="4"/>
      <c r="Z836" s="4"/>
      <c r="AA836" s="4"/>
      <c r="AB836" s="4"/>
      <c r="AC836" s="4"/>
      <c r="AD836" s="4"/>
      <c r="AE836" s="4"/>
      <c r="AF836" s="3"/>
    </row>
    <row r="837" spans="24:32" hidden="1" x14ac:dyDescent="0.2">
      <c r="X837" s="4"/>
      <c r="Y837" s="4"/>
      <c r="Z837" s="4"/>
      <c r="AA837" s="4"/>
      <c r="AB837" s="4"/>
      <c r="AC837" s="4"/>
      <c r="AD837" s="4"/>
      <c r="AE837" s="4"/>
      <c r="AF837" s="3"/>
    </row>
    <row r="838" spans="24:32" hidden="1" x14ac:dyDescent="0.2">
      <c r="X838" s="4"/>
      <c r="Y838" s="4"/>
      <c r="Z838" s="4"/>
      <c r="AA838" s="4"/>
      <c r="AB838" s="4"/>
      <c r="AC838" s="4"/>
      <c r="AD838" s="4"/>
      <c r="AE838" s="4"/>
      <c r="AF838" s="3"/>
    </row>
    <row r="839" spans="24:32" hidden="1" x14ac:dyDescent="0.2">
      <c r="X839" s="4"/>
      <c r="Y839" s="4"/>
      <c r="Z839" s="4"/>
      <c r="AA839" s="4"/>
      <c r="AB839" s="4"/>
      <c r="AC839" s="4"/>
      <c r="AD839" s="4"/>
      <c r="AE839" s="4"/>
      <c r="AF839" s="3"/>
    </row>
    <row r="840" spans="24:32" hidden="1" x14ac:dyDescent="0.2">
      <c r="X840" s="4"/>
      <c r="Y840" s="4"/>
      <c r="Z840" s="4"/>
      <c r="AA840" s="4"/>
      <c r="AB840" s="4"/>
      <c r="AC840" s="4"/>
      <c r="AD840" s="4"/>
      <c r="AE840" s="4"/>
      <c r="AF840" s="3"/>
    </row>
    <row r="841" spans="24:32" hidden="1" x14ac:dyDescent="0.2">
      <c r="X841" s="4"/>
      <c r="Y841" s="4"/>
      <c r="Z841" s="4"/>
      <c r="AA841" s="4"/>
      <c r="AB841" s="4"/>
      <c r="AC841" s="4"/>
      <c r="AD841" s="4"/>
      <c r="AE841" s="4"/>
      <c r="AF841" s="3"/>
    </row>
    <row r="842" spans="24:32" hidden="1" x14ac:dyDescent="0.2">
      <c r="X842" s="4"/>
      <c r="Y842" s="4"/>
      <c r="Z842" s="4"/>
      <c r="AA842" s="4"/>
      <c r="AB842" s="4"/>
      <c r="AC842" s="4"/>
      <c r="AD842" s="4"/>
      <c r="AE842" s="4"/>
      <c r="AF842" s="3"/>
    </row>
    <row r="843" spans="24:32" hidden="1" x14ac:dyDescent="0.2">
      <c r="X843" s="4"/>
      <c r="Y843" s="4"/>
      <c r="Z843" s="4"/>
      <c r="AA843" s="4"/>
      <c r="AB843" s="4"/>
      <c r="AC843" s="4"/>
      <c r="AD843" s="4"/>
      <c r="AE843" s="4"/>
      <c r="AF843" s="3"/>
    </row>
    <row r="844" spans="24:32" hidden="1" x14ac:dyDescent="0.2">
      <c r="X844" s="4"/>
      <c r="Y844" s="4"/>
      <c r="Z844" s="4"/>
      <c r="AA844" s="4"/>
      <c r="AB844" s="4"/>
      <c r="AC844" s="4"/>
      <c r="AD844" s="4"/>
      <c r="AE844" s="4"/>
      <c r="AF844" s="3"/>
    </row>
    <row r="845" spans="24:32" hidden="1" x14ac:dyDescent="0.2">
      <c r="X845" s="4"/>
      <c r="Y845" s="4"/>
      <c r="Z845" s="4"/>
      <c r="AA845" s="4"/>
      <c r="AB845" s="4"/>
      <c r="AC845" s="4"/>
      <c r="AD845" s="4"/>
      <c r="AE845" s="4"/>
      <c r="AF845" s="3"/>
    </row>
    <row r="846" spans="24:32" hidden="1" x14ac:dyDescent="0.2">
      <c r="X846" s="4"/>
      <c r="Y846" s="4"/>
      <c r="Z846" s="4"/>
      <c r="AA846" s="4"/>
      <c r="AB846" s="4"/>
      <c r="AC846" s="4"/>
      <c r="AD846" s="4"/>
      <c r="AE846" s="4"/>
      <c r="AF846" s="3"/>
    </row>
    <row r="847" spans="24:32" hidden="1" x14ac:dyDescent="0.2">
      <c r="X847" s="4"/>
      <c r="Y847" s="4"/>
      <c r="Z847" s="4"/>
      <c r="AA847" s="4"/>
      <c r="AB847" s="4"/>
      <c r="AC847" s="4"/>
      <c r="AD847" s="4"/>
      <c r="AE847" s="4"/>
      <c r="AF847" s="3"/>
    </row>
    <row r="848" spans="24:32" hidden="1" x14ac:dyDescent="0.2">
      <c r="X848" s="4"/>
      <c r="Y848" s="4"/>
      <c r="Z848" s="4"/>
      <c r="AA848" s="4"/>
      <c r="AB848" s="4"/>
      <c r="AC848" s="4"/>
      <c r="AD848" s="4"/>
      <c r="AE848" s="4"/>
      <c r="AF848" s="3"/>
    </row>
    <row r="849" spans="24:32" hidden="1" x14ac:dyDescent="0.2">
      <c r="X849" s="4"/>
      <c r="Y849" s="4"/>
      <c r="Z849" s="4"/>
      <c r="AA849" s="4"/>
      <c r="AB849" s="4"/>
      <c r="AC849" s="4"/>
      <c r="AD849" s="4"/>
      <c r="AE849" s="4"/>
      <c r="AF849" s="3"/>
    </row>
    <row r="850" spans="24:32" hidden="1" x14ac:dyDescent="0.2">
      <c r="X850" s="4"/>
      <c r="Y850" s="4"/>
      <c r="Z850" s="4"/>
      <c r="AA850" s="4"/>
      <c r="AB850" s="4"/>
      <c r="AC850" s="4"/>
      <c r="AD850" s="4"/>
      <c r="AE850" s="4"/>
      <c r="AF850" s="3"/>
    </row>
    <row r="851" spans="24:32" hidden="1" x14ac:dyDescent="0.2">
      <c r="X851" s="4"/>
      <c r="Y851" s="4"/>
      <c r="Z851" s="4"/>
      <c r="AA851" s="4"/>
      <c r="AB851" s="4"/>
      <c r="AC851" s="4"/>
      <c r="AD851" s="4"/>
      <c r="AE851" s="4"/>
      <c r="AF851" s="3"/>
    </row>
    <row r="852" spans="24:32" hidden="1" x14ac:dyDescent="0.2">
      <c r="X852" s="4"/>
      <c r="Y852" s="4"/>
      <c r="Z852" s="4"/>
      <c r="AA852" s="4"/>
      <c r="AB852" s="4"/>
      <c r="AC852" s="4"/>
      <c r="AD852" s="4"/>
      <c r="AE852" s="4"/>
      <c r="AF852" s="3"/>
    </row>
    <row r="853" spans="24:32" hidden="1" x14ac:dyDescent="0.2">
      <c r="X853" s="4"/>
      <c r="Y853" s="4"/>
      <c r="Z853" s="4"/>
      <c r="AA853" s="4"/>
      <c r="AB853" s="4"/>
      <c r="AC853" s="4"/>
      <c r="AD853" s="4"/>
      <c r="AE853" s="4"/>
      <c r="AF853" s="3"/>
    </row>
    <row r="854" spans="24:32" hidden="1" x14ac:dyDescent="0.2">
      <c r="X854" s="4"/>
      <c r="Y854" s="4"/>
      <c r="Z854" s="4"/>
      <c r="AA854" s="4"/>
      <c r="AB854" s="4"/>
      <c r="AC854" s="4"/>
      <c r="AD854" s="4"/>
      <c r="AE854" s="4"/>
      <c r="AF854" s="3"/>
    </row>
    <row r="855" spans="24:32" hidden="1" x14ac:dyDescent="0.2">
      <c r="X855" s="4"/>
      <c r="Y855" s="4"/>
      <c r="Z855" s="4"/>
      <c r="AA855" s="4"/>
      <c r="AB855" s="4"/>
      <c r="AC855" s="4"/>
      <c r="AD855" s="4"/>
      <c r="AE855" s="4"/>
      <c r="AF855" s="3"/>
    </row>
    <row r="856" spans="24:32" hidden="1" x14ac:dyDescent="0.2">
      <c r="X856" s="4"/>
      <c r="Y856" s="4"/>
      <c r="Z856" s="4"/>
      <c r="AA856" s="4"/>
      <c r="AB856" s="4"/>
      <c r="AC856" s="4"/>
      <c r="AD856" s="4"/>
      <c r="AE856" s="4"/>
      <c r="AF856" s="3"/>
    </row>
    <row r="857" spans="24:32" hidden="1" x14ac:dyDescent="0.2"/>
    <row r="858" spans="24:32" hidden="1" x14ac:dyDescent="0.2"/>
    <row r="859" spans="24:32" hidden="1" x14ac:dyDescent="0.2"/>
    <row r="860" spans="24:32" hidden="1" x14ac:dyDescent="0.2"/>
    <row r="861" spans="24:32" hidden="1" x14ac:dyDescent="0.2"/>
    <row r="862" spans="24:32" hidden="1" x14ac:dyDescent="0.2"/>
    <row r="863" spans="24:32" hidden="1" x14ac:dyDescent="0.2"/>
    <row r="864" spans="24:32" hidden="1" x14ac:dyDescent="0.2"/>
    <row r="865" hidden="1" x14ac:dyDescent="0.2"/>
    <row r="866" hidden="1" x14ac:dyDescent="0.2"/>
    <row r="867" hidden="1" x14ac:dyDescent="0.2"/>
    <row r="868" hidden="1" x14ac:dyDescent="0.2"/>
    <row r="869" hidden="1" x14ac:dyDescent="0.2"/>
  </sheetData>
  <sheetProtection algorithmName="SHA-512" hashValue="bXiYk4SRarfxafEujDVVYgJ8XTKK+loCt6eB2Jwz/bAQH5rhwNqxa75igH2HjHgchhJsu2Q0VYUqIrtHiDImbw==" saltValue="/5H1OULcRU45e/cb+6oGlw==" spinCount="100000" sheet="1" selectLockedCells="1"/>
  <mergeCells count="520">
    <mergeCell ref="BL52:BL53"/>
    <mergeCell ref="BM52:BM53"/>
    <mergeCell ref="BM64:BM65"/>
    <mergeCell ref="BK60:BK61"/>
    <mergeCell ref="BL60:BL61"/>
    <mergeCell ref="BM60:BM61"/>
    <mergeCell ref="BK68:BK69"/>
    <mergeCell ref="BL68:BL69"/>
    <mergeCell ref="BM68:BM69"/>
    <mergeCell ref="BM40:BM41"/>
    <mergeCell ref="BM36:BM37"/>
    <mergeCell ref="BK48:BK49"/>
    <mergeCell ref="BL48:BL49"/>
    <mergeCell ref="BK64:BK65"/>
    <mergeCell ref="BL64:BL65"/>
    <mergeCell ref="BK56:BK57"/>
    <mergeCell ref="BL56:BL57"/>
    <mergeCell ref="BK24:BK25"/>
    <mergeCell ref="BL24:BL25"/>
    <mergeCell ref="BK32:BK33"/>
    <mergeCell ref="BL32:BL33"/>
    <mergeCell ref="BK28:BK29"/>
    <mergeCell ref="BL28:BL29"/>
    <mergeCell ref="BK36:BK37"/>
    <mergeCell ref="BL36:BL37"/>
    <mergeCell ref="BK40:BK41"/>
    <mergeCell ref="BL40:BL41"/>
    <mergeCell ref="BM48:BM49"/>
    <mergeCell ref="BK44:BK45"/>
    <mergeCell ref="BL44:BL45"/>
    <mergeCell ref="BM44:BM45"/>
    <mergeCell ref="BM56:BM57"/>
    <mergeCell ref="BK52:BK53"/>
    <mergeCell ref="BM16:BM17"/>
    <mergeCell ref="BM24:BM25"/>
    <mergeCell ref="BK20:BK21"/>
    <mergeCell ref="BL20:BL21"/>
    <mergeCell ref="BM20:BM21"/>
    <mergeCell ref="BM32:BM33"/>
    <mergeCell ref="BM28:BM29"/>
    <mergeCell ref="BK16:BK17"/>
    <mergeCell ref="BL16:BL17"/>
    <mergeCell ref="AW64:AW67"/>
    <mergeCell ref="AS68:AS71"/>
    <mergeCell ref="AT68:AT71"/>
    <mergeCell ref="AU68:AU71"/>
    <mergeCell ref="AV68:AV71"/>
    <mergeCell ref="AW68:AW71"/>
    <mergeCell ref="AS64:AS67"/>
    <mergeCell ref="AT64:AT67"/>
    <mergeCell ref="AU64:AU67"/>
    <mergeCell ref="AV64:AV67"/>
    <mergeCell ref="AW56:AW59"/>
    <mergeCell ref="AS60:AS63"/>
    <mergeCell ref="AT60:AT63"/>
    <mergeCell ref="AU60:AU63"/>
    <mergeCell ref="AV60:AV63"/>
    <mergeCell ref="AW60:AW63"/>
    <mergeCell ref="AS56:AS59"/>
    <mergeCell ref="AT56:AT59"/>
    <mergeCell ref="AU56:AU59"/>
    <mergeCell ref="AV56:AV59"/>
    <mergeCell ref="AS52:AS55"/>
    <mergeCell ref="AT52:AT55"/>
    <mergeCell ref="AU52:AU55"/>
    <mergeCell ref="AV52:AV55"/>
    <mergeCell ref="AW52:AW55"/>
    <mergeCell ref="AS48:AS51"/>
    <mergeCell ref="AT48:AT51"/>
    <mergeCell ref="AU48:AU51"/>
    <mergeCell ref="AV48:AV51"/>
    <mergeCell ref="AS44:AS47"/>
    <mergeCell ref="AT44:AT47"/>
    <mergeCell ref="AU44:AU47"/>
    <mergeCell ref="AV44:AV47"/>
    <mergeCell ref="AW44:AW47"/>
    <mergeCell ref="AT28:AT31"/>
    <mergeCell ref="AU28:AU31"/>
    <mergeCell ref="AV28:AV31"/>
    <mergeCell ref="AW48:AW51"/>
    <mergeCell ref="AS40:AS43"/>
    <mergeCell ref="AT40:AT43"/>
    <mergeCell ref="AU40:AU43"/>
    <mergeCell ref="AV40:AV43"/>
    <mergeCell ref="AW32:AW35"/>
    <mergeCell ref="AS36:AS39"/>
    <mergeCell ref="AT36:AT39"/>
    <mergeCell ref="AU36:AU39"/>
    <mergeCell ref="AV36:AV39"/>
    <mergeCell ref="AW36:AW39"/>
    <mergeCell ref="AW40:AW43"/>
    <mergeCell ref="AX48:AX51"/>
    <mergeCell ref="AW20:AW23"/>
    <mergeCell ref="AS10:AW10"/>
    <mergeCell ref="AS12:AS15"/>
    <mergeCell ref="AT12:AT15"/>
    <mergeCell ref="AU12:AU15"/>
    <mergeCell ref="AV12:AV15"/>
    <mergeCell ref="AW12:AW15"/>
    <mergeCell ref="AW28:AW31"/>
    <mergeCell ref="AS16:AS19"/>
    <mergeCell ref="AS20:AS23"/>
    <mergeCell ref="AT20:AT23"/>
    <mergeCell ref="AU20:AU23"/>
    <mergeCell ref="AV20:AV23"/>
    <mergeCell ref="AW16:AW19"/>
    <mergeCell ref="AT24:AT27"/>
    <mergeCell ref="AU24:AU27"/>
    <mergeCell ref="AV24:AV27"/>
    <mergeCell ref="AT16:AT19"/>
    <mergeCell ref="AU16:AU19"/>
    <mergeCell ref="AV16:AV19"/>
    <mergeCell ref="AS32:AS35"/>
    <mergeCell ref="AT32:AT35"/>
    <mergeCell ref="AS24:AS27"/>
    <mergeCell ref="AR68:AR71"/>
    <mergeCell ref="AX28:AX31"/>
    <mergeCell ref="AX12:AX15"/>
    <mergeCell ref="AX16:AX19"/>
    <mergeCell ref="AX20:AX23"/>
    <mergeCell ref="AX24:AX27"/>
    <mergeCell ref="AR64:AR67"/>
    <mergeCell ref="AR24:AR27"/>
    <mergeCell ref="AR12:AR15"/>
    <mergeCell ref="AR20:AR23"/>
    <mergeCell ref="AR16:AR19"/>
    <mergeCell ref="AX52:AX55"/>
    <mergeCell ref="AX56:AX59"/>
    <mergeCell ref="AX60:AX63"/>
    <mergeCell ref="AX64:AX67"/>
    <mergeCell ref="AX68:AX71"/>
    <mergeCell ref="AU32:AU35"/>
    <mergeCell ref="AV32:AV35"/>
    <mergeCell ref="AW24:AW27"/>
    <mergeCell ref="AS28:AS31"/>
    <mergeCell ref="AX32:AX35"/>
    <mergeCell ref="AX36:AX39"/>
    <mergeCell ref="AX40:AX43"/>
    <mergeCell ref="AX44:AX47"/>
    <mergeCell ref="AR56:AR59"/>
    <mergeCell ref="AN60:AN63"/>
    <mergeCell ref="AO60:AO63"/>
    <mergeCell ref="AP60:AP63"/>
    <mergeCell ref="AQ60:AQ63"/>
    <mergeCell ref="AR60:AR63"/>
    <mergeCell ref="AN56:AN59"/>
    <mergeCell ref="AO56:AO59"/>
    <mergeCell ref="AP56:AP59"/>
    <mergeCell ref="AQ56:AQ59"/>
    <mergeCell ref="AR48:AR51"/>
    <mergeCell ref="AN52:AN55"/>
    <mergeCell ref="AO52:AO55"/>
    <mergeCell ref="AP52:AP55"/>
    <mergeCell ref="AQ52:AQ55"/>
    <mergeCell ref="AR52:AR55"/>
    <mergeCell ref="AN48:AN51"/>
    <mergeCell ref="AO48:AO51"/>
    <mergeCell ref="AP48:AP51"/>
    <mergeCell ref="AQ48:AQ51"/>
    <mergeCell ref="AR40:AR43"/>
    <mergeCell ref="AN44:AN47"/>
    <mergeCell ref="AO44:AO47"/>
    <mergeCell ref="AP44:AP47"/>
    <mergeCell ref="AQ44:AQ47"/>
    <mergeCell ref="AR44:AR47"/>
    <mergeCell ref="AN40:AN43"/>
    <mergeCell ref="AO40:AO43"/>
    <mergeCell ref="AP40:AP43"/>
    <mergeCell ref="AQ40:AQ43"/>
    <mergeCell ref="AR32:AR35"/>
    <mergeCell ref="AN36:AN39"/>
    <mergeCell ref="AO36:AO39"/>
    <mergeCell ref="AP36:AP39"/>
    <mergeCell ref="AQ36:AQ39"/>
    <mergeCell ref="AR36:AR39"/>
    <mergeCell ref="AN32:AN35"/>
    <mergeCell ref="AO32:AO35"/>
    <mergeCell ref="AP32:AP35"/>
    <mergeCell ref="AQ32:AQ35"/>
    <mergeCell ref="AR28:AR31"/>
    <mergeCell ref="AN24:AN27"/>
    <mergeCell ref="AO24:AO27"/>
    <mergeCell ref="AP24:AP27"/>
    <mergeCell ref="AQ24:AQ27"/>
    <mergeCell ref="AN28:AN31"/>
    <mergeCell ref="AO28:AO31"/>
    <mergeCell ref="AP28:AP31"/>
    <mergeCell ref="AQ28:AQ31"/>
    <mergeCell ref="AN68:AN71"/>
    <mergeCell ref="AO68:AO71"/>
    <mergeCell ref="AP12:AP15"/>
    <mergeCell ref="AQ12:AQ15"/>
    <mergeCell ref="AO16:AO19"/>
    <mergeCell ref="AP16:AP19"/>
    <mergeCell ref="AQ16:AQ19"/>
    <mergeCell ref="AP20:AP23"/>
    <mergeCell ref="AQ20:AQ23"/>
    <mergeCell ref="AN16:AN19"/>
    <mergeCell ref="AP68:AP71"/>
    <mergeCell ref="AQ68:AQ71"/>
    <mergeCell ref="AN64:AN67"/>
    <mergeCell ref="AO64:AO67"/>
    <mergeCell ref="AP64:AP67"/>
    <mergeCell ref="AQ64:AQ67"/>
    <mergeCell ref="AN12:AN15"/>
    <mergeCell ref="AN20:AN23"/>
    <mergeCell ref="AO20:AO23"/>
    <mergeCell ref="AM16:AM19"/>
    <mergeCell ref="AL16:AL19"/>
    <mergeCell ref="Z18:AC19"/>
    <mergeCell ref="Z20:AC21"/>
    <mergeCell ref="AD20:AG21"/>
    <mergeCell ref="AD18:AG19"/>
    <mergeCell ref="Z22:AC23"/>
    <mergeCell ref="AD22:AG23"/>
    <mergeCell ref="AL20:AL23"/>
    <mergeCell ref="AM20:AM23"/>
    <mergeCell ref="E8:F8"/>
    <mergeCell ref="B12:F13"/>
    <mergeCell ref="G12:J13"/>
    <mergeCell ref="B9:AJ9"/>
    <mergeCell ref="AH12:AJ15"/>
    <mergeCell ref="G8:AJ8"/>
    <mergeCell ref="AD11:AG11"/>
    <mergeCell ref="G14:J15"/>
    <mergeCell ref="B14:F15"/>
    <mergeCell ref="K12:N13"/>
    <mergeCell ref="K11:N11"/>
    <mergeCell ref="K14:N15"/>
    <mergeCell ref="O14:R15"/>
    <mergeCell ref="Z12:AC13"/>
    <mergeCell ref="Z14:AC15"/>
    <mergeCell ref="AD14:AG15"/>
    <mergeCell ref="AD12:AG13"/>
    <mergeCell ref="V12:Y13"/>
    <mergeCell ref="G18:J19"/>
    <mergeCell ref="B16:F17"/>
    <mergeCell ref="G16:J17"/>
    <mergeCell ref="S16:U19"/>
    <mergeCell ref="V18:Y19"/>
    <mergeCell ref="AN10:AR10"/>
    <mergeCell ref="S12:U15"/>
    <mergeCell ref="AH11:AJ11"/>
    <mergeCell ref="Z11:AC11"/>
    <mergeCell ref="AK9:AK34"/>
    <mergeCell ref="V16:Y17"/>
    <mergeCell ref="Z16:AC17"/>
    <mergeCell ref="AD16:AG17"/>
    <mergeCell ref="AH16:AJ19"/>
    <mergeCell ref="B10:F11"/>
    <mergeCell ref="V10:AJ10"/>
    <mergeCell ref="G10:J11"/>
    <mergeCell ref="O11:R11"/>
    <mergeCell ref="K10:U10"/>
    <mergeCell ref="V11:Y11"/>
    <mergeCell ref="S11:U11"/>
    <mergeCell ref="AM12:AM15"/>
    <mergeCell ref="AO12:AO15"/>
    <mergeCell ref="AL12:AL15"/>
    <mergeCell ref="BH6:BI6"/>
    <mergeCell ref="B7:AJ7"/>
    <mergeCell ref="AG6:AH6"/>
    <mergeCell ref="AI6:AJ6"/>
    <mergeCell ref="AK6:AL6"/>
    <mergeCell ref="AY6:BA6"/>
    <mergeCell ref="Y6:Z6"/>
    <mergeCell ref="BD6:BE6"/>
    <mergeCell ref="BF6:BG6"/>
    <mergeCell ref="M6:N6"/>
    <mergeCell ref="W6:X6"/>
    <mergeCell ref="K6:L6"/>
    <mergeCell ref="S6:T6"/>
    <mergeCell ref="U6:V6"/>
    <mergeCell ref="AA6:AB6"/>
    <mergeCell ref="B5:AJ5"/>
    <mergeCell ref="A6:B6"/>
    <mergeCell ref="C6:D6"/>
    <mergeCell ref="E6:F6"/>
    <mergeCell ref="G6:H6"/>
    <mergeCell ref="I6:J6"/>
    <mergeCell ref="O6:P6"/>
    <mergeCell ref="AC6:AD6"/>
    <mergeCell ref="AE6:AF6"/>
    <mergeCell ref="Q6:R6"/>
    <mergeCell ref="K18:N19"/>
    <mergeCell ref="O18:R19"/>
    <mergeCell ref="AH24:AJ27"/>
    <mergeCell ref="V14:Y15"/>
    <mergeCell ref="B26:F27"/>
    <mergeCell ref="G26:J27"/>
    <mergeCell ref="K26:N27"/>
    <mergeCell ref="O26:R27"/>
    <mergeCell ref="S24:U27"/>
    <mergeCell ref="Z24:AC25"/>
    <mergeCell ref="AH20:AJ23"/>
    <mergeCell ref="AD24:AG25"/>
    <mergeCell ref="V26:Y27"/>
    <mergeCell ref="Z26:AC27"/>
    <mergeCell ref="S20:U23"/>
    <mergeCell ref="V20:Y21"/>
    <mergeCell ref="V24:Y25"/>
    <mergeCell ref="B20:F21"/>
    <mergeCell ref="G20:J21"/>
    <mergeCell ref="K20:N21"/>
    <mergeCell ref="O20:R21"/>
    <mergeCell ref="K16:N17"/>
    <mergeCell ref="O16:R17"/>
    <mergeCell ref="B18:F19"/>
    <mergeCell ref="AD26:AG27"/>
    <mergeCell ref="B24:F25"/>
    <mergeCell ref="G24:J25"/>
    <mergeCell ref="K24:N25"/>
    <mergeCell ref="O24:R25"/>
    <mergeCell ref="B22:F23"/>
    <mergeCell ref="V22:Y23"/>
    <mergeCell ref="Z30:AC31"/>
    <mergeCell ref="AD30:AG31"/>
    <mergeCell ref="V28:Y29"/>
    <mergeCell ref="Z28:AC29"/>
    <mergeCell ref="AD28:AG29"/>
    <mergeCell ref="V30:Y31"/>
    <mergeCell ref="G22:J23"/>
    <mergeCell ref="K22:N23"/>
    <mergeCell ref="O22:R23"/>
    <mergeCell ref="AH28:AJ31"/>
    <mergeCell ref="B30:F31"/>
    <mergeCell ref="G30:J31"/>
    <mergeCell ref="K30:N31"/>
    <mergeCell ref="O30:R31"/>
    <mergeCell ref="S28:U31"/>
    <mergeCell ref="B28:F29"/>
    <mergeCell ref="G28:J29"/>
    <mergeCell ref="K28:N29"/>
    <mergeCell ref="O28:R29"/>
    <mergeCell ref="AH32:AJ35"/>
    <mergeCell ref="B34:F35"/>
    <mergeCell ref="G34:J35"/>
    <mergeCell ref="K34:N35"/>
    <mergeCell ref="O34:R35"/>
    <mergeCell ref="S32:U35"/>
    <mergeCell ref="V32:Y33"/>
    <mergeCell ref="Z32:AC33"/>
    <mergeCell ref="AD32:AG33"/>
    <mergeCell ref="V34:Y35"/>
    <mergeCell ref="Z34:AC35"/>
    <mergeCell ref="AD34:AG35"/>
    <mergeCell ref="B32:F33"/>
    <mergeCell ref="G32:J33"/>
    <mergeCell ref="K32:N33"/>
    <mergeCell ref="O32:R33"/>
    <mergeCell ref="Z42:AC43"/>
    <mergeCell ref="AD42:AG43"/>
    <mergeCell ref="B40:F41"/>
    <mergeCell ref="G40:J41"/>
    <mergeCell ref="K40:N41"/>
    <mergeCell ref="O40:R41"/>
    <mergeCell ref="AH36:AJ39"/>
    <mergeCell ref="B38:F39"/>
    <mergeCell ref="G38:J39"/>
    <mergeCell ref="K38:N39"/>
    <mergeCell ref="O38:R39"/>
    <mergeCell ref="S36:U39"/>
    <mergeCell ref="V36:Y37"/>
    <mergeCell ref="Z36:AC37"/>
    <mergeCell ref="AD36:AG37"/>
    <mergeCell ref="V38:Y39"/>
    <mergeCell ref="Z38:AC39"/>
    <mergeCell ref="AD38:AG39"/>
    <mergeCell ref="B36:F37"/>
    <mergeCell ref="G36:J37"/>
    <mergeCell ref="K36:N37"/>
    <mergeCell ref="O36:R37"/>
    <mergeCell ref="V40:Y41"/>
    <mergeCell ref="S40:U43"/>
    <mergeCell ref="B48:F49"/>
    <mergeCell ref="G48:J49"/>
    <mergeCell ref="K48:N49"/>
    <mergeCell ref="O48:R49"/>
    <mergeCell ref="O46:R47"/>
    <mergeCell ref="S44:U47"/>
    <mergeCell ref="AH44:AJ47"/>
    <mergeCell ref="B46:F47"/>
    <mergeCell ref="G46:J47"/>
    <mergeCell ref="K46:N47"/>
    <mergeCell ref="AD44:AG45"/>
    <mergeCell ref="V46:Y47"/>
    <mergeCell ref="V44:Y45"/>
    <mergeCell ref="Z44:AC45"/>
    <mergeCell ref="AD46:AG47"/>
    <mergeCell ref="B44:F45"/>
    <mergeCell ref="G44:J45"/>
    <mergeCell ref="K44:N45"/>
    <mergeCell ref="O44:R45"/>
    <mergeCell ref="Z46:AC47"/>
    <mergeCell ref="S48:U51"/>
    <mergeCell ref="O50:R51"/>
    <mergeCell ref="AD48:AG49"/>
    <mergeCell ref="AD50:AG51"/>
    <mergeCell ref="B50:F51"/>
    <mergeCell ref="G50:J51"/>
    <mergeCell ref="K50:N51"/>
    <mergeCell ref="B58:F59"/>
    <mergeCell ref="B52:F53"/>
    <mergeCell ref="G52:J53"/>
    <mergeCell ref="K52:N53"/>
    <mergeCell ref="B56:F57"/>
    <mergeCell ref="G56:J57"/>
    <mergeCell ref="B54:F55"/>
    <mergeCell ref="G58:J59"/>
    <mergeCell ref="G54:J55"/>
    <mergeCell ref="K54:N55"/>
    <mergeCell ref="O54:R55"/>
    <mergeCell ref="O52:R53"/>
    <mergeCell ref="O56:R57"/>
    <mergeCell ref="Z54:AC55"/>
    <mergeCell ref="AD54:AG55"/>
    <mergeCell ref="S56:U59"/>
    <mergeCell ref="AD52:AG53"/>
    <mergeCell ref="V50:Y51"/>
    <mergeCell ref="K56:N57"/>
    <mergeCell ref="Z50:AC51"/>
    <mergeCell ref="K58:N59"/>
    <mergeCell ref="O58:R59"/>
    <mergeCell ref="S52:U55"/>
    <mergeCell ref="AH48:AJ51"/>
    <mergeCell ref="V48:Y49"/>
    <mergeCell ref="Z48:AC49"/>
    <mergeCell ref="Z56:AC57"/>
    <mergeCell ref="Z52:AC53"/>
    <mergeCell ref="V52:Y53"/>
    <mergeCell ref="AD56:AG57"/>
    <mergeCell ref="AH56:AJ59"/>
    <mergeCell ref="AD58:AG59"/>
    <mergeCell ref="V58:Y59"/>
    <mergeCell ref="AH52:AJ55"/>
    <mergeCell ref="Z58:AC59"/>
    <mergeCell ref="V56:Y57"/>
    <mergeCell ref="V54:Y55"/>
    <mergeCell ref="AH40:AJ43"/>
    <mergeCell ref="B42:F43"/>
    <mergeCell ref="G42:J43"/>
    <mergeCell ref="K42:N43"/>
    <mergeCell ref="O42:R43"/>
    <mergeCell ref="Z40:AC41"/>
    <mergeCell ref="AD40:AG41"/>
    <mergeCell ref="V42:Y43"/>
    <mergeCell ref="AH60:AJ63"/>
    <mergeCell ref="B62:F63"/>
    <mergeCell ref="G62:J63"/>
    <mergeCell ref="K62:N63"/>
    <mergeCell ref="AD62:AG63"/>
    <mergeCell ref="O60:R61"/>
    <mergeCell ref="S60:U63"/>
    <mergeCell ref="V60:Y61"/>
    <mergeCell ref="Z60:AC61"/>
    <mergeCell ref="B60:F61"/>
    <mergeCell ref="G60:J61"/>
    <mergeCell ref="K60:N61"/>
    <mergeCell ref="AD60:AG61"/>
    <mergeCell ref="O62:R63"/>
    <mergeCell ref="V62:Y63"/>
    <mergeCell ref="Z62:AC63"/>
    <mergeCell ref="V64:Y65"/>
    <mergeCell ref="Z64:AC65"/>
    <mergeCell ref="AD64:AG65"/>
    <mergeCell ref="V66:Y67"/>
    <mergeCell ref="Z66:AC67"/>
    <mergeCell ref="AD66:AG67"/>
    <mergeCell ref="B64:F65"/>
    <mergeCell ref="G64:J65"/>
    <mergeCell ref="K64:N65"/>
    <mergeCell ref="O64:R65"/>
    <mergeCell ref="A9:A34"/>
    <mergeCell ref="O12:R13"/>
    <mergeCell ref="AH68:AJ71"/>
    <mergeCell ref="B70:F71"/>
    <mergeCell ref="G70:J71"/>
    <mergeCell ref="K70:N71"/>
    <mergeCell ref="O70:R71"/>
    <mergeCell ref="S68:U71"/>
    <mergeCell ref="V68:Y69"/>
    <mergeCell ref="Z68:AC69"/>
    <mergeCell ref="AD68:AG69"/>
    <mergeCell ref="V70:Y71"/>
    <mergeCell ref="Z70:AC71"/>
    <mergeCell ref="AD70:AG71"/>
    <mergeCell ref="B68:F69"/>
    <mergeCell ref="G68:J69"/>
    <mergeCell ref="K68:N69"/>
    <mergeCell ref="O68:R69"/>
    <mergeCell ref="AH64:AJ67"/>
    <mergeCell ref="B66:F67"/>
    <mergeCell ref="G66:J67"/>
    <mergeCell ref="K66:N67"/>
    <mergeCell ref="O66:R67"/>
    <mergeCell ref="S64:U67"/>
    <mergeCell ref="AL68:AL71"/>
    <mergeCell ref="AM68:AM71"/>
    <mergeCell ref="AM28:AM31"/>
    <mergeCell ref="AL32:AL35"/>
    <mergeCell ref="AM32:AM35"/>
    <mergeCell ref="AL44:AL47"/>
    <mergeCell ref="AL24:AL27"/>
    <mergeCell ref="AM24:AM27"/>
    <mergeCell ref="AL40:AL43"/>
    <mergeCell ref="AM40:AM43"/>
    <mergeCell ref="AL28:AL31"/>
    <mergeCell ref="AL36:AL39"/>
    <mergeCell ref="AM36:AM39"/>
    <mergeCell ref="AM60:AM63"/>
    <mergeCell ref="AL64:AL67"/>
    <mergeCell ref="AM64:AM67"/>
    <mergeCell ref="AM52:AM55"/>
    <mergeCell ref="AL56:AL59"/>
    <mergeCell ref="AM56:AM59"/>
    <mergeCell ref="AL60:AL63"/>
    <mergeCell ref="AM44:AM47"/>
    <mergeCell ref="AL48:AL51"/>
    <mergeCell ref="AM48:AM51"/>
    <mergeCell ref="AL52:AL55"/>
  </mergeCells>
  <phoneticPr fontId="0" type="noConversion"/>
  <dataValidations count="12">
    <dataValidation type="textLength" operator="lessThanOrEqual" allowBlank="1" showErrorMessage="1" sqref="E8:F8 B6 A6:A7 C6:AL7 AN6:IV7 AM6" xr:uid="{00000000-0002-0000-0000-000000000000}">
      <formula1>5</formula1>
    </dataValidation>
    <dataValidation type="custom" allowBlank="1" showInputMessage="1" showErrorMessage="1" errorTitle="Invalid Entry" error="_x000a_Valid Entries Are:_x000a__x000a_1. A number from 0 to 999999_x000a_2. Report (if &quot;Monitor &amp; Report&quot; in permit)" promptTitle="Valid Entries Are:" prompt="_x000a_1. A number from 0 to 999999_x000a_2. Report (if &quot;Monitor &amp; Report&quot; in permit)" sqref="K12:R13 V12:AG13 K28:R29 K24:R25 K20:R21 K16:R17 K32:R33 K36:R37 K40:R41 K44:R45 K48:R49 K52:R53 K56:R57 K60:R61 K64:R65 K68:R69 V28:AG29 V32:AG33 V36:AG37 V40:AG41 V44:AG45 V48:AG49 V52:AG53 V56:AG57 V60:AG61 V64:AG65 V68:AG69 V24:AG25 V20:AG21 V16:AG17" xr:uid="{00000000-0002-0000-0000-000001000000}">
      <formula1>IF(K12="Report",TRUE,AND(VALUE(K12)&lt;=999999,VALUE(K12)&gt;=0))</formula1>
    </dataValidation>
    <dataValidation type="list" allowBlank="1" showInputMessage="1" showErrorMessage="1" sqref="B30:F31 B26:F27 B22:F23 B18:F19 B34:F35 B38:F39 B42:F43 B46:F47 B50:F51 B54:F55 B58:F59 B62:F63 B66:F67 B70:F71" xr:uid="{00000000-0002-0000-0000-000002000000}">
      <formula1>$BB$11:$BB$30</formula1>
    </dataValidation>
    <dataValidation type="list" allowBlank="1" showInputMessage="1" showErrorMessage="1" sqref="K14:N15 K26:N27 K22:N23 K18:N19 K30:N31 K34:N35 K38:N39 K42:N43 K46:N47 K50:N51 K54:N55 K58:N59 K62:N63 K66:N67 K70:N71" xr:uid="{00000000-0002-0000-0000-000004000000}">
      <formula1>$BD$11:$BD$17</formula1>
    </dataValidation>
    <dataValidation type="list" allowBlank="1" showInputMessage="1" showErrorMessage="1" sqref="O14:R15 O26:R27 O22:R23 O18:R19 O30:R31 O34:R35 O38:R39 O42:R43 O46:R47 O50:R51 O54:R55 O58:R59 O62:R63 O66:R67 O70:R71" xr:uid="{00000000-0002-0000-0000-000005000000}">
      <formula1>$BE$11:$BE$15</formula1>
    </dataValidation>
    <dataValidation type="list" allowBlank="1" showInputMessage="1" showErrorMessage="1" sqref="V14:Y15 V26:Y27 V22:Y23 V18:Y19 V30:Y31 V34:Y35 V38:Y39 V42:Y43 V46:Y47 V50:Y51 V54:Y55 V58:Y59 V62:Y63 V66:Y67 V70:Y71" xr:uid="{00000000-0002-0000-0000-000006000000}">
      <formula1>$BF$11:$BF$18</formula1>
    </dataValidation>
    <dataValidation type="list" allowBlank="1" showInputMessage="1" showErrorMessage="1" sqref="Z14:AC15 Z26:AC27 Z22:AC23 Z18:AC19 Z30:AC31 Z34:AC35 Z38:AC39 Z42:AC43 Z46:AC47 Z50:AC51 Z54:AC55 Z58:AC59 Z62:AC63 Z66:AC67 Z70:AC71" xr:uid="{00000000-0002-0000-0000-000007000000}">
      <formula1>$BG$11:$BG$18</formula1>
    </dataValidation>
    <dataValidation type="list" allowBlank="1" showInputMessage="1" showErrorMessage="1" sqref="AD14:AG15 AD26:AG27 AD22:AG23 AD18:AG19 AD30:AG31 AD34:AG35 AD38:AG39 AD42:AG43 AD46:AG47 AD50:AG51 AD54:AG55 AD58:AG59 AD62:AG63 AD66:AG67 AD70:AG71" xr:uid="{00000000-0002-0000-0000-000008000000}">
      <formula1>$BH$11:$BH$15</formula1>
    </dataValidation>
    <dataValidation type="list" allowBlank="1" showInputMessage="1" showErrorMessage="1" sqref="S12:U71" xr:uid="{00000000-0002-0000-0000-00000A000000}">
      <formula1>$BI$11:$BI$28</formula1>
    </dataValidation>
    <dataValidation type="list" allowBlank="1" showInputMessage="1" showErrorMessage="1" sqref="AH12:AJ15" xr:uid="{00000000-0002-0000-0000-000009000000}">
      <formula1>$BI$29:$BI$53</formula1>
    </dataValidation>
    <dataValidation type="list" allowBlank="1" showInputMessage="1" showErrorMessage="1" sqref="AH16:AJ71" xr:uid="{B9332E99-FC26-49BE-9399-F74DD78BACDC}">
      <formula1>$BI$29:$BI$54</formula1>
    </dataValidation>
    <dataValidation type="list" allowBlank="1" showInputMessage="1" showErrorMessage="1" sqref="B28:F29 B20:F21 B64:F65 B60:F61 B56:F57 B52:F53 B48:F49 B44:F45 B40:F41 B36:F37 B32:F33 B68:F69 B16:F17 B24:F25" xr:uid="{00000000-0002-0000-0000-000003000000}">
      <formula1>$AY$11:$AY$447</formula1>
    </dataValidation>
  </dataValidations>
  <printOptions horizontalCentered="1"/>
  <pageMargins left="0.18" right="0.18" top="0.05" bottom="0.05" header="0.1" footer="0.1"/>
  <pageSetup scale="76"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2"/>
    <pageSetUpPr fitToPage="1"/>
  </sheetPr>
  <dimension ref="A1:LF693"/>
  <sheetViews>
    <sheetView zoomScaleNormal="100" zoomScaleSheetLayoutView="75" workbookViewId="0">
      <pane xSplit="22" ySplit="23" topLeftCell="X24" activePane="bottomRight" state="frozen"/>
      <selection pane="topRight" activeCell="W1" sqref="W1"/>
      <selection pane="bottomLeft" activeCell="A24" sqref="A24"/>
      <selection pane="bottomRight" activeCell="T6" sqref="T6:U6"/>
    </sheetView>
  </sheetViews>
  <sheetFormatPr defaultColWidth="0" defaultRowHeight="12.75" zeroHeight="1" x14ac:dyDescent="0.2"/>
  <cols>
    <col min="1" max="1" width="1.7109375" customWidth="1"/>
    <col min="2" max="2" width="4.42578125" customWidth="1"/>
    <col min="3" max="4" width="3.7109375" style="14" customWidth="1"/>
    <col min="5" max="6" width="3.7109375" customWidth="1"/>
    <col min="7" max="7" width="8.7109375" customWidth="1"/>
    <col min="8" max="8" width="3.7109375" customWidth="1"/>
    <col min="9" max="9" width="10.7109375" customWidth="1"/>
    <col min="10" max="10" width="3.7109375" customWidth="1"/>
    <col min="11" max="11" width="10.7109375" customWidth="1"/>
    <col min="12" max="12" width="3.7109375" customWidth="1"/>
    <col min="13" max="13" width="10.7109375" customWidth="1"/>
    <col min="14" max="14" width="3.7109375" customWidth="1"/>
    <col min="15" max="15" width="10.7109375" customWidth="1"/>
    <col min="16" max="16" width="3.7109375" customWidth="1"/>
    <col min="17" max="17" width="10.7109375" customWidth="1"/>
    <col min="18" max="18" width="3.7109375" customWidth="1"/>
    <col min="19" max="19" width="10.7109375" customWidth="1"/>
    <col min="20" max="20" width="3.7109375" customWidth="1"/>
    <col min="21" max="21" width="10.85546875" customWidth="1"/>
    <col min="22" max="22" width="3.7109375" customWidth="1"/>
    <col min="23" max="23" width="10.7109375" customWidth="1"/>
    <col min="24" max="24" width="3.7109375" style="4" customWidth="1"/>
    <col min="25" max="25" width="10.7109375" customWidth="1"/>
    <col min="26" max="26" width="3.7109375" customWidth="1"/>
    <col min="27" max="27" width="10.7109375" customWidth="1"/>
    <col min="28" max="28" width="3.7109375" customWidth="1"/>
    <col min="29" max="29" width="10.7109375" customWidth="1"/>
    <col min="30" max="30" width="3.7109375" customWidth="1"/>
    <col min="31" max="31" width="10.7109375" customWidth="1"/>
    <col min="32" max="32" width="3.7109375" customWidth="1"/>
    <col min="33" max="33" width="10.7109375" customWidth="1"/>
    <col min="34" max="34" width="3.7109375" customWidth="1"/>
    <col min="35" max="35" width="10.7109375" customWidth="1"/>
    <col min="36" max="36" width="3.7109375" style="196" customWidth="1"/>
    <col min="37" max="37" width="10.7109375" hidden="1" customWidth="1"/>
    <col min="38" max="38" width="3.7109375" hidden="1" customWidth="1"/>
    <col min="39" max="39" width="10.7109375" hidden="1" customWidth="1"/>
    <col min="40" max="40" width="3.7109375" style="17" hidden="1" customWidth="1"/>
    <col min="41" max="41" width="10.7109375" hidden="1" customWidth="1"/>
    <col min="42" max="42" width="3.7109375" hidden="1" customWidth="1"/>
    <col min="43" max="43" width="10.7109375" hidden="1" customWidth="1"/>
    <col min="44" max="44" width="3.7109375" hidden="1" customWidth="1"/>
    <col min="45" max="45" width="10.7109375" hidden="1" customWidth="1"/>
    <col min="46" max="46" width="3.7109375" hidden="1" customWidth="1"/>
    <col min="47" max="47" width="10.7109375" hidden="1" customWidth="1"/>
    <col min="48" max="48" width="3.7109375" hidden="1" customWidth="1"/>
    <col min="49" max="49" width="10.7109375" hidden="1" customWidth="1"/>
    <col min="50" max="50" width="3.7109375" hidden="1" customWidth="1"/>
    <col min="51" max="51" width="10.7109375" hidden="1" customWidth="1"/>
    <col min="52" max="52" width="3.7109375" hidden="1" customWidth="1"/>
    <col min="53" max="53" width="10.7109375" hidden="1" customWidth="1"/>
    <col min="54" max="54" width="3.7109375" hidden="1" customWidth="1"/>
    <col min="55" max="55" width="10.7109375" hidden="1" customWidth="1"/>
    <col min="56" max="56" width="3.7109375" hidden="1" customWidth="1"/>
    <col min="57" max="57" width="10.7109375" hidden="1" customWidth="1"/>
    <col min="58" max="58" width="3.7109375" hidden="1" customWidth="1"/>
    <col min="59" max="59" width="10.7109375" hidden="1" customWidth="1"/>
    <col min="60" max="60" width="3.7109375" hidden="1" customWidth="1"/>
    <col min="61" max="61" width="10.7109375" hidden="1" customWidth="1"/>
    <col min="62" max="62" width="3.7109375" hidden="1" customWidth="1"/>
    <col min="63" max="63" width="10.7109375" hidden="1" customWidth="1"/>
    <col min="64" max="64" width="3.7109375" hidden="1" customWidth="1"/>
    <col min="65" max="65" width="10.7109375" hidden="1" customWidth="1"/>
    <col min="66" max="66" width="9.140625" hidden="1" customWidth="1"/>
    <col min="67" max="68" width="9.140625" style="7" hidden="1" customWidth="1"/>
    <col min="69" max="69" width="14" style="7" hidden="1" customWidth="1"/>
    <col min="70" max="71" width="9.140625" style="7" hidden="1" customWidth="1"/>
    <col min="72" max="72" width="12.42578125" hidden="1" customWidth="1"/>
    <col min="73" max="74" width="10.7109375" style="7" hidden="1" customWidth="1"/>
    <col min="75" max="101" width="10.7109375" hidden="1" customWidth="1"/>
    <col min="102" max="102" width="12.42578125" hidden="1" customWidth="1"/>
    <col min="103" max="131" width="10.7109375" style="22" hidden="1" customWidth="1"/>
    <col min="132" max="132" width="12.28515625" style="1" hidden="1" customWidth="1"/>
    <col min="133" max="161" width="10.7109375" hidden="1" customWidth="1"/>
    <col min="162" max="162" width="9.140625" hidden="1" customWidth="1"/>
    <col min="163" max="191" width="10.7109375" hidden="1" customWidth="1"/>
    <col min="192" max="192" width="11.7109375" hidden="1" customWidth="1"/>
    <col min="193" max="221" width="10.7109375" style="12" hidden="1" customWidth="1"/>
    <col min="222" max="222" width="11" hidden="1" customWidth="1"/>
    <col min="223" max="223" width="13.7109375" style="1" hidden="1" customWidth="1"/>
    <col min="224" max="225" width="9.140625" hidden="1" customWidth="1"/>
    <col min="226" max="226" width="10.7109375" hidden="1" customWidth="1"/>
    <col min="227" max="255" width="9.140625" style="7" hidden="1" customWidth="1"/>
    <col min="256" max="256" width="7.140625" hidden="1" customWidth="1"/>
    <col min="257" max="257" width="9.140625" hidden="1" customWidth="1"/>
    <col min="258" max="287" width="9.140625" style="7" hidden="1" customWidth="1"/>
    <col min="288" max="288" width="9.140625" style="1" hidden="1" customWidth="1"/>
    <col min="289" max="289" width="9.140625" style="166" hidden="1" customWidth="1"/>
    <col min="290" max="295" width="9.140625" style="1" hidden="1" customWidth="1"/>
    <col min="296" max="16384" width="9.140625" hidden="1"/>
  </cols>
  <sheetData>
    <row r="1" spans="1:318" s="265" customFormat="1" ht="12" customHeight="1" thickTop="1" x14ac:dyDescent="0.2">
      <c r="A1" s="36"/>
      <c r="B1" s="178"/>
      <c r="C1" s="260"/>
      <c r="D1" s="260"/>
      <c r="E1" s="178"/>
      <c r="F1" s="178"/>
      <c r="G1" s="178"/>
      <c r="H1" s="178"/>
      <c r="I1" s="178"/>
      <c r="J1" s="178"/>
      <c r="K1" s="178"/>
      <c r="L1" s="178"/>
      <c r="M1" s="178"/>
      <c r="N1" s="178"/>
      <c r="O1" s="178"/>
      <c r="P1" s="178"/>
      <c r="Q1" s="178"/>
      <c r="R1" s="178"/>
      <c r="S1" s="178"/>
      <c r="T1" s="178"/>
      <c r="U1" s="178"/>
      <c r="V1" s="178"/>
      <c r="W1" s="178"/>
      <c r="X1" s="190"/>
      <c r="Y1" s="178"/>
      <c r="Z1" s="178"/>
      <c r="AA1" s="178"/>
      <c r="AB1" s="178"/>
      <c r="AC1" s="178"/>
      <c r="AD1" s="178"/>
      <c r="AE1" s="178"/>
      <c r="AF1" s="178"/>
      <c r="AG1" s="178"/>
      <c r="AH1" s="178"/>
      <c r="AI1" s="178"/>
      <c r="AJ1" s="262"/>
      <c r="AK1" s="178"/>
      <c r="AL1" s="263"/>
      <c r="AM1" s="264"/>
      <c r="AN1" s="174"/>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O1" s="266" t="s">
        <v>14</v>
      </c>
      <c r="BP1" s="266" t="s">
        <v>15</v>
      </c>
      <c r="BQ1" s="266" t="s">
        <v>79</v>
      </c>
      <c r="BR1" s="266" t="s">
        <v>1120</v>
      </c>
      <c r="BS1" s="266" t="s">
        <v>4</v>
      </c>
      <c r="BU1" s="267"/>
      <c r="BV1" s="267"/>
      <c r="CY1" s="268"/>
      <c r="CZ1" s="268"/>
      <c r="DA1" s="268"/>
      <c r="DB1" s="268"/>
      <c r="DC1" s="268"/>
      <c r="DD1" s="268"/>
      <c r="DE1" s="268"/>
      <c r="DF1" s="268"/>
      <c r="DG1" s="268"/>
      <c r="DH1" s="268"/>
      <c r="DI1" s="268"/>
      <c r="DJ1" s="268"/>
      <c r="DK1" s="268"/>
      <c r="DL1" s="268"/>
      <c r="DM1" s="268"/>
      <c r="DN1" s="268"/>
      <c r="DO1" s="268"/>
      <c r="DP1" s="268"/>
      <c r="DQ1" s="268"/>
      <c r="DR1" s="268"/>
      <c r="DS1" s="268"/>
      <c r="DT1" s="268"/>
      <c r="DU1" s="268"/>
      <c r="DV1" s="268"/>
      <c r="DW1" s="268"/>
      <c r="DX1" s="268"/>
      <c r="DY1" s="268"/>
      <c r="DZ1" s="268"/>
      <c r="EA1" s="268"/>
      <c r="EB1" s="269"/>
      <c r="GK1" s="270"/>
      <c r="GL1" s="270"/>
      <c r="GM1" s="270"/>
      <c r="GN1" s="270"/>
      <c r="GO1" s="270"/>
      <c r="GP1" s="270"/>
      <c r="GQ1" s="270"/>
      <c r="GR1" s="270"/>
      <c r="GS1" s="270"/>
      <c r="GT1" s="270"/>
      <c r="GU1" s="270"/>
      <c r="GV1" s="270"/>
      <c r="GW1" s="270"/>
      <c r="GX1" s="270"/>
      <c r="GY1" s="270"/>
      <c r="GZ1" s="270"/>
      <c r="HA1" s="270"/>
      <c r="HB1" s="270"/>
      <c r="HC1" s="270"/>
      <c r="HD1" s="270"/>
      <c r="HE1" s="270"/>
      <c r="HF1" s="270"/>
      <c r="HG1" s="270"/>
      <c r="HH1" s="270"/>
      <c r="HI1" s="270"/>
      <c r="HJ1" s="270"/>
      <c r="HK1" s="270"/>
      <c r="HL1" s="270"/>
      <c r="HM1" s="270"/>
      <c r="HO1" s="269"/>
      <c r="HS1" s="267"/>
      <c r="HT1" s="267"/>
      <c r="HU1" s="267"/>
      <c r="HV1" s="267"/>
      <c r="HW1" s="267"/>
      <c r="HX1" s="267"/>
      <c r="HY1" s="267"/>
      <c r="HZ1" s="267"/>
      <c r="IA1" s="267"/>
      <c r="IB1" s="267"/>
      <c r="IC1" s="267"/>
      <c r="ID1" s="267"/>
      <c r="IE1" s="267"/>
      <c r="IF1" s="267"/>
      <c r="IG1" s="267"/>
      <c r="IH1" s="267"/>
      <c r="II1" s="267"/>
      <c r="IJ1" s="267"/>
      <c r="IK1" s="267"/>
      <c r="IL1" s="267"/>
      <c r="IM1" s="267"/>
      <c r="IN1" s="267"/>
      <c r="IO1" s="267"/>
      <c r="IP1" s="267"/>
      <c r="IQ1" s="267"/>
      <c r="IR1" s="267"/>
      <c r="IS1" s="267"/>
      <c r="IT1" s="267"/>
      <c r="IU1" s="267"/>
      <c r="IX1" s="267"/>
      <c r="IY1" s="267"/>
      <c r="IZ1" s="267"/>
      <c r="JA1" s="267"/>
      <c r="JB1" s="267"/>
      <c r="JC1" s="267"/>
      <c r="JD1" s="267"/>
      <c r="JE1" s="267"/>
      <c r="JF1" s="267"/>
      <c r="JG1" s="267"/>
      <c r="JH1" s="267"/>
      <c r="JI1" s="267"/>
      <c r="JJ1" s="267"/>
      <c r="JK1" s="267"/>
      <c r="JL1" s="267"/>
      <c r="JM1" s="267"/>
      <c r="JN1" s="267"/>
      <c r="JO1" s="267"/>
      <c r="JP1" s="267"/>
      <c r="JQ1" s="267"/>
      <c r="JR1" s="267"/>
      <c r="JS1" s="267"/>
      <c r="JT1" s="267"/>
      <c r="JU1" s="267"/>
      <c r="JV1" s="267"/>
      <c r="JW1" s="267"/>
      <c r="JX1" s="267"/>
      <c r="JY1" s="267"/>
      <c r="JZ1" s="267"/>
      <c r="KA1" s="267"/>
      <c r="KB1" s="269"/>
      <c r="KC1" s="271"/>
      <c r="KD1" s="269"/>
      <c r="KE1" s="269"/>
      <c r="KF1" s="269"/>
      <c r="KG1" s="269"/>
      <c r="KH1" s="269"/>
      <c r="KI1" s="269"/>
    </row>
    <row r="2" spans="1:318" s="265" customFormat="1" ht="12" customHeight="1" x14ac:dyDescent="0.2">
      <c r="A2" s="38"/>
      <c r="B2" s="429" t="s">
        <v>1215</v>
      </c>
      <c r="C2" s="429"/>
      <c r="D2" s="429"/>
      <c r="E2" s="429"/>
      <c r="F2" s="429"/>
      <c r="G2" s="429"/>
      <c r="H2" s="429"/>
      <c r="I2" s="429"/>
      <c r="J2" s="429"/>
      <c r="K2" s="429"/>
      <c r="L2" s="429"/>
      <c r="M2" s="429"/>
      <c r="N2" s="429"/>
      <c r="O2" s="429"/>
      <c r="P2" s="429"/>
      <c r="Q2" s="429"/>
      <c r="R2" s="429"/>
      <c r="S2" s="429"/>
      <c r="T2" s="429"/>
      <c r="U2" s="429"/>
      <c r="V2" s="179"/>
      <c r="W2" s="179"/>
      <c r="X2" s="191"/>
      <c r="Y2" s="179"/>
      <c r="Z2" s="179"/>
      <c r="AA2" s="179"/>
      <c r="AB2" s="179"/>
      <c r="AC2" s="179"/>
      <c r="AD2" s="179"/>
      <c r="AE2" s="179"/>
      <c r="AF2" s="179"/>
      <c r="AG2" s="179"/>
      <c r="AH2" s="179"/>
      <c r="AI2" s="179"/>
      <c r="AJ2" s="272"/>
      <c r="AK2" s="179"/>
      <c r="AL2" s="179"/>
      <c r="AM2" s="179"/>
      <c r="AN2" s="174"/>
      <c r="AO2" s="149"/>
      <c r="AP2" s="149"/>
      <c r="AQ2" s="149"/>
      <c r="AR2" s="149"/>
      <c r="AS2" s="149"/>
      <c r="AT2" s="149"/>
      <c r="AU2" s="149"/>
      <c r="AV2" s="149"/>
      <c r="AW2" s="149"/>
      <c r="AX2" s="149"/>
      <c r="AY2" s="149"/>
      <c r="AZ2" s="149"/>
      <c r="BA2" s="149"/>
      <c r="BB2" s="149"/>
      <c r="BC2" s="149"/>
      <c r="BD2" s="149"/>
      <c r="BE2" s="149"/>
      <c r="BF2" s="149"/>
      <c r="BG2" s="149"/>
      <c r="BH2" s="149"/>
      <c r="BI2" s="149"/>
      <c r="BJ2" s="149"/>
      <c r="BK2" s="149"/>
      <c r="BL2" s="149"/>
      <c r="BM2" s="149"/>
      <c r="BO2" s="267">
        <v>1</v>
      </c>
      <c r="BP2" s="267">
        <v>2021</v>
      </c>
      <c r="BQ2" s="273" t="s">
        <v>17</v>
      </c>
      <c r="BR2" s="267" t="s">
        <v>1118</v>
      </c>
      <c r="BS2" s="267" t="s">
        <v>1090</v>
      </c>
      <c r="BU2" s="267"/>
      <c r="BV2" s="267"/>
      <c r="CY2" s="268"/>
      <c r="CZ2" s="268"/>
      <c r="DA2" s="268"/>
      <c r="DB2" s="268"/>
      <c r="DC2" s="268"/>
      <c r="DD2" s="268"/>
      <c r="DE2" s="268"/>
      <c r="DF2" s="268"/>
      <c r="DG2" s="268"/>
      <c r="DH2" s="268"/>
      <c r="DI2" s="268"/>
      <c r="DJ2" s="268"/>
      <c r="DK2" s="268"/>
      <c r="DL2" s="268"/>
      <c r="DM2" s="268"/>
      <c r="DN2" s="268"/>
      <c r="DO2" s="268"/>
      <c r="DP2" s="268"/>
      <c r="DQ2" s="268"/>
      <c r="DR2" s="268"/>
      <c r="DS2" s="268"/>
      <c r="DT2" s="268"/>
      <c r="DU2" s="268"/>
      <c r="DV2" s="268"/>
      <c r="DW2" s="268"/>
      <c r="DX2" s="268"/>
      <c r="DY2" s="268"/>
      <c r="DZ2" s="268"/>
      <c r="EA2" s="268"/>
      <c r="EB2" s="269"/>
      <c r="GK2" s="270"/>
      <c r="GL2" s="270"/>
      <c r="GM2" s="270"/>
      <c r="GN2" s="270"/>
      <c r="GO2" s="270"/>
      <c r="GP2" s="270"/>
      <c r="GQ2" s="270"/>
      <c r="GR2" s="270"/>
      <c r="GS2" s="270"/>
      <c r="GT2" s="270"/>
      <c r="GU2" s="270"/>
      <c r="GV2" s="270"/>
      <c r="GW2" s="270"/>
      <c r="GX2" s="270"/>
      <c r="GY2" s="270"/>
      <c r="GZ2" s="270"/>
      <c r="HA2" s="270"/>
      <c r="HB2" s="270"/>
      <c r="HC2" s="270"/>
      <c r="HD2" s="270"/>
      <c r="HE2" s="270"/>
      <c r="HF2" s="270"/>
      <c r="HG2" s="270"/>
      <c r="HH2" s="270"/>
      <c r="HI2" s="270"/>
      <c r="HJ2" s="270"/>
      <c r="HK2" s="270"/>
      <c r="HL2" s="270"/>
      <c r="HM2" s="270"/>
      <c r="HO2" s="269"/>
      <c r="HS2" s="267"/>
      <c r="HT2" s="267"/>
      <c r="HU2" s="267"/>
      <c r="HV2" s="267"/>
      <c r="HW2" s="267"/>
      <c r="HX2" s="267"/>
      <c r="HY2" s="267"/>
      <c r="HZ2" s="267"/>
      <c r="IA2" s="267"/>
      <c r="IB2" s="267"/>
      <c r="IC2" s="267"/>
      <c r="ID2" s="267"/>
      <c r="IE2" s="267"/>
      <c r="IF2" s="267"/>
      <c r="IG2" s="267"/>
      <c r="IH2" s="267"/>
      <c r="II2" s="267"/>
      <c r="IJ2" s="267"/>
      <c r="IK2" s="267"/>
      <c r="IL2" s="267"/>
      <c r="IM2" s="267"/>
      <c r="IN2" s="267"/>
      <c r="IO2" s="267"/>
      <c r="IP2" s="267"/>
      <c r="IQ2" s="267"/>
      <c r="IR2" s="267"/>
      <c r="IS2" s="267"/>
      <c r="IT2" s="267"/>
      <c r="IU2" s="267"/>
      <c r="IX2" s="267"/>
      <c r="IY2" s="267"/>
      <c r="IZ2" s="267"/>
      <c r="JA2" s="267"/>
      <c r="JB2" s="267"/>
      <c r="JC2" s="267"/>
      <c r="JD2" s="267"/>
      <c r="JE2" s="267"/>
      <c r="JF2" s="267"/>
      <c r="JG2" s="267"/>
      <c r="JH2" s="267"/>
      <c r="JI2" s="267"/>
      <c r="JJ2" s="267"/>
      <c r="JK2" s="267"/>
      <c r="JL2" s="267"/>
      <c r="JM2" s="267"/>
      <c r="JN2" s="267"/>
      <c r="JO2" s="267"/>
      <c r="JP2" s="267"/>
      <c r="JQ2" s="267"/>
      <c r="JR2" s="267"/>
      <c r="JS2" s="267"/>
      <c r="JT2" s="267"/>
      <c r="JU2" s="267"/>
      <c r="JV2" s="267"/>
      <c r="JW2" s="267"/>
      <c r="JX2" s="267"/>
      <c r="JY2" s="267"/>
      <c r="JZ2" s="267"/>
      <c r="KA2" s="267"/>
      <c r="KB2" s="269"/>
      <c r="KC2" s="271"/>
      <c r="KD2" s="269"/>
      <c r="KE2" s="269"/>
      <c r="KF2" s="269"/>
      <c r="KG2" s="269"/>
      <c r="KH2" s="269"/>
      <c r="KI2" s="269"/>
    </row>
    <row r="3" spans="1:318" s="265" customFormat="1" ht="13.5" customHeight="1" x14ac:dyDescent="0.25">
      <c r="A3" s="38"/>
      <c r="B3" s="430" t="s">
        <v>1083</v>
      </c>
      <c r="C3" s="430"/>
      <c r="D3" s="430"/>
      <c r="E3" s="430"/>
      <c r="F3" s="430"/>
      <c r="G3" s="430"/>
      <c r="H3" s="430"/>
      <c r="I3" s="430"/>
      <c r="J3" s="430"/>
      <c r="K3" s="430"/>
      <c r="L3" s="430"/>
      <c r="M3" s="430"/>
      <c r="N3" s="430"/>
      <c r="O3" s="430"/>
      <c r="P3" s="430"/>
      <c r="Q3" s="430"/>
      <c r="R3" s="430"/>
      <c r="S3" s="430"/>
      <c r="T3" s="430"/>
      <c r="U3" s="430"/>
      <c r="V3" s="180"/>
      <c r="W3" s="180"/>
      <c r="X3" s="192"/>
      <c r="Y3" s="180"/>
      <c r="Z3" s="180"/>
      <c r="AA3" s="180"/>
      <c r="AB3" s="180"/>
      <c r="AC3" s="180"/>
      <c r="AD3" s="180"/>
      <c r="AE3" s="180"/>
      <c r="AF3" s="180"/>
      <c r="AG3" s="180"/>
      <c r="AH3" s="180"/>
      <c r="AI3" s="180"/>
      <c r="AJ3" s="274"/>
      <c r="AK3" s="180"/>
      <c r="AL3" s="177"/>
      <c r="AM3" s="149"/>
      <c r="AN3" s="174"/>
      <c r="AO3" s="149"/>
      <c r="AP3" s="149"/>
      <c r="AQ3" s="149"/>
      <c r="AR3" s="149"/>
      <c r="AS3" s="149"/>
      <c r="AT3" s="149"/>
      <c r="AU3" s="149"/>
      <c r="AV3" s="149"/>
      <c r="AW3" s="149"/>
      <c r="AX3" s="149"/>
      <c r="AY3" s="149"/>
      <c r="AZ3" s="149"/>
      <c r="BA3" s="149"/>
      <c r="BB3" s="149"/>
      <c r="BC3" s="149"/>
      <c r="BD3" s="149"/>
      <c r="BE3" s="149"/>
      <c r="BF3" s="149"/>
      <c r="BG3" s="149"/>
      <c r="BH3" s="149"/>
      <c r="BI3" s="149"/>
      <c r="BJ3" s="149"/>
      <c r="BK3" s="149"/>
      <c r="BL3" s="149"/>
      <c r="BM3" s="149"/>
      <c r="BO3" s="267">
        <v>2</v>
      </c>
      <c r="BP3" s="267">
        <v>2022</v>
      </c>
      <c r="BQ3" s="273" t="s">
        <v>18</v>
      </c>
      <c r="BR3" s="267" t="s">
        <v>1119</v>
      </c>
      <c r="BS3" s="267" t="s">
        <v>1091</v>
      </c>
      <c r="BU3" s="267"/>
      <c r="BV3" s="267"/>
      <c r="CY3" s="268"/>
      <c r="CZ3" s="268"/>
      <c r="DA3" s="268"/>
      <c r="DB3" s="268"/>
      <c r="DC3" s="268"/>
      <c r="DD3" s="268"/>
      <c r="DE3" s="268"/>
      <c r="DF3" s="268"/>
      <c r="DG3" s="268"/>
      <c r="DH3" s="268"/>
      <c r="DI3" s="268"/>
      <c r="DJ3" s="268"/>
      <c r="DK3" s="268"/>
      <c r="DL3" s="268"/>
      <c r="DM3" s="268"/>
      <c r="DN3" s="268"/>
      <c r="DO3" s="268"/>
      <c r="DP3" s="268"/>
      <c r="DQ3" s="268"/>
      <c r="DR3" s="268"/>
      <c r="DS3" s="268"/>
      <c r="DT3" s="268"/>
      <c r="DU3" s="268"/>
      <c r="DV3" s="268"/>
      <c r="DW3" s="268"/>
      <c r="DX3" s="268"/>
      <c r="DY3" s="268"/>
      <c r="DZ3" s="268"/>
      <c r="EA3" s="268"/>
      <c r="EB3" s="269"/>
      <c r="GK3" s="270"/>
      <c r="GL3" s="270"/>
      <c r="GM3" s="270"/>
      <c r="GN3" s="270"/>
      <c r="GO3" s="270"/>
      <c r="GP3" s="270"/>
      <c r="GQ3" s="270"/>
      <c r="GR3" s="270"/>
      <c r="GS3" s="270"/>
      <c r="GT3" s="270"/>
      <c r="GU3" s="270"/>
      <c r="GV3" s="270"/>
      <c r="GW3" s="270"/>
      <c r="GX3" s="270"/>
      <c r="GY3" s="270"/>
      <c r="GZ3" s="270"/>
      <c r="HA3" s="270"/>
      <c r="HB3" s="270"/>
      <c r="HC3" s="270"/>
      <c r="HD3" s="270"/>
      <c r="HE3" s="270"/>
      <c r="HF3" s="270"/>
      <c r="HG3" s="270"/>
      <c r="HH3" s="270"/>
      <c r="HI3" s="270"/>
      <c r="HJ3" s="270"/>
      <c r="HK3" s="270"/>
      <c r="HL3" s="270"/>
      <c r="HM3" s="270"/>
      <c r="HO3" s="269"/>
      <c r="HS3" s="267"/>
      <c r="HT3" s="267"/>
      <c r="HU3" s="267"/>
      <c r="HV3" s="267"/>
      <c r="HW3" s="267"/>
      <c r="HX3" s="267"/>
      <c r="HY3" s="267"/>
      <c r="HZ3" s="267"/>
      <c r="IA3" s="267"/>
      <c r="IB3" s="267"/>
      <c r="IC3" s="267"/>
      <c r="ID3" s="267"/>
      <c r="IE3" s="267"/>
      <c r="IF3" s="267"/>
      <c r="IG3" s="267"/>
      <c r="IH3" s="267"/>
      <c r="II3" s="267"/>
      <c r="IJ3" s="267"/>
      <c r="IK3" s="267"/>
      <c r="IL3" s="267"/>
      <c r="IM3" s="267"/>
      <c r="IN3" s="267"/>
      <c r="IO3" s="267"/>
      <c r="IP3" s="267"/>
      <c r="IQ3" s="267"/>
      <c r="IR3" s="267"/>
      <c r="IS3" s="267"/>
      <c r="IT3" s="267"/>
      <c r="IU3" s="267"/>
      <c r="IX3" s="267"/>
      <c r="IY3" s="267"/>
      <c r="IZ3" s="267"/>
      <c r="JA3" s="267"/>
      <c r="JB3" s="267"/>
      <c r="JC3" s="267"/>
      <c r="JD3" s="267"/>
      <c r="JE3" s="267"/>
      <c r="JF3" s="267"/>
      <c r="JG3" s="267"/>
      <c r="JH3" s="267"/>
      <c r="JI3" s="267"/>
      <c r="JJ3" s="267"/>
      <c r="JK3" s="267"/>
      <c r="JL3" s="267"/>
      <c r="JM3" s="267"/>
      <c r="JN3" s="267"/>
      <c r="JO3" s="267"/>
      <c r="JP3" s="267"/>
      <c r="JQ3" s="267"/>
      <c r="JR3" s="267"/>
      <c r="JS3" s="267"/>
      <c r="JT3" s="267"/>
      <c r="JU3" s="267"/>
      <c r="JV3" s="267"/>
      <c r="JW3" s="267"/>
      <c r="JX3" s="267"/>
      <c r="JY3" s="267"/>
      <c r="JZ3" s="267"/>
      <c r="KA3" s="267"/>
      <c r="KB3" s="269"/>
      <c r="KC3" s="271"/>
      <c r="KD3" s="269"/>
      <c r="KE3" s="269"/>
      <c r="KF3" s="269"/>
      <c r="KG3" s="269"/>
      <c r="KH3" s="269"/>
      <c r="KI3" s="269"/>
    </row>
    <row r="4" spans="1:318" s="265" customFormat="1" ht="13.5" customHeight="1" x14ac:dyDescent="0.25">
      <c r="A4" s="38"/>
      <c r="B4" s="430" t="s">
        <v>1087</v>
      </c>
      <c r="C4" s="430"/>
      <c r="D4" s="430"/>
      <c r="E4" s="430"/>
      <c r="F4" s="430"/>
      <c r="G4" s="430"/>
      <c r="H4" s="430"/>
      <c r="I4" s="430"/>
      <c r="J4" s="430"/>
      <c r="K4" s="430"/>
      <c r="L4" s="430"/>
      <c r="M4" s="430"/>
      <c r="N4" s="430"/>
      <c r="O4" s="430"/>
      <c r="P4" s="430"/>
      <c r="Q4" s="430"/>
      <c r="R4" s="430"/>
      <c r="S4" s="430"/>
      <c r="T4" s="430"/>
      <c r="U4" s="430"/>
      <c r="V4" s="180"/>
      <c r="W4" s="180"/>
      <c r="X4" s="192"/>
      <c r="Y4" s="180"/>
      <c r="Z4" s="180"/>
      <c r="AA4" s="180"/>
      <c r="AB4" s="180"/>
      <c r="AC4" s="180"/>
      <c r="AD4" s="180"/>
      <c r="AE4" s="180"/>
      <c r="AF4" s="180"/>
      <c r="AG4" s="180"/>
      <c r="AH4" s="180"/>
      <c r="AI4" s="180"/>
      <c r="AJ4" s="274"/>
      <c r="AK4" s="180"/>
      <c r="AL4" s="177"/>
      <c r="AM4" s="149"/>
      <c r="AN4" s="174"/>
      <c r="AO4" s="149"/>
      <c r="AP4" s="149"/>
      <c r="AQ4" s="149"/>
      <c r="AR4" s="149"/>
      <c r="AS4" s="149"/>
      <c r="AT4" s="149"/>
      <c r="AU4" s="149"/>
      <c r="AV4" s="149"/>
      <c r="AW4" s="149"/>
      <c r="AX4" s="149"/>
      <c r="AY4" s="149"/>
      <c r="AZ4" s="149"/>
      <c r="BA4" s="149"/>
      <c r="BB4" s="149"/>
      <c r="BC4" s="149"/>
      <c r="BD4" s="149"/>
      <c r="BE4" s="149"/>
      <c r="BF4" s="149"/>
      <c r="BG4" s="149"/>
      <c r="BH4" s="149"/>
      <c r="BI4" s="149"/>
      <c r="BJ4" s="149"/>
      <c r="BK4" s="149"/>
      <c r="BL4" s="149"/>
      <c r="BM4" s="149"/>
      <c r="BO4" s="267">
        <v>3</v>
      </c>
      <c r="BP4" s="267">
        <v>2023</v>
      </c>
      <c r="BQ4" s="273" t="s">
        <v>19</v>
      </c>
      <c r="BR4" s="267"/>
      <c r="BS4" s="267" t="s">
        <v>1092</v>
      </c>
      <c r="BU4" s="267"/>
      <c r="BV4" s="267"/>
      <c r="CY4" s="268"/>
      <c r="CZ4" s="268"/>
      <c r="DA4" s="268"/>
      <c r="DB4" s="268"/>
      <c r="DC4" s="268"/>
      <c r="DD4" s="268"/>
      <c r="DE4" s="268"/>
      <c r="DF4" s="268"/>
      <c r="DG4" s="268"/>
      <c r="DH4" s="268"/>
      <c r="DI4" s="268"/>
      <c r="DJ4" s="268"/>
      <c r="DK4" s="268"/>
      <c r="DL4" s="268"/>
      <c r="DM4" s="268"/>
      <c r="DN4" s="268"/>
      <c r="DO4" s="268"/>
      <c r="DP4" s="268"/>
      <c r="DQ4" s="268"/>
      <c r="DR4" s="268"/>
      <c r="DS4" s="268"/>
      <c r="DT4" s="268"/>
      <c r="DU4" s="268"/>
      <c r="DV4" s="268"/>
      <c r="DW4" s="268"/>
      <c r="DX4" s="268"/>
      <c r="DY4" s="268"/>
      <c r="DZ4" s="268"/>
      <c r="EA4" s="268"/>
      <c r="EB4" s="269"/>
      <c r="GK4" s="270"/>
      <c r="GL4" s="270"/>
      <c r="GM4" s="270"/>
      <c r="GN4" s="270"/>
      <c r="GO4" s="270"/>
      <c r="GP4" s="270"/>
      <c r="GQ4" s="270"/>
      <c r="GR4" s="270"/>
      <c r="GS4" s="270"/>
      <c r="GT4" s="270"/>
      <c r="GU4" s="270"/>
      <c r="GV4" s="270"/>
      <c r="GW4" s="270"/>
      <c r="GX4" s="270"/>
      <c r="GY4" s="270"/>
      <c r="GZ4" s="270"/>
      <c r="HA4" s="270"/>
      <c r="HB4" s="270"/>
      <c r="HC4" s="270"/>
      <c r="HD4" s="270"/>
      <c r="HE4" s="270"/>
      <c r="HF4" s="270"/>
      <c r="HG4" s="270"/>
      <c r="HH4" s="270"/>
      <c r="HI4" s="270"/>
      <c r="HJ4" s="270"/>
      <c r="HK4" s="270"/>
      <c r="HL4" s="270"/>
      <c r="HM4" s="270"/>
      <c r="HO4" s="269"/>
      <c r="HS4" s="267"/>
      <c r="HT4" s="267"/>
      <c r="HU4" s="267"/>
      <c r="HV4" s="267"/>
      <c r="HW4" s="267"/>
      <c r="HX4" s="267"/>
      <c r="HY4" s="267"/>
      <c r="HZ4" s="267"/>
      <c r="IA4" s="267"/>
      <c r="IB4" s="267"/>
      <c r="IC4" s="267"/>
      <c r="ID4" s="267"/>
      <c r="IE4" s="267"/>
      <c r="IF4" s="267"/>
      <c r="IG4" s="267"/>
      <c r="IH4" s="267"/>
      <c r="II4" s="267"/>
      <c r="IJ4" s="267"/>
      <c r="IK4" s="267"/>
      <c r="IL4" s="267"/>
      <c r="IM4" s="267"/>
      <c r="IN4" s="267"/>
      <c r="IO4" s="267"/>
      <c r="IP4" s="267"/>
      <c r="IQ4" s="267"/>
      <c r="IR4" s="267"/>
      <c r="IS4" s="267"/>
      <c r="IT4" s="267"/>
      <c r="IU4" s="267"/>
      <c r="IX4" s="267"/>
      <c r="IY4" s="267"/>
      <c r="IZ4" s="267"/>
      <c r="JA4" s="267"/>
      <c r="JB4" s="267"/>
      <c r="JC4" s="267"/>
      <c r="JD4" s="267"/>
      <c r="JE4" s="267"/>
      <c r="JF4" s="267"/>
      <c r="JG4" s="267"/>
      <c r="JH4" s="267"/>
      <c r="JI4" s="267"/>
      <c r="JJ4" s="267"/>
      <c r="JK4" s="267"/>
      <c r="JL4" s="267"/>
      <c r="JM4" s="267"/>
      <c r="JN4" s="267"/>
      <c r="JO4" s="267"/>
      <c r="JP4" s="267"/>
      <c r="JQ4" s="267"/>
      <c r="JR4" s="267"/>
      <c r="JS4" s="267"/>
      <c r="JT4" s="267"/>
      <c r="JU4" s="267"/>
      <c r="JV4" s="267"/>
      <c r="JW4" s="267"/>
      <c r="JX4" s="267"/>
      <c r="JY4" s="267"/>
      <c r="JZ4" s="267"/>
      <c r="KA4" s="267"/>
      <c r="KB4" s="269"/>
      <c r="KC4" s="271"/>
      <c r="KD4" s="269"/>
      <c r="KE4" s="269"/>
      <c r="KF4" s="269"/>
      <c r="KG4" s="269"/>
      <c r="KH4" s="269"/>
      <c r="KI4" s="269"/>
    </row>
    <row r="5" spans="1:318" s="265" customFormat="1" ht="9" customHeight="1" x14ac:dyDescent="0.2">
      <c r="A5" s="38"/>
      <c r="B5" s="174" t="s">
        <v>1070</v>
      </c>
      <c r="C5" s="174"/>
      <c r="D5" s="174"/>
      <c r="E5" s="174"/>
      <c r="F5" s="174"/>
      <c r="G5" s="174"/>
      <c r="H5" s="174"/>
      <c r="I5" s="174"/>
      <c r="J5" s="174"/>
      <c r="K5" s="174"/>
      <c r="L5" s="174"/>
      <c r="M5" s="174"/>
      <c r="N5" s="174"/>
      <c r="O5" s="174"/>
      <c r="P5" s="174"/>
      <c r="Q5" s="174"/>
      <c r="R5" s="174"/>
      <c r="S5" s="174"/>
      <c r="T5" s="174"/>
      <c r="U5" s="174"/>
      <c r="V5" s="174"/>
      <c r="W5" s="174"/>
      <c r="X5" s="193"/>
      <c r="Y5" s="174"/>
      <c r="Z5" s="174"/>
      <c r="AA5" s="174"/>
      <c r="AB5" s="174"/>
      <c r="AC5" s="174"/>
      <c r="AD5" s="174"/>
      <c r="AE5" s="174"/>
      <c r="AF5" s="174"/>
      <c r="AG5" s="174"/>
      <c r="AH5" s="174"/>
      <c r="AI5" s="174"/>
      <c r="AJ5" s="275"/>
      <c r="AK5" s="177"/>
      <c r="AL5" s="177"/>
      <c r="AM5" s="149"/>
      <c r="AN5" s="174"/>
      <c r="AO5" s="149"/>
      <c r="AP5" s="149"/>
      <c r="AQ5" s="149"/>
      <c r="AR5" s="149"/>
      <c r="AS5" s="149"/>
      <c r="AT5" s="149"/>
      <c r="AU5" s="149"/>
      <c r="AV5" s="149"/>
      <c r="AW5" s="149"/>
      <c r="AX5" s="149"/>
      <c r="AY5" s="149"/>
      <c r="AZ5" s="149"/>
      <c r="BA5" s="149"/>
      <c r="BB5" s="149"/>
      <c r="BC5" s="149"/>
      <c r="BD5" s="149"/>
      <c r="BE5" s="149"/>
      <c r="BF5" s="149"/>
      <c r="BG5" s="149"/>
      <c r="BH5" s="149"/>
      <c r="BI5" s="149"/>
      <c r="BJ5" s="149"/>
      <c r="BK5" s="149"/>
      <c r="BL5" s="149"/>
      <c r="BM5" s="149"/>
      <c r="BO5" s="267">
        <v>4</v>
      </c>
      <c r="BP5" s="267">
        <v>2024</v>
      </c>
      <c r="BQ5" s="273" t="s">
        <v>20</v>
      </c>
      <c r="BR5" s="267"/>
      <c r="BS5" s="267" t="s">
        <v>1093</v>
      </c>
      <c r="BU5" s="267"/>
      <c r="BV5" s="267"/>
      <c r="CY5" s="268"/>
      <c r="CZ5" s="268"/>
      <c r="DA5" s="268"/>
      <c r="DB5" s="268"/>
      <c r="DC5" s="268"/>
      <c r="DD5" s="268"/>
      <c r="DE5" s="268"/>
      <c r="DF5" s="268"/>
      <c r="DG5" s="268"/>
      <c r="DH5" s="268"/>
      <c r="DI5" s="268"/>
      <c r="DJ5" s="268"/>
      <c r="DK5" s="268"/>
      <c r="DL5" s="268"/>
      <c r="DM5" s="268"/>
      <c r="DN5" s="268"/>
      <c r="DO5" s="268"/>
      <c r="DP5" s="268"/>
      <c r="DQ5" s="268"/>
      <c r="DR5" s="268"/>
      <c r="DS5" s="268"/>
      <c r="DT5" s="268"/>
      <c r="DU5" s="268"/>
      <c r="DV5" s="268"/>
      <c r="DW5" s="268"/>
      <c r="DX5" s="268"/>
      <c r="DY5" s="268"/>
      <c r="DZ5" s="268"/>
      <c r="EA5" s="268"/>
      <c r="EB5" s="269"/>
      <c r="GK5" s="270"/>
      <c r="GL5" s="270"/>
      <c r="GM5" s="270"/>
      <c r="GN5" s="270"/>
      <c r="GO5" s="270"/>
      <c r="GP5" s="270"/>
      <c r="GQ5" s="270"/>
      <c r="GR5" s="270"/>
      <c r="GS5" s="270"/>
      <c r="GT5" s="270"/>
      <c r="GU5" s="270"/>
      <c r="GV5" s="270"/>
      <c r="GW5" s="270"/>
      <c r="GX5" s="270"/>
      <c r="GY5" s="270"/>
      <c r="GZ5" s="270"/>
      <c r="HA5" s="270"/>
      <c r="HB5" s="270"/>
      <c r="HC5" s="270"/>
      <c r="HD5" s="270"/>
      <c r="HE5" s="270"/>
      <c r="HF5" s="270"/>
      <c r="HG5" s="270"/>
      <c r="HH5" s="270"/>
      <c r="HI5" s="270"/>
      <c r="HJ5" s="270"/>
      <c r="HK5" s="270"/>
      <c r="HL5" s="270"/>
      <c r="HM5" s="270"/>
      <c r="HO5" s="269"/>
      <c r="HS5" s="267"/>
      <c r="HT5" s="267"/>
      <c r="HU5" s="267"/>
      <c r="HV5" s="267"/>
      <c r="HW5" s="267"/>
      <c r="HX5" s="267"/>
      <c r="HY5" s="267"/>
      <c r="HZ5" s="267"/>
      <c r="IA5" s="267"/>
      <c r="IB5" s="267"/>
      <c r="IC5" s="267"/>
      <c r="ID5" s="267"/>
      <c r="IE5" s="267"/>
      <c r="IF5" s="267"/>
      <c r="IG5" s="267"/>
      <c r="IH5" s="267"/>
      <c r="II5" s="267"/>
      <c r="IJ5" s="267"/>
      <c r="IK5" s="267"/>
      <c r="IL5" s="267"/>
      <c r="IM5" s="267"/>
      <c r="IN5" s="267"/>
      <c r="IO5" s="267"/>
      <c r="IP5" s="267"/>
      <c r="IQ5" s="267"/>
      <c r="IR5" s="267"/>
      <c r="IS5" s="267"/>
      <c r="IT5" s="267"/>
      <c r="IU5" s="267"/>
      <c r="IX5" s="267"/>
      <c r="IY5" s="267"/>
      <c r="IZ5" s="267"/>
      <c r="JA5" s="267"/>
      <c r="JB5" s="267"/>
      <c r="JC5" s="267"/>
      <c r="JD5" s="267"/>
      <c r="JE5" s="267"/>
      <c r="JF5" s="267"/>
      <c r="JG5" s="267"/>
      <c r="JH5" s="267"/>
      <c r="JI5" s="267"/>
      <c r="JJ5" s="267"/>
      <c r="JK5" s="267"/>
      <c r="JL5" s="267"/>
      <c r="JM5" s="267"/>
      <c r="JN5" s="267"/>
      <c r="JO5" s="267"/>
      <c r="JP5" s="267"/>
      <c r="JQ5" s="267"/>
      <c r="JR5" s="267"/>
      <c r="JS5" s="267"/>
      <c r="JT5" s="267"/>
      <c r="JU5" s="267"/>
      <c r="JV5" s="267"/>
      <c r="JW5" s="267"/>
      <c r="JX5" s="267"/>
      <c r="JY5" s="267"/>
      <c r="JZ5" s="267"/>
      <c r="KA5" s="267"/>
      <c r="KB5" s="269"/>
      <c r="KC5" s="271"/>
      <c r="KD5" s="269"/>
      <c r="KE5" s="269"/>
      <c r="KF5" s="269"/>
      <c r="KG5" s="269"/>
      <c r="KH5" s="269"/>
      <c r="KI5" s="269"/>
    </row>
    <row r="6" spans="1:318" s="265" customFormat="1" ht="12" customHeight="1" x14ac:dyDescent="0.2">
      <c r="A6" s="38"/>
      <c r="B6" s="183" t="s">
        <v>1073</v>
      </c>
      <c r="C6" s="185"/>
      <c r="D6" s="185"/>
      <c r="E6" s="183"/>
      <c r="F6" s="434"/>
      <c r="G6" s="434"/>
      <c r="H6" s="434"/>
      <c r="I6" s="434"/>
      <c r="J6" s="434"/>
      <c r="K6" s="434"/>
      <c r="L6" s="434"/>
      <c r="M6" s="434"/>
      <c r="N6" s="176"/>
      <c r="O6" s="183" t="s">
        <v>1068</v>
      </c>
      <c r="P6" s="259">
        <v>1</v>
      </c>
      <c r="Q6" s="179" t="s">
        <v>16</v>
      </c>
      <c r="R6" s="261">
        <f>DAY(DATE(T6,P6+1,1)-1)</f>
        <v>31</v>
      </c>
      <c r="S6" s="174" t="s">
        <v>1069</v>
      </c>
      <c r="T6" s="431">
        <v>2024</v>
      </c>
      <c r="U6" s="431"/>
      <c r="V6" s="181"/>
      <c r="W6" s="181"/>
      <c r="X6" s="194"/>
      <c r="Y6" s="177"/>
      <c r="Z6" s="182"/>
      <c r="AA6" s="183"/>
      <c r="AB6" s="182"/>
      <c r="AC6" s="426"/>
      <c r="AD6" s="426"/>
      <c r="AE6" s="426"/>
      <c r="AF6" s="426"/>
      <c r="AG6" s="426"/>
      <c r="AH6" s="426"/>
      <c r="AI6" s="182"/>
      <c r="AJ6" s="275"/>
      <c r="AK6" s="177"/>
      <c r="AL6" s="176"/>
      <c r="AM6" s="149"/>
      <c r="AN6" s="174"/>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O6" s="267">
        <v>5</v>
      </c>
      <c r="BP6" s="267">
        <v>2025</v>
      </c>
      <c r="BQ6" s="273" t="s">
        <v>21</v>
      </c>
      <c r="BR6" s="267"/>
      <c r="BS6" s="267" t="s">
        <v>1094</v>
      </c>
      <c r="BU6" s="267"/>
      <c r="BV6" s="267"/>
      <c r="CY6" s="268"/>
      <c r="CZ6" s="268"/>
      <c r="DA6" s="268"/>
      <c r="DB6" s="268"/>
      <c r="DC6" s="268"/>
      <c r="DD6" s="268"/>
      <c r="DE6" s="268"/>
      <c r="DF6" s="268"/>
      <c r="DG6" s="268"/>
      <c r="DH6" s="268"/>
      <c r="DI6" s="268"/>
      <c r="DJ6" s="268"/>
      <c r="DK6" s="268"/>
      <c r="DL6" s="268"/>
      <c r="DM6" s="268"/>
      <c r="DN6" s="268"/>
      <c r="DO6" s="268"/>
      <c r="DP6" s="268"/>
      <c r="DQ6" s="268"/>
      <c r="DR6" s="268"/>
      <c r="DS6" s="268"/>
      <c r="DT6" s="268"/>
      <c r="DU6" s="268"/>
      <c r="DV6" s="268"/>
      <c r="DW6" s="268"/>
      <c r="DX6" s="268"/>
      <c r="DY6" s="268"/>
      <c r="DZ6" s="268"/>
      <c r="EA6" s="268"/>
      <c r="EB6" s="269"/>
      <c r="GK6" s="270"/>
      <c r="GL6" s="270"/>
      <c r="GM6" s="270"/>
      <c r="GN6" s="270"/>
      <c r="GO6" s="270"/>
      <c r="GP6" s="270"/>
      <c r="GQ6" s="270"/>
      <c r="GR6" s="270"/>
      <c r="GS6" s="270"/>
      <c r="GT6" s="270"/>
      <c r="GU6" s="270"/>
      <c r="GV6" s="270"/>
      <c r="GW6" s="270"/>
      <c r="GX6" s="270"/>
      <c r="GY6" s="270"/>
      <c r="GZ6" s="270"/>
      <c r="HA6" s="270"/>
      <c r="HB6" s="270"/>
      <c r="HC6" s="270"/>
      <c r="HD6" s="270"/>
      <c r="HE6" s="270"/>
      <c r="HF6" s="270"/>
      <c r="HG6" s="270"/>
      <c r="HH6" s="270"/>
      <c r="HI6" s="270"/>
      <c r="HJ6" s="270"/>
      <c r="HK6" s="270"/>
      <c r="HL6" s="270"/>
      <c r="HM6" s="270"/>
      <c r="HO6" s="269"/>
      <c r="HS6" s="267"/>
      <c r="HT6" s="267"/>
      <c r="HU6" s="267"/>
      <c r="HV6" s="267"/>
      <c r="HW6" s="267"/>
      <c r="HX6" s="267"/>
      <c r="HY6" s="267"/>
      <c r="HZ6" s="267"/>
      <c r="IA6" s="267"/>
      <c r="IB6" s="267"/>
      <c r="IC6" s="267"/>
      <c r="ID6" s="267"/>
      <c r="IE6" s="267"/>
      <c r="IF6" s="267"/>
      <c r="IG6" s="267"/>
      <c r="IH6" s="267"/>
      <c r="II6" s="267"/>
      <c r="IJ6" s="267"/>
      <c r="IK6" s="267"/>
      <c r="IL6" s="267"/>
      <c r="IM6" s="267"/>
      <c r="IN6" s="267"/>
      <c r="IO6" s="267"/>
      <c r="IP6" s="267"/>
      <c r="IQ6" s="267"/>
      <c r="IR6" s="267"/>
      <c r="IS6" s="267"/>
      <c r="IT6" s="267"/>
      <c r="IU6" s="267"/>
      <c r="IX6" s="267"/>
      <c r="IY6" s="267"/>
      <c r="IZ6" s="267"/>
      <c r="JA6" s="267"/>
      <c r="JB6" s="267"/>
      <c r="JC6" s="267"/>
      <c r="JD6" s="267"/>
      <c r="JE6" s="267"/>
      <c r="JF6" s="267"/>
      <c r="JG6" s="267"/>
      <c r="JH6" s="267"/>
      <c r="JI6" s="267"/>
      <c r="JJ6" s="267"/>
      <c r="JK6" s="267"/>
      <c r="JL6" s="267"/>
      <c r="JM6" s="267"/>
      <c r="JN6" s="267"/>
      <c r="JO6" s="267"/>
      <c r="JP6" s="267"/>
      <c r="JQ6" s="267"/>
      <c r="JR6" s="267"/>
      <c r="JS6" s="267"/>
      <c r="JT6" s="267"/>
      <c r="JU6" s="267"/>
      <c r="JV6" s="267"/>
      <c r="JW6" s="267"/>
      <c r="JX6" s="267"/>
      <c r="JY6" s="267"/>
      <c r="JZ6" s="267"/>
      <c r="KA6" s="267"/>
      <c r="KB6" s="269"/>
      <c r="KC6" s="271"/>
      <c r="KD6" s="269"/>
      <c r="KE6" s="269"/>
      <c r="KF6" s="269"/>
      <c r="KG6" s="269"/>
      <c r="KH6" s="269"/>
      <c r="KI6" s="269"/>
    </row>
    <row r="7" spans="1:318" s="265" customFormat="1" ht="12" customHeight="1" x14ac:dyDescent="0.2">
      <c r="A7" s="38"/>
      <c r="B7" s="183" t="s">
        <v>1074</v>
      </c>
      <c r="C7" s="185"/>
      <c r="D7" s="185"/>
      <c r="E7" s="183"/>
      <c r="F7" s="435"/>
      <c r="G7" s="435"/>
      <c r="H7" s="435"/>
      <c r="I7" s="435"/>
      <c r="J7" s="175"/>
      <c r="K7" s="177" t="s">
        <v>1075</v>
      </c>
      <c r="L7" s="435"/>
      <c r="M7" s="435"/>
      <c r="N7" s="177"/>
      <c r="O7" s="174" t="s">
        <v>1084</v>
      </c>
      <c r="P7" s="434"/>
      <c r="Q7" s="434"/>
      <c r="R7" s="176"/>
      <c r="S7" s="174" t="s">
        <v>1076</v>
      </c>
      <c r="T7" s="432" t="str">
        <f>IF('Outfall 1 Limits'!E8&lt;&gt;"",'Outfall 1 Limits'!$E$8,"")</f>
        <v/>
      </c>
      <c r="U7" s="432"/>
      <c r="V7" s="174"/>
      <c r="W7" s="174"/>
      <c r="X7" s="194"/>
      <c r="Y7" s="177"/>
      <c r="Z7" s="182"/>
      <c r="AA7" s="174"/>
      <c r="AB7" s="174"/>
      <c r="AC7" s="176"/>
      <c r="AD7" s="176"/>
      <c r="AE7" s="176"/>
      <c r="AF7" s="176"/>
      <c r="AG7" s="176"/>
      <c r="AH7" s="177"/>
      <c r="AI7" s="177"/>
      <c r="AJ7" s="275"/>
      <c r="AK7" s="276"/>
      <c r="AL7" s="276"/>
      <c r="AM7" s="149"/>
      <c r="AN7" s="174"/>
      <c r="AO7" s="149"/>
      <c r="AP7" s="149"/>
      <c r="AQ7" s="149"/>
      <c r="AR7" s="149"/>
      <c r="AS7" s="149"/>
      <c r="AT7" s="149"/>
      <c r="AU7" s="149"/>
      <c r="AV7" s="149"/>
      <c r="AW7" s="149"/>
      <c r="AX7" s="149"/>
      <c r="AY7" s="149"/>
      <c r="AZ7" s="149"/>
      <c r="BA7" s="149"/>
      <c r="BB7" s="149"/>
      <c r="BC7" s="149"/>
      <c r="BD7" s="149"/>
      <c r="BE7" s="149"/>
      <c r="BF7" s="149"/>
      <c r="BG7" s="149"/>
      <c r="BH7" s="149"/>
      <c r="BI7" s="149"/>
      <c r="BJ7" s="149"/>
      <c r="BK7" s="149"/>
      <c r="BL7" s="149"/>
      <c r="BM7" s="149"/>
      <c r="BO7" s="267">
        <v>6</v>
      </c>
      <c r="BP7" s="267">
        <v>2026</v>
      </c>
      <c r="BQ7" s="273" t="s">
        <v>22</v>
      </c>
      <c r="BR7" s="267"/>
      <c r="BS7" s="267" t="s">
        <v>1095</v>
      </c>
      <c r="BU7" s="267"/>
      <c r="BV7" s="267"/>
      <c r="CY7" s="268"/>
      <c r="CZ7" s="268"/>
      <c r="DA7" s="268"/>
      <c r="DB7" s="268"/>
      <c r="DC7" s="268"/>
      <c r="DD7" s="268"/>
      <c r="DE7" s="268"/>
      <c r="DF7" s="268"/>
      <c r="DG7" s="268"/>
      <c r="DH7" s="268"/>
      <c r="DI7" s="268"/>
      <c r="DJ7" s="268"/>
      <c r="DK7" s="268"/>
      <c r="DL7" s="268"/>
      <c r="DM7" s="268"/>
      <c r="DN7" s="268"/>
      <c r="DO7" s="268"/>
      <c r="DP7" s="268"/>
      <c r="DQ7" s="268"/>
      <c r="DR7" s="268"/>
      <c r="DS7" s="268"/>
      <c r="DT7" s="268"/>
      <c r="DU7" s="268"/>
      <c r="DV7" s="268"/>
      <c r="DW7" s="268"/>
      <c r="DX7" s="268"/>
      <c r="DY7" s="268"/>
      <c r="DZ7" s="268"/>
      <c r="EA7" s="268"/>
      <c r="EB7" s="269"/>
      <c r="GK7" s="270"/>
      <c r="GL7" s="270"/>
      <c r="GM7" s="270"/>
      <c r="GN7" s="270"/>
      <c r="GO7" s="270"/>
      <c r="GP7" s="270"/>
      <c r="GQ7" s="270"/>
      <c r="GR7" s="270"/>
      <c r="GS7" s="270"/>
      <c r="GT7" s="270"/>
      <c r="GU7" s="270"/>
      <c r="GV7" s="270"/>
      <c r="GW7" s="270"/>
      <c r="GX7" s="270"/>
      <c r="GY7" s="270"/>
      <c r="GZ7" s="270"/>
      <c r="HA7" s="270"/>
      <c r="HB7" s="270"/>
      <c r="HC7" s="270"/>
      <c r="HD7" s="270"/>
      <c r="HE7" s="270"/>
      <c r="HF7" s="270"/>
      <c r="HG7" s="270"/>
      <c r="HH7" s="270"/>
      <c r="HI7" s="270"/>
      <c r="HJ7" s="270"/>
      <c r="HK7" s="270"/>
      <c r="HL7" s="270"/>
      <c r="HM7" s="270"/>
      <c r="HO7" s="269"/>
      <c r="HS7" s="267"/>
      <c r="HT7" s="267"/>
      <c r="HU7" s="267"/>
      <c r="HV7" s="267"/>
      <c r="HW7" s="267"/>
      <c r="HX7" s="267"/>
      <c r="HY7" s="267"/>
      <c r="HZ7" s="267"/>
      <c r="IA7" s="267"/>
      <c r="IB7" s="267"/>
      <c r="IC7" s="267"/>
      <c r="ID7" s="267"/>
      <c r="IE7" s="267"/>
      <c r="IF7" s="267"/>
      <c r="IG7" s="267"/>
      <c r="IH7" s="267"/>
      <c r="II7" s="267"/>
      <c r="IJ7" s="267"/>
      <c r="IK7" s="267"/>
      <c r="IL7" s="267"/>
      <c r="IM7" s="267"/>
      <c r="IN7" s="267"/>
      <c r="IO7" s="267"/>
      <c r="IP7" s="267"/>
      <c r="IQ7" s="267"/>
      <c r="IR7" s="267"/>
      <c r="IS7" s="267"/>
      <c r="IT7" s="267"/>
      <c r="IU7" s="267"/>
      <c r="IX7" s="267"/>
      <c r="IY7" s="267"/>
      <c r="IZ7" s="267"/>
      <c r="JA7" s="267"/>
      <c r="JB7" s="267"/>
      <c r="JC7" s="267"/>
      <c r="JD7" s="267"/>
      <c r="JE7" s="267"/>
      <c r="JF7" s="267"/>
      <c r="JG7" s="267"/>
      <c r="JH7" s="267"/>
      <c r="JI7" s="267"/>
      <c r="JJ7" s="267"/>
      <c r="JK7" s="267"/>
      <c r="JL7" s="267"/>
      <c r="JM7" s="267"/>
      <c r="JN7" s="267"/>
      <c r="JO7" s="267"/>
      <c r="JP7" s="267"/>
      <c r="JQ7" s="267"/>
      <c r="JR7" s="267"/>
      <c r="JS7" s="267"/>
      <c r="JT7" s="267"/>
      <c r="JU7" s="267"/>
      <c r="JV7" s="267"/>
      <c r="JW7" s="267"/>
      <c r="JX7" s="267"/>
      <c r="JY7" s="267"/>
      <c r="JZ7" s="267"/>
      <c r="KA7" s="267"/>
      <c r="KB7" s="269"/>
      <c r="KC7" s="271"/>
      <c r="KD7" s="269"/>
      <c r="KE7" s="269"/>
      <c r="KF7" s="269"/>
      <c r="KG7" s="269"/>
      <c r="KH7" s="269"/>
      <c r="KI7" s="269"/>
    </row>
    <row r="8" spans="1:318" s="265" customFormat="1" ht="12" customHeight="1" x14ac:dyDescent="0.2">
      <c r="A8" s="38"/>
      <c r="B8" s="183" t="s">
        <v>1077</v>
      </c>
      <c r="C8" s="185"/>
      <c r="D8" s="185"/>
      <c r="E8" s="183"/>
      <c r="F8" s="435"/>
      <c r="G8" s="435"/>
      <c r="H8" s="435"/>
      <c r="I8" s="175"/>
      <c r="J8" s="174"/>
      <c r="K8" s="174"/>
      <c r="L8" s="174"/>
      <c r="M8" s="174"/>
      <c r="N8" s="174"/>
      <c r="O8" s="183" t="s">
        <v>8</v>
      </c>
      <c r="P8" s="184"/>
      <c r="Q8" s="184"/>
      <c r="R8" s="184"/>
      <c r="S8" s="184"/>
      <c r="T8" s="184"/>
      <c r="U8" s="184"/>
      <c r="V8" s="184"/>
      <c r="W8" s="184"/>
      <c r="X8" s="195"/>
      <c r="Y8" s="184"/>
      <c r="Z8" s="184"/>
      <c r="AA8" s="184"/>
      <c r="AB8" s="182"/>
      <c r="AC8" s="177"/>
      <c r="AD8" s="177"/>
      <c r="AE8" s="177"/>
      <c r="AF8" s="177"/>
      <c r="AG8" s="177"/>
      <c r="AH8" s="177"/>
      <c r="AI8" s="177"/>
      <c r="AJ8" s="277"/>
      <c r="AK8" s="177"/>
      <c r="AL8" s="177"/>
      <c r="AM8" s="149"/>
      <c r="AN8" s="174"/>
      <c r="AO8" s="149"/>
      <c r="AP8" s="149"/>
      <c r="AQ8" s="149"/>
      <c r="AR8" s="149"/>
      <c r="AS8" s="149"/>
      <c r="AT8" s="149"/>
      <c r="AU8" s="149"/>
      <c r="AV8" s="149"/>
      <c r="AW8" s="149"/>
      <c r="AX8" s="149"/>
      <c r="AY8" s="149"/>
      <c r="AZ8" s="149"/>
      <c r="BA8" s="149"/>
      <c r="BB8" s="149"/>
      <c r="BC8" s="149"/>
      <c r="BD8" s="149"/>
      <c r="BE8" s="149"/>
      <c r="BF8" s="149"/>
      <c r="BG8" s="149"/>
      <c r="BH8" s="149"/>
      <c r="BI8" s="149"/>
      <c r="BJ8" s="149"/>
      <c r="BK8" s="149"/>
      <c r="BL8" s="149"/>
      <c r="BM8" s="149"/>
      <c r="BO8" s="267">
        <v>7</v>
      </c>
      <c r="BP8" s="267">
        <v>2027</v>
      </c>
      <c r="BQ8" s="273" t="s">
        <v>23</v>
      </c>
      <c r="BR8" s="267"/>
      <c r="BS8" s="267" t="s">
        <v>1096</v>
      </c>
      <c r="BU8" s="267"/>
      <c r="BV8" s="267"/>
      <c r="CY8" s="268"/>
      <c r="CZ8" s="268"/>
      <c r="DA8" s="268"/>
      <c r="DB8" s="268"/>
      <c r="DC8" s="268"/>
      <c r="DD8" s="268"/>
      <c r="DE8" s="268"/>
      <c r="DF8" s="268"/>
      <c r="DG8" s="268"/>
      <c r="DH8" s="268"/>
      <c r="DI8" s="268"/>
      <c r="DJ8" s="268"/>
      <c r="DK8" s="268"/>
      <c r="DL8" s="268"/>
      <c r="DM8" s="268"/>
      <c r="DN8" s="268"/>
      <c r="DO8" s="268"/>
      <c r="DP8" s="268"/>
      <c r="DQ8" s="268"/>
      <c r="DR8" s="268"/>
      <c r="DS8" s="268"/>
      <c r="DT8" s="268"/>
      <c r="DU8" s="268"/>
      <c r="DV8" s="268"/>
      <c r="DW8" s="268"/>
      <c r="DX8" s="268"/>
      <c r="DY8" s="268"/>
      <c r="DZ8" s="268"/>
      <c r="EA8" s="268"/>
      <c r="EB8" s="269"/>
      <c r="GK8" s="270"/>
      <c r="GL8" s="270"/>
      <c r="GM8" s="270"/>
      <c r="GN8" s="270"/>
      <c r="GO8" s="270"/>
      <c r="GP8" s="270"/>
      <c r="GQ8" s="270"/>
      <c r="GR8" s="270"/>
      <c r="GS8" s="270"/>
      <c r="GT8" s="270"/>
      <c r="GU8" s="270"/>
      <c r="GV8" s="270"/>
      <c r="GW8" s="270"/>
      <c r="GX8" s="270"/>
      <c r="GY8" s="270"/>
      <c r="GZ8" s="270"/>
      <c r="HA8" s="270"/>
      <c r="HB8" s="270"/>
      <c r="HC8" s="270"/>
      <c r="HD8" s="270"/>
      <c r="HE8" s="270"/>
      <c r="HF8" s="270"/>
      <c r="HG8" s="270"/>
      <c r="HH8" s="270"/>
      <c r="HI8" s="270"/>
      <c r="HJ8" s="270"/>
      <c r="HK8" s="270"/>
      <c r="HL8" s="270"/>
      <c r="HM8" s="270"/>
      <c r="HO8" s="269"/>
      <c r="HS8" s="267"/>
      <c r="HT8" s="267"/>
      <c r="HU8" s="267"/>
      <c r="HV8" s="267"/>
      <c r="HW8" s="267"/>
      <c r="HX8" s="267"/>
      <c r="HY8" s="267"/>
      <c r="HZ8" s="267"/>
      <c r="IA8" s="267"/>
      <c r="IB8" s="267"/>
      <c r="IC8" s="267"/>
      <c r="ID8" s="267"/>
      <c r="IE8" s="267"/>
      <c r="IF8" s="267"/>
      <c r="IG8" s="267"/>
      <c r="IH8" s="267"/>
      <c r="II8" s="267"/>
      <c r="IJ8" s="267"/>
      <c r="IK8" s="267"/>
      <c r="IL8" s="267"/>
      <c r="IM8" s="267"/>
      <c r="IN8" s="267"/>
      <c r="IO8" s="267"/>
      <c r="IP8" s="267"/>
      <c r="IQ8" s="267"/>
      <c r="IR8" s="267"/>
      <c r="IS8" s="267"/>
      <c r="IT8" s="267"/>
      <c r="IU8" s="267"/>
      <c r="IX8" s="267"/>
      <c r="IY8" s="267"/>
      <c r="IZ8" s="267"/>
      <c r="JA8" s="267"/>
      <c r="JB8" s="267"/>
      <c r="JC8" s="267"/>
      <c r="JD8" s="267"/>
      <c r="JE8" s="267"/>
      <c r="JF8" s="267"/>
      <c r="JG8" s="267"/>
      <c r="JH8" s="267"/>
      <c r="JI8" s="267"/>
      <c r="JJ8" s="267"/>
      <c r="JK8" s="267"/>
      <c r="JL8" s="267"/>
      <c r="JM8" s="267"/>
      <c r="JN8" s="267"/>
      <c r="JO8" s="267"/>
      <c r="JP8" s="267"/>
      <c r="JQ8" s="267"/>
      <c r="JR8" s="267"/>
      <c r="JS8" s="267"/>
      <c r="JT8" s="267"/>
      <c r="JU8" s="267"/>
      <c r="JV8" s="267"/>
      <c r="JW8" s="267"/>
      <c r="JX8" s="267"/>
      <c r="JY8" s="267"/>
      <c r="JZ8" s="267"/>
      <c r="KA8" s="267"/>
      <c r="KB8" s="269"/>
      <c r="KC8" s="271"/>
      <c r="KD8" s="269"/>
      <c r="KE8" s="269"/>
      <c r="KF8" s="269"/>
      <c r="KG8" s="269"/>
      <c r="KH8" s="269"/>
      <c r="KI8" s="269"/>
    </row>
    <row r="9" spans="1:318" s="265" customFormat="1" ht="12" customHeight="1" x14ac:dyDescent="0.2">
      <c r="A9" s="38"/>
      <c r="B9" s="183" t="s">
        <v>7</v>
      </c>
      <c r="C9" s="185"/>
      <c r="D9" s="185"/>
      <c r="E9" s="185"/>
      <c r="F9" s="434"/>
      <c r="G9" s="434"/>
      <c r="H9" s="434"/>
      <c r="I9" s="434"/>
      <c r="J9" s="434"/>
      <c r="K9" s="434"/>
      <c r="L9" s="434"/>
      <c r="M9" s="434"/>
      <c r="N9" s="176"/>
      <c r="O9" s="174" t="s">
        <v>13</v>
      </c>
      <c r="P9" s="176"/>
      <c r="Q9" s="176"/>
      <c r="R9" s="433"/>
      <c r="S9" s="433"/>
      <c r="T9" s="433"/>
      <c r="U9" s="433"/>
      <c r="V9" s="185"/>
      <c r="W9" s="185"/>
      <c r="X9" s="194"/>
      <c r="Y9" s="177"/>
      <c r="Z9" s="182"/>
      <c r="AA9" s="174"/>
      <c r="AB9" s="174"/>
      <c r="AC9" s="174"/>
      <c r="AD9" s="174"/>
      <c r="AE9" s="174"/>
      <c r="AF9" s="186"/>
      <c r="AG9" s="186"/>
      <c r="AH9" s="186"/>
      <c r="AI9" s="186"/>
      <c r="AJ9" s="278"/>
      <c r="AK9" s="186"/>
      <c r="AL9" s="186"/>
      <c r="AM9" s="149"/>
      <c r="AN9" s="174"/>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O9" s="267">
        <v>8</v>
      </c>
      <c r="BP9" s="267">
        <v>2028</v>
      </c>
      <c r="BQ9" s="273" t="s">
        <v>24</v>
      </c>
      <c r="BR9" s="267"/>
      <c r="BS9" s="267" t="s">
        <v>1097</v>
      </c>
      <c r="BU9" s="267"/>
      <c r="BV9" s="267"/>
      <c r="CY9" s="268"/>
      <c r="CZ9" s="268"/>
      <c r="DA9" s="268"/>
      <c r="DB9" s="268"/>
      <c r="DC9" s="268"/>
      <c r="DD9" s="268"/>
      <c r="DE9" s="268"/>
      <c r="DF9" s="268"/>
      <c r="DG9" s="268"/>
      <c r="DH9" s="268"/>
      <c r="DI9" s="268"/>
      <c r="DJ9" s="268"/>
      <c r="DK9" s="268"/>
      <c r="DL9" s="268"/>
      <c r="DM9" s="268"/>
      <c r="DN9" s="268"/>
      <c r="DO9" s="268"/>
      <c r="DP9" s="268"/>
      <c r="DQ9" s="268"/>
      <c r="DR9" s="268"/>
      <c r="DS9" s="268"/>
      <c r="DT9" s="268"/>
      <c r="DU9" s="268"/>
      <c r="DV9" s="268"/>
      <c r="DW9" s="268"/>
      <c r="DX9" s="268"/>
      <c r="DY9" s="268"/>
      <c r="DZ9" s="268"/>
      <c r="EA9" s="268"/>
      <c r="EB9" s="269"/>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O9" s="269"/>
      <c r="HS9" s="267"/>
      <c r="HT9" s="267"/>
      <c r="HU9" s="267"/>
      <c r="HV9" s="267"/>
      <c r="HW9" s="267"/>
      <c r="HX9" s="267"/>
      <c r="HY9" s="267"/>
      <c r="HZ9" s="267"/>
      <c r="IA9" s="267"/>
      <c r="IB9" s="267"/>
      <c r="IC9" s="267"/>
      <c r="ID9" s="267"/>
      <c r="IE9" s="267"/>
      <c r="IF9" s="267"/>
      <c r="IG9" s="267"/>
      <c r="IH9" s="267"/>
      <c r="II9" s="267"/>
      <c r="IJ9" s="267"/>
      <c r="IK9" s="267"/>
      <c r="IL9" s="267"/>
      <c r="IM9" s="267"/>
      <c r="IN9" s="267"/>
      <c r="IO9" s="267"/>
      <c r="IP9" s="267"/>
      <c r="IQ9" s="267"/>
      <c r="IR9" s="267"/>
      <c r="IS9" s="267"/>
      <c r="IT9" s="267"/>
      <c r="IU9" s="267"/>
      <c r="IX9" s="267"/>
      <c r="IY9" s="267"/>
      <c r="IZ9" s="267"/>
      <c r="JA9" s="267"/>
      <c r="JB9" s="267"/>
      <c r="JC9" s="267"/>
      <c r="JD9" s="267"/>
      <c r="JE9" s="267"/>
      <c r="JF9" s="267"/>
      <c r="JG9" s="267"/>
      <c r="JH9" s="267"/>
      <c r="JI9" s="267"/>
      <c r="JJ9" s="267"/>
      <c r="JK9" s="267"/>
      <c r="JL9" s="267"/>
      <c r="JM9" s="267"/>
      <c r="JN9" s="267"/>
      <c r="JO9" s="267"/>
      <c r="JP9" s="267"/>
      <c r="JQ9" s="267"/>
      <c r="JR9" s="267"/>
      <c r="JS9" s="267"/>
      <c r="JT9" s="267"/>
      <c r="JU9" s="267"/>
      <c r="JV9" s="267"/>
      <c r="JW9" s="267"/>
      <c r="JX9" s="267"/>
      <c r="JY9" s="267"/>
      <c r="JZ9" s="267"/>
      <c r="KA9" s="267"/>
      <c r="KB9" s="269"/>
      <c r="KC9" s="271"/>
      <c r="KD9" s="269"/>
      <c r="KE9" s="269"/>
      <c r="KF9" s="269"/>
      <c r="KG9" s="269"/>
      <c r="KH9" s="269"/>
      <c r="KI9" s="269"/>
    </row>
    <row r="10" spans="1:318" s="18" customFormat="1" ht="9" customHeight="1" thickBot="1" x14ac:dyDescent="0.25">
      <c r="A10" s="38"/>
      <c r="B10" s="40">
        <f>MATCH(DATE($T$6,$P$6 + 1, 1 - 1),E14:E51,0) + 13</f>
        <v>48</v>
      </c>
      <c r="C10" s="40">
        <f>IF(WEEKDAY(DATE($T$6,$P$6+1,1-1),1)&gt;=4, (DATE($T$6,$P$6+1,1-1)) + 7- WEEKDAY(DATE($T$6,$P$6+1,1-1),1), DATE($T$6,$P$6+1,1-1) - WEEKDAY(DATE($T$6,$P$6+1,1-1),1))</f>
        <v>45325</v>
      </c>
      <c r="D10" s="40">
        <f>MATCH(DATE($T$6,$P$6,1),E14:E51,0) + 13</f>
        <v>18</v>
      </c>
      <c r="E10" s="40">
        <f>IF(WEEKDAY(DATE($T$6,$P$6,1),1)&gt;4,DATE($T$6,$P$6,1) + (8-WEEKDAY(DATE($T$6,$P$6,1),1)),DATE($T$6,$P$6,1)-(WEEKDAY(DATE($T$6,$P$6,1),1)-1))</f>
        <v>45291</v>
      </c>
      <c r="F10" s="41"/>
      <c r="G10" s="42"/>
      <c r="H10" s="42"/>
      <c r="I10" s="42"/>
      <c r="J10" s="42"/>
      <c r="K10" s="42"/>
      <c r="L10" s="42"/>
      <c r="M10" s="42"/>
      <c r="N10" s="42"/>
      <c r="O10" s="42"/>
      <c r="P10" s="42"/>
      <c r="Q10" s="42"/>
      <c r="R10" s="42"/>
      <c r="S10" s="42"/>
      <c r="T10" s="42"/>
      <c r="U10" s="42"/>
      <c r="V10" s="187"/>
      <c r="W10" s="187"/>
      <c r="X10" s="200"/>
      <c r="Y10" s="187"/>
      <c r="Z10" s="187"/>
      <c r="AA10" s="187"/>
      <c r="AB10" s="187"/>
      <c r="AC10" s="187"/>
      <c r="AD10" s="187"/>
      <c r="AE10" s="187"/>
      <c r="AF10" s="187"/>
      <c r="AG10" s="187"/>
      <c r="AH10" s="187"/>
      <c r="AI10" s="187"/>
      <c r="AJ10" s="236"/>
      <c r="BO10" s="188">
        <v>9</v>
      </c>
      <c r="BP10" s="267">
        <v>2029</v>
      </c>
      <c r="BQ10" s="83" t="s">
        <v>25</v>
      </c>
      <c r="BR10" s="188"/>
      <c r="BS10" s="188" t="s">
        <v>1098</v>
      </c>
      <c r="BU10" s="188"/>
      <c r="BV10" s="188"/>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2"/>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O10" s="2"/>
      <c r="HS10" s="188"/>
      <c r="HT10" s="188"/>
      <c r="HU10" s="188"/>
      <c r="HV10" s="188"/>
      <c r="HW10" s="188"/>
      <c r="HX10" s="188"/>
      <c r="HY10" s="188"/>
      <c r="HZ10" s="188"/>
      <c r="IA10" s="188"/>
      <c r="IB10" s="188"/>
      <c r="IC10" s="188"/>
      <c r="ID10" s="188"/>
      <c r="IE10" s="188"/>
      <c r="IF10" s="188"/>
      <c r="IG10" s="188"/>
      <c r="IH10" s="188"/>
      <c r="II10" s="188"/>
      <c r="IJ10" s="188"/>
      <c r="IK10" s="188"/>
      <c r="IL10" s="188"/>
      <c r="IM10" s="188"/>
      <c r="IN10" s="188"/>
      <c r="IO10" s="188"/>
      <c r="IP10" s="188"/>
      <c r="IQ10" s="188"/>
      <c r="IR10" s="188"/>
      <c r="IS10" s="188"/>
      <c r="IT10" s="188"/>
      <c r="IU10" s="188"/>
      <c r="IX10" s="188"/>
      <c r="IY10" s="188"/>
      <c r="IZ10" s="188"/>
      <c r="JA10" s="188"/>
      <c r="JB10" s="188"/>
      <c r="JC10" s="188"/>
      <c r="JD10" s="188"/>
      <c r="JE10" s="188"/>
      <c r="JF10" s="188"/>
      <c r="JG10" s="188"/>
      <c r="JH10" s="188"/>
      <c r="JI10" s="188"/>
      <c r="JJ10" s="188"/>
      <c r="JK10" s="188"/>
      <c r="JL10" s="188"/>
      <c r="JM10" s="188"/>
      <c r="JN10" s="188"/>
      <c r="JO10" s="188"/>
      <c r="JP10" s="188"/>
      <c r="JQ10" s="188"/>
      <c r="JR10" s="188"/>
      <c r="JS10" s="188"/>
      <c r="JT10" s="188"/>
      <c r="JU10" s="188"/>
      <c r="JV10" s="188"/>
      <c r="JW10" s="188"/>
      <c r="JX10" s="188"/>
      <c r="JY10" s="188"/>
      <c r="JZ10" s="188"/>
      <c r="KA10" s="188"/>
      <c r="KB10" s="2"/>
      <c r="KC10" s="211"/>
      <c r="KD10" s="2"/>
      <c r="KE10" s="2"/>
      <c r="KF10" s="2"/>
      <c r="KG10" s="2"/>
      <c r="KH10" s="2"/>
      <c r="KI10" s="2"/>
    </row>
    <row r="11" spans="1:318" s="18" customFormat="1" ht="36" customHeight="1" thickTop="1" thickBot="1" x14ac:dyDescent="0.25">
      <c r="A11" s="20"/>
      <c r="B11" s="436" t="s">
        <v>827</v>
      </c>
      <c r="C11" s="436"/>
      <c r="D11" s="436"/>
      <c r="E11" s="436"/>
      <c r="F11" s="437"/>
      <c r="G11" s="151" t="s">
        <v>1088</v>
      </c>
      <c r="H11" s="425" t="str">
        <f>IF('Outfall 1 Limits'!B16&lt;&gt;"",INDEX('Outfall 1 Limits'!$AY$11:$AZ$447,MATCH('Outfall 1 Limits'!$B16,'Outfall 1 Limits'!$AY$11:$AY$447,),MATCH("Parametershort",'Outfall 1 Limits'!$AY$10:$AZ$10,)),"")</f>
        <v/>
      </c>
      <c r="I11" s="425"/>
      <c r="J11" s="425" t="str">
        <f>IF('Outfall 1 Limits'!$B20&lt;&gt;"",INDEX('Outfall 1 Limits'!$AY$11:$AZ$447,MATCH('Outfall 1 Limits'!$B20,'Outfall 1 Limits'!$AY$11:$AY$447,),MATCH("Parametershort",'Outfall 1 Limits'!$AY$10:$AZ$10,)),"")</f>
        <v/>
      </c>
      <c r="K11" s="425"/>
      <c r="L11" s="425" t="str">
        <f>IF('Outfall 1 Limits'!$B24&lt;&gt;"",INDEX('Outfall 1 Limits'!$AY$11:$AZ$447,MATCH('Outfall 1 Limits'!$B24,'Outfall 1 Limits'!$AY$11:$AY$447,),MATCH("Parametershort",'Outfall 1 Limits'!$AY$10:$AZ$10,)),"")</f>
        <v/>
      </c>
      <c r="M11" s="425"/>
      <c r="N11" s="425" t="str">
        <f>IF('Outfall 1 Limits'!$B28&lt;&gt;"",INDEX('Outfall 1 Limits'!$AY$11:$AZ$447,MATCH('Outfall 1 Limits'!$B28,'Outfall 1 Limits'!$AY$11:$AY$447,),MATCH("Parametershort",'Outfall 1 Limits'!$AY$10:$AZ$10,)),"")</f>
        <v/>
      </c>
      <c r="O11" s="425"/>
      <c r="P11" s="425" t="str">
        <f>IF('Outfall 1 Limits'!$B32&lt;&gt;"",INDEX('Outfall 1 Limits'!$AY$11:$AZ$447,MATCH('Outfall 1 Limits'!$B32,'Outfall 1 Limits'!$AY$11:$AY$447,),MATCH("Parametershort",'Outfall 1 Limits'!$AY$10:$AZ$10,)),"")</f>
        <v/>
      </c>
      <c r="Q11" s="425"/>
      <c r="R11" s="419" t="str">
        <f>IF('Outfall 1 Limits'!$B36&lt;&gt;"",INDEX('Outfall 1 Limits'!$AY$11:$AZ$447,MATCH('Outfall 1 Limits'!$B36,'Outfall 1 Limits'!$AY$11:$AY$447,),MATCH("Parametershort",'Outfall 1 Limits'!$AY$10:$AZ$10,)),"")</f>
        <v/>
      </c>
      <c r="S11" s="419"/>
      <c r="T11" s="419" t="str">
        <f>IF('Outfall 1 Limits'!$B40&lt;&gt;"",INDEX('Outfall 1 Limits'!$AY$11:$AZ$447,MATCH('Outfall 1 Limits'!$B40,'Outfall 1 Limits'!$AY$11:$AY$447,),MATCH("Parametershort",'Outfall 1 Limits'!$AY$10:$AZ$10,)),"")</f>
        <v/>
      </c>
      <c r="U11" s="419"/>
      <c r="V11" s="419" t="str">
        <f>IF('Outfall 1 Limits'!$B44&lt;&gt;"",INDEX('Outfall 1 Limits'!$AY$11:$AZ$447,MATCH('Outfall 1 Limits'!$B44,'Outfall 1 Limits'!$AY$11:$AY$447,),MATCH("Parametershort",'Outfall 1 Limits'!$AY$10:$AZ$10,)),"")</f>
        <v/>
      </c>
      <c r="W11" s="419"/>
      <c r="X11" s="419" t="str">
        <f>IF('Outfall 1 Limits'!$B48&lt;&gt;"",INDEX('Outfall 1 Limits'!$AY$11:$AZ$447,MATCH('Outfall 1 Limits'!$B48,'Outfall 1 Limits'!$AY$11:$AY$447,),MATCH("Parametershort",'Outfall 1 Limits'!$AY$10:$AZ$10,)),"")</f>
        <v/>
      </c>
      <c r="Y11" s="419"/>
      <c r="Z11" s="419" t="str">
        <f>IF('Outfall 1 Limits'!$B52&lt;&gt;"",INDEX('Outfall 1 Limits'!$AY$11:$AZ$447,MATCH('Outfall 1 Limits'!$B52,'Outfall 1 Limits'!$AY$11:$AY$447,),MATCH("Parametershort",'Outfall 1 Limits'!$AY$10:$AZ$10,)),"")</f>
        <v/>
      </c>
      <c r="AA11" s="419"/>
      <c r="AB11" s="419" t="str">
        <f>IF('Outfall 1 Limits'!$B56&lt;&gt;"",INDEX('Outfall 1 Limits'!$AY$11:$AZ$447,MATCH('Outfall 1 Limits'!$B56,'Outfall 1 Limits'!$AY$11:$AY$447,),MATCH("Parametershort",'Outfall 1 Limits'!$AY$10:$AZ$10,)),"")</f>
        <v/>
      </c>
      <c r="AC11" s="419"/>
      <c r="AD11" s="419" t="str">
        <f>IF('Outfall 1 Limits'!$B60&lt;&gt;"",INDEX('Outfall 1 Limits'!$AY$11:$AZ$447,MATCH('Outfall 1 Limits'!$B60,'Outfall 1 Limits'!$AY$11:$AY$447,),MATCH("Parametershort",'Outfall 1 Limits'!$AY$10:$AZ$10,)),"")</f>
        <v/>
      </c>
      <c r="AE11" s="419"/>
      <c r="AF11" s="419" t="str">
        <f>IF('Outfall 1 Limits'!$B64&lt;&gt;"",INDEX('Outfall 1 Limits'!$AY$11:$AZ$447,MATCH('Outfall 1 Limits'!$B64,'Outfall 1 Limits'!$AY$11:$AY$447,),MATCH("Parametershort",'Outfall 1 Limits'!$AY$10:$AZ$10,)),"")</f>
        <v/>
      </c>
      <c r="AG11" s="419"/>
      <c r="AH11" s="419" t="str">
        <f>IF('Outfall 1 Limits'!$B68&lt;&gt;"",INDEX('Outfall 1 Limits'!$AY$11:$AZ$447,MATCH('Outfall 1 Limits'!$B68,'Outfall 1 Limits'!$AY$11:$AY$447,),MATCH("Parametershort",'Outfall 1 Limits'!$AY$10:$AZ$10,)),"")</f>
        <v/>
      </c>
      <c r="AI11" s="427"/>
      <c r="AJ11" s="236"/>
      <c r="BO11" s="188">
        <v>10</v>
      </c>
      <c r="BP11" s="267">
        <v>2030</v>
      </c>
      <c r="BQ11" s="83" t="s">
        <v>26</v>
      </c>
      <c r="BR11" s="188"/>
      <c r="BS11" s="188" t="s">
        <v>1099</v>
      </c>
      <c r="BU11" s="212" t="s">
        <v>1166</v>
      </c>
      <c r="BV11" s="213"/>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5" t="s">
        <v>1146</v>
      </c>
      <c r="CZ11" s="216"/>
      <c r="DA11" s="216"/>
      <c r="DB11" s="216"/>
      <c r="DC11" s="216"/>
      <c r="DD11" s="216"/>
      <c r="DE11" s="216"/>
      <c r="DF11" s="216"/>
      <c r="DG11" s="216"/>
      <c r="DH11" s="216"/>
      <c r="DI11" s="216"/>
      <c r="DJ11" s="216"/>
      <c r="DK11" s="216"/>
      <c r="DL11" s="216"/>
      <c r="DM11" s="216"/>
      <c r="DN11" s="216"/>
      <c r="DO11" s="216"/>
      <c r="DP11" s="216"/>
      <c r="DQ11" s="216"/>
      <c r="DR11" s="216"/>
      <c r="DS11" s="216"/>
      <c r="DT11" s="216"/>
      <c r="DU11" s="216"/>
      <c r="DV11" s="216"/>
      <c r="DW11" s="216"/>
      <c r="DX11" s="216"/>
      <c r="DY11" s="216"/>
      <c r="DZ11" s="216"/>
      <c r="EA11" s="216"/>
      <c r="EB11" s="2"/>
      <c r="EC11" s="217" t="s">
        <v>829</v>
      </c>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7" t="s">
        <v>1153</v>
      </c>
      <c r="FH11" s="217"/>
      <c r="FI11" s="217"/>
      <c r="FJ11" s="217"/>
      <c r="FK11" s="217"/>
      <c r="FL11" s="217"/>
      <c r="FM11" s="217"/>
      <c r="FN11" s="217"/>
      <c r="FO11" s="217"/>
      <c r="FP11" s="217"/>
      <c r="FQ11" s="217"/>
      <c r="FR11" s="217"/>
      <c r="FS11" s="217"/>
      <c r="FT11" s="217"/>
      <c r="FU11" s="217"/>
      <c r="FV11" s="217"/>
      <c r="FW11" s="217"/>
      <c r="FX11" s="217"/>
      <c r="FY11" s="217"/>
      <c r="FZ11" s="217"/>
      <c r="GA11" s="217"/>
      <c r="GB11" s="217"/>
      <c r="GC11" s="217"/>
      <c r="GD11" s="217"/>
      <c r="GE11" s="217"/>
      <c r="GF11" s="218"/>
      <c r="GG11" s="218"/>
      <c r="GH11" s="218"/>
      <c r="GI11" s="218"/>
      <c r="GJ11" s="218"/>
      <c r="GK11" s="212" t="s">
        <v>1154</v>
      </c>
      <c r="GL11" s="219"/>
      <c r="GM11" s="219"/>
      <c r="GN11" s="219"/>
      <c r="GO11" s="219"/>
      <c r="GP11" s="219"/>
      <c r="GQ11" s="219"/>
      <c r="GR11" s="219"/>
      <c r="GS11" s="219"/>
      <c r="GT11" s="219"/>
      <c r="GU11" s="219"/>
      <c r="GV11" s="219"/>
      <c r="GW11" s="219"/>
      <c r="GX11" s="219"/>
      <c r="GY11" s="219"/>
      <c r="GZ11" s="219"/>
      <c r="HA11" s="219"/>
      <c r="HB11" s="219"/>
      <c r="HC11" s="219"/>
      <c r="HD11" s="219"/>
      <c r="HE11" s="219"/>
      <c r="HF11" s="219"/>
      <c r="HG11" s="29"/>
      <c r="HH11" s="29"/>
      <c r="HI11" s="219"/>
      <c r="HJ11" s="219"/>
      <c r="HK11" s="219"/>
      <c r="HL11" s="219"/>
      <c r="HM11" s="219"/>
      <c r="HO11" s="217" t="s">
        <v>840</v>
      </c>
      <c r="HS11" s="220" t="s">
        <v>1147</v>
      </c>
      <c r="HT11" s="188"/>
      <c r="HU11" s="188"/>
      <c r="HV11" s="188"/>
      <c r="HW11" s="188"/>
      <c r="HX11" s="188"/>
      <c r="HY11" s="188"/>
      <c r="HZ11" s="188"/>
      <c r="IA11" s="188"/>
      <c r="IB11" s="188"/>
      <c r="IC11" s="188"/>
      <c r="ID11" s="188"/>
      <c r="IE11" s="188"/>
      <c r="IF11" s="188"/>
      <c r="IG11" s="188"/>
      <c r="IH11" s="188"/>
      <c r="II11" s="188"/>
      <c r="IJ11" s="188"/>
      <c r="IK11" s="188"/>
      <c r="IL11" s="188"/>
      <c r="IM11" s="188"/>
      <c r="IN11" s="188"/>
      <c r="IO11" s="188"/>
      <c r="IP11" s="188"/>
      <c r="IQ11" s="188"/>
      <c r="IR11" s="188"/>
      <c r="IS11" s="188"/>
      <c r="IT11" s="188"/>
      <c r="IU11" s="188"/>
      <c r="IX11" s="220" t="s">
        <v>1148</v>
      </c>
      <c r="IY11" s="188"/>
      <c r="IZ11" s="188"/>
      <c r="JA11" s="188"/>
      <c r="JB11" s="188"/>
      <c r="JC11" s="188"/>
      <c r="JD11" s="188"/>
      <c r="JE11" s="188"/>
      <c r="JF11" s="188"/>
      <c r="JG11" s="188"/>
      <c r="JH11" s="188"/>
      <c r="JI11" s="188"/>
      <c r="JJ11" s="188"/>
      <c r="JK11" s="188"/>
      <c r="JL11" s="188"/>
      <c r="JM11" s="188"/>
      <c r="JN11" s="188"/>
      <c r="JO11" s="188"/>
      <c r="JP11" s="188"/>
      <c r="JQ11" s="188"/>
      <c r="JR11" s="188"/>
      <c r="JS11" s="188"/>
      <c r="JT11" s="188"/>
      <c r="JU11" s="188"/>
      <c r="JV11" s="188"/>
      <c r="JW11" s="188"/>
      <c r="JX11" s="188"/>
      <c r="JY11" s="188"/>
      <c r="JZ11" s="188"/>
      <c r="KA11" s="188"/>
      <c r="KB11" s="2"/>
      <c r="KC11" s="211"/>
      <c r="KD11" s="2"/>
      <c r="KE11" s="2"/>
      <c r="KF11" s="2"/>
      <c r="KG11" s="2"/>
      <c r="KH11" s="2"/>
      <c r="KI11" s="2"/>
    </row>
    <row r="12" spans="1:318" s="76" customFormat="1" ht="14.25" thickTop="1" thickBot="1" x14ac:dyDescent="0.25">
      <c r="A12" s="53"/>
      <c r="B12" s="438" t="s">
        <v>828</v>
      </c>
      <c r="C12" s="438"/>
      <c r="D12" s="438"/>
      <c r="E12" s="438"/>
      <c r="F12" s="439"/>
      <c r="G12" s="142">
        <v>1</v>
      </c>
      <c r="H12" s="420" t="str">
        <f>IF('Outfall 1 Limits'!B18&lt;&gt;"",INDEX('Outfall 1 Limits'!$BB$11:$BC$30,MATCH('Outfall 1 Limits'!$B18,'Outfall 1 Limits'!$BB$11:$BB$30,),MATCH("Stagecode",'Outfall 1 Limits'!$BB$10:$BC$10,)),"")</f>
        <v/>
      </c>
      <c r="I12" s="420"/>
      <c r="J12" s="420" t="str">
        <f>IF('Outfall 1 Limits'!$B22&lt;&gt;"",INDEX('Outfall 1 Limits'!$BB$11:$BC$30,MATCH('Outfall 1 Limits'!$B22,'Outfall 1 Limits'!$BB$11:$BB$30,),MATCH("Stagecode",'Outfall 1 Limits'!$BB$10:$BC$10,)),"")</f>
        <v/>
      </c>
      <c r="K12" s="420"/>
      <c r="L12" s="420" t="str">
        <f>IF('Outfall 1 Limits'!$B26&lt;&gt;"",INDEX('Outfall 1 Limits'!$BB$11:$BC$30,MATCH('Outfall 1 Limits'!$B26,'Outfall 1 Limits'!$BB$11:$BB$30,),MATCH("Stagecode",'Outfall 1 Limits'!$BB$10:$BC$10,)),"")</f>
        <v/>
      </c>
      <c r="M12" s="420"/>
      <c r="N12" s="420" t="str">
        <f>IF('Outfall 1 Limits'!$B30&lt;&gt;"",INDEX('Outfall 1 Limits'!$BB$11:$BC$30,MATCH('Outfall 1 Limits'!$B30,'Outfall 1 Limits'!$BB$11:$BB$30,),MATCH("Stagecode",'Outfall 1 Limits'!$BB$10:$BC$10,)),"")</f>
        <v/>
      </c>
      <c r="O12" s="420"/>
      <c r="P12" s="420" t="str">
        <f>IF('Outfall 1 Limits'!$B34&lt;&gt;"",INDEX('Outfall 1 Limits'!$BB$11:$BC$30,MATCH('Outfall 1 Limits'!$B34,'Outfall 1 Limits'!$BB$11:$BB$30,),MATCH("Stagecode",'Outfall 1 Limits'!$BB$10:$BC$10,)),"")</f>
        <v/>
      </c>
      <c r="Q12" s="420"/>
      <c r="R12" s="420" t="str">
        <f>IF('Outfall 1 Limits'!$B38&lt;&gt;"",INDEX('Outfall 1 Limits'!$BB$11:$BC$30,MATCH('Outfall 1 Limits'!$B38,'Outfall 1 Limits'!$BB$11:$BB$30,),MATCH("Stagecode",'Outfall 1 Limits'!$BB$10:$BC$10,)),"")</f>
        <v/>
      </c>
      <c r="S12" s="420"/>
      <c r="T12" s="420" t="str">
        <f>IF('Outfall 1 Limits'!$B42&lt;&gt;"",INDEX('Outfall 1 Limits'!$BB$11:$BC$30,MATCH('Outfall 1 Limits'!$B42,'Outfall 1 Limits'!$BB$11:$BB$30,),MATCH("Stagecode",'Outfall 1 Limits'!$BB$10:$BC$10,)),"")</f>
        <v/>
      </c>
      <c r="U12" s="420"/>
      <c r="V12" s="420" t="str">
        <f>IF('Outfall 1 Limits'!$B46&lt;&gt;"",INDEX('Outfall 1 Limits'!$BB$11:$BC$30,MATCH('Outfall 1 Limits'!$B46,'Outfall 1 Limits'!$BB$11:$BB$30,),MATCH("Stagecode",'Outfall 1 Limits'!$BB$10:$BC$10,)),"")</f>
        <v/>
      </c>
      <c r="W12" s="420"/>
      <c r="X12" s="420" t="str">
        <f>IF('Outfall 1 Limits'!$B50&lt;&gt;"",INDEX('Outfall 1 Limits'!$BB$11:$BC$30,MATCH('Outfall 1 Limits'!$B50,'Outfall 1 Limits'!$BB$11:$BB$30,),MATCH("Stagecode",'Outfall 1 Limits'!$BB$10:$BC$10,)),"")</f>
        <v/>
      </c>
      <c r="Y12" s="420"/>
      <c r="Z12" s="420" t="str">
        <f>IF('Outfall 1 Limits'!$B54&lt;&gt;"",INDEX('Outfall 1 Limits'!$BB$11:$BC$30,MATCH('Outfall 1 Limits'!$B54,'Outfall 1 Limits'!$BB$11:$BB$30,),MATCH("Stagecode",'Outfall 1 Limits'!$BB$10:$BC$10,)),"")</f>
        <v/>
      </c>
      <c r="AA12" s="420"/>
      <c r="AB12" s="420" t="str">
        <f>IF('Outfall 1 Limits'!$B58&lt;&gt;"",INDEX('Outfall 1 Limits'!$BB$11:$BC$30,MATCH('Outfall 1 Limits'!$B58,'Outfall 1 Limits'!$BB$11:$BB$30,),MATCH("Stagecode",'Outfall 1 Limits'!$BB$10:$BC$10,)),"")</f>
        <v/>
      </c>
      <c r="AC12" s="420"/>
      <c r="AD12" s="420" t="str">
        <f>IF('Outfall 1 Limits'!$B62&lt;&gt;"",INDEX('Outfall 1 Limits'!$BB$11:$BC$30,MATCH('Outfall 1 Limits'!$B62,'Outfall 1 Limits'!$BB$11:$BB$30,),MATCH("Stagecode",'Outfall 1 Limits'!$BB$10:$BC$10,)),"")</f>
        <v/>
      </c>
      <c r="AE12" s="420"/>
      <c r="AF12" s="420" t="str">
        <f>IF('Outfall 1 Limits'!$B66&lt;&gt;"",INDEX('Outfall 1 Limits'!$BB$11:$BC$30,MATCH('Outfall 1 Limits'!$B66,'Outfall 1 Limits'!$BB$11:$BB$30,),MATCH("Stagecode",'Outfall 1 Limits'!$BB$10:$BC$10,)),"")</f>
        <v/>
      </c>
      <c r="AG12" s="420"/>
      <c r="AH12" s="420" t="str">
        <f>IF('Outfall 1 Limits'!$B70&lt;&gt;"",INDEX('Outfall 1 Limits'!$BB$11:$BC$30,MATCH('Outfall 1 Limits'!$B70,'Outfall 1 Limits'!$BB$11:$BB$30,),MATCH("Stagecode",'Outfall 1 Limits'!$BB$10:$BC$10,)),"")</f>
        <v/>
      </c>
      <c r="AI12" s="428"/>
      <c r="AJ12" s="236"/>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O12" s="188">
        <v>11</v>
      </c>
      <c r="BP12" s="267">
        <v>2031</v>
      </c>
      <c r="BQ12" s="83" t="s">
        <v>27</v>
      </c>
      <c r="BR12" s="188"/>
      <c r="BS12" s="188" t="s">
        <v>1100</v>
      </c>
      <c r="BT12" s="18"/>
      <c r="BU12" s="66">
        <v>1</v>
      </c>
      <c r="BV12" s="67">
        <v>2</v>
      </c>
      <c r="BW12" s="67">
        <v>3</v>
      </c>
      <c r="BX12" s="67">
        <v>4</v>
      </c>
      <c r="BY12" s="67">
        <v>5</v>
      </c>
      <c r="BZ12" s="67">
        <v>6</v>
      </c>
      <c r="CA12" s="67">
        <v>7</v>
      </c>
      <c r="CB12" s="67">
        <v>8</v>
      </c>
      <c r="CC12" s="67">
        <v>9</v>
      </c>
      <c r="CD12" s="67">
        <v>10</v>
      </c>
      <c r="CE12" s="67">
        <v>11</v>
      </c>
      <c r="CF12" s="67">
        <v>12</v>
      </c>
      <c r="CG12" s="67">
        <v>13</v>
      </c>
      <c r="CH12" s="67">
        <v>14</v>
      </c>
      <c r="CI12" s="18"/>
      <c r="CJ12" s="18"/>
      <c r="CK12" s="18"/>
      <c r="CL12" s="18"/>
      <c r="CM12" s="18"/>
      <c r="CN12" s="18"/>
      <c r="CO12" s="18"/>
      <c r="CP12" s="18"/>
      <c r="CQ12" s="18"/>
      <c r="CR12" s="18"/>
      <c r="CS12" s="18"/>
      <c r="CT12" s="18"/>
      <c r="CU12" s="18"/>
      <c r="CV12" s="18"/>
      <c r="CW12" s="18"/>
      <c r="CX12" s="18"/>
      <c r="CY12" s="73">
        <v>1</v>
      </c>
      <c r="CZ12" s="74">
        <v>2</v>
      </c>
      <c r="DA12" s="74">
        <v>3</v>
      </c>
      <c r="DB12" s="74">
        <v>4</v>
      </c>
      <c r="DC12" s="74">
        <v>5</v>
      </c>
      <c r="DD12" s="74">
        <v>6</v>
      </c>
      <c r="DE12" s="74">
        <v>7</v>
      </c>
      <c r="DF12" s="74">
        <v>8</v>
      </c>
      <c r="DG12" s="74">
        <v>9</v>
      </c>
      <c r="DH12" s="74">
        <v>10</v>
      </c>
      <c r="DI12" s="74">
        <v>11</v>
      </c>
      <c r="DJ12" s="74">
        <v>12</v>
      </c>
      <c r="DK12" s="74">
        <v>13</v>
      </c>
      <c r="DL12" s="74">
        <v>14</v>
      </c>
      <c r="DM12" s="18"/>
      <c r="DN12" s="18"/>
      <c r="DO12" s="18"/>
      <c r="DP12" s="18"/>
      <c r="DQ12" s="18"/>
      <c r="DR12" s="18"/>
      <c r="DS12" s="18"/>
      <c r="DT12" s="18"/>
      <c r="DU12" s="18"/>
      <c r="DV12" s="18"/>
      <c r="DW12" s="18"/>
      <c r="DX12" s="18"/>
      <c r="DY12" s="18"/>
      <c r="DZ12" s="18"/>
      <c r="EA12" s="18"/>
      <c r="EB12" s="2"/>
      <c r="EC12" s="66">
        <v>1</v>
      </c>
      <c r="ED12" s="81">
        <v>2</v>
      </c>
      <c r="EE12" s="81">
        <v>3</v>
      </c>
      <c r="EF12" s="81">
        <v>4</v>
      </c>
      <c r="EG12" s="81">
        <v>5</v>
      </c>
      <c r="EH12" s="81">
        <v>6</v>
      </c>
      <c r="EI12" s="81">
        <v>7</v>
      </c>
      <c r="EJ12" s="81">
        <v>8</v>
      </c>
      <c r="EK12" s="81">
        <v>9</v>
      </c>
      <c r="EL12" s="81">
        <v>10</v>
      </c>
      <c r="EM12" s="81">
        <v>11</v>
      </c>
      <c r="EN12" s="81">
        <v>12</v>
      </c>
      <c r="EO12" s="81">
        <v>13</v>
      </c>
      <c r="EP12" s="81">
        <v>14</v>
      </c>
      <c r="EQ12" s="18"/>
      <c r="ER12" s="18"/>
      <c r="ES12" s="18"/>
      <c r="ET12" s="18"/>
      <c r="EU12" s="18"/>
      <c r="EV12" s="18"/>
      <c r="EW12" s="18"/>
      <c r="EX12" s="18"/>
      <c r="EY12" s="18"/>
      <c r="EZ12" s="18"/>
      <c r="FA12" s="18"/>
      <c r="FB12" s="18"/>
      <c r="FC12" s="18"/>
      <c r="FD12" s="18"/>
      <c r="FE12" s="18"/>
      <c r="FF12" s="19"/>
      <c r="FG12" s="90">
        <v>1</v>
      </c>
      <c r="FH12" s="81">
        <v>2</v>
      </c>
      <c r="FI12" s="81">
        <v>3</v>
      </c>
      <c r="FJ12" s="81">
        <v>4</v>
      </c>
      <c r="FK12" s="81">
        <v>5</v>
      </c>
      <c r="FL12" s="81">
        <v>6</v>
      </c>
      <c r="FM12" s="81">
        <v>7</v>
      </c>
      <c r="FN12" s="81">
        <v>8</v>
      </c>
      <c r="FO12" s="81">
        <v>9</v>
      </c>
      <c r="FP12" s="81">
        <v>10</v>
      </c>
      <c r="FQ12" s="81">
        <v>11</v>
      </c>
      <c r="FR12" s="81">
        <v>12</v>
      </c>
      <c r="FS12" s="81">
        <v>13</v>
      </c>
      <c r="FT12" s="81">
        <v>14</v>
      </c>
      <c r="FU12" s="18"/>
      <c r="FV12" s="18"/>
      <c r="FW12" s="18"/>
      <c r="FX12" s="18"/>
      <c r="FY12" s="18"/>
      <c r="FZ12" s="18"/>
      <c r="GA12" s="18"/>
      <c r="GB12" s="18"/>
      <c r="GC12" s="18"/>
      <c r="GD12" s="18"/>
      <c r="GE12" s="18"/>
      <c r="GF12" s="18"/>
      <c r="GG12" s="18"/>
      <c r="GH12" s="18"/>
      <c r="GI12" s="18"/>
      <c r="GJ12" s="19"/>
      <c r="GK12" s="73">
        <v>1</v>
      </c>
      <c r="GL12" s="94">
        <v>2</v>
      </c>
      <c r="GM12" s="94">
        <v>3</v>
      </c>
      <c r="GN12" s="94">
        <v>4</v>
      </c>
      <c r="GO12" s="94">
        <v>5</v>
      </c>
      <c r="GP12" s="94">
        <v>6</v>
      </c>
      <c r="GQ12" s="94">
        <v>7</v>
      </c>
      <c r="GR12" s="94">
        <v>8</v>
      </c>
      <c r="GS12" s="94">
        <v>9</v>
      </c>
      <c r="GT12" s="94">
        <v>10</v>
      </c>
      <c r="GU12" s="94">
        <v>11</v>
      </c>
      <c r="GV12" s="94">
        <v>12</v>
      </c>
      <c r="GW12" s="94">
        <v>13</v>
      </c>
      <c r="GX12" s="94">
        <v>14</v>
      </c>
      <c r="GY12" s="18"/>
      <c r="GZ12" s="18"/>
      <c r="HA12" s="18"/>
      <c r="HB12" s="18"/>
      <c r="HC12" s="18"/>
      <c r="HD12" s="18"/>
      <c r="HE12" s="18"/>
      <c r="HF12" s="18"/>
      <c r="HG12" s="18"/>
      <c r="HH12" s="18"/>
      <c r="HI12" s="18"/>
      <c r="HJ12" s="18"/>
      <c r="HK12" s="18"/>
      <c r="HL12" s="18"/>
      <c r="HM12" s="18"/>
      <c r="HN12" s="18"/>
      <c r="HO12" s="96">
        <v>1</v>
      </c>
      <c r="HP12" s="18"/>
      <c r="HQ12" s="18"/>
      <c r="HR12" s="18"/>
      <c r="HS12" s="66">
        <v>1</v>
      </c>
      <c r="HT12" s="67">
        <v>2</v>
      </c>
      <c r="HU12" s="67">
        <v>3</v>
      </c>
      <c r="HV12" s="67">
        <v>4</v>
      </c>
      <c r="HW12" s="67">
        <v>5</v>
      </c>
      <c r="HX12" s="67">
        <v>6</v>
      </c>
      <c r="HY12" s="67">
        <v>7</v>
      </c>
      <c r="HZ12" s="67">
        <v>8</v>
      </c>
      <c r="IA12" s="67">
        <v>9</v>
      </c>
      <c r="IB12" s="67">
        <v>10</v>
      </c>
      <c r="IC12" s="67">
        <v>11</v>
      </c>
      <c r="ID12" s="67">
        <v>12</v>
      </c>
      <c r="IE12" s="67">
        <v>13</v>
      </c>
      <c r="IF12" s="67">
        <v>14</v>
      </c>
      <c r="IG12" s="18"/>
      <c r="IH12" s="18"/>
      <c r="II12" s="18"/>
      <c r="IJ12" s="18"/>
      <c r="IK12" s="18"/>
      <c r="IL12" s="18"/>
      <c r="IM12" s="18"/>
      <c r="IN12" s="18"/>
      <c r="IO12" s="18"/>
      <c r="IP12" s="18"/>
      <c r="IQ12" s="18"/>
      <c r="IR12" s="18"/>
      <c r="IS12" s="18"/>
      <c r="IT12" s="18"/>
      <c r="IU12" s="18"/>
      <c r="IW12" s="18"/>
      <c r="IX12" s="66">
        <v>1</v>
      </c>
      <c r="IY12" s="67">
        <v>2</v>
      </c>
      <c r="IZ12" s="67">
        <v>3</v>
      </c>
      <c r="JA12" s="67">
        <v>4</v>
      </c>
      <c r="JB12" s="67">
        <v>5</v>
      </c>
      <c r="JC12" s="67">
        <v>6</v>
      </c>
      <c r="JD12" s="67">
        <v>7</v>
      </c>
      <c r="JE12" s="67">
        <v>8</v>
      </c>
      <c r="JF12" s="67">
        <v>9</v>
      </c>
      <c r="JG12" s="67">
        <v>10</v>
      </c>
      <c r="JH12" s="67">
        <v>11</v>
      </c>
      <c r="JI12" s="67">
        <v>12</v>
      </c>
      <c r="JJ12" s="67">
        <v>13</v>
      </c>
      <c r="JK12" s="67">
        <v>14</v>
      </c>
      <c r="JL12" s="18"/>
      <c r="JM12" s="18"/>
      <c r="JN12" s="18"/>
      <c r="JO12" s="18"/>
      <c r="JP12" s="18"/>
      <c r="JQ12" s="18"/>
      <c r="JR12" s="18"/>
      <c r="JS12" s="18"/>
      <c r="JT12" s="18"/>
      <c r="JU12" s="18"/>
      <c r="JV12" s="18"/>
      <c r="JW12" s="18"/>
      <c r="JX12" s="18"/>
      <c r="JY12" s="18"/>
      <c r="JZ12" s="18"/>
      <c r="KA12" s="188"/>
      <c r="KB12" s="2"/>
      <c r="KC12" s="221"/>
      <c r="KD12" s="161" t="s">
        <v>1169</v>
      </c>
      <c r="KE12" s="162"/>
      <c r="KF12" s="163"/>
      <c r="KG12" s="163"/>
      <c r="KH12" s="163"/>
      <c r="KI12" s="163"/>
      <c r="KJ12" s="163"/>
      <c r="KK12" s="163"/>
      <c r="KL12" s="163"/>
      <c r="KM12" s="163"/>
      <c r="KN12" s="163"/>
      <c r="KO12" s="163"/>
      <c r="KP12" s="163"/>
      <c r="KQ12" s="163"/>
      <c r="KR12" s="18"/>
      <c r="KS12" s="18"/>
      <c r="KT12" s="18"/>
      <c r="KU12" s="18"/>
      <c r="KV12" s="18"/>
      <c r="KW12" s="18"/>
      <c r="KX12" s="18"/>
      <c r="KY12" s="18"/>
      <c r="KZ12" s="18"/>
      <c r="LA12" s="18"/>
      <c r="LB12" s="18"/>
      <c r="LC12" s="18"/>
      <c r="LD12" s="18"/>
      <c r="LE12" s="18"/>
      <c r="LF12" s="18"/>
    </row>
    <row r="13" spans="1:318" s="76" customFormat="1" ht="11.25" customHeight="1" thickBot="1" x14ac:dyDescent="0.25">
      <c r="A13" s="53"/>
      <c r="B13" s="143" t="s">
        <v>1071</v>
      </c>
      <c r="C13" s="424" t="s">
        <v>1082</v>
      </c>
      <c r="D13" s="424"/>
      <c r="E13" s="424" t="s">
        <v>1072</v>
      </c>
      <c r="F13" s="442"/>
      <c r="G13" s="144" t="s">
        <v>1089</v>
      </c>
      <c r="H13" s="145" t="s">
        <v>1120</v>
      </c>
      <c r="I13" s="146" t="str">
        <f>IF('Outfall 1 Limits'!B16&lt;&gt;"",IF(OR('Outfall 1 Limits'!AH16="",'Outfall 1 Limits'!AH16="*****"),'Outfall 1 Limits'!S16,'Outfall 1 Limits'!AH16),"")</f>
        <v/>
      </c>
      <c r="J13" s="145" t="s">
        <v>1120</v>
      </c>
      <c r="K13" s="146" t="str">
        <f>IF('Outfall 1 Limits'!$B20&lt;&gt;"",IF(OR('Outfall 1 Limits'!$AH20="",'Outfall 1 Limits'!$AH20="*****"),'Outfall 1 Limits'!$S20,'Outfall 1 Limits'!$AH20),"")</f>
        <v/>
      </c>
      <c r="L13" s="145" t="s">
        <v>1120</v>
      </c>
      <c r="M13" s="146" t="str">
        <f>IF('Outfall 1 Limits'!$B24&lt;&gt;"",IF(OR('Outfall 1 Limits'!$AH24="",'Outfall 1 Limits'!$AH24="*****"),'Outfall 1 Limits'!$S24,'Outfall 1 Limits'!$AH24),"")</f>
        <v/>
      </c>
      <c r="N13" s="145" t="s">
        <v>1120</v>
      </c>
      <c r="O13" s="146" t="str">
        <f>IF('Outfall 1 Limits'!$B28&lt;&gt;"",IF(OR('Outfall 1 Limits'!$AH28="",'Outfall 1 Limits'!$AH28="*****"),'Outfall 1 Limits'!$S28,'Outfall 1 Limits'!$AH28),"")</f>
        <v/>
      </c>
      <c r="P13" s="145" t="s">
        <v>1120</v>
      </c>
      <c r="Q13" s="146" t="str">
        <f>IF('Outfall 1 Limits'!$B32&lt;&gt;"",IF(OR('Outfall 1 Limits'!$AH32="",'Outfall 1 Limits'!$AH32="*****"),'Outfall 1 Limits'!$S32,'Outfall 1 Limits'!$AH32),"")</f>
        <v/>
      </c>
      <c r="R13" s="145" t="s">
        <v>1120</v>
      </c>
      <c r="S13" s="146" t="str">
        <f>IF('Outfall 1 Limits'!$B36&lt;&gt;"",IF(OR('Outfall 1 Limits'!$AH36="",'Outfall 1 Limits'!$AH36="*****"),'Outfall 1 Limits'!$S36,'Outfall 1 Limits'!$AH36),"")</f>
        <v/>
      </c>
      <c r="T13" s="145" t="s">
        <v>1120</v>
      </c>
      <c r="U13" s="146" t="str">
        <f>IF('Outfall 1 Limits'!$B40&lt;&gt;"",IF(OR('Outfall 1 Limits'!$AH40="",'Outfall 1 Limits'!$AH40="*****"),'Outfall 1 Limits'!$S40,'Outfall 1 Limits'!$AH40),"")</f>
        <v/>
      </c>
      <c r="V13" s="145" t="s">
        <v>1120</v>
      </c>
      <c r="W13" s="146" t="str">
        <f>IF('Outfall 1 Limits'!$B44&lt;&gt;"",IF(OR('Outfall 1 Limits'!$AH44="",'Outfall 1 Limits'!$AH44="*****"),'Outfall 1 Limits'!$S44,'Outfall 1 Limits'!$AH44),"")</f>
        <v/>
      </c>
      <c r="X13" s="145" t="s">
        <v>1120</v>
      </c>
      <c r="Y13" s="146" t="str">
        <f>IF('Outfall 1 Limits'!$B48&lt;&gt;"",IF(OR('Outfall 1 Limits'!$AH48="",'Outfall 1 Limits'!$AH48="*****"),'Outfall 1 Limits'!$S48,'Outfall 1 Limits'!$AH48),"")</f>
        <v/>
      </c>
      <c r="Z13" s="145" t="s">
        <v>1120</v>
      </c>
      <c r="AA13" s="146" t="str">
        <f>IF('Outfall 1 Limits'!$B52&lt;&gt;"",IF(OR('Outfall 1 Limits'!$AH52="",'Outfall 1 Limits'!$AH52="*****"),'Outfall 1 Limits'!$S52,'Outfall 1 Limits'!$AH52),"")</f>
        <v/>
      </c>
      <c r="AB13" s="145" t="s">
        <v>1120</v>
      </c>
      <c r="AC13" s="146" t="str">
        <f>IF('Outfall 1 Limits'!$B56&lt;&gt;"",IF(OR('Outfall 1 Limits'!$AH56="",'Outfall 1 Limits'!$AH56="*****"),'Outfall 1 Limits'!$S56,'Outfall 1 Limits'!$AH56),"")</f>
        <v/>
      </c>
      <c r="AD13" s="145" t="s">
        <v>1120</v>
      </c>
      <c r="AE13" s="146" t="str">
        <f>IF('Outfall 1 Limits'!$B60&lt;&gt;"",IF(OR('Outfall 1 Limits'!$AH60="",'Outfall 1 Limits'!$AH60="*****"),'Outfall 1 Limits'!$S60,'Outfall 1 Limits'!$AH60),"")</f>
        <v/>
      </c>
      <c r="AF13" s="145" t="s">
        <v>1120</v>
      </c>
      <c r="AG13" s="146" t="str">
        <f>IF('Outfall 1 Limits'!$B64&lt;&gt;"",IF(OR('Outfall 1 Limits'!$AH64="",'Outfall 1 Limits'!$AH64="*****"),'Outfall 1 Limits'!$S64,'Outfall 1 Limits'!$AH64),"")</f>
        <v/>
      </c>
      <c r="AH13" s="145" t="s">
        <v>1120</v>
      </c>
      <c r="AI13" s="147" t="str">
        <f>IF('Outfall 1 Limits'!$B68&lt;&gt;"",IF(OR('Outfall 1 Limits'!$AH68="",'Outfall 1 Limits'!$AH68="*****"),'Outfall 1 Limits'!$S68,'Outfall 1 Limits'!$AH68),"")</f>
        <v/>
      </c>
      <c r="AJ13" s="236"/>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O13" s="188">
        <v>12</v>
      </c>
      <c r="BP13" s="267">
        <v>2032</v>
      </c>
      <c r="BQ13" s="83" t="s">
        <v>28</v>
      </c>
      <c r="BR13" s="188"/>
      <c r="BS13" s="188" t="s">
        <v>1101</v>
      </c>
      <c r="BT13" s="18"/>
      <c r="BU13" s="68"/>
      <c r="BV13" s="18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75"/>
      <c r="CZ13" s="29"/>
      <c r="DB13" s="29"/>
      <c r="DM13" s="18"/>
      <c r="DN13" s="18"/>
      <c r="DO13" s="18"/>
      <c r="DP13" s="18"/>
      <c r="DQ13" s="18"/>
      <c r="DR13" s="18"/>
      <c r="DS13" s="18"/>
      <c r="DT13" s="18"/>
      <c r="DU13" s="18"/>
      <c r="DV13" s="18"/>
      <c r="DW13" s="18"/>
      <c r="DX13" s="18"/>
      <c r="DY13" s="18"/>
      <c r="DZ13" s="18"/>
      <c r="EA13" s="18"/>
      <c r="EB13" s="222" t="s">
        <v>377</v>
      </c>
      <c r="EC13" s="68" t="str">
        <f>IF(SUM(I17:I23)&gt;0,IF(BU68="Y",AVERAGE(I17:I23),AVERAGE(CY17:CY23)),"")</f>
        <v/>
      </c>
      <c r="ED13" s="188" t="str">
        <f>IF(SUM(K17:K23)&gt;0,IF(BV68="Y",AVERAGE(K17:K23),AVERAGE(CZ17:CZ23)),"")</f>
        <v/>
      </c>
      <c r="EE13" s="188" t="str">
        <f>IF(SUM(M17:M23)&gt;0,IF(BW68="Y",AVERAGE(M17:M23),AVERAGE(DA17:DA23)),"")</f>
        <v/>
      </c>
      <c r="EF13" s="188" t="str">
        <f>IF(SUM(O17:O23)&gt;0,IF(BX68="Y",AVERAGE(O17:O23),AVERAGE(DB17:DB23)),"")</f>
        <v/>
      </c>
      <c r="EG13" s="188" t="str">
        <f>IF(SUM(Q17:Q23)&gt;0,IF(BY68="Y",AVERAGE(Q17:Q23),AVERAGE(DC17:DC23)),"")</f>
        <v/>
      </c>
      <c r="EH13" s="188" t="str">
        <f>IF(SUM(S17:S23)&gt;0,IF(BZ68="Y",AVERAGE(S17:S23),AVERAGE(DD17:DD23)),"")</f>
        <v/>
      </c>
      <c r="EI13" s="188" t="str">
        <f>IF(SUM(U17:U23)&gt;0,IF(CA68="Y",AVERAGE(U17:U23),AVERAGE(DE17:DE23)),"")</f>
        <v/>
      </c>
      <c r="EJ13" s="188" t="str">
        <f>IF(SUM(W17:W23)&gt;0,IF(CB68="Y",AVERAGE(W17:W23),AVERAGE(DF17:DF23)),"")</f>
        <v/>
      </c>
      <c r="EK13" s="188" t="str">
        <f>IF(SUM(Y17:Y23)&gt;0,IF(CC68="Y",AVERAGE(Y17:Y23),AVERAGE(DG17:DG23)),"")</f>
        <v/>
      </c>
      <c r="EL13" s="188" t="str">
        <f>IF(SUM(AA17:AA23)&gt;0,IF(CD68="Y",AVERAGE(AA17:AA23),AVERAGE(DH17:DH23)),"")</f>
        <v/>
      </c>
      <c r="EM13" s="188" t="str">
        <f>IF(SUM(AC17:AC23)&gt;0,IF(CE68="Y",AVERAGE(AC17:AC23),AVERAGE(DI17:DI23)),"")</f>
        <v/>
      </c>
      <c r="EN13" s="188" t="str">
        <f>IF(SUM(AE17:AE23)&gt;0,IF(CF68="Y",AVERAGE(AE17:AE23),AVERAGE(DJ17:DJ23)),"")</f>
        <v/>
      </c>
      <c r="EO13" s="188" t="str">
        <f>IF(SUM(AG17:AG23)&gt;0,IF(CG68="Y",AVERAGE(AG17:AG23),AVERAGE(DK17:DK23)),"")</f>
        <v/>
      </c>
      <c r="EP13" s="188" t="str">
        <f>IF(SUM(AI17:AI23)&gt;0,IF(CH68="Y",AVERAGE(AI17:AI23),AVERAGE(DL17:DL23)),"")</f>
        <v/>
      </c>
      <c r="EQ13" s="18"/>
      <c r="ER13" s="18"/>
      <c r="ES13" s="18"/>
      <c r="ET13" s="18"/>
      <c r="EU13" s="18"/>
      <c r="EV13" s="18"/>
      <c r="EW13" s="18"/>
      <c r="EX13" s="18"/>
      <c r="EY13" s="18"/>
      <c r="EZ13" s="18"/>
      <c r="FA13" s="18"/>
      <c r="FB13" s="18"/>
      <c r="FC13" s="18"/>
      <c r="FD13" s="18"/>
      <c r="FE13" s="18"/>
      <c r="FF13" s="19"/>
      <c r="FG13" s="91"/>
      <c r="FH13" s="19"/>
      <c r="FI13" s="19"/>
      <c r="FJ13" s="19"/>
      <c r="FK13" s="19"/>
      <c r="FL13" s="19"/>
      <c r="FM13" s="19"/>
      <c r="FN13" s="19"/>
      <c r="FO13" s="19"/>
      <c r="FP13" s="19"/>
      <c r="FQ13" s="19"/>
      <c r="FR13" s="19"/>
      <c r="FS13" s="19"/>
      <c r="FT13" s="19"/>
      <c r="FU13" s="18"/>
      <c r="FV13" s="18"/>
      <c r="FW13" s="18"/>
      <c r="FX13" s="18"/>
      <c r="FY13" s="18"/>
      <c r="FZ13" s="18"/>
      <c r="GA13" s="18"/>
      <c r="GB13" s="18"/>
      <c r="GC13" s="18"/>
      <c r="GD13" s="18"/>
      <c r="GE13" s="18"/>
      <c r="GF13" s="18"/>
      <c r="GG13" s="18"/>
      <c r="GH13" s="18"/>
      <c r="GI13" s="18"/>
      <c r="GJ13" s="19"/>
      <c r="GK13" s="77"/>
      <c r="GL13" s="29"/>
      <c r="GM13" s="29"/>
      <c r="GN13" s="29"/>
      <c r="GO13" s="29"/>
      <c r="GP13" s="29"/>
      <c r="GQ13" s="29"/>
      <c r="GR13" s="29"/>
      <c r="GS13" s="29"/>
      <c r="GT13" s="29"/>
      <c r="GU13" s="29"/>
      <c r="GV13" s="29"/>
      <c r="GW13" s="29"/>
      <c r="GX13" s="29"/>
      <c r="GY13" s="18"/>
      <c r="GZ13" s="18"/>
      <c r="HA13" s="18"/>
      <c r="HB13" s="18"/>
      <c r="HC13" s="18"/>
      <c r="HD13" s="18"/>
      <c r="HE13" s="18"/>
      <c r="HF13" s="18"/>
      <c r="HG13" s="18"/>
      <c r="HH13" s="18"/>
      <c r="HI13" s="18"/>
      <c r="HJ13" s="18"/>
      <c r="HK13" s="18"/>
      <c r="HL13" s="18"/>
      <c r="HM13" s="18"/>
      <c r="HN13" s="223"/>
      <c r="HO13" s="97"/>
      <c r="HP13" s="18"/>
      <c r="HQ13" s="18"/>
      <c r="HR13" s="18"/>
      <c r="HS13" s="68"/>
      <c r="HT13" s="188"/>
      <c r="HU13" s="188"/>
      <c r="HV13" s="188"/>
      <c r="HW13" s="188"/>
      <c r="HX13" s="188"/>
      <c r="HY13" s="188"/>
      <c r="HZ13" s="188"/>
      <c r="IA13" s="188"/>
      <c r="IB13" s="188"/>
      <c r="IC13" s="188"/>
      <c r="ID13" s="188"/>
      <c r="IE13" s="188"/>
      <c r="IF13" s="188"/>
      <c r="IG13" s="18"/>
      <c r="IH13" s="18"/>
      <c r="II13" s="18"/>
      <c r="IJ13" s="18"/>
      <c r="IK13" s="18"/>
      <c r="IL13" s="18"/>
      <c r="IM13" s="18"/>
      <c r="IN13" s="18"/>
      <c r="IO13" s="18"/>
      <c r="IP13" s="18"/>
      <c r="IQ13" s="18"/>
      <c r="IR13" s="18"/>
      <c r="IS13" s="18"/>
      <c r="IT13" s="18"/>
      <c r="IU13" s="18"/>
      <c r="IW13" s="18"/>
      <c r="IX13" s="68"/>
      <c r="IY13" s="188"/>
      <c r="IZ13" s="188"/>
      <c r="JA13" s="188"/>
      <c r="JB13" s="188"/>
      <c r="JC13" s="188"/>
      <c r="JD13" s="188"/>
      <c r="JE13" s="188"/>
      <c r="JF13" s="188"/>
      <c r="JG13" s="188"/>
      <c r="JH13" s="188"/>
      <c r="JI13" s="188"/>
      <c r="JJ13" s="188"/>
      <c r="JK13" s="188"/>
      <c r="JL13" s="18"/>
      <c r="JM13" s="18"/>
      <c r="JN13" s="18"/>
      <c r="JO13" s="18"/>
      <c r="JP13" s="18"/>
      <c r="JQ13" s="18"/>
      <c r="JR13" s="18"/>
      <c r="JS13" s="18"/>
      <c r="JT13" s="18"/>
      <c r="JU13" s="18"/>
      <c r="JV13" s="18"/>
      <c r="JW13" s="18"/>
      <c r="JX13" s="18"/>
      <c r="JY13" s="18"/>
      <c r="JZ13" s="18"/>
      <c r="KA13" s="188"/>
      <c r="KB13" s="2"/>
      <c r="KC13" s="211"/>
      <c r="KD13" s="164">
        <v>1</v>
      </c>
      <c r="KE13" s="188">
        <v>2</v>
      </c>
      <c r="KF13" s="188">
        <v>3</v>
      </c>
      <c r="KG13" s="188">
        <v>4</v>
      </c>
      <c r="KH13" s="188">
        <v>5</v>
      </c>
      <c r="KI13" s="188">
        <v>6</v>
      </c>
      <c r="KJ13" s="188">
        <v>7</v>
      </c>
      <c r="KK13" s="188">
        <v>8</v>
      </c>
      <c r="KL13" s="188">
        <v>9</v>
      </c>
      <c r="KM13" s="188">
        <v>10</v>
      </c>
      <c r="KN13" s="188">
        <v>11</v>
      </c>
      <c r="KO13" s="188">
        <v>12</v>
      </c>
      <c r="KP13" s="188">
        <v>13</v>
      </c>
      <c r="KQ13" s="188">
        <v>14</v>
      </c>
      <c r="KR13" s="18"/>
      <c r="KS13" s="18"/>
      <c r="KT13" s="18"/>
      <c r="KU13" s="18"/>
      <c r="KV13" s="18"/>
      <c r="KW13" s="18"/>
      <c r="KX13" s="18"/>
      <c r="KY13" s="18"/>
      <c r="KZ13" s="18"/>
      <c r="LA13" s="18"/>
      <c r="LB13" s="18"/>
      <c r="LC13" s="18"/>
      <c r="LD13" s="18"/>
      <c r="LE13" s="18"/>
      <c r="LF13" s="18"/>
    </row>
    <row r="14" spans="1:318" s="26" customFormat="1" ht="11.25" customHeight="1" thickTop="1" x14ac:dyDescent="0.2">
      <c r="A14" s="38"/>
      <c r="B14" s="50"/>
      <c r="C14" s="443" t="str">
        <f t="shared" ref="C14:C51" si="0">$E14</f>
        <v/>
      </c>
      <c r="D14" s="443"/>
      <c r="E14" s="440" t="str">
        <f>IF($E15="","",IF(MONTH($E15-1)&lt;&gt;$P$6,"",$E15-1))</f>
        <v/>
      </c>
      <c r="F14" s="441"/>
      <c r="G14" s="30"/>
      <c r="H14" s="43"/>
      <c r="I14" s="44"/>
      <c r="J14" s="43"/>
      <c r="K14" s="44"/>
      <c r="L14" s="43"/>
      <c r="M14" s="44"/>
      <c r="N14" s="43"/>
      <c r="O14" s="44"/>
      <c r="P14" s="43"/>
      <c r="Q14" s="44"/>
      <c r="R14" s="43"/>
      <c r="S14" s="44"/>
      <c r="T14" s="43"/>
      <c r="U14" s="44"/>
      <c r="V14" s="43"/>
      <c r="W14" s="44"/>
      <c r="X14" s="43"/>
      <c r="Y14" s="44"/>
      <c r="Z14" s="43"/>
      <c r="AA14" s="44"/>
      <c r="AB14" s="43"/>
      <c r="AC14" s="44"/>
      <c r="AD14" s="43"/>
      <c r="AE14" s="44"/>
      <c r="AF14" s="43"/>
      <c r="AG14" s="44"/>
      <c r="AH14" s="43"/>
      <c r="AI14" s="127"/>
      <c r="AJ14" s="236"/>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O14" s="188"/>
      <c r="BP14" s="267">
        <v>2033</v>
      </c>
      <c r="BQ14" s="224" t="s">
        <v>29</v>
      </c>
      <c r="BR14" s="225"/>
      <c r="BS14" s="188" t="s">
        <v>1102</v>
      </c>
      <c r="BT14" s="18"/>
      <c r="BU14" s="68" t="str">
        <f>IF(I14&lt;&gt;"",IF(H14="&lt;",0.99,1),"")</f>
        <v/>
      </c>
      <c r="BV14" s="188" t="str">
        <f>IF(K14&lt;&gt;"",IF(J14="&lt;",0.99,1),"")</f>
        <v/>
      </c>
      <c r="BW14" s="188" t="str">
        <f>IF(M14&lt;&gt;"",IF(L14="&lt;",0.99,1),"")</f>
        <v/>
      </c>
      <c r="BX14" s="188" t="str">
        <f>IF(O14&lt;&gt;"",IF(N14="&lt;",0.99,1),"")</f>
        <v/>
      </c>
      <c r="BY14" s="188" t="str">
        <f>IF(Q14&lt;&gt;"",IF(P14="&lt;",0.99,1),"")</f>
        <v/>
      </c>
      <c r="BZ14" s="188" t="str">
        <f>IF(S14&lt;&gt;"",IF(R14="&lt;",0.99,1),"")</f>
        <v/>
      </c>
      <c r="CA14" s="188" t="str">
        <f>IF(U14&lt;&gt;"",IF(T14="&lt;",0.99,1),"")</f>
        <v/>
      </c>
      <c r="CB14" s="188" t="str">
        <f>IF(W14&lt;&gt;"",IF(V14="&lt;",0.99,1),"")</f>
        <v/>
      </c>
      <c r="CC14" s="188" t="str">
        <f>IF(Y14&lt;&gt;"",IF(X14="&lt;",0.99,1),"")</f>
        <v/>
      </c>
      <c r="CD14" s="188" t="str">
        <f>IF(AA14&lt;&gt;"",IF(Z14="&lt;",0.99,1),"")</f>
        <v/>
      </c>
      <c r="CE14" s="188" t="str">
        <f>IF(AC14&lt;&gt;"",IF(AB14="&lt;",0.99,1),"")</f>
        <v/>
      </c>
      <c r="CF14" s="188" t="str">
        <f>IF(AE14&lt;&gt;"",IF(AD14="&lt;",0.99,1),"")</f>
        <v/>
      </c>
      <c r="CG14" s="188" t="str">
        <f>IF(AG14&lt;&gt;"",IF(AF14="&lt;",0.99,1),"")</f>
        <v/>
      </c>
      <c r="CH14" s="188" t="str">
        <f>IF(AI14&lt;&gt;"",IF(AH14="&lt;",0.99,1),"")</f>
        <v/>
      </c>
      <c r="CI14" s="18"/>
      <c r="CJ14" s="18"/>
      <c r="CK14" s="18"/>
      <c r="CL14" s="18"/>
      <c r="CM14" s="18"/>
      <c r="CN14" s="18"/>
      <c r="CO14" s="18"/>
      <c r="CP14" s="18"/>
      <c r="CQ14" s="18"/>
      <c r="CR14" s="18"/>
      <c r="CS14" s="18"/>
      <c r="CT14" s="18"/>
      <c r="CU14" s="18"/>
      <c r="CV14" s="18"/>
      <c r="CW14" s="18"/>
      <c r="CX14" s="18"/>
      <c r="CY14" s="77" t="str">
        <f>IF(I14&lt;&gt;"",IF(H14="&lt;",IF(AND('Outfall 1 Limits'!$AM$16="Y",$BU$54&lt;&gt;"Y",I14&lt;='Outfall 1 Limits'!$AL$16),0,(1*I14)),I14),"")</f>
        <v/>
      </c>
      <c r="CZ14" s="29" t="str">
        <f>IF(K14&lt;&gt;"",IF(J14="&lt;",IF(AND('Outfall 1 Limits'!$AM$20="Y",$BV$54&lt;&gt;"Y",K14&lt;='Outfall 1 Limits'!$AL$20),0,(1*K14)),K14),"")</f>
        <v/>
      </c>
      <c r="DA14" s="29" t="str">
        <f>IF(M14&lt;&gt;"",IF(L14="&lt;",IF(AND('Outfall 1 Limits'!$AM$24="Y",$BW$54&lt;&gt;"Y",M14&lt;='Outfall 1 Limits'!$AL$24),0,(1*M14)),M14),"")</f>
        <v/>
      </c>
      <c r="DB14" s="29" t="str">
        <f>IF(O14&lt;&gt;"",IF(N14="&lt;",IF(AND('Outfall 1 Limits'!$AM$28="Y",$BX$54&lt;&gt;"Y",O14&lt;='Outfall 1 Limits'!$AL$28),0,(1*O14)),O14),"")</f>
        <v/>
      </c>
      <c r="DC14" s="29" t="str">
        <f>IF(Q14&lt;&gt;"",IF(P14="&lt;",IF(AND('Outfall 1 Limits'!$AM$32="Y",$BY$54&lt;&gt;"Y",Q14&lt;='Outfall 1 Limits'!$AL$32),0,(1*Q14)),Q14),"")</f>
        <v/>
      </c>
      <c r="DD14" s="29" t="str">
        <f>IF(S14&lt;&gt;"",IF(R14="&lt;",IF(AND('Outfall 1 Limits'!$AM$36="Y",$BZ$54&lt;&gt;"Y",S14&lt;='Outfall 1 Limits'!$AL$36),0,(1*S14)),S14),"")</f>
        <v/>
      </c>
      <c r="DE14" s="29" t="str">
        <f>IF(U14&lt;&gt;"",IF(T14="&lt;",IF(AND('Outfall 1 Limits'!$AM$40="Y",$CA$54&lt;&gt;"Y",U14&lt;='Outfall 1 Limits'!$AL$40),0,(1*U14)),U14),"")</f>
        <v/>
      </c>
      <c r="DF14" s="29" t="str">
        <f>IF(W14&lt;&gt;"",IF(V14="&lt;",IF(AND('Outfall 1 Limits'!$AM$44="Y",$CB$54&lt;&gt;"Y",W14&lt;='Outfall 1 Limits'!$AL$44),0,(1*W14)),W14),"")</f>
        <v/>
      </c>
      <c r="DG14" s="29" t="str">
        <f>IF(Y14&lt;&gt;"",IF(X14="&lt;",IF(AND('Outfall 1 Limits'!$AM$48="Y",$CC$54&lt;&gt;"Y",Y14&lt;='Outfall 1 Limits'!$AL$48),0,(1*Y14)),Y14),"")</f>
        <v/>
      </c>
      <c r="DH14" s="29" t="str">
        <f>IF(AA14&lt;&gt;"",IF(Z14="&lt;",IF(AND('Outfall 1 Limits'!$AM$52="Y",$CD$54&lt;&gt;"Y",AA14&lt;='Outfall 1 Limits'!$AL$52),0,(1*AA14)),AA14),"")</f>
        <v/>
      </c>
      <c r="DI14" s="29" t="str">
        <f>IF(AC14&lt;&gt;"",IF(AB14="&lt;",IF(AND('Outfall 1 Limits'!$AM$56="Y",$CE$54&lt;&gt;"Y",AC14&lt;='Outfall 1 Limits'!$AL$56),0,(1*AC14)),AC14),"")</f>
        <v/>
      </c>
      <c r="DJ14" s="29" t="str">
        <f>IF(AE14&lt;&gt;"",IF(AD14="&lt;",IF(AND('Outfall 1 Limits'!$AM$60="Y",$CF$54&lt;&gt;"Y",AE14&lt;='Outfall 1 Limits'!$AL$60),0,(1*AE14)),AE14),"")</f>
        <v/>
      </c>
      <c r="DK14" s="29" t="str">
        <f>IF(AG14&lt;&gt;"",IF(AF14="&lt;",IF(AND('Outfall 1 Limits'!$AM$64="Y",$CG$54&lt;&gt;"Y",AG14&lt;='Outfall 1 Limits'!$AL$64),0,(1*AG14)),AG14),"")</f>
        <v/>
      </c>
      <c r="DL14" s="29" t="str">
        <f>IF(AI14&lt;&gt;"",IF(AH14="&lt;",IF(AND('Outfall 1 Limits'!$AM$68="Y",$CH$54&lt;&gt;"Y",AI14&lt;='Outfall 1 Limits'!$AL$68),0,(1*AI14)),AI14),"")</f>
        <v/>
      </c>
      <c r="DM14" s="18"/>
      <c r="DN14" s="18"/>
      <c r="DO14" s="18"/>
      <c r="DP14" s="18"/>
      <c r="DQ14" s="18"/>
      <c r="DR14" s="18"/>
      <c r="DS14" s="18"/>
      <c r="DT14" s="18"/>
      <c r="DU14" s="18"/>
      <c r="DV14" s="18"/>
      <c r="DW14" s="18"/>
      <c r="DX14" s="18"/>
      <c r="DY14" s="18"/>
      <c r="DZ14" s="18"/>
      <c r="EA14" s="18"/>
      <c r="EB14" s="222" t="s">
        <v>378</v>
      </c>
      <c r="EC14" s="68" t="str">
        <f>IF(SUM(I24:I30)&gt;0,IF(BU70="Y",AVERAGE(I24:I30),AVERAGE(CY24:CY30)),"")</f>
        <v/>
      </c>
      <c r="ED14" s="188" t="str">
        <f>IF(SUM(K24:K30)&gt;0,IF(BV70="Y",AVERAGE(K24:K30),AVERAGE(CZ24:CZ30)),"")</f>
        <v/>
      </c>
      <c r="EE14" s="188" t="str">
        <f>IF(SUM(M24:M30)&gt;0,IF(BW70="Y",AVERAGE(M24:M30),AVERAGE(DA24:DA30)),"")</f>
        <v/>
      </c>
      <c r="EF14" s="188" t="str">
        <f>IF(SUM(O24:O30)&gt;0,IF(BX70="Y",AVERAGE(O24:O30),AVERAGE(DB24:DB30)),"")</f>
        <v/>
      </c>
      <c r="EG14" s="188" t="str">
        <f>IF(SUM(Q24:Q30)&gt;0,IF(BY70="Y",AVERAGE(Q24:Q30),AVERAGE(DC24:DC30)),"")</f>
        <v/>
      </c>
      <c r="EH14" s="188" t="str">
        <f>IF(SUM(S24:S30)&gt;0,IF(BZ70="Y",AVERAGE(S24:S30),AVERAGE(DD24:DD30)),"")</f>
        <v/>
      </c>
      <c r="EI14" s="188" t="str">
        <f>IF(SUM(U24:U30)&gt;0,IF(CA70="Y",AVERAGE(U24:U30),AVERAGE(DE24:DE30)),"")</f>
        <v/>
      </c>
      <c r="EJ14" s="188" t="str">
        <f>IF(SUM(W24:W30)&gt;0,IF(CB70="Y",AVERAGE(W24:W30),AVERAGE(DF24:DF30)),"")</f>
        <v/>
      </c>
      <c r="EK14" s="188" t="str">
        <f>IF(SUM(Y24:Y30)&gt;0,IF(CC70="Y",AVERAGE(Y24:Y30),AVERAGE(DG24:DG30)),"")</f>
        <v/>
      </c>
      <c r="EL14" s="188" t="str">
        <f>IF(SUM(AA24:AA30)&gt;0,IF(CD70="Y",AVERAGE(AA24:AA30),AVERAGE(DH24:DH30)),"")</f>
        <v/>
      </c>
      <c r="EM14" s="188" t="str">
        <f>IF(SUM(AC24:AC30)&gt;0,IF(CE70="Y",AVERAGE(AC24:AC30),AVERAGE(DI24:DI30)),"")</f>
        <v/>
      </c>
      <c r="EN14" s="188" t="str">
        <f>IF(SUM(AE24:AE30)&gt;0,IF(CF70="Y",AVERAGE(AE24:AE30),AVERAGE(DJ24:DJ30)),"")</f>
        <v/>
      </c>
      <c r="EO14" s="188" t="str">
        <f>IF(SUM(AG24:AG30)&gt;0,IF(CG70="Y",AVERAGE(AG24:AG30),AVERAGE(DK24:DK30)),"")</f>
        <v/>
      </c>
      <c r="EP14" s="188" t="str">
        <f>IF(SUM(AI24:AI30)&gt;0,IF(CH70="Y",AVERAGE(AI24:AI30),AVERAGE(DL24:DL30)),"")</f>
        <v/>
      </c>
      <c r="EQ14" s="18"/>
      <c r="ER14" s="18"/>
      <c r="ES14" s="18"/>
      <c r="ET14" s="18"/>
      <c r="EU14" s="18"/>
      <c r="EV14" s="18"/>
      <c r="EW14" s="18"/>
      <c r="EX14" s="18"/>
      <c r="EY14" s="18"/>
      <c r="EZ14" s="18"/>
      <c r="FA14" s="18"/>
      <c r="FB14" s="18"/>
      <c r="FC14" s="18"/>
      <c r="FD14" s="18"/>
      <c r="FE14" s="18"/>
      <c r="FF14" s="19"/>
      <c r="FG14" s="77" t="str">
        <f>IF(AND($G14&lt;&gt;"",$G14&gt;0,'Outfall 1 Limits'!$AX$16="C1",I14&lt;&gt;""),I14*$G14*8.34,IF(AND($I14&lt;&gt;"",'Outfall 1 Limits'!$AX$16="L"),$I14,""))</f>
        <v/>
      </c>
      <c r="FH14" s="29" t="str">
        <f>IF(AND($G14&lt;&gt;"",$G14&gt;0,'Outfall 1 Limits'!$AX$20="C1",$K14&lt;&gt;""),$K14*$G14*8.34,IF(AND($K14&lt;&gt;"",'Outfall 1 Limits'!$AX$20="L"),$K14,""))</f>
        <v/>
      </c>
      <c r="FI14" s="29" t="str">
        <f>IF(AND($G14&lt;&gt;"",$G14&gt;0,'Outfall 1 Limits'!$AX$24="C1",$M14&lt;&gt;""),$M14*$G14*8.34,IF(AND($M14&lt;&gt;"",'Outfall 1 Limits'!$AX$24="L"),$M14,""))</f>
        <v/>
      </c>
      <c r="FJ14" s="29" t="str">
        <f>IF(AND($G14&lt;&gt;"",$G14&gt;0,'Outfall 1 Limits'!$AX$28="C1",$O14&lt;&gt;""),$O14*$G14*8.34,IF(AND($O14&lt;&gt;"",'Outfall 1 Limits'!$AX$28="L"),$O14,""))</f>
        <v/>
      </c>
      <c r="FK14" s="29" t="str">
        <f>IF(AND($G14&lt;&gt;"",$G14&gt;0,'Outfall 1 Limits'!$AX$32="C1",$Q14&lt;&gt;""),$Q14*$G14*8.34,IF(AND($Q14&lt;&gt;"",'Outfall 1 Limits'!$AX$32="L"),$Q14,""))</f>
        <v/>
      </c>
      <c r="FL14" s="29" t="str">
        <f>IF(AND($G14&lt;&gt;"",$G14&gt;0,'Outfall 1 Limits'!$AX$36="C1",$S14&lt;&gt;""),$S14*$G14*8.34,IF(AND($S14&lt;&gt;"",'Outfall 1 Limits'!$AX$36="L"),$S14,""))</f>
        <v/>
      </c>
      <c r="FM14" s="29" t="str">
        <f>IF(AND($G14&lt;&gt;"",$G14&gt;0,'Outfall 1 Limits'!$AX$40="C1",$U14&lt;&gt;""),$U14*$G14*8.34,IF(AND($U14&lt;&gt;"",'Outfall 1 Limits'!$AX$40="L"),$U14,""))</f>
        <v/>
      </c>
      <c r="FN14" s="29" t="str">
        <f>IF(AND($G14&lt;&gt;"",$G14&gt;0,'Outfall 1 Limits'!$AX$44="C1",$W14&lt;&gt;""),$W14*$G14*8.34,IF(AND($W14&lt;&gt;"",'Outfall 1 Limits'!$AX$44="L"),$W14,""))</f>
        <v/>
      </c>
      <c r="FO14" s="29" t="str">
        <f>IF(AND($G14&lt;&gt;"",$G14&gt;0,'Outfall 1 Limits'!$AX$48="C1",$Y14&lt;&gt;""),$Y14*$G14*8.34,IF(AND($Y14&lt;&gt;"",'Outfall 1 Limits'!$AX$48="L"),$Y14,""))</f>
        <v/>
      </c>
      <c r="FP14" s="29" t="str">
        <f>IF(AND($G14&lt;&gt;"",$G14&gt;0,'Outfall 1 Limits'!$AX$52="C1",$AA14&lt;&gt;""),$AA14*$G14*8.34,IF(AND($AA14&lt;&gt;"",'Outfall 1 Limits'!$AX$52="L"),$AA14,""))</f>
        <v/>
      </c>
      <c r="FQ14" s="29" t="str">
        <f>IF(AND($G14&lt;&gt;"",$G14&gt;0,'Outfall 1 Limits'!$AX$56="C1",$AC14&lt;&gt;""),$AC14*$G14*8.34,IF(AND($AC14&lt;&gt;"",'Outfall 1 Limits'!$AX$56="L"),$AC14,""))</f>
        <v/>
      </c>
      <c r="FR14" s="29" t="str">
        <f>IF(AND($G14&lt;&gt;"",$G14&gt;0,'Outfall 1 Limits'!$AX$60="C1",$AE14&lt;&gt;""),$AE14*$G14*8.34,IF(AND($AE14&lt;&gt;"",'Outfall 1 Limits'!$AX$60="L"),$AE14,""))</f>
        <v/>
      </c>
      <c r="FS14" s="29" t="str">
        <f>IF(AND($G14&lt;&gt;"",$G14&gt;0,'Outfall 1 Limits'!$AX$64="C1",$AG14&lt;&gt;""),$AG14*$G14*8.34,IF(AND($AG14&lt;&gt;"",'Outfall 1 Limits'!$AX$64="L"),$AG14,""))</f>
        <v/>
      </c>
      <c r="FT14" s="29" t="str">
        <f>IF(AND($G14&lt;&gt;"",$G14&gt;0,'Outfall 1 Limits'!$AX$68="C1",$AI14&lt;&gt;""),$AI14*$G14*8.34,IF(AND($AI14&lt;&gt;"",'Outfall 1 Limits'!$AX$68="L"),$AI14,""))</f>
        <v/>
      </c>
      <c r="FU14" s="18"/>
      <c r="FV14" s="18"/>
      <c r="FW14" s="18"/>
      <c r="FX14" s="18"/>
      <c r="FY14" s="18"/>
      <c r="FZ14" s="18"/>
      <c r="GA14" s="18"/>
      <c r="GB14" s="18"/>
      <c r="GC14" s="18"/>
      <c r="GD14" s="18"/>
      <c r="GE14" s="18"/>
      <c r="GF14" s="18"/>
      <c r="GG14" s="18"/>
      <c r="GH14" s="18"/>
      <c r="GI14" s="18"/>
      <c r="GJ14" s="19"/>
      <c r="GK14" s="77" t="str">
        <f>IF(AND($G14&lt;&gt;"",$G14&gt;0,'Outfall 1 Limits'!$AX$16="C1",CY14&lt;&gt;""),CY14*$G14*8.34,IF(AND(CY14&lt;&gt;"",'Outfall 1 Limits'!$AX$16="L"),CY14,""))</f>
        <v/>
      </c>
      <c r="GL14" s="29" t="str">
        <f>IF(AND($G14&lt;&gt;"",$G14&gt;0,'Outfall 1 Limits'!$AX$20="C1",CZ14&lt;&gt;""),CZ14*$G14*8.34,IF(AND(CZ14&lt;&gt;"",'Outfall 1 Limits'!$AX$20="L"),CZ14,""))</f>
        <v/>
      </c>
      <c r="GM14" s="29" t="str">
        <f>IF(AND($G14&lt;&gt;"",$G14&gt;0,'Outfall 1 Limits'!$AX$24="C1",DA14&lt;&gt;""),DA14*$G14*8.34,IF(AND(DA14&lt;&gt;"",'Outfall 1 Limits'!$AX$24="L"),DA14,""))</f>
        <v/>
      </c>
      <c r="GN14" s="29" t="str">
        <f>IF(AND($G14&lt;&gt;"",$G14&gt;0,'Outfall 1 Limits'!$AX$28="C1",DB14&lt;&gt;""),DB14*$G14*8.34,IF(AND(DB14&lt;&gt;"",'Outfall 1 Limits'!$AX$28="L"),DB14,""))</f>
        <v/>
      </c>
      <c r="GO14" s="29" t="str">
        <f>IF(AND($G14&lt;&gt;"",$G14&gt;0,'Outfall 1 Limits'!$AX$32="C1",DC14&lt;&gt;""),DC14*$G14*8.34,IF(AND(DC14&lt;&gt;"",'Outfall 1 Limits'!$AX$32="L"),DC14,""))</f>
        <v/>
      </c>
      <c r="GP14" s="29" t="str">
        <f>IF(AND($G14&lt;&gt;"",$G14&gt;0,'Outfall 1 Limits'!$AX$36="C1",DD14&lt;&gt;""),DD14*$G14*8.34,IF(AND(DD14&lt;&gt;"",'Outfall 1 Limits'!$AX$36="L"),DD14,""))</f>
        <v/>
      </c>
      <c r="GQ14" s="29" t="str">
        <f>IF(AND($G14&lt;&gt;"",$G14&gt;0,'Outfall 1 Limits'!$AX$40="C1",DE14&lt;&gt;""),DE14*$G14*8.34,IF(AND(DE14&lt;&gt;"",'Outfall 1 Limits'!$AX$40="L"),DE14,""))</f>
        <v/>
      </c>
      <c r="GR14" s="29" t="str">
        <f>IF(AND($G14&lt;&gt;"",$G14&gt;0,'Outfall 1 Limits'!$AX$44="C1",DF14&lt;&gt;""),DF14*$G14*8.34,IF(AND(DF14&lt;&gt;"",'Outfall 1 Limits'!$AX$44="L"),DF14,""))</f>
        <v/>
      </c>
      <c r="GS14" s="29" t="str">
        <f>IF(AND($G14&lt;&gt;"",$G14&gt;0,'Outfall 1 Limits'!$AX$48="C1",DG14&lt;&gt;""),DG14*$G14*8.34,IF(AND(DG14&lt;&gt;"",'Outfall 1 Limits'!$AX$48="L"),DG14,""))</f>
        <v/>
      </c>
      <c r="GT14" s="29" t="str">
        <f>IF(AND($G14&lt;&gt;"",$G14&gt;0,'Outfall 1 Limits'!$AX$52="C1",DH14&lt;&gt;""),DH14*$G14*8.34,IF(AND(DH14&lt;&gt;"",'Outfall 1 Limits'!$AX$52="L"),DH14,""))</f>
        <v/>
      </c>
      <c r="GU14" s="29" t="str">
        <f>IF(AND($G14&lt;&gt;"",$G14&gt;0,'Outfall 1 Limits'!$AX$56="C1",DI14&lt;&gt;""),DI14*$G14*8.34,IF(AND(DI14&lt;&gt;"",'Outfall 1 Limits'!$AX$56="L"),DI14,""))</f>
        <v/>
      </c>
      <c r="GV14" s="29" t="str">
        <f>IF(AND($G14&lt;&gt;"",$G14&gt;0,'Outfall 1 Limits'!$AX$60="C1",DJ14&lt;&gt;""),DJ14*$G14*8.34,IF(AND(DJ14&lt;&gt;"",'Outfall 1 Limits'!$AX$60="L"),DJ14,""))</f>
        <v/>
      </c>
      <c r="GW14" s="29" t="str">
        <f>IF(AND($G14&lt;&gt;"",$G14&gt;0,'Outfall 1 Limits'!$AX$64="C1",DK14&lt;&gt;""),DK14*$G14*8.34,IF(AND(DK14&lt;&gt;"",'Outfall 1 Limits'!$AX$64="L"),DK14,""))</f>
        <v/>
      </c>
      <c r="GX14" s="29" t="str">
        <f>IF(AND($G14&lt;&gt;"",$G14&gt;0,'Outfall 1 Limits'!$AX$68="C1",DL14&lt;&gt;""),DL14*$G14*8.34,IF(AND(DL14&lt;&gt;"",'Outfall 1 Limits'!$AX$68="L"),DL14,""))</f>
        <v/>
      </c>
      <c r="GY14" s="18"/>
      <c r="GZ14" s="18"/>
      <c r="HA14" s="18"/>
      <c r="HB14" s="18"/>
      <c r="HC14" s="18"/>
      <c r="HD14" s="18"/>
      <c r="HE14" s="18"/>
      <c r="HF14" s="18"/>
      <c r="HG14" s="18"/>
      <c r="HH14" s="18"/>
      <c r="HI14" s="18"/>
      <c r="HJ14" s="18"/>
      <c r="HK14" s="18"/>
      <c r="HL14" s="18"/>
      <c r="HM14" s="18"/>
      <c r="HN14" s="18"/>
      <c r="HO14" s="98" t="str">
        <f>IF(I14&lt;&gt;"",IF(H14="&gt;",(1.000001*I14),I14),"")</f>
        <v/>
      </c>
      <c r="HP14" s="18"/>
      <c r="HQ14" s="18"/>
      <c r="HR14" s="18"/>
      <c r="HS14" s="68" t="str">
        <f>IF($I14&lt;&gt;"",IF($H14="&lt;",($I14-0.01),$I14),"")</f>
        <v/>
      </c>
      <c r="HT14" s="188" t="str">
        <f>IF($K14&lt;&gt;"",IF($J14="&lt;",($K14-0.01),$K14),"")</f>
        <v/>
      </c>
      <c r="HU14" s="188" t="str">
        <f>IF($M14&lt;&gt;"",IF($L14="&lt;",($M14-0.01),$M14),"")</f>
        <v/>
      </c>
      <c r="HV14" s="188" t="str">
        <f>IF($O14&lt;&gt;"",IF($N14="&lt;",($O14-0.01),$O14),"")</f>
        <v/>
      </c>
      <c r="HW14" s="188" t="str">
        <f>IF($Q14&lt;&gt;"",IF($P14="&lt;",($Q14-0.01),$Q14),"")</f>
        <v/>
      </c>
      <c r="HX14" s="188" t="str">
        <f>IF($S14&lt;&gt;"",IF($R14="&lt;",($S14-0.01),$S14),"")</f>
        <v/>
      </c>
      <c r="HY14" s="188" t="str">
        <f>IF($U14&lt;&gt;"",IF($T14="&lt;",($U14-0.01),$U14),"")</f>
        <v/>
      </c>
      <c r="HZ14" s="188" t="str">
        <f>IF($W14&lt;&gt;"",IF($V14="&lt;",($W14-0.01),$W14),"")</f>
        <v/>
      </c>
      <c r="IA14" s="188" t="str">
        <f>IF($Y14&lt;&gt;"",IF($X14="&lt;",($Y14-0.01),$Y14),"")</f>
        <v/>
      </c>
      <c r="IB14" s="188" t="str">
        <f>IF($AA14&lt;&gt;"",IF($Z14="&lt;",($AA14-0.01),$AA14),"")</f>
        <v/>
      </c>
      <c r="IC14" s="188" t="str">
        <f>IF($AC14&lt;&gt;"",IF($AB14="&lt;",($AC14-0.01),$AC14),"")</f>
        <v/>
      </c>
      <c r="ID14" s="188" t="str">
        <f>IF($AE14&lt;&gt;"",IF($AD14="&lt;",($AE14-0.01),$AE14),"")</f>
        <v/>
      </c>
      <c r="IE14" s="188" t="str">
        <f>IF($AG14&lt;&gt;"",IF($AF14="&lt;",($AG14-0.01),$AG14),"")</f>
        <v/>
      </c>
      <c r="IF14" s="188" t="str">
        <f>IF($AI14&lt;&gt;"",IF($AH14="&lt;",($AI14-0.01),$AI14),"")</f>
        <v/>
      </c>
      <c r="IG14" s="18"/>
      <c r="IH14" s="18"/>
      <c r="II14" s="18"/>
      <c r="IJ14" s="18"/>
      <c r="IK14" s="18"/>
      <c r="IL14" s="18"/>
      <c r="IM14" s="18"/>
      <c r="IN14" s="18"/>
      <c r="IO14" s="18"/>
      <c r="IP14" s="18"/>
      <c r="IQ14" s="18"/>
      <c r="IR14" s="18"/>
      <c r="IS14" s="18"/>
      <c r="IT14" s="18"/>
      <c r="IU14" s="18"/>
      <c r="IW14" s="18"/>
      <c r="IX14" s="68" t="str">
        <f>IF($FG14&lt;&gt;"",IF($H14="&lt;",($FG14-0.01),$FG14),"")</f>
        <v/>
      </c>
      <c r="IY14" s="188" t="str">
        <f>IF($FH14&lt;&gt;"",IF($J14="&lt;",($FH14-0.01),$FH14),"")</f>
        <v/>
      </c>
      <c r="IZ14" s="188" t="str">
        <f>IF($FI14&lt;&gt;"",IF($L14="&lt;",($FI14-0.01),$FI14),"")</f>
        <v/>
      </c>
      <c r="JA14" s="188" t="str">
        <f>IF($FJ14&lt;&gt;"",IF($N14="&lt;",($FJ14-0.01),$FJ14),"")</f>
        <v/>
      </c>
      <c r="JB14" s="188" t="str">
        <f>IF($FK14&lt;&gt;"",IF($P14="&lt;",($FK14-0.01),$FK14),"")</f>
        <v/>
      </c>
      <c r="JC14" s="188" t="str">
        <f>IF($FL14&lt;&gt;"",IF($R14="&lt;",($FL14-0.01),$FL14),"")</f>
        <v/>
      </c>
      <c r="JD14" s="188" t="str">
        <f>IF($FM14&lt;&gt;"",IF($T14="&lt;",($FM14-0.01),$FM14),"")</f>
        <v/>
      </c>
      <c r="JE14" s="188" t="str">
        <f>IF($FN14&lt;&gt;"",IF($V14="&lt;",($FN14-0.01),$FN14),"")</f>
        <v/>
      </c>
      <c r="JF14" s="188" t="str">
        <f>IF($FO14&lt;&gt;"",IF($X14="&lt;",($FO14-0.01),$FO14),"")</f>
        <v/>
      </c>
      <c r="JG14" s="188" t="str">
        <f>IF($FP14&lt;&gt;"",IF($Z14="&lt;",($FP14-0.01),$FP14),"")</f>
        <v/>
      </c>
      <c r="JH14" s="188" t="str">
        <f>IF($FQ14&lt;&gt;"",IF($AB14="&lt;",($FQ14-0.01),$FQ14),"")</f>
        <v/>
      </c>
      <c r="JI14" s="188" t="str">
        <f>IF($FR14&lt;&gt;"",IF($AD14="&lt;",($FR14-0.01),$FR14),"")</f>
        <v/>
      </c>
      <c r="JJ14" s="188" t="str">
        <f>IF($FS14&lt;&gt;"",IF($AF14="&lt;",($FS14-0.01),$FS14),"")</f>
        <v/>
      </c>
      <c r="JK14" s="188" t="str">
        <f>IF($FT14&lt;&gt;"",IF($AH14="&lt;",($FT14-0.01),$FT14),"")</f>
        <v/>
      </c>
      <c r="JL14" s="18"/>
      <c r="JM14" s="18"/>
      <c r="JN14" s="18"/>
      <c r="JO14" s="18"/>
      <c r="JP14" s="18"/>
      <c r="JQ14" s="18"/>
      <c r="JR14" s="18"/>
      <c r="JS14" s="18"/>
      <c r="JT14" s="18"/>
      <c r="JU14" s="18"/>
      <c r="JV14" s="18"/>
      <c r="JW14" s="18"/>
      <c r="JX14" s="18"/>
      <c r="JY14" s="18"/>
      <c r="JZ14" s="18"/>
      <c r="KA14" s="188"/>
      <c r="KB14" s="188"/>
      <c r="KC14" s="211"/>
      <c r="KD14" s="164" t="str">
        <f t="shared" ref="KD14:KD51" si="1">IF(I14&lt;&gt;"",IF(KD$53="Y",IF(H14="&lt;",IF(I14&lt;=KD$54,"A","B"),"C"),""),"")</f>
        <v/>
      </c>
      <c r="KE14" s="188" t="str">
        <f t="shared" ref="KE14:KE51" si="2">IF(K14&lt;&gt;"",IF(KE$53="Y",IF(J14="&lt;",IF(K14&lt;=KE$54,"A","B"),"C"),""),"")</f>
        <v/>
      </c>
      <c r="KF14" s="18" t="str">
        <f t="shared" ref="KF14:KF51" si="3">IF(M14&lt;&gt;"",IF(KF$53="Y",IF(L14="&lt;",IF(M14&lt;=KF$54,"A","B"),"C"),""),"")</f>
        <v/>
      </c>
      <c r="KG14" s="18" t="str">
        <f t="shared" ref="KG14:KG51" si="4">IF(O14&lt;&gt;"",IF(KG$53="Y",IF(N14="&lt;",IF(O14&lt;=KG$54,"A","B"),"C"),""),"")</f>
        <v/>
      </c>
      <c r="KH14" s="18" t="str">
        <f t="shared" ref="KH14:KH51" si="5">IF(Q14&lt;&gt;"",IF(KH$53="Y",IF(P14="&lt;",IF(Q14&lt;=KH$54,"A","B"),"C"),""),"")</f>
        <v/>
      </c>
      <c r="KI14" s="18" t="str">
        <f t="shared" ref="KI14:KI51" si="6">IF(S14&lt;&gt;"",IF(KI$53="Y",IF(R14="&lt;",IF(S14&lt;=KI$54,"A","B"),"C"),""),"")</f>
        <v/>
      </c>
      <c r="KJ14" s="18" t="str">
        <f t="shared" ref="KJ14:KJ51" si="7">IF(U14&lt;&gt;"",IF(KJ$53="Y",IF(T14="&lt;",IF(U14&lt;=KJ$54,"A","B"),"C"),""),"")</f>
        <v/>
      </c>
      <c r="KK14" s="18" t="str">
        <f t="shared" ref="KK14:KK51" si="8">IF(W14&lt;&gt;"",IF(KK$53="Y",IF(V14="&lt;",IF(W14&lt;=KK$54,"A","B"),"C"),""),"")</f>
        <v/>
      </c>
      <c r="KL14" s="18" t="str">
        <f t="shared" ref="KL14:KL51" si="9">IF(Y14&lt;&gt;"",IF(KL$53="Y",IF(X14="&lt;",IF(Y14&lt;=KL$54,"A","B"),"C"),""),"")</f>
        <v/>
      </c>
      <c r="KM14" s="18" t="str">
        <f t="shared" ref="KM14:KM51" si="10">IF(AA14&lt;&gt;"",IF(KM$53="Y",IF(Z14="&lt;",IF(AA14&lt;=KM$54,"A","B"),"C"),""),"")</f>
        <v/>
      </c>
      <c r="KN14" s="18" t="str">
        <f t="shared" ref="KN14:KN51" si="11">IF(AC14&lt;&gt;"",IF(KN$53="Y",IF(AB14="&lt;",IF(AC14&lt;=KN$54,"A","B"),"C"),""),"")</f>
        <v/>
      </c>
      <c r="KO14" s="18" t="str">
        <f t="shared" ref="KO14:KO51" si="12">IF(AE14&lt;&gt;"",IF(KO$53="Y",IF(AD14="&lt;",IF(AE14&lt;=KO$54,"A","B"),"C"),""),"")</f>
        <v/>
      </c>
      <c r="KP14" s="18" t="str">
        <f t="shared" ref="KP14:KP51" si="13">IF(AG14&lt;&gt;"",IF(KP$53="Y",IF(AF14="&lt;",IF(AG14&lt;=KP$54,"A","B"),"C"),""),"")</f>
        <v/>
      </c>
      <c r="KQ14" s="18" t="str">
        <f t="shared" ref="KQ14:KQ51" si="14">IF(AI14&lt;&gt;"",IF(KQ$53="Y",IF(AH14="&lt;",IF(AI14&lt;=KQ$54,"A","B"),"C"),""),"")</f>
        <v/>
      </c>
      <c r="KR14" s="18"/>
      <c r="KS14" s="18"/>
      <c r="KT14" s="18"/>
      <c r="KU14" s="18"/>
      <c r="KV14" s="18"/>
      <c r="KW14" s="18"/>
      <c r="KX14" s="18"/>
      <c r="KY14" s="18"/>
      <c r="KZ14" s="18"/>
      <c r="LA14" s="18"/>
      <c r="LB14" s="18"/>
      <c r="LC14" s="18"/>
      <c r="LD14" s="18"/>
      <c r="LE14" s="18"/>
      <c r="LF14" s="18"/>
    </row>
    <row r="15" spans="1:318" s="18" customFormat="1" ht="11.45" customHeight="1" x14ac:dyDescent="0.2">
      <c r="A15" s="38"/>
      <c r="B15" s="48"/>
      <c r="C15" s="421" t="str">
        <f t="shared" si="0"/>
        <v/>
      </c>
      <c r="D15" s="421"/>
      <c r="E15" s="422" t="str">
        <f>IF($E16="","",IF(MONTH($E16-1)&lt;&gt;$P$6,"",$E16-1))</f>
        <v/>
      </c>
      <c r="F15" s="423"/>
      <c r="G15" s="31"/>
      <c r="H15" s="45"/>
      <c r="I15" s="44"/>
      <c r="J15" s="45"/>
      <c r="K15" s="44"/>
      <c r="L15" s="45"/>
      <c r="M15" s="44"/>
      <c r="N15" s="45"/>
      <c r="O15" s="44"/>
      <c r="P15" s="45"/>
      <c r="Q15" s="44"/>
      <c r="R15" s="45"/>
      <c r="S15" s="44"/>
      <c r="T15" s="45"/>
      <c r="U15" s="44"/>
      <c r="V15" s="45"/>
      <c r="W15" s="44"/>
      <c r="X15" s="45"/>
      <c r="Y15" s="44"/>
      <c r="Z15" s="45"/>
      <c r="AA15" s="44"/>
      <c r="AB15" s="45"/>
      <c r="AC15" s="44"/>
      <c r="AD15" s="45"/>
      <c r="AE15" s="44"/>
      <c r="AF15" s="45"/>
      <c r="AG15" s="44"/>
      <c r="AH15" s="45"/>
      <c r="AI15" s="127"/>
      <c r="AJ15" s="236"/>
      <c r="BO15" s="188"/>
      <c r="BP15" s="267">
        <v>2034</v>
      </c>
      <c r="BQ15" s="224" t="s">
        <v>30</v>
      </c>
      <c r="BR15" s="225"/>
      <c r="BS15" s="188" t="s">
        <v>1103</v>
      </c>
      <c r="BU15" s="68" t="str">
        <f t="shared" ref="BU15:BU51" si="15">IF(I15&lt;&gt;"",IF(H15="&lt;",0.99,1),"")</f>
        <v/>
      </c>
      <c r="BV15" s="188" t="str">
        <f t="shared" ref="BV15:BV51" si="16">IF(K15&lt;&gt;"",IF(J15="&lt;",0.99,1),"")</f>
        <v/>
      </c>
      <c r="BW15" s="188" t="str">
        <f t="shared" ref="BW15:BW51" si="17">IF(M15&lt;&gt;"",IF(L15="&lt;",0.99,1),"")</f>
        <v/>
      </c>
      <c r="BX15" s="188" t="str">
        <f t="shared" ref="BX15:BX51" si="18">IF(O15&lt;&gt;"",IF(N15="&lt;",0.99,1),"")</f>
        <v/>
      </c>
      <c r="BY15" s="188" t="str">
        <f t="shared" ref="BY15:BY51" si="19">IF(Q15&lt;&gt;"",IF(P15="&lt;",0.99,1),"")</f>
        <v/>
      </c>
      <c r="BZ15" s="188" t="str">
        <f t="shared" ref="BZ15:BZ51" si="20">IF(S15&lt;&gt;"",IF(R15="&lt;",0.99,1),"")</f>
        <v/>
      </c>
      <c r="CA15" s="188" t="str">
        <f t="shared" ref="CA15:CA51" si="21">IF(U15&lt;&gt;"",IF(T15="&lt;",0.99,1),"")</f>
        <v/>
      </c>
      <c r="CB15" s="188" t="str">
        <f t="shared" ref="CB15:CB51" si="22">IF(W15&lt;&gt;"",IF(V15="&lt;",0.99,1),"")</f>
        <v/>
      </c>
      <c r="CC15" s="188" t="str">
        <f t="shared" ref="CC15:CC51" si="23">IF(Y15&lt;&gt;"",IF(X15="&lt;",0.99,1),"")</f>
        <v/>
      </c>
      <c r="CD15" s="188" t="str">
        <f t="shared" ref="CD15:CD51" si="24">IF(AA15&lt;&gt;"",IF(Z15="&lt;",0.99,1),"")</f>
        <v/>
      </c>
      <c r="CE15" s="188" t="str">
        <f t="shared" ref="CE15:CE51" si="25">IF(AC15&lt;&gt;"",IF(AB15="&lt;",0.99,1),"")</f>
        <v/>
      </c>
      <c r="CF15" s="188" t="str">
        <f t="shared" ref="CF15:CF51" si="26">IF(AE15&lt;&gt;"",IF(AD15="&lt;",0.99,1),"")</f>
        <v/>
      </c>
      <c r="CG15" s="188" t="str">
        <f t="shared" ref="CG15:CG51" si="27">IF(AG15&lt;&gt;"",IF(AF15="&lt;",0.99,1),"")</f>
        <v/>
      </c>
      <c r="CH15" s="188" t="str">
        <f t="shared" ref="CH15:CH51" si="28">IF(AI15&lt;&gt;"",IF(AH15="&lt;",0.99,1),"")</f>
        <v/>
      </c>
      <c r="CY15" s="77" t="str">
        <f>IF(I15&lt;&gt;"",IF(H15="&lt;",IF(AND('Outfall 1 Limits'!$AM$16="Y",$BU$54&lt;&gt;"Y",I15&lt;='Outfall 1 Limits'!$AL$16),0,(1*I15)),I15),"")</f>
        <v/>
      </c>
      <c r="CZ15" s="29" t="str">
        <f>IF(K15&lt;&gt;"",IF(J15="&lt;",IF(AND('Outfall 1 Limits'!$AM$20="Y",$BV$54&lt;&gt;"Y",K15&lt;='Outfall 1 Limits'!$AL$20),0,(1*K15)),K15),"")</f>
        <v/>
      </c>
      <c r="DA15" s="29" t="str">
        <f>IF(M15&lt;&gt;"",IF(L15="&lt;",IF(AND('Outfall 1 Limits'!$AM$24="Y",$BW$54&lt;&gt;"Y",M15&lt;='Outfall 1 Limits'!$AL$24),0,(1*M15)),M15),"")</f>
        <v/>
      </c>
      <c r="DB15" s="29" t="str">
        <f>IF(O15&lt;&gt;"",IF(N15="&lt;",IF(AND('Outfall 1 Limits'!$AM$28="Y",$BX$54&lt;&gt;"Y",O15&lt;='Outfall 1 Limits'!$AL$28),0,(1*O15)),O15),"")</f>
        <v/>
      </c>
      <c r="DC15" s="29" t="str">
        <f>IF(Q15&lt;&gt;"",IF(P15="&lt;",IF(AND('Outfall 1 Limits'!$AM$32="Y",$BY$54&lt;&gt;"Y",Q15&lt;='Outfall 1 Limits'!$AL$32),0,(1*Q15)),Q15),"")</f>
        <v/>
      </c>
      <c r="DD15" s="29" t="str">
        <f>IF(S15&lt;&gt;"",IF(R15="&lt;",IF(AND('Outfall 1 Limits'!$AM$36="Y",$BZ$54&lt;&gt;"Y",S15&lt;='Outfall 1 Limits'!$AL$36),0,(1*S15)),S15),"")</f>
        <v/>
      </c>
      <c r="DE15" s="29" t="str">
        <f>IF(U15&lt;&gt;"",IF(T15="&lt;",IF(AND('Outfall 1 Limits'!$AM$40="Y",$CA$54&lt;&gt;"Y",U15&lt;='Outfall 1 Limits'!$AL$40),0,(1*U15)),U15),"")</f>
        <v/>
      </c>
      <c r="DF15" s="29" t="str">
        <f>IF(W15&lt;&gt;"",IF(V15="&lt;",IF(AND('Outfall 1 Limits'!$AM$44="Y",$CB$54&lt;&gt;"Y",W15&lt;='Outfall 1 Limits'!$AL$44),0,(1*W15)),W15),"")</f>
        <v/>
      </c>
      <c r="DG15" s="29" t="str">
        <f>IF(Y15&lt;&gt;"",IF(X15="&lt;",IF(AND('Outfall 1 Limits'!$AM$48="Y",$CC$54&lt;&gt;"Y",Y15&lt;='Outfall 1 Limits'!$AL$48),0,(1*Y15)),Y15),"")</f>
        <v/>
      </c>
      <c r="DH15" s="29" t="str">
        <f>IF(AA15&lt;&gt;"",IF(Z15="&lt;",IF(AND('Outfall 1 Limits'!$AM$52="Y",$CD$54&lt;&gt;"Y",AA15&lt;='Outfall 1 Limits'!$AL$52),0,(1*AA15)),AA15),"")</f>
        <v/>
      </c>
      <c r="DI15" s="29" t="str">
        <f>IF(AC15&lt;&gt;"",IF(AB15="&lt;",IF(AND('Outfall 1 Limits'!$AM$56="Y",$CE$54&lt;&gt;"Y",AC15&lt;='Outfall 1 Limits'!$AL$56),0,(1*AC15)),AC15),"")</f>
        <v/>
      </c>
      <c r="DJ15" s="29" t="str">
        <f>IF(AE15&lt;&gt;"",IF(AD15="&lt;",IF(AND('Outfall 1 Limits'!$AM$60="Y",$CF$54&lt;&gt;"Y",AE15&lt;='Outfall 1 Limits'!$AL$60),0,(1*AE15)),AE15),"")</f>
        <v/>
      </c>
      <c r="DK15" s="29" t="str">
        <f>IF(AG15&lt;&gt;"",IF(AF15="&lt;",IF(AND('Outfall 1 Limits'!$AM$64="Y",$CG$54&lt;&gt;"Y",AG15&lt;='Outfall 1 Limits'!$AL$64),0,(1*AG15)),AG15),"")</f>
        <v/>
      </c>
      <c r="DL15" s="29" t="str">
        <f>IF(AI15&lt;&gt;"",IF(AH15="&lt;",IF(AND('Outfall 1 Limits'!$AM$68="Y",$CH$54&lt;&gt;"Y",AI15&lt;='Outfall 1 Limits'!$AL$68),0,(1*AI15)),AI15),"")</f>
        <v/>
      </c>
      <c r="EB15" s="222" t="s">
        <v>379</v>
      </c>
      <c r="EC15" s="68" t="str">
        <f>IF(SUM(I31:I37)&gt;0,IF(BU72="Y",AVERAGE(I31:I37),AVERAGE(CY31:CY37)),"")</f>
        <v/>
      </c>
      <c r="ED15" s="188" t="str">
        <f>IF(SUM(K31:K37)&gt;0,IF(BV72="Y",AVERAGE(K31:K37),AVERAGE(CZ31:CZ37)),"")</f>
        <v/>
      </c>
      <c r="EE15" s="188" t="str">
        <f>IF(SUM(M31:M37)&gt;0,IF(BW72="Y",AVERAGE(M31:M37),AVERAGE(DA31:DA37)),"")</f>
        <v/>
      </c>
      <c r="EF15" s="188" t="str">
        <f>IF(SUM(O31:O37)&gt;0,IF(BX72="Y",AVERAGE(O31:O37),AVERAGE(DB31:DB37)),"")</f>
        <v/>
      </c>
      <c r="EG15" s="188" t="str">
        <f>IF(SUM(Q31:Q37)&gt;0,IF(BY72="Y",AVERAGE(Q31:Q37),AVERAGE(DC31:DC37)),"")</f>
        <v/>
      </c>
      <c r="EH15" s="188" t="str">
        <f>IF(SUM(S31:S37)&gt;0,IF(BZ72="Y",AVERAGE(S31:S37),AVERAGE(DD31:DD37)),"")</f>
        <v/>
      </c>
      <c r="EI15" s="188" t="str">
        <f>IF(SUM(U31:U37)&gt;0,IF(CA72="Y",AVERAGE(U31:U37),AVERAGE(DE31:DE37)),"")</f>
        <v/>
      </c>
      <c r="EJ15" s="188" t="str">
        <f>IF(SUM(W31:W37)&gt;0,IF(CB72="Y",AVERAGE(W31:W37),AVERAGE(DF31:DF37)),"")</f>
        <v/>
      </c>
      <c r="EK15" s="188" t="str">
        <f>IF(SUM(Y31:Y37)&gt;0,IF(CC72="Y",AVERAGE(Y31:Y37),AVERAGE(DG31:DG37)),"")</f>
        <v/>
      </c>
      <c r="EL15" s="188" t="str">
        <f>IF(SUM(AA31:AA37)&gt;0,IF(CD72="Y",AVERAGE(AA31:AA37),AVERAGE(DH31:DH37)),"")</f>
        <v/>
      </c>
      <c r="EM15" s="188" t="str">
        <f>IF(SUM(AC31:AC37)&gt;0,IF(CE72="Y",AVERAGE(AC31:AC37),AVERAGE(DI31:DI37)),"")</f>
        <v/>
      </c>
      <c r="EN15" s="188" t="str">
        <f>IF(SUM(AE31:AE37)&gt;0,IF(CF72="Y",AVERAGE(AE31:AE37),AVERAGE(DJ31:DJ37)),"")</f>
        <v/>
      </c>
      <c r="EO15" s="188" t="str">
        <f>IF(SUM(AG31:AG37)&gt;0,IF(CG72="Y",AVERAGE(AG31:AG37),AVERAGE(DK31:DK37)),"")</f>
        <v/>
      </c>
      <c r="EP15" s="188" t="str">
        <f>IF(SUM(AI31:AI37)&gt;0,IF(CH72="Y",AVERAGE(AI31:AI37),AVERAGE(DL31:DL37)),"")</f>
        <v/>
      </c>
      <c r="FG15" s="77" t="str">
        <f>IF(AND($G15&lt;&gt;"",$G15&gt;0,'Outfall 1 Limits'!$AX$16="C1",I15&lt;&gt;""),I15*$G15*8.34,IF(AND($I15&lt;&gt;"",'Outfall 1 Limits'!$AX$16="L"),I15,""))</f>
        <v/>
      </c>
      <c r="FH15" s="29" t="str">
        <f>IF(AND($G15&lt;&gt;"",$G15&gt;0,'Outfall 1 Limits'!$AX$20="C1",$K15&lt;&gt;""),$K15*$G15*8.34,IF(AND($K15&lt;&gt;"",'Outfall 1 Limits'!$AX$20="L"),$K15,""))</f>
        <v/>
      </c>
      <c r="FI15" s="29" t="str">
        <f>IF(AND($G15&lt;&gt;"",$G15&gt;0,'Outfall 1 Limits'!$AX$24="C1",$M15&lt;&gt;""),$M15*$G15*8.34,IF(AND($M15&lt;&gt;"",'Outfall 1 Limits'!$AX$24="L"),$M15,""))</f>
        <v/>
      </c>
      <c r="FJ15" s="29" t="str">
        <f>IF(AND($G15&lt;&gt;"",$G15&gt;0,'Outfall 1 Limits'!$AX$28="C1",$O15&lt;&gt;""),$O15*$G15*8.34,IF(AND($O15&lt;&gt;"",'Outfall 1 Limits'!$AX$28="L"),$O15,""))</f>
        <v/>
      </c>
      <c r="FK15" s="29" t="str">
        <f>IF(AND($G15&lt;&gt;"",$G15&gt;0,'Outfall 1 Limits'!$AX$32="C1",$Q15&lt;&gt;""),$Q15*$G15*8.34,IF(AND($Q15&lt;&gt;"",'Outfall 1 Limits'!$AX$32="L"),$Q15,""))</f>
        <v/>
      </c>
      <c r="FL15" s="29" t="str">
        <f>IF(AND($G15&lt;&gt;"",$G15&gt;0,'Outfall 1 Limits'!$AX$36="C1",$S15&lt;&gt;""),$S15*$G15*8.34,IF(AND($S15&lt;&gt;"",'Outfall 1 Limits'!$AX$36="L"),$S15,""))</f>
        <v/>
      </c>
      <c r="FM15" s="29" t="str">
        <f>IF(AND($G15&lt;&gt;"",$G15&gt;0,'Outfall 1 Limits'!$AX$40="C1",$U15&lt;&gt;""),$U15*$G15*8.34,IF(AND($U15&lt;&gt;"",'Outfall 1 Limits'!$AX$40="L"),$U15,""))</f>
        <v/>
      </c>
      <c r="FN15" s="29" t="str">
        <f>IF(AND($G15&lt;&gt;"",$G15&gt;0,'Outfall 1 Limits'!$AX$44="C1",$W15&lt;&gt;""),$W15*$G15*8.34,IF(AND($W15&lt;&gt;"",'Outfall 1 Limits'!$AX$44="L"),$W15,""))</f>
        <v/>
      </c>
      <c r="FO15" s="29" t="str">
        <f>IF(AND($G15&lt;&gt;"",$G15&gt;0,'Outfall 1 Limits'!$AX$48="C1",$Y15&lt;&gt;""),$Y15*$G15*8.34,IF(AND($Y15&lt;&gt;"",'Outfall 1 Limits'!$AX$48="L"),$Y15,""))</f>
        <v/>
      </c>
      <c r="FP15" s="29" t="str">
        <f>IF(AND($G15&lt;&gt;"",$G15&gt;0,'Outfall 1 Limits'!$AX$52="C1",$AA15&lt;&gt;""),$AA15*$G15*8.34,IF(AND($AA15&lt;&gt;"",'Outfall 1 Limits'!$AX$52="L"),$AA15,""))</f>
        <v/>
      </c>
      <c r="FQ15" s="29" t="str">
        <f>IF(AND($G15&lt;&gt;"",$G15&gt;0,'Outfall 1 Limits'!$AX$56="C1",$AC15&lt;&gt;""),$AC15*$G15*8.34,IF(AND($AC15&lt;&gt;"",'Outfall 1 Limits'!$AX$56="L"),$AC15,""))</f>
        <v/>
      </c>
      <c r="FR15" s="29" t="str">
        <f>IF(AND($G15&lt;&gt;"",$G15&gt;0,'Outfall 1 Limits'!$AX$60="C1",$AE15&lt;&gt;""),$AE15*$G15*8.34,IF(AND($AE15&lt;&gt;"",'Outfall 1 Limits'!$AX$60="L"),$AE15,""))</f>
        <v/>
      </c>
      <c r="FS15" s="29" t="str">
        <f>IF(AND($G15&lt;&gt;"",$G15&gt;0,'Outfall 1 Limits'!$AX$64="C1",$AG15&lt;&gt;""),$AG15*$G15*8.34,IF(AND($AG15&lt;&gt;"",'Outfall 1 Limits'!$AX$64="L"),$AG15,""))</f>
        <v/>
      </c>
      <c r="FT15" s="29" t="str">
        <f>IF(AND($G15&lt;&gt;"",$G15&gt;0,'Outfall 1 Limits'!$AX$68="C1",$AI15&lt;&gt;""),$AI15*$G15*8.34,IF(AND($AI15&lt;&gt;"",'Outfall 1 Limits'!$AX$68="L"),$AI15,""))</f>
        <v/>
      </c>
      <c r="GJ15" s="29" t="str">
        <f t="shared" ref="GJ15:GJ52" si="29">IF(AG14&lt;&gt;"",IF(AF14="&lt;",1,0.99),"")</f>
        <v/>
      </c>
      <c r="GK15" s="77" t="str">
        <f>IF(AND($G15&lt;&gt;"",$G15&gt;0,'Outfall 1 Limits'!$AX$16="C1",CY15&lt;&gt;""),CY15*$G15*8.34,IF(AND(CY15&lt;&gt;"",'Outfall 1 Limits'!$AX$16="L"),CY15,""))</f>
        <v/>
      </c>
      <c r="GL15" s="29" t="str">
        <f>IF(AND($G15&lt;&gt;"",$G15&gt;0,'Outfall 1 Limits'!$AX$20="C1",CZ15&lt;&gt;""),CZ15*$G15*8.34,IF(AND(CZ15&lt;&gt;"",'Outfall 1 Limits'!$AX$20="L"),CZ15,""))</f>
        <v/>
      </c>
      <c r="GM15" s="29" t="str">
        <f>IF(AND($G15&lt;&gt;"",$G15&gt;0,'Outfall 1 Limits'!$AX$24="C1",DA15&lt;&gt;""),DA15*$G15*8.34,IF(AND(DA15&lt;&gt;"",'Outfall 1 Limits'!$AX$24="L"),DA15,""))</f>
        <v/>
      </c>
      <c r="GN15" s="29" t="str">
        <f>IF(AND($G15&lt;&gt;"",$G15&gt;0,'Outfall 1 Limits'!$AX$28="C1",DB15&lt;&gt;""),DB15*$G15*8.34,IF(AND(DB15&lt;&gt;"",'Outfall 1 Limits'!$AX$28="L"),DB15,""))</f>
        <v/>
      </c>
      <c r="GO15" s="29" t="str">
        <f>IF(AND($G15&lt;&gt;"",$G15&gt;0,'Outfall 1 Limits'!$AX$32="C1",DC15&lt;&gt;""),DC15*$G15*8.34,IF(AND(DC15&lt;&gt;"",'Outfall 1 Limits'!$AX$32="L"),DC15,""))</f>
        <v/>
      </c>
      <c r="GP15" s="29" t="str">
        <f>IF(AND($G15&lt;&gt;"",$G15&gt;0,'Outfall 1 Limits'!$AX$36="C1",DD15&lt;&gt;""),DD15*$G15*8.34,IF(AND(DD15&lt;&gt;"",'Outfall 1 Limits'!$AX$36="L"),DD15,""))</f>
        <v/>
      </c>
      <c r="GQ15" s="29" t="str">
        <f>IF(AND($G15&lt;&gt;"",$G15&gt;0,'Outfall 1 Limits'!$AX$40="C1",DE15&lt;&gt;""),DE15*$G15*8.34,IF(AND(DE15&lt;&gt;"",'Outfall 1 Limits'!$AX$40="L"),DE15,""))</f>
        <v/>
      </c>
      <c r="GR15" s="29" t="str">
        <f>IF(AND($G15&lt;&gt;"",$G15&gt;0,'Outfall 1 Limits'!$AX$44="C1",DF15&lt;&gt;""),DF15*$G15*8.34,IF(AND(DF15&lt;&gt;"",'Outfall 1 Limits'!$AX$44="L"),DF15,""))</f>
        <v/>
      </c>
      <c r="GS15" s="29" t="str">
        <f>IF(AND($G15&lt;&gt;"",$G15&gt;0,'Outfall 1 Limits'!$AX$48="C1",DG15&lt;&gt;""),DG15*$G15*8.34,IF(AND(DG15&lt;&gt;"",'Outfall 1 Limits'!$AX$48="L"),DG15,""))</f>
        <v/>
      </c>
      <c r="GT15" s="29" t="str">
        <f>IF(AND($G15&lt;&gt;"",$G15&gt;0,'Outfall 1 Limits'!$AX$52="C1",DH15&lt;&gt;""),DH15*$G15*8.34,IF(AND(DH15&lt;&gt;"",'Outfall 1 Limits'!$AX$52="L"),DH15,""))</f>
        <v/>
      </c>
      <c r="GU15" s="29" t="str">
        <f>IF(AND($G15&lt;&gt;"",$G15&gt;0,'Outfall 1 Limits'!$AX$56="C1",DI15&lt;&gt;""),DI15*$G15*8.34,IF(AND(DI15&lt;&gt;"",'Outfall 1 Limits'!$AX$56="L"),DI15,""))</f>
        <v/>
      </c>
      <c r="GV15" s="29" t="str">
        <f>IF(AND($G15&lt;&gt;"",$G15&gt;0,'Outfall 1 Limits'!$AX$60="C1",DJ15&lt;&gt;""),DJ15*$G15*8.34,IF(AND(DJ15&lt;&gt;"",'Outfall 1 Limits'!$AX$60="L"),DJ15,""))</f>
        <v/>
      </c>
      <c r="GW15" s="29" t="str">
        <f>IF(AND($G15&lt;&gt;"",$G15&gt;0,'Outfall 1 Limits'!$AX$64="C1",DK15&lt;&gt;""),DK15*$G15*8.34,IF(AND(DK15&lt;&gt;"",'Outfall 1 Limits'!$AX$64="L"),DK15,""))</f>
        <v/>
      </c>
      <c r="GX15" s="29" t="str">
        <f>IF(AND($G15&lt;&gt;"",$G15&gt;0,'Outfall 1 Limits'!$AX$68="C1",DL15&lt;&gt;""),DL15*$G15*8.34,IF(AND(DL15&lt;&gt;"",'Outfall 1 Limits'!$AX$68="L"),DL15,""))</f>
        <v/>
      </c>
      <c r="HO15" s="98" t="str">
        <f t="shared" ref="HO15:HO51" si="30">IF(I15&lt;&gt;"",IF(H15="&gt;",(1.000001*I15),I15),"")</f>
        <v/>
      </c>
      <c r="HS15" s="68" t="str">
        <f t="shared" ref="HS15:HS51" si="31">IF(I15&lt;&gt;"",IF(H15="&lt;",(I15-0.01),I15),"")</f>
        <v/>
      </c>
      <c r="HT15" s="188" t="str">
        <f t="shared" ref="HT15:HT51" si="32">IF(K15&lt;&gt;"",IF(J15="&lt;",(K15-0.01),K15),"")</f>
        <v/>
      </c>
      <c r="HU15" s="188" t="str">
        <f t="shared" ref="HU15:HU51" si="33">IF(M15&lt;&gt;"",IF(L15="&lt;",(M15-0.01),M15),"")</f>
        <v/>
      </c>
      <c r="HV15" s="188" t="str">
        <f t="shared" ref="HV15:HV51" si="34">IF(O15&lt;&gt;"",IF(N15="&lt;",(O15-0.01),O15),"")</f>
        <v/>
      </c>
      <c r="HW15" s="188" t="str">
        <f t="shared" ref="HW15:HW51" si="35">IF(Q15&lt;&gt;"",IF(P15="&lt;",(Q15-0.01),Q15),"")</f>
        <v/>
      </c>
      <c r="HX15" s="188" t="str">
        <f t="shared" ref="HX15:HX51" si="36">IF(S15&lt;&gt;"",IF(R15="&lt;",(S15-0.01),S15),"")</f>
        <v/>
      </c>
      <c r="HY15" s="188" t="str">
        <f t="shared" ref="HY15:HY51" si="37">IF(U15&lt;&gt;"",IF(T15="&lt;",(U15-0.01),U15),"")</f>
        <v/>
      </c>
      <c r="HZ15" s="188" t="str">
        <f t="shared" ref="HZ15:HZ51" si="38">IF(W15&lt;&gt;"",IF(V15="&lt;",(W15-0.01),W15),"")</f>
        <v/>
      </c>
      <c r="IA15" s="188" t="str">
        <f t="shared" ref="IA15:IA51" si="39">IF(Y15&lt;&gt;"",IF(X15="&lt;",(Y15-0.01),Y15),"")</f>
        <v/>
      </c>
      <c r="IB15" s="188" t="str">
        <f t="shared" ref="IB15:IB51" si="40">IF(AA15&lt;&gt;"",IF(Z15="&lt;",(AA15-0.01),AA15),"")</f>
        <v/>
      </c>
      <c r="IC15" s="188" t="str">
        <f t="shared" ref="IC15:IC51" si="41">IF(AC15&lt;&gt;"",IF(AB15="&lt;",(AC15-0.01),AC15),"")</f>
        <v/>
      </c>
      <c r="ID15" s="188" t="str">
        <f t="shared" ref="ID15:ID51" si="42">IF(AE15&lt;&gt;"",IF(AD15="&lt;",(AE15-0.01),AE15),"")</f>
        <v/>
      </c>
      <c r="IE15" s="188" t="str">
        <f t="shared" ref="IE15:IE51" si="43">IF(AG15&lt;&gt;"",IF(AF15="&lt;",(AG15-0.01),AG15),"")</f>
        <v/>
      </c>
      <c r="IF15" s="188" t="str">
        <f t="shared" ref="IF15:IF51" si="44">IF(AI15&lt;&gt;"",IF(AH15="&lt;",(AI15-0.01),AI15),"")</f>
        <v/>
      </c>
      <c r="IX15" s="68" t="str">
        <f t="shared" ref="IX15:IX51" si="45">IF($FG15&lt;&gt;"",IF($H15="&lt;",($FG15-0.01),$FG15),"")</f>
        <v/>
      </c>
      <c r="IY15" s="188" t="str">
        <f t="shared" ref="IY15:IY51" si="46">IF($FH15&lt;&gt;"",IF($J15="&lt;",($FH15-0.01),$FH15),"")</f>
        <v/>
      </c>
      <c r="IZ15" s="188" t="str">
        <f t="shared" ref="IZ15:IZ51" si="47">IF($FI15&lt;&gt;"",IF($L15="&lt;",($FI15-0.01),$FI15),"")</f>
        <v/>
      </c>
      <c r="JA15" s="188" t="str">
        <f t="shared" ref="JA15:JA51" si="48">IF($FJ15&lt;&gt;"",IF($N15="&lt;",($FJ15-0.01),$FJ15),"")</f>
        <v/>
      </c>
      <c r="JB15" s="188" t="str">
        <f t="shared" ref="JB15:JB51" si="49">IF($FK15&lt;&gt;"",IF($P15="&lt;",($FK15-0.01),$FK15),"")</f>
        <v/>
      </c>
      <c r="JC15" s="188" t="str">
        <f t="shared" ref="JC15:JC51" si="50">IF($FL15&lt;&gt;"",IF($R15="&lt;",($FL15-0.01),$FL15),"")</f>
        <v/>
      </c>
      <c r="JD15" s="188" t="str">
        <f t="shared" ref="JD15:JD51" si="51">IF($FM15&lt;&gt;"",IF($T15="&lt;",($FM15-0.01),$FM15),"")</f>
        <v/>
      </c>
      <c r="JE15" s="188" t="str">
        <f t="shared" ref="JE15:JE51" si="52">IF($FN15&lt;&gt;"",IF($V15="&lt;",($FN15-0.01),$FN15),"")</f>
        <v/>
      </c>
      <c r="JF15" s="188" t="str">
        <f t="shared" ref="JF15:JF51" si="53">IF($FO15&lt;&gt;"",IF($X15="&lt;",($FO15-0.01),$FO15),"")</f>
        <v/>
      </c>
      <c r="JG15" s="188" t="str">
        <f t="shared" ref="JG15:JG51" si="54">IF($FP15&lt;&gt;"",IF($Z15="&lt;",($FP15-0.01),$FP15),"")</f>
        <v/>
      </c>
      <c r="JH15" s="188" t="str">
        <f t="shared" ref="JH15:JH51" si="55">IF($FQ15&lt;&gt;"",IF($AB15="&lt;",($FQ15-0.01),$FQ15),"")</f>
        <v/>
      </c>
      <c r="JI15" s="188" t="str">
        <f t="shared" ref="JI15:JI51" si="56">IF($FR15&lt;&gt;"",IF($AD15="&lt;",($FR15-0.01),$FR15),"")</f>
        <v/>
      </c>
      <c r="JJ15" s="188" t="str">
        <f t="shared" ref="JJ15:JJ51" si="57">IF($FS15&lt;&gt;"",IF($AF15="&lt;",($FS15-0.01),$FS15),"")</f>
        <v/>
      </c>
      <c r="JK15" s="188" t="str">
        <f t="shared" ref="JK15:JK51" si="58">IF($FT15&lt;&gt;"",IF($AH15="&lt;",($FT15-0.01),$FT15),"")</f>
        <v/>
      </c>
      <c r="KA15" s="188"/>
      <c r="KB15" s="2"/>
      <c r="KC15" s="211"/>
      <c r="KD15" s="164" t="str">
        <f t="shared" si="1"/>
        <v/>
      </c>
      <c r="KE15" s="188" t="str">
        <f t="shared" si="2"/>
        <v/>
      </c>
      <c r="KF15" s="18" t="str">
        <f t="shared" si="3"/>
        <v/>
      </c>
      <c r="KG15" s="18" t="str">
        <f t="shared" si="4"/>
        <v/>
      </c>
      <c r="KH15" s="18" t="str">
        <f t="shared" si="5"/>
        <v/>
      </c>
      <c r="KI15" s="18" t="str">
        <f t="shared" si="6"/>
        <v/>
      </c>
      <c r="KJ15" s="18" t="str">
        <f t="shared" si="7"/>
        <v/>
      </c>
      <c r="KK15" s="18" t="str">
        <f t="shared" si="8"/>
        <v/>
      </c>
      <c r="KL15" s="18" t="str">
        <f t="shared" si="9"/>
        <v/>
      </c>
      <c r="KM15" s="18" t="str">
        <f t="shared" si="10"/>
        <v/>
      </c>
      <c r="KN15" s="18" t="str">
        <f t="shared" si="11"/>
        <v/>
      </c>
      <c r="KO15" s="18" t="str">
        <f t="shared" si="12"/>
        <v/>
      </c>
      <c r="KP15" s="18" t="str">
        <f t="shared" si="13"/>
        <v/>
      </c>
      <c r="KQ15" s="18" t="str">
        <f t="shared" si="14"/>
        <v/>
      </c>
    </row>
    <row r="16" spans="1:318" s="18" customFormat="1" ht="11.45" customHeight="1" x14ac:dyDescent="0.2">
      <c r="A16" s="38"/>
      <c r="B16" s="48"/>
      <c r="C16" s="421" t="str">
        <f t="shared" si="0"/>
        <v/>
      </c>
      <c r="D16" s="421"/>
      <c r="E16" s="422" t="str">
        <f>IF($E17="","",IF(MONTH($E17-1)&lt;&gt;$P$6,"",$E17-1))</f>
        <v/>
      </c>
      <c r="F16" s="423"/>
      <c r="G16" s="31"/>
      <c r="H16" s="45"/>
      <c r="I16" s="44"/>
      <c r="J16" s="45"/>
      <c r="K16" s="44"/>
      <c r="L16" s="45"/>
      <c r="M16" s="44"/>
      <c r="N16" s="45"/>
      <c r="O16" s="44"/>
      <c r="P16" s="45"/>
      <c r="Q16" s="44"/>
      <c r="R16" s="45"/>
      <c r="S16" s="44"/>
      <c r="T16" s="45"/>
      <c r="U16" s="44"/>
      <c r="V16" s="45"/>
      <c r="W16" s="44"/>
      <c r="X16" s="45"/>
      <c r="Y16" s="44"/>
      <c r="Z16" s="45"/>
      <c r="AA16" s="44"/>
      <c r="AB16" s="45"/>
      <c r="AC16" s="44"/>
      <c r="AD16" s="45"/>
      <c r="AE16" s="44"/>
      <c r="AF16" s="45"/>
      <c r="AG16" s="44"/>
      <c r="AH16" s="45"/>
      <c r="AI16" s="127"/>
      <c r="AJ16" s="236"/>
      <c r="BO16" s="188"/>
      <c r="BP16" s="267">
        <v>2035</v>
      </c>
      <c r="BQ16" s="224" t="s">
        <v>31</v>
      </c>
      <c r="BR16" s="225"/>
      <c r="BS16" s="188" t="s">
        <v>1104</v>
      </c>
      <c r="BU16" s="68" t="str">
        <f t="shared" si="15"/>
        <v/>
      </c>
      <c r="BV16" s="188" t="str">
        <f t="shared" si="16"/>
        <v/>
      </c>
      <c r="BW16" s="188" t="str">
        <f t="shared" si="17"/>
        <v/>
      </c>
      <c r="BX16" s="188" t="str">
        <f t="shared" si="18"/>
        <v/>
      </c>
      <c r="BY16" s="188" t="str">
        <f t="shared" si="19"/>
        <v/>
      </c>
      <c r="BZ16" s="188" t="str">
        <f t="shared" si="20"/>
        <v/>
      </c>
      <c r="CA16" s="188" t="str">
        <f t="shared" si="21"/>
        <v/>
      </c>
      <c r="CB16" s="188" t="str">
        <f t="shared" si="22"/>
        <v/>
      </c>
      <c r="CC16" s="188" t="str">
        <f t="shared" si="23"/>
        <v/>
      </c>
      <c r="CD16" s="188" t="str">
        <f t="shared" si="24"/>
        <v/>
      </c>
      <c r="CE16" s="188" t="str">
        <f t="shared" si="25"/>
        <v/>
      </c>
      <c r="CF16" s="188" t="str">
        <f t="shared" si="26"/>
        <v/>
      </c>
      <c r="CG16" s="188" t="str">
        <f t="shared" si="27"/>
        <v/>
      </c>
      <c r="CH16" s="188" t="str">
        <f t="shared" si="28"/>
        <v/>
      </c>
      <c r="CY16" s="77" t="str">
        <f>IF(I16&lt;&gt;"",IF(H16="&lt;",IF(AND('Outfall 1 Limits'!$AM$16="Y",$BU$54&lt;&gt;"Y",I16&lt;='Outfall 1 Limits'!$AL$16),0,(1*I16)),I16),"")</f>
        <v/>
      </c>
      <c r="CZ16" s="29" t="str">
        <f>IF(K16&lt;&gt;"",IF(J16="&lt;",IF(AND('Outfall 1 Limits'!$AM$20="Y",$BV$54&lt;&gt;"Y",K16&lt;='Outfall 1 Limits'!$AL$20),0,(1*K16)),K16),"")</f>
        <v/>
      </c>
      <c r="DA16" s="29" t="str">
        <f>IF(M16&lt;&gt;"",IF(L16="&lt;",IF(AND('Outfall 1 Limits'!$AM$24="Y",$BW$54&lt;&gt;"Y",M16&lt;='Outfall 1 Limits'!$AL$24),0,(1*M16)),M16),"")</f>
        <v/>
      </c>
      <c r="DB16" s="29" t="str">
        <f>IF(O16&lt;&gt;"",IF(N16="&lt;",IF(AND('Outfall 1 Limits'!$AM$28="Y",$BX$54&lt;&gt;"Y",O16&lt;='Outfall 1 Limits'!$AL$28),0,(1*O16)),O16),"")</f>
        <v/>
      </c>
      <c r="DC16" s="29" t="str">
        <f>IF(Q16&lt;&gt;"",IF(P16="&lt;",IF(AND('Outfall 1 Limits'!$AM$32="Y",$BY$54&lt;&gt;"Y",Q16&lt;='Outfall 1 Limits'!$AL$32),0,(1*Q16)),Q16),"")</f>
        <v/>
      </c>
      <c r="DD16" s="29" t="str">
        <f>IF(S16&lt;&gt;"",IF(R16="&lt;",IF(AND('Outfall 1 Limits'!$AM$36="Y",$BZ$54&lt;&gt;"Y",S16&lt;='Outfall 1 Limits'!$AL$36),0,(1*S16)),S16),"")</f>
        <v/>
      </c>
      <c r="DE16" s="29" t="str">
        <f>IF(U16&lt;&gt;"",IF(T16="&lt;",IF(AND('Outfall 1 Limits'!$AM$40="Y",$CA$54&lt;&gt;"Y",U16&lt;='Outfall 1 Limits'!$AL$40),0,(1*U16)),U16),"")</f>
        <v/>
      </c>
      <c r="DF16" s="29" t="str">
        <f>IF(W16&lt;&gt;"",IF(V16="&lt;",IF(AND('Outfall 1 Limits'!$AM$44="Y",$CB$54&lt;&gt;"Y",W16&lt;='Outfall 1 Limits'!$AL$44),0,(1*W16)),W16),"")</f>
        <v/>
      </c>
      <c r="DG16" s="29" t="str">
        <f>IF(Y16&lt;&gt;"",IF(X16="&lt;",IF(AND('Outfall 1 Limits'!$AM$48="Y",$CC$54&lt;&gt;"Y",Y16&lt;='Outfall 1 Limits'!$AL$48),0,(1*Y16)),Y16),"")</f>
        <v/>
      </c>
      <c r="DH16" s="29" t="str">
        <f>IF(AA16&lt;&gt;"",IF(Z16="&lt;",IF(AND('Outfall 1 Limits'!$AM$52="Y",$CD$54&lt;&gt;"Y",AA16&lt;='Outfall 1 Limits'!$AL$52),0,(1*AA16)),AA16),"")</f>
        <v/>
      </c>
      <c r="DI16" s="29" t="str">
        <f>IF(AC16&lt;&gt;"",IF(AB16="&lt;",IF(AND('Outfall 1 Limits'!$AM$56="Y",$CE$54&lt;&gt;"Y",AC16&lt;='Outfall 1 Limits'!$AL$56),0,(1*AC16)),AC16),"")</f>
        <v/>
      </c>
      <c r="DJ16" s="29" t="str">
        <f>IF(AE16&lt;&gt;"",IF(AD16="&lt;",IF(AND('Outfall 1 Limits'!$AM$60="Y",$CF$54&lt;&gt;"Y",AE16&lt;='Outfall 1 Limits'!$AL$60),0,(1*AE16)),AE16),"")</f>
        <v/>
      </c>
      <c r="DK16" s="29" t="str">
        <f>IF(AG16&lt;&gt;"",IF(AF16="&lt;",IF(AND('Outfall 1 Limits'!$AM$64="Y",$CG$54&lt;&gt;"Y",AG16&lt;='Outfall 1 Limits'!$AL$64),0,(1*AG16)),AG16),"")</f>
        <v/>
      </c>
      <c r="DL16" s="29" t="str">
        <f>IF(AI16&lt;&gt;"",IF(AH16="&lt;",IF(AND('Outfall 1 Limits'!$AM$68="Y",$CH$54&lt;&gt;"Y",AI16&lt;='Outfall 1 Limits'!$AL$68),0,(1*AI16)),AI16),"")</f>
        <v/>
      </c>
      <c r="EB16" s="222" t="s">
        <v>380</v>
      </c>
      <c r="EC16" s="68" t="str">
        <f>IF(SUM(I38:I44)&gt;0,IF(BU74="Y",AVERAGE(I38:I44),AVERAGE(CY38:CY44)),"")</f>
        <v/>
      </c>
      <c r="ED16" s="188" t="str">
        <f>IF(SUM(K38:K44)&gt;0,IF(BV74="Y",AVERAGE(K38:K44),AVERAGE(CZ38:CZ44)),"")</f>
        <v/>
      </c>
      <c r="EE16" s="188" t="str">
        <f>IF(SUM(M38:M44)&gt;0,IF(BW74="Y",AVERAGE(M38:M44),AVERAGE(DA38:DA44)),"")</f>
        <v/>
      </c>
      <c r="EF16" s="188" t="str">
        <f>IF(SUM(O38:O44)&gt;0,IF(BX74="Y",AVERAGE(O38:O44),AVERAGE(DB38:DB44)),"")</f>
        <v/>
      </c>
      <c r="EG16" s="188" t="str">
        <f>IF(SUM(Q38:Q44)&gt;0,IF(BY74="Y",AVERAGE(Q38:Q44),AVERAGE(DC38:DC44)),"")</f>
        <v/>
      </c>
      <c r="EH16" s="188" t="str">
        <f>IF(SUM(S38:S44)&gt;0,IF(BZ74="Y",AVERAGE(S38:S44),AVERAGE(DD38:DD44)),"")</f>
        <v/>
      </c>
      <c r="EI16" s="188" t="str">
        <f>IF(SUM(U38:U44)&gt;0,IF(CA74="Y",AVERAGE(U38:U44),AVERAGE(DE38:DE44)),"")</f>
        <v/>
      </c>
      <c r="EJ16" s="188" t="str">
        <f>IF(SUM(W38:W44)&gt;0,IF(CB74="Y",AVERAGE(W38:W44),AVERAGE(DF38:DF44)),"")</f>
        <v/>
      </c>
      <c r="EK16" s="188" t="str">
        <f>IF(SUM(Y38:Y44)&gt;0,IF(CC74="Y",AVERAGE(Y38:Y44),AVERAGE(DG38:DG44)),"")</f>
        <v/>
      </c>
      <c r="EL16" s="188" t="str">
        <f>IF(SUM(AA38:AA44)&gt;0,IF(CD74="Y",AVERAGE(AA38:AA44),AVERAGE(DH38:DH44)),"")</f>
        <v/>
      </c>
      <c r="EM16" s="188" t="str">
        <f>IF(SUM(AC38:AC44)&gt;0,IF(CE74="Y",AVERAGE(AC38:AC44),AVERAGE(DI38:DI44)),"")</f>
        <v/>
      </c>
      <c r="EN16" s="188" t="str">
        <f>IF(SUM(AE38:AE44)&gt;0,IF(CF74="Y",AVERAGE(AE38:AE44),AVERAGE(DJ38:DJ44)),"")</f>
        <v/>
      </c>
      <c r="EO16" s="188" t="str">
        <f>IF(SUM(AG38:AG44)&gt;0,IF(CG74="Y",AVERAGE(AG38:AG44),AVERAGE(DK38:DK44)),"")</f>
        <v/>
      </c>
      <c r="EP16" s="188" t="str">
        <f>IF(SUM(AI38:AI44)&gt;0,IF(CH74="Y",AVERAGE(AI38:AI44),AVERAGE(DL38:DL44)),"")</f>
        <v/>
      </c>
      <c r="FG16" s="77" t="str">
        <f>IF(AND($G16&lt;&gt;"",$G16&gt;0,'Outfall 1 Limits'!$AX$16="C1",I16&lt;&gt;""),I16*$G16*8.34,IF(AND($I16&lt;&gt;"",'Outfall 1 Limits'!$AX$16="L"),I16,""))</f>
        <v/>
      </c>
      <c r="FH16" s="29" t="str">
        <f>IF(AND($G16&lt;&gt;"",$G16&gt;0,'Outfall 1 Limits'!$AX$20="C1",$K16&lt;&gt;""),$K16*$G16*8.34,IF(AND($K16&lt;&gt;"",'Outfall 1 Limits'!$AX$20="L"),$K16,""))</f>
        <v/>
      </c>
      <c r="FI16" s="29" t="str">
        <f>IF(AND($G16&lt;&gt;"",$G16&gt;0,'Outfall 1 Limits'!$AX$24="C1",$M16&lt;&gt;""),$M16*$G16*8.34,IF(AND($M16&lt;&gt;"",'Outfall 1 Limits'!$AX$24="L"),$M16,""))</f>
        <v/>
      </c>
      <c r="FJ16" s="29" t="str">
        <f>IF(AND($G16&lt;&gt;"",$G16&gt;0,'Outfall 1 Limits'!$AX$28="C1",$O16&lt;&gt;""),$O16*$G16*8.34,IF(AND($O16&lt;&gt;"",'Outfall 1 Limits'!$AX$28="L"),$O16,""))</f>
        <v/>
      </c>
      <c r="FK16" s="29" t="str">
        <f>IF(AND($G16&lt;&gt;"",$G16&gt;0,'Outfall 1 Limits'!$AX$32="C1",$Q16&lt;&gt;""),$Q16*$G16*8.34,IF(AND($Q16&lt;&gt;"",'Outfall 1 Limits'!$AX$32="L"),$Q16,""))</f>
        <v/>
      </c>
      <c r="FL16" s="29" t="str">
        <f>IF(AND($G16&lt;&gt;"",$G16&gt;0,'Outfall 1 Limits'!$AX$36="C1",$S16&lt;&gt;""),$S16*$G16*8.34,IF(AND($S16&lt;&gt;"",'Outfall 1 Limits'!$AX$36="L"),$S16,""))</f>
        <v/>
      </c>
      <c r="FM16" s="29" t="str">
        <f>IF(AND($G16&lt;&gt;"",$G16&gt;0,'Outfall 1 Limits'!$AX$40="C1",$U16&lt;&gt;""),$U16*$G16*8.34,IF(AND($U16&lt;&gt;"",'Outfall 1 Limits'!$AX$40="L"),$U16,""))</f>
        <v/>
      </c>
      <c r="FN16" s="29" t="str">
        <f>IF(AND($G16&lt;&gt;"",$G16&gt;0,'Outfall 1 Limits'!$AX$44="C1",$W16&lt;&gt;""),$W16*$G16*8.34,IF(AND($W16&lt;&gt;"",'Outfall 1 Limits'!$AX$44="L"),$W16,""))</f>
        <v/>
      </c>
      <c r="FO16" s="29" t="str">
        <f>IF(AND($G16&lt;&gt;"",$G16&gt;0,'Outfall 1 Limits'!$AX$48="C1",$Y16&lt;&gt;""),$Y16*$G16*8.34,IF(AND($Y16&lt;&gt;"",'Outfall 1 Limits'!$AX$48="L"),$Y16,""))</f>
        <v/>
      </c>
      <c r="FP16" s="29" t="str">
        <f>IF(AND($G16&lt;&gt;"",$G16&gt;0,'Outfall 1 Limits'!$AX$52="C1",$AA16&lt;&gt;""),$AA16*$G16*8.34,IF(AND($AA16&lt;&gt;"",'Outfall 1 Limits'!$AX$52="L"),$AA16,""))</f>
        <v/>
      </c>
      <c r="FQ16" s="29" t="str">
        <f>IF(AND($G16&lt;&gt;"",$G16&gt;0,'Outfall 1 Limits'!$AX$56="C1",$AC16&lt;&gt;""),$AC16*$G16*8.34,IF(AND($AC16&lt;&gt;"",'Outfall 1 Limits'!$AX$56="L"),$AC16,""))</f>
        <v/>
      </c>
      <c r="FR16" s="29" t="str">
        <f>IF(AND($G16&lt;&gt;"",$G16&gt;0,'Outfall 1 Limits'!$AX$60="C1",$AE16&lt;&gt;""),$AE16*$G16*8.34,IF(AND($AE16&lt;&gt;"",'Outfall 1 Limits'!$AX$60="L"),$AE16,""))</f>
        <v/>
      </c>
      <c r="FS16" s="29" t="str">
        <f>IF(AND($G16&lt;&gt;"",$G16&gt;0,'Outfall 1 Limits'!$AX$64="C1",$AG16&lt;&gt;""),$AG16*$G16*8.34,IF(AND($AG16&lt;&gt;"",'Outfall 1 Limits'!$AX$64="L"),$AG16,""))</f>
        <v/>
      </c>
      <c r="FT16" s="29" t="str">
        <f>IF(AND($G16&lt;&gt;"",$G16&gt;0,'Outfall 1 Limits'!$AX$68="C1",$AI16&lt;&gt;""),$AI16*$G16*8.34,IF(AND($AI16&lt;&gt;"",'Outfall 1 Limits'!$AX$68="L"),$AI16,""))</f>
        <v/>
      </c>
      <c r="GJ16" s="29" t="str">
        <f t="shared" si="29"/>
        <v/>
      </c>
      <c r="GK16" s="77" t="str">
        <f>IF(AND($G16&lt;&gt;"",$G16&gt;0,'Outfall 1 Limits'!$AX$16="C1",CY16&lt;&gt;""),CY16*$G16*8.34,IF(AND(CY16&lt;&gt;"",'Outfall 1 Limits'!$AX$16="L"),CY16,""))</f>
        <v/>
      </c>
      <c r="GL16" s="29" t="str">
        <f>IF(AND($G16&lt;&gt;"",$G16&gt;0,'Outfall 1 Limits'!$AX$20="C1",CZ16&lt;&gt;""),CZ16*$G16*8.34,IF(AND(CZ16&lt;&gt;"",'Outfall 1 Limits'!$AX$20="L"),CZ16,""))</f>
        <v/>
      </c>
      <c r="GM16" s="29" t="str">
        <f>IF(AND($G16&lt;&gt;"",$G16&gt;0,'Outfall 1 Limits'!$AX$24="C1",DA16&lt;&gt;""),DA16*$G16*8.34,IF(AND(DA16&lt;&gt;"",'Outfall 1 Limits'!$AX$24="L"),DA16,""))</f>
        <v/>
      </c>
      <c r="GN16" s="29" t="str">
        <f>IF(AND($G16&lt;&gt;"",$G16&gt;0,'Outfall 1 Limits'!$AX$28="C1",DB16&lt;&gt;""),DB16*$G16*8.34,IF(AND(DB16&lt;&gt;"",'Outfall 1 Limits'!$AX$28="L"),DB16,""))</f>
        <v/>
      </c>
      <c r="GO16" s="29" t="str">
        <f>IF(AND($G16&lt;&gt;"",$G16&gt;0,'Outfall 1 Limits'!$AX$32="C1",DC16&lt;&gt;""),DC16*$G16*8.34,IF(AND(DC16&lt;&gt;"",'Outfall 1 Limits'!$AX$32="L"),DC16,""))</f>
        <v/>
      </c>
      <c r="GP16" s="29" t="str">
        <f>IF(AND($G16&lt;&gt;"",$G16&gt;0,'Outfall 1 Limits'!$AX$36="C1",DD16&lt;&gt;""),DD16*$G16*8.34,IF(AND(DD16&lt;&gt;"",'Outfall 1 Limits'!$AX$36="L"),DD16,""))</f>
        <v/>
      </c>
      <c r="GQ16" s="29" t="str">
        <f>IF(AND($G16&lt;&gt;"",$G16&gt;0,'Outfall 1 Limits'!$AX$40="C1",DE16&lt;&gt;""),DE16*$G16*8.34,IF(AND(DE16&lt;&gt;"",'Outfall 1 Limits'!$AX$40="L"),DE16,""))</f>
        <v/>
      </c>
      <c r="GR16" s="29" t="str">
        <f>IF(AND($G16&lt;&gt;"",$G16&gt;0,'Outfall 1 Limits'!$AX$44="C1",DF16&lt;&gt;""),DF16*$G16*8.34,IF(AND(DF16&lt;&gt;"",'Outfall 1 Limits'!$AX$44="L"),DF16,""))</f>
        <v/>
      </c>
      <c r="GS16" s="29" t="str">
        <f>IF(AND($G16&lt;&gt;"",$G16&gt;0,'Outfall 1 Limits'!$AX$48="C1",DG16&lt;&gt;""),DG16*$G16*8.34,IF(AND(DG16&lt;&gt;"",'Outfall 1 Limits'!$AX$48="L"),DG16,""))</f>
        <v/>
      </c>
      <c r="GT16" s="29" t="str">
        <f>IF(AND($G16&lt;&gt;"",$G16&gt;0,'Outfall 1 Limits'!$AX$52="C1",DH16&lt;&gt;""),DH16*$G16*8.34,IF(AND(DH16&lt;&gt;"",'Outfall 1 Limits'!$AX$52="L"),DH16,""))</f>
        <v/>
      </c>
      <c r="GU16" s="29" t="str">
        <f>IF(AND($G16&lt;&gt;"",$G16&gt;0,'Outfall 1 Limits'!$AX$56="C1",DI16&lt;&gt;""),DI16*$G16*8.34,IF(AND(DI16&lt;&gt;"",'Outfall 1 Limits'!$AX$56="L"),DI16,""))</f>
        <v/>
      </c>
      <c r="GV16" s="29" t="str">
        <f>IF(AND($G16&lt;&gt;"",$G16&gt;0,'Outfall 1 Limits'!$AX$60="C1",DJ16&lt;&gt;""),DJ16*$G16*8.34,IF(AND(DJ16&lt;&gt;"",'Outfall 1 Limits'!$AX$60="L"),DJ16,""))</f>
        <v/>
      </c>
      <c r="GW16" s="29" t="str">
        <f>IF(AND($G16&lt;&gt;"",$G16&gt;0,'Outfall 1 Limits'!$AX$64="C1",DK16&lt;&gt;""),DK16*$G16*8.34,IF(AND(DK16&lt;&gt;"",'Outfall 1 Limits'!$AX$64="L"),DK16,""))</f>
        <v/>
      </c>
      <c r="GX16" s="29" t="str">
        <f>IF(AND($G16&lt;&gt;"",$G16&gt;0,'Outfall 1 Limits'!$AX$68="C1",DL16&lt;&gt;""),DL16*$G16*8.34,IF(AND(DL16&lt;&gt;"",'Outfall 1 Limits'!$AX$68="L"),DL16,""))</f>
        <v/>
      </c>
      <c r="HO16" s="98" t="str">
        <f t="shared" si="30"/>
        <v/>
      </c>
      <c r="HS16" s="68" t="str">
        <f t="shared" si="31"/>
        <v/>
      </c>
      <c r="HT16" s="188" t="str">
        <f t="shared" si="32"/>
        <v/>
      </c>
      <c r="HU16" s="188" t="str">
        <f t="shared" si="33"/>
        <v/>
      </c>
      <c r="HV16" s="188" t="str">
        <f t="shared" si="34"/>
        <v/>
      </c>
      <c r="HW16" s="188" t="str">
        <f t="shared" si="35"/>
        <v/>
      </c>
      <c r="HX16" s="188" t="str">
        <f t="shared" si="36"/>
        <v/>
      </c>
      <c r="HY16" s="188" t="str">
        <f t="shared" si="37"/>
        <v/>
      </c>
      <c r="HZ16" s="188" t="str">
        <f t="shared" si="38"/>
        <v/>
      </c>
      <c r="IA16" s="188" t="str">
        <f t="shared" si="39"/>
        <v/>
      </c>
      <c r="IB16" s="188" t="str">
        <f t="shared" si="40"/>
        <v/>
      </c>
      <c r="IC16" s="188" t="str">
        <f t="shared" si="41"/>
        <v/>
      </c>
      <c r="ID16" s="188" t="str">
        <f t="shared" si="42"/>
        <v/>
      </c>
      <c r="IE16" s="188" t="str">
        <f t="shared" si="43"/>
        <v/>
      </c>
      <c r="IF16" s="188" t="str">
        <f t="shared" si="44"/>
        <v/>
      </c>
      <c r="IX16" s="68" t="str">
        <f t="shared" si="45"/>
        <v/>
      </c>
      <c r="IY16" s="188" t="str">
        <f t="shared" si="46"/>
        <v/>
      </c>
      <c r="IZ16" s="188" t="str">
        <f t="shared" si="47"/>
        <v/>
      </c>
      <c r="JA16" s="188" t="str">
        <f t="shared" si="48"/>
        <v/>
      </c>
      <c r="JB16" s="188" t="str">
        <f t="shared" si="49"/>
        <v/>
      </c>
      <c r="JC16" s="188" t="str">
        <f t="shared" si="50"/>
        <v/>
      </c>
      <c r="JD16" s="188" t="str">
        <f t="shared" si="51"/>
        <v/>
      </c>
      <c r="JE16" s="188" t="str">
        <f t="shared" si="52"/>
        <v/>
      </c>
      <c r="JF16" s="188" t="str">
        <f t="shared" si="53"/>
        <v/>
      </c>
      <c r="JG16" s="188" t="str">
        <f t="shared" si="54"/>
        <v/>
      </c>
      <c r="JH16" s="188" t="str">
        <f t="shared" si="55"/>
        <v/>
      </c>
      <c r="JI16" s="188" t="str">
        <f t="shared" si="56"/>
        <v/>
      </c>
      <c r="JJ16" s="188" t="str">
        <f t="shared" si="57"/>
        <v/>
      </c>
      <c r="JK16" s="188" t="str">
        <f t="shared" si="58"/>
        <v/>
      </c>
      <c r="KA16" s="188"/>
      <c r="KB16" s="2"/>
      <c r="KC16" s="211"/>
      <c r="KD16" s="164" t="str">
        <f t="shared" si="1"/>
        <v/>
      </c>
      <c r="KE16" s="188" t="str">
        <f t="shared" si="2"/>
        <v/>
      </c>
      <c r="KF16" s="18" t="str">
        <f t="shared" si="3"/>
        <v/>
      </c>
      <c r="KG16" s="18" t="str">
        <f t="shared" si="4"/>
        <v/>
      </c>
      <c r="KH16" s="18" t="str">
        <f t="shared" si="5"/>
        <v/>
      </c>
      <c r="KI16" s="18" t="str">
        <f t="shared" si="6"/>
        <v/>
      </c>
      <c r="KJ16" s="18" t="str">
        <f t="shared" si="7"/>
        <v/>
      </c>
      <c r="KK16" s="18" t="str">
        <f t="shared" si="8"/>
        <v/>
      </c>
      <c r="KL16" s="18" t="str">
        <f t="shared" si="9"/>
        <v/>
      </c>
      <c r="KM16" s="18" t="str">
        <f t="shared" si="10"/>
        <v/>
      </c>
      <c r="KN16" s="18" t="str">
        <f t="shared" si="11"/>
        <v/>
      </c>
      <c r="KO16" s="18" t="str">
        <f t="shared" si="12"/>
        <v/>
      </c>
      <c r="KP16" s="18" t="str">
        <f t="shared" si="13"/>
        <v/>
      </c>
      <c r="KQ16" s="18" t="str">
        <f t="shared" si="14"/>
        <v/>
      </c>
    </row>
    <row r="17" spans="1:303" s="18" customFormat="1" ht="11.45" customHeight="1" x14ac:dyDescent="0.2">
      <c r="A17" s="38"/>
      <c r="B17" s="48">
        <v>1</v>
      </c>
      <c r="C17" s="421">
        <f t="shared" si="0"/>
        <v>45291</v>
      </c>
      <c r="D17" s="421"/>
      <c r="E17" s="422">
        <f>IF((P6*T6)&gt;0,$E$10,"")</f>
        <v>45291</v>
      </c>
      <c r="F17" s="423"/>
      <c r="G17" s="31"/>
      <c r="H17" s="45"/>
      <c r="I17" s="44"/>
      <c r="J17" s="45"/>
      <c r="K17" s="44"/>
      <c r="L17" s="45"/>
      <c r="M17" s="44"/>
      <c r="N17" s="45"/>
      <c r="O17" s="44"/>
      <c r="P17" s="45"/>
      <c r="Q17" s="44"/>
      <c r="R17" s="45"/>
      <c r="S17" s="44"/>
      <c r="T17" s="45"/>
      <c r="U17" s="44"/>
      <c r="V17" s="45"/>
      <c r="W17" s="44"/>
      <c r="X17" s="45"/>
      <c r="Y17" s="44"/>
      <c r="Z17" s="45"/>
      <c r="AA17" s="44"/>
      <c r="AB17" s="45"/>
      <c r="AC17" s="44"/>
      <c r="AD17" s="45"/>
      <c r="AE17" s="44"/>
      <c r="AF17" s="45"/>
      <c r="AG17" s="44"/>
      <c r="AH17" s="45"/>
      <c r="AI17" s="127"/>
      <c r="AJ17" s="236"/>
      <c r="BO17" s="188"/>
      <c r="BP17" s="267">
        <v>2036</v>
      </c>
      <c r="BQ17" s="224" t="s">
        <v>32</v>
      </c>
      <c r="BR17" s="225"/>
      <c r="BS17" s="188" t="s">
        <v>1105</v>
      </c>
      <c r="BU17" s="68" t="str">
        <f t="shared" si="15"/>
        <v/>
      </c>
      <c r="BV17" s="188" t="str">
        <f t="shared" si="16"/>
        <v/>
      </c>
      <c r="BW17" s="188" t="str">
        <f t="shared" si="17"/>
        <v/>
      </c>
      <c r="BX17" s="188" t="str">
        <f t="shared" si="18"/>
        <v/>
      </c>
      <c r="BY17" s="188" t="str">
        <f t="shared" si="19"/>
        <v/>
      </c>
      <c r="BZ17" s="188" t="str">
        <f t="shared" si="20"/>
        <v/>
      </c>
      <c r="CA17" s="188" t="str">
        <f t="shared" si="21"/>
        <v/>
      </c>
      <c r="CB17" s="188" t="str">
        <f t="shared" si="22"/>
        <v/>
      </c>
      <c r="CC17" s="188" t="str">
        <f t="shared" si="23"/>
        <v/>
      </c>
      <c r="CD17" s="188" t="str">
        <f t="shared" si="24"/>
        <v/>
      </c>
      <c r="CE17" s="188" t="str">
        <f t="shared" si="25"/>
        <v/>
      </c>
      <c r="CF17" s="188" t="str">
        <f t="shared" si="26"/>
        <v/>
      </c>
      <c r="CG17" s="188" t="str">
        <f t="shared" si="27"/>
        <v/>
      </c>
      <c r="CH17" s="188" t="str">
        <f t="shared" si="28"/>
        <v/>
      </c>
      <c r="CY17" s="77" t="str">
        <f>IF(I17&lt;&gt;"",IF(H17="&lt;",IF(AND('Outfall 1 Limits'!$AM$16="Y",$BU$54&lt;&gt;"Y",I17&lt;='Outfall 1 Limits'!$AL$16),0,(1*I17)),I17),"")</f>
        <v/>
      </c>
      <c r="CZ17" s="29" t="str">
        <f>IF(K17&lt;&gt;"",IF(J17="&lt;",IF(AND('Outfall 1 Limits'!$AM$20="Y",$BV$54&lt;&gt;"Y",K17&lt;='Outfall 1 Limits'!$AL$20),0,(1*K17)),K17),"")</f>
        <v/>
      </c>
      <c r="DA17" s="29" t="str">
        <f>IF(M17&lt;&gt;"",IF(L17="&lt;",IF(AND('Outfall 1 Limits'!$AM$24="Y",$BW$54&lt;&gt;"Y",M17&lt;='Outfall 1 Limits'!$AL$24),0,(1*M17)),M17),"")</f>
        <v/>
      </c>
      <c r="DB17" s="29" t="str">
        <f>IF(O17&lt;&gt;"",IF(N17="&lt;",IF(AND('Outfall 1 Limits'!$AM$28="Y",$BX$54&lt;&gt;"Y",O17&lt;='Outfall 1 Limits'!$AL$28),0,(1*O17)),O17),"")</f>
        <v/>
      </c>
      <c r="DC17" s="29" t="str">
        <f>IF(Q17&lt;&gt;"",IF(P17="&lt;",IF(AND('Outfall 1 Limits'!$AM$32="Y",$BY$54&lt;&gt;"Y",Q17&lt;='Outfall 1 Limits'!$AL$32),0,(1*Q17)),Q17),"")</f>
        <v/>
      </c>
      <c r="DD17" s="29" t="str">
        <f>IF(S17&lt;&gt;"",IF(R17="&lt;",IF(AND('Outfall 1 Limits'!$AM$36="Y",$BZ$54&lt;&gt;"Y",S17&lt;='Outfall 1 Limits'!$AL$36),0,(1*S17)),S17),"")</f>
        <v/>
      </c>
      <c r="DE17" s="29" t="str">
        <f>IF(U17&lt;&gt;"",IF(T17="&lt;",IF(AND('Outfall 1 Limits'!$AM$40="Y",$CA$54&lt;&gt;"Y",U17&lt;='Outfall 1 Limits'!$AL$40),0,(1*U17)),U17),"")</f>
        <v/>
      </c>
      <c r="DF17" s="29" t="str">
        <f>IF(W17&lt;&gt;"",IF(V17="&lt;",IF(AND('Outfall 1 Limits'!$AM$44="Y",$CB$54&lt;&gt;"Y",W17&lt;='Outfall 1 Limits'!$AL$44),0,(1*W17)),W17),"")</f>
        <v/>
      </c>
      <c r="DG17" s="29" t="str">
        <f>IF(Y17&lt;&gt;"",IF(X17="&lt;",IF(AND('Outfall 1 Limits'!$AM$48="Y",$CC$54&lt;&gt;"Y",Y17&lt;='Outfall 1 Limits'!$AL$48),0,(1*Y17)),Y17),"")</f>
        <v/>
      </c>
      <c r="DH17" s="29" t="str">
        <f>IF(AA17&lt;&gt;"",IF(Z17="&lt;",IF(AND('Outfall 1 Limits'!$AM$52="Y",$CD$54&lt;&gt;"Y",AA17&lt;='Outfall 1 Limits'!$AL$52),0,(1*AA17)),AA17),"")</f>
        <v/>
      </c>
      <c r="DI17" s="29" t="str">
        <f>IF(AC17&lt;&gt;"",IF(AB17="&lt;",IF(AND('Outfall 1 Limits'!$AM$56="Y",$CE$54&lt;&gt;"Y",AC17&lt;='Outfall 1 Limits'!$AL$56),0,(1*AC17)),AC17),"")</f>
        <v/>
      </c>
      <c r="DJ17" s="29" t="str">
        <f>IF(AE17&lt;&gt;"",IF(AD17="&lt;",IF(AND('Outfall 1 Limits'!$AM$60="Y",$CF$54&lt;&gt;"Y",AE17&lt;='Outfall 1 Limits'!$AL$60),0,(1*AE17)),AE17),"")</f>
        <v/>
      </c>
      <c r="DK17" s="29" t="str">
        <f>IF(AG17&lt;&gt;"",IF(AF17="&lt;",IF(AND('Outfall 1 Limits'!$AM$64="Y",$CG$54&lt;&gt;"Y",AG17&lt;='Outfall 1 Limits'!$AL$64),0,(1*AG17)),AG17),"")</f>
        <v/>
      </c>
      <c r="DL17" s="29" t="str">
        <f>IF(AI17&lt;&gt;"",IF(AH17="&lt;",IF(AND('Outfall 1 Limits'!$AM$68="Y",$CH$54&lt;&gt;"Y",AI17&lt;='Outfall 1 Limits'!$AL$68),0,(1*AI17)),AI17),"")</f>
        <v/>
      </c>
      <c r="EB17" s="222" t="s">
        <v>381</v>
      </c>
      <c r="EC17" s="68" t="str">
        <f>IF(E51&lt;&gt;"",IF(SUM(I45:I51)&gt;0,IF(BU76="Y",AVERAGE(I45:I51),AVERAGE(CY45:CY51)),""),"")</f>
        <v/>
      </c>
      <c r="ED17" s="188" t="str">
        <f>IF(E51&lt;&gt;"",IF(SUM(K45:K51)&gt;0,IF(BV76="Y",AVERAGE(K45:K51),AVERAGE(CZ45:CZ51)),""),"")</f>
        <v/>
      </c>
      <c r="EE17" s="188" t="str">
        <f>IF(E51&lt;&gt;"",IF(SUM(M45:M51)&gt;0,IF(BW76="Y",AVERAGE(M45:M51),AVERAGE(DA45:DA51)),""),"")</f>
        <v/>
      </c>
      <c r="EF17" s="188" t="str">
        <f>IF(E51&lt;&gt;"",IF(SUM(O45:O51)&gt;0,IF(BX76="Y",AVERAGE(O45:O51),AVERAGE(DB45:DB51)),""),"")</f>
        <v/>
      </c>
      <c r="EG17" s="188" t="str">
        <f>IF(E51&lt;&gt;"",IF(SUM(Q45:Q51)&gt;0,IF(BY76="Y",AVERAGE(Q45:Q51),AVERAGE(DC45:DC51)),""),"")</f>
        <v/>
      </c>
      <c r="EH17" s="188" t="str">
        <f>IF(E51&lt;&gt;"",IF(SUM(S45:S51)&gt;0,IF(BZ76="Y",AVERAGE(S45:S51),AVERAGE(DD45:DD51)),""),"")</f>
        <v/>
      </c>
      <c r="EI17" s="188" t="str">
        <f>IF(E51&lt;&gt;"",IF(SUM(U45:U51)&gt;0,IF(CA76="Y",AVERAGE(U45:U51),AVERAGE(DE45:DE51)),""),"")</f>
        <v/>
      </c>
      <c r="EJ17" s="188" t="str">
        <f>IF(E51&lt;&gt;"",IF(SUM(W45:W51)&gt;0,IF(CB76="Y",AVERAGE(W45:W51),AVERAGE(DF45:DF51)),""),"")</f>
        <v/>
      </c>
      <c r="EK17" s="188" t="str">
        <f>IF(E51&lt;&gt;"",IF(SUM(Y45:Y51)&gt;0,IF(CC76="Y",AVERAGE(Y45:Y51),AVERAGE(DG45:DG51)),""),"")</f>
        <v/>
      </c>
      <c r="EL17" s="188" t="str">
        <f>IF(E51&lt;&gt;"",IF(SUM(AA45:AA51)&gt;0,IF(CD76="Y",AVERAGE(AA45:AA51),AVERAGE(DH45:DH51)),""),"")</f>
        <v/>
      </c>
      <c r="EM17" s="188" t="str">
        <f>IF(E51&lt;&gt;"",IF(SUM(AC45:AC51)&gt;0,IF(CE76="Y",AVERAGE(AC45:AC51),AVERAGE(DI45:DI51)),""),"")</f>
        <v/>
      </c>
      <c r="EN17" s="188" t="str">
        <f>IF(E51&lt;&gt;"",IF(SUM(AE45:AE51)&gt;0,IF(CF76="Y",AVERAGE(AE45:AE51),AVERAGE(DJ45:DJ51)),""),"")</f>
        <v/>
      </c>
      <c r="EO17" s="188" t="str">
        <f>IF(E51&lt;&gt;"",IF(SUM(AG45:AG51)&gt;0,IF(CG76="Y",AVERAGE(AG45:AG51),AVERAGE(DK45:DK51)),""),"")</f>
        <v/>
      </c>
      <c r="EP17" s="188" t="str">
        <f>IF(E51&lt;&gt;"",IF(SUM(AI45:AI51)&gt;0,IF(CH76="Y",AVERAGE(AI45:AI51),AVERAGE(DL45:DL51)),""),"")</f>
        <v/>
      </c>
      <c r="FG17" s="77" t="str">
        <f>IF(AND($G17&lt;&gt;"",$G17&gt;0,'Outfall 1 Limits'!$AX$16="C1",I17&lt;&gt;""),I17*$G17*8.34,IF(AND($I17&lt;&gt;"",'Outfall 1 Limits'!$AX$16="L"),I17,""))</f>
        <v/>
      </c>
      <c r="FH17" s="29" t="str">
        <f>IF(AND($G17&lt;&gt;"",$G17&gt;0,'Outfall 1 Limits'!$AX$20="C1",$K17&lt;&gt;""),$K17*$G17*8.34,IF(AND($K17&lt;&gt;"",'Outfall 1 Limits'!$AX$20="L"),$K17,""))</f>
        <v/>
      </c>
      <c r="FI17" s="29" t="str">
        <f>IF(AND($G17&lt;&gt;"",$G17&gt;0,'Outfall 1 Limits'!$AX$24="C1",$M17&lt;&gt;""),$M17*$G17*8.34,IF(AND($M17&lt;&gt;"",'Outfall 1 Limits'!$AX$24="L"),$M17,""))</f>
        <v/>
      </c>
      <c r="FJ17" s="29" t="str">
        <f>IF(AND($G17&lt;&gt;"",$G17&gt;0,'Outfall 1 Limits'!$AX$28="C1",$O17&lt;&gt;""),$O17*$G17*8.34,IF(AND($O17&lt;&gt;"",'Outfall 1 Limits'!$AX$28="L"),$O17,""))</f>
        <v/>
      </c>
      <c r="FK17" s="29" t="str">
        <f>IF(AND($G17&lt;&gt;"",$G17&gt;0,'Outfall 1 Limits'!$AX$32="C1",$Q17&lt;&gt;""),$Q17*$G17*8.34,IF(AND($Q17&lt;&gt;"",'Outfall 1 Limits'!$AX$32="L"),$Q17,""))</f>
        <v/>
      </c>
      <c r="FL17" s="29" t="str">
        <f>IF(AND($G17&lt;&gt;"",$G17&gt;0,'Outfall 1 Limits'!$AX$36="C1",$S17&lt;&gt;""),$S17*$G17*8.34,IF(AND($S17&lt;&gt;"",'Outfall 1 Limits'!$AX$36="L"),$S17,""))</f>
        <v/>
      </c>
      <c r="FM17" s="29" t="str">
        <f>IF(AND($G17&lt;&gt;"",$G17&gt;0,'Outfall 1 Limits'!$AX$40="C1",$U17&lt;&gt;""),$U17*$G17*8.34,IF(AND($U17&lt;&gt;"",'Outfall 1 Limits'!$AX$40="L"),$U17,""))</f>
        <v/>
      </c>
      <c r="FN17" s="29" t="str">
        <f>IF(AND($G17&lt;&gt;"",$G17&gt;0,'Outfall 1 Limits'!$AX$44="C1",$W17&lt;&gt;""),$W17*$G17*8.34,IF(AND($W17&lt;&gt;"",'Outfall 1 Limits'!$AX$44="L"),$W17,""))</f>
        <v/>
      </c>
      <c r="FO17" s="29" t="str">
        <f>IF(AND($G17&lt;&gt;"",$G17&gt;0,'Outfall 1 Limits'!$AX$48="C1",$Y17&lt;&gt;""),$Y17*$G17*8.34,IF(AND($Y17&lt;&gt;"",'Outfall 1 Limits'!$AX$48="L"),$Y17,""))</f>
        <v/>
      </c>
      <c r="FP17" s="29" t="str">
        <f>IF(AND($G17&lt;&gt;"",$G17&gt;0,'Outfall 1 Limits'!$AX$52="C1",$AA17&lt;&gt;""),$AA17*$G17*8.34,IF(AND($AA17&lt;&gt;"",'Outfall 1 Limits'!$AX$52="L"),$AA17,""))</f>
        <v/>
      </c>
      <c r="FQ17" s="29" t="str">
        <f>IF(AND($G17&lt;&gt;"",$G17&gt;0,'Outfall 1 Limits'!$AX$56="C1",$AC17&lt;&gt;""),$AC17*$G17*8.34,IF(AND($AC17&lt;&gt;"",'Outfall 1 Limits'!$AX$56="L"),$AC17,""))</f>
        <v/>
      </c>
      <c r="FR17" s="29" t="str">
        <f>IF(AND($G17&lt;&gt;"",$G17&gt;0,'Outfall 1 Limits'!$AX$60="C1",$AE17&lt;&gt;""),$AE17*$G17*8.34,IF(AND($AE17&lt;&gt;"",'Outfall 1 Limits'!$AX$60="L"),$AE17,""))</f>
        <v/>
      </c>
      <c r="FS17" s="29" t="str">
        <f>IF(AND($G17&lt;&gt;"",$G17&gt;0,'Outfall 1 Limits'!$AX$64="C1",$AG17&lt;&gt;""),$AG17*$G17*8.34,IF(AND($AG17&lt;&gt;"",'Outfall 1 Limits'!$AX$64="L"),$AG17,""))</f>
        <v/>
      </c>
      <c r="FT17" s="29" t="str">
        <f>IF(AND($G17&lt;&gt;"",$G17&gt;0,'Outfall 1 Limits'!$AX$68="C1",$AI17&lt;&gt;""),$AI17*$G17*8.34,IF(AND($AI17&lt;&gt;"",'Outfall 1 Limits'!$AX$68="L"),$AI17,""))</f>
        <v/>
      </c>
      <c r="GJ17" s="29" t="str">
        <f t="shared" si="29"/>
        <v/>
      </c>
      <c r="GK17" s="77" t="str">
        <f>IF(AND($G17&lt;&gt;"",$G17&gt;0,'Outfall 1 Limits'!$AX$16="C1",CY17&lt;&gt;""),CY17*$G17*8.34,IF(AND(CY17&lt;&gt;"",'Outfall 1 Limits'!$AX$16="L"),CY17,""))</f>
        <v/>
      </c>
      <c r="GL17" s="29" t="str">
        <f>IF(AND($G17&lt;&gt;"",$G17&gt;0,'Outfall 1 Limits'!$AX$20="C1",CZ17&lt;&gt;""),CZ17*$G17*8.34,IF(AND(CZ17&lt;&gt;"",'Outfall 1 Limits'!$AX$20="L"),CZ17,""))</f>
        <v/>
      </c>
      <c r="GM17" s="29" t="str">
        <f>IF(AND($G17&lt;&gt;"",$G17&gt;0,'Outfall 1 Limits'!$AX$24="C1",DA17&lt;&gt;""),DA17*$G17*8.34,IF(AND(DA17&lt;&gt;"",'Outfall 1 Limits'!$AX$24="L"),DA17,""))</f>
        <v/>
      </c>
      <c r="GN17" s="29" t="str">
        <f>IF(AND($G17&lt;&gt;"",$G17&gt;0,'Outfall 1 Limits'!$AX$28="C1",DB17&lt;&gt;""),DB17*$G17*8.34,IF(AND(DB17&lt;&gt;"",'Outfall 1 Limits'!$AX$28="L"),DB17,""))</f>
        <v/>
      </c>
      <c r="GO17" s="29" t="str">
        <f>IF(AND($G17&lt;&gt;"",$G17&gt;0,'Outfall 1 Limits'!$AX$32="C1",DC17&lt;&gt;""),DC17*$G17*8.34,IF(AND(DC17&lt;&gt;"",'Outfall 1 Limits'!$AX$32="L"),DC17,""))</f>
        <v/>
      </c>
      <c r="GP17" s="29" t="str">
        <f>IF(AND($G17&lt;&gt;"",$G17&gt;0,'Outfall 1 Limits'!$AX$36="C1",DD17&lt;&gt;""),DD17*$G17*8.34,IF(AND(DD17&lt;&gt;"",'Outfall 1 Limits'!$AX$36="L"),DD17,""))</f>
        <v/>
      </c>
      <c r="GQ17" s="29" t="str">
        <f>IF(AND($G17&lt;&gt;"",$G17&gt;0,'Outfall 1 Limits'!$AX$40="C1",DE17&lt;&gt;""),DE17*$G17*8.34,IF(AND(DE17&lt;&gt;"",'Outfall 1 Limits'!$AX$40="L"),DE17,""))</f>
        <v/>
      </c>
      <c r="GR17" s="29" t="str">
        <f>IF(AND($G17&lt;&gt;"",$G17&gt;0,'Outfall 1 Limits'!$AX$44="C1",DF17&lt;&gt;""),DF17*$G17*8.34,IF(AND(DF17&lt;&gt;"",'Outfall 1 Limits'!$AX$44="L"),DF17,""))</f>
        <v/>
      </c>
      <c r="GS17" s="29" t="str">
        <f>IF(AND($G17&lt;&gt;"",$G17&gt;0,'Outfall 1 Limits'!$AX$48="C1",DG17&lt;&gt;""),DG17*$G17*8.34,IF(AND(DG17&lt;&gt;"",'Outfall 1 Limits'!$AX$48="L"),DG17,""))</f>
        <v/>
      </c>
      <c r="GT17" s="29" t="str">
        <f>IF(AND($G17&lt;&gt;"",$G17&gt;0,'Outfall 1 Limits'!$AX$52="C1",DH17&lt;&gt;""),DH17*$G17*8.34,IF(AND(DH17&lt;&gt;"",'Outfall 1 Limits'!$AX$52="L"),DH17,""))</f>
        <v/>
      </c>
      <c r="GU17" s="29" t="str">
        <f>IF(AND($G17&lt;&gt;"",$G17&gt;0,'Outfall 1 Limits'!$AX$56="C1",DI17&lt;&gt;""),DI17*$G17*8.34,IF(AND(DI17&lt;&gt;"",'Outfall 1 Limits'!$AX$56="L"),DI17,""))</f>
        <v/>
      </c>
      <c r="GV17" s="29" t="str">
        <f>IF(AND($G17&lt;&gt;"",$G17&gt;0,'Outfall 1 Limits'!$AX$60="C1",DJ17&lt;&gt;""),DJ17*$G17*8.34,IF(AND(DJ17&lt;&gt;"",'Outfall 1 Limits'!$AX$60="L"),DJ17,""))</f>
        <v/>
      </c>
      <c r="GW17" s="29" t="str">
        <f>IF(AND($G17&lt;&gt;"",$G17&gt;0,'Outfall 1 Limits'!$AX$64="C1",DK17&lt;&gt;""),DK17*$G17*8.34,IF(AND(DK17&lt;&gt;"",'Outfall 1 Limits'!$AX$64="L"),DK17,""))</f>
        <v/>
      </c>
      <c r="GX17" s="29" t="str">
        <f>IF(AND($G17&lt;&gt;"",$G17&gt;0,'Outfall 1 Limits'!$AX$68="C1",DL17&lt;&gt;""),DL17*$G17*8.34,IF(AND(DL17&lt;&gt;"",'Outfall 1 Limits'!$AX$68="L"),DL17,""))</f>
        <v/>
      </c>
      <c r="HO17" s="98" t="str">
        <f t="shared" si="30"/>
        <v/>
      </c>
      <c r="HS17" s="68" t="str">
        <f t="shared" si="31"/>
        <v/>
      </c>
      <c r="HT17" s="188" t="str">
        <f t="shared" si="32"/>
        <v/>
      </c>
      <c r="HU17" s="188" t="str">
        <f t="shared" si="33"/>
        <v/>
      </c>
      <c r="HV17" s="188" t="str">
        <f t="shared" si="34"/>
        <v/>
      </c>
      <c r="HW17" s="188" t="str">
        <f t="shared" si="35"/>
        <v/>
      </c>
      <c r="HX17" s="188" t="str">
        <f t="shared" si="36"/>
        <v/>
      </c>
      <c r="HY17" s="188" t="str">
        <f t="shared" si="37"/>
        <v/>
      </c>
      <c r="HZ17" s="188" t="str">
        <f t="shared" si="38"/>
        <v/>
      </c>
      <c r="IA17" s="188" t="str">
        <f t="shared" si="39"/>
        <v/>
      </c>
      <c r="IB17" s="188" t="str">
        <f t="shared" si="40"/>
        <v/>
      </c>
      <c r="IC17" s="188" t="str">
        <f t="shared" si="41"/>
        <v/>
      </c>
      <c r="ID17" s="188" t="str">
        <f t="shared" si="42"/>
        <v/>
      </c>
      <c r="IE17" s="188" t="str">
        <f t="shared" si="43"/>
        <v/>
      </c>
      <c r="IF17" s="188" t="str">
        <f t="shared" si="44"/>
        <v/>
      </c>
      <c r="IX17" s="68" t="str">
        <f t="shared" si="45"/>
        <v/>
      </c>
      <c r="IY17" s="188" t="str">
        <f t="shared" si="46"/>
        <v/>
      </c>
      <c r="IZ17" s="188" t="str">
        <f t="shared" si="47"/>
        <v/>
      </c>
      <c r="JA17" s="188" t="str">
        <f t="shared" si="48"/>
        <v/>
      </c>
      <c r="JB17" s="188" t="str">
        <f t="shared" si="49"/>
        <v/>
      </c>
      <c r="JC17" s="188" t="str">
        <f t="shared" si="50"/>
        <v/>
      </c>
      <c r="JD17" s="188" t="str">
        <f t="shared" si="51"/>
        <v/>
      </c>
      <c r="JE17" s="188" t="str">
        <f t="shared" si="52"/>
        <v/>
      </c>
      <c r="JF17" s="188" t="str">
        <f t="shared" si="53"/>
        <v/>
      </c>
      <c r="JG17" s="188" t="str">
        <f t="shared" si="54"/>
        <v/>
      </c>
      <c r="JH17" s="188" t="str">
        <f t="shared" si="55"/>
        <v/>
      </c>
      <c r="JI17" s="188" t="str">
        <f t="shared" si="56"/>
        <v/>
      </c>
      <c r="JJ17" s="188" t="str">
        <f t="shared" si="57"/>
        <v/>
      </c>
      <c r="JK17" s="188" t="str">
        <f t="shared" si="58"/>
        <v/>
      </c>
      <c r="KA17" s="188"/>
      <c r="KB17" s="2"/>
      <c r="KC17" s="226"/>
      <c r="KD17" s="164" t="str">
        <f t="shared" si="1"/>
        <v/>
      </c>
      <c r="KE17" s="188" t="str">
        <f t="shared" si="2"/>
        <v/>
      </c>
      <c r="KF17" s="188" t="str">
        <f t="shared" si="3"/>
        <v/>
      </c>
      <c r="KG17" s="188" t="str">
        <f t="shared" si="4"/>
        <v/>
      </c>
      <c r="KH17" s="188" t="str">
        <f t="shared" si="5"/>
        <v/>
      </c>
      <c r="KI17" s="188" t="str">
        <f t="shared" si="6"/>
        <v/>
      </c>
      <c r="KJ17" s="188" t="str">
        <f t="shared" si="7"/>
        <v/>
      </c>
      <c r="KK17" s="188" t="str">
        <f t="shared" si="8"/>
        <v/>
      </c>
      <c r="KL17" s="188" t="str">
        <f t="shared" si="9"/>
        <v/>
      </c>
      <c r="KM17" s="188" t="str">
        <f t="shared" si="10"/>
        <v/>
      </c>
      <c r="KN17" s="188" t="str">
        <f t="shared" si="11"/>
        <v/>
      </c>
      <c r="KO17" s="188" t="str">
        <f t="shared" si="12"/>
        <v/>
      </c>
      <c r="KP17" s="188" t="str">
        <f t="shared" si="13"/>
        <v/>
      </c>
      <c r="KQ17" s="188" t="str">
        <f t="shared" si="14"/>
        <v/>
      </c>
    </row>
    <row r="18" spans="1:303" s="18" customFormat="1" ht="11.45" customHeight="1" x14ac:dyDescent="0.2">
      <c r="A18" s="38"/>
      <c r="B18" s="48"/>
      <c r="C18" s="421">
        <f t="shared" si="0"/>
        <v>45292</v>
      </c>
      <c r="D18" s="421"/>
      <c r="E18" s="422">
        <f t="shared" ref="E18:E51" si="59">IF($E17 = "", "", IF(OR((MONTH($E17+1) = $P$6),($E17+1) &lt;=$C$10), $E17+1,""))</f>
        <v>45292</v>
      </c>
      <c r="F18" s="423"/>
      <c r="G18" s="31"/>
      <c r="H18" s="45"/>
      <c r="I18" s="44"/>
      <c r="J18" s="45"/>
      <c r="K18" s="44"/>
      <c r="L18" s="45"/>
      <c r="M18" s="44"/>
      <c r="N18" s="45"/>
      <c r="O18" s="44"/>
      <c r="P18" s="45"/>
      <c r="Q18" s="44"/>
      <c r="R18" s="45"/>
      <c r="S18" s="44"/>
      <c r="T18" s="45"/>
      <c r="U18" s="44"/>
      <c r="V18" s="45"/>
      <c r="W18" s="44"/>
      <c r="X18" s="45"/>
      <c r="Y18" s="44"/>
      <c r="Z18" s="45"/>
      <c r="AA18" s="44"/>
      <c r="AB18" s="45"/>
      <c r="AC18" s="44"/>
      <c r="AD18" s="45"/>
      <c r="AE18" s="44"/>
      <c r="AF18" s="45"/>
      <c r="AG18" s="44"/>
      <c r="AH18" s="45"/>
      <c r="AI18" s="127"/>
      <c r="AJ18" s="236"/>
      <c r="BO18" s="188"/>
      <c r="BP18" s="267">
        <v>2037</v>
      </c>
      <c r="BQ18" s="224" t="s">
        <v>33</v>
      </c>
      <c r="BR18" s="225"/>
      <c r="BS18" s="188" t="s">
        <v>10</v>
      </c>
      <c r="BU18" s="68" t="str">
        <f t="shared" si="15"/>
        <v/>
      </c>
      <c r="BV18" s="188" t="str">
        <f t="shared" si="16"/>
        <v/>
      </c>
      <c r="BW18" s="188" t="str">
        <f t="shared" si="17"/>
        <v/>
      </c>
      <c r="BX18" s="188" t="str">
        <f t="shared" si="18"/>
        <v/>
      </c>
      <c r="BY18" s="188" t="str">
        <f t="shared" si="19"/>
        <v/>
      </c>
      <c r="BZ18" s="188" t="str">
        <f t="shared" si="20"/>
        <v/>
      </c>
      <c r="CA18" s="188" t="str">
        <f t="shared" si="21"/>
        <v/>
      </c>
      <c r="CB18" s="188" t="str">
        <f t="shared" si="22"/>
        <v/>
      </c>
      <c r="CC18" s="188" t="str">
        <f t="shared" si="23"/>
        <v/>
      </c>
      <c r="CD18" s="188" t="str">
        <f t="shared" si="24"/>
        <v/>
      </c>
      <c r="CE18" s="188" t="str">
        <f t="shared" si="25"/>
        <v/>
      </c>
      <c r="CF18" s="188" t="str">
        <f t="shared" si="26"/>
        <v/>
      </c>
      <c r="CG18" s="188" t="str">
        <f t="shared" si="27"/>
        <v/>
      </c>
      <c r="CH18" s="188" t="str">
        <f t="shared" si="28"/>
        <v/>
      </c>
      <c r="CY18" s="77" t="str">
        <f>IF(I18&lt;&gt;"",IF(H18="&lt;",IF(AND('Outfall 1 Limits'!$AM$16="Y",$BU$54&lt;&gt;"Y",I18&lt;='Outfall 1 Limits'!$AL$16),0,(1*I18)),I18),"")</f>
        <v/>
      </c>
      <c r="CZ18" s="29" t="str">
        <f>IF(K18&lt;&gt;"",IF(J18="&lt;",IF(AND('Outfall 1 Limits'!$AM$20="Y",$BV$54&lt;&gt;"Y",K18&lt;='Outfall 1 Limits'!$AL$20),0,(1*K18)),K18),"")</f>
        <v/>
      </c>
      <c r="DA18" s="29" t="str">
        <f>IF(M18&lt;&gt;"",IF(L18="&lt;",IF(AND('Outfall 1 Limits'!$AM$24="Y",$BW$54&lt;&gt;"Y",M18&lt;='Outfall 1 Limits'!$AL$24),0,(1*M18)),M18),"")</f>
        <v/>
      </c>
      <c r="DB18" s="29" t="str">
        <f>IF(O18&lt;&gt;"",IF(N18="&lt;",IF(AND('Outfall 1 Limits'!$AM$28="Y",$BX$54&lt;&gt;"Y",O18&lt;='Outfall 1 Limits'!$AL$28),0,(1*O18)),O18),"")</f>
        <v/>
      </c>
      <c r="DC18" s="29" t="str">
        <f>IF(Q18&lt;&gt;"",IF(P18="&lt;",IF(AND('Outfall 1 Limits'!$AM$32="Y",$BY$54&lt;&gt;"Y",Q18&lt;='Outfall 1 Limits'!$AL$32),0,(1*Q18)),Q18),"")</f>
        <v/>
      </c>
      <c r="DD18" s="29" t="str">
        <f>IF(S18&lt;&gt;"",IF(R18="&lt;",IF(AND('Outfall 1 Limits'!$AM$36="Y",$BZ$54&lt;&gt;"Y",S18&lt;='Outfall 1 Limits'!$AL$36),0,(1*S18)),S18),"")</f>
        <v/>
      </c>
      <c r="DE18" s="29" t="str">
        <f>IF(U18&lt;&gt;"",IF(T18="&lt;",IF(AND('Outfall 1 Limits'!$AM$40="Y",$CA$54&lt;&gt;"Y",U18&lt;='Outfall 1 Limits'!$AL$40),0,(1*U18)),U18),"")</f>
        <v/>
      </c>
      <c r="DF18" s="29" t="str">
        <f>IF(W18&lt;&gt;"",IF(V18="&lt;",IF(AND('Outfall 1 Limits'!$AM$44="Y",$CB$54&lt;&gt;"Y",W18&lt;='Outfall 1 Limits'!$AL$44),0,(1*W18)),W18),"")</f>
        <v/>
      </c>
      <c r="DG18" s="29" t="str">
        <f>IF(Y18&lt;&gt;"",IF(X18="&lt;",IF(AND('Outfall 1 Limits'!$AM$48="Y",$CC$54&lt;&gt;"Y",Y18&lt;='Outfall 1 Limits'!$AL$48),0,(1*Y18)),Y18),"")</f>
        <v/>
      </c>
      <c r="DH18" s="29" t="str">
        <f>IF(AA18&lt;&gt;"",IF(Z18="&lt;",IF(AND('Outfall 1 Limits'!$AM$52="Y",$CD$54&lt;&gt;"Y",AA18&lt;='Outfall 1 Limits'!$AL$52),0,(1*AA18)),AA18),"")</f>
        <v/>
      </c>
      <c r="DI18" s="29" t="str">
        <f>IF(AC18&lt;&gt;"",IF(AB18="&lt;",IF(AND('Outfall 1 Limits'!$AM$56="Y",$CE$54&lt;&gt;"Y",AC18&lt;='Outfall 1 Limits'!$AL$56),0,(1*AC18)),AC18),"")</f>
        <v/>
      </c>
      <c r="DJ18" s="29" t="str">
        <f>IF(AE18&lt;&gt;"",IF(AD18="&lt;",IF(AND('Outfall 1 Limits'!$AM$60="Y",$CF$54&lt;&gt;"Y",AE18&lt;='Outfall 1 Limits'!$AL$60),0,(1*AE18)),AE18),"")</f>
        <v/>
      </c>
      <c r="DK18" s="29" t="str">
        <f>IF(AG18&lt;&gt;"",IF(AF18="&lt;",IF(AND('Outfall 1 Limits'!$AM$64="Y",$CG$54&lt;&gt;"Y",AG18&lt;='Outfall 1 Limits'!$AL$64),0,(1*AG18)),AG18),"")</f>
        <v/>
      </c>
      <c r="DL18" s="29" t="str">
        <f>IF(AI18&lt;&gt;"",IF(AH18="&lt;",IF(AND('Outfall 1 Limits'!$AM$68="Y",$CH$54&lt;&gt;"Y",AI18&lt;='Outfall 1 Limits'!$AL$68),0,(1*AI18)),AI18),"")</f>
        <v/>
      </c>
      <c r="EB18" s="222" t="s">
        <v>382</v>
      </c>
      <c r="EC18" s="82" t="str">
        <f t="shared" ref="EC18:EP18" si="60">IF(SUM(EC13:EC17)&gt;0,MAX(EC13:EC17),"")</f>
        <v/>
      </c>
      <c r="ED18" s="83" t="str">
        <f t="shared" si="60"/>
        <v/>
      </c>
      <c r="EE18" s="83" t="str">
        <f t="shared" si="60"/>
        <v/>
      </c>
      <c r="EF18" s="83" t="str">
        <f t="shared" si="60"/>
        <v/>
      </c>
      <c r="EG18" s="83" t="str">
        <f t="shared" si="60"/>
        <v/>
      </c>
      <c r="EH18" s="83" t="str">
        <f t="shared" si="60"/>
        <v/>
      </c>
      <c r="EI18" s="83" t="str">
        <f t="shared" si="60"/>
        <v/>
      </c>
      <c r="EJ18" s="83" t="str">
        <f t="shared" si="60"/>
        <v/>
      </c>
      <c r="EK18" s="83" t="str">
        <f t="shared" si="60"/>
        <v/>
      </c>
      <c r="EL18" s="83" t="str">
        <f t="shared" si="60"/>
        <v/>
      </c>
      <c r="EM18" s="83" t="str">
        <f t="shared" si="60"/>
        <v/>
      </c>
      <c r="EN18" s="83" t="str">
        <f t="shared" si="60"/>
        <v/>
      </c>
      <c r="EO18" s="83" t="str">
        <f t="shared" si="60"/>
        <v/>
      </c>
      <c r="EP18" s="83" t="str">
        <f t="shared" si="60"/>
        <v/>
      </c>
      <c r="FG18" s="77" t="str">
        <f>IF(AND($G18&lt;&gt;"",$G18&gt;0,'Outfall 1 Limits'!$AX$16="C1",I18&lt;&gt;""),I18*$G18*8.34,IF(AND($I18&lt;&gt;"",'Outfall 1 Limits'!$AX$16="L"),I18,""))</f>
        <v/>
      </c>
      <c r="FH18" s="29" t="str">
        <f>IF(AND($G18&lt;&gt;"",$G18&gt;0,'Outfall 1 Limits'!$AX$20="C1",$K18&lt;&gt;""),$K18*$G18*8.34,IF(AND($K18&lt;&gt;"",'Outfall 1 Limits'!$AX$20="L"),$K18,""))</f>
        <v/>
      </c>
      <c r="FI18" s="29" t="str">
        <f>IF(AND($G18&lt;&gt;"",$G18&gt;0,'Outfall 1 Limits'!$AX$24="C1",$M18&lt;&gt;""),$M18*$G18*8.34,IF(AND($M18&lt;&gt;"",'Outfall 1 Limits'!$AX$24="L"),$M18,""))</f>
        <v/>
      </c>
      <c r="FJ18" s="29" t="str">
        <f>IF(AND($G18&lt;&gt;"",$G18&gt;0,'Outfall 1 Limits'!$AX$28="C1",$O18&lt;&gt;""),$O18*$G18*8.34,IF(AND($O18&lt;&gt;"",'Outfall 1 Limits'!$AX$28="L"),$O18,""))</f>
        <v/>
      </c>
      <c r="FK18" s="29" t="str">
        <f>IF(AND($G18&lt;&gt;"",$G18&gt;0,'Outfall 1 Limits'!$AX$32="C1",$Q18&lt;&gt;""),$Q18*$G18*8.34,IF(AND($Q18&lt;&gt;"",'Outfall 1 Limits'!$AX$32="L"),$Q18,""))</f>
        <v/>
      </c>
      <c r="FL18" s="29" t="str">
        <f>IF(AND($G18&lt;&gt;"",$G18&gt;0,'Outfall 1 Limits'!$AX$36="C1",$S18&lt;&gt;""),$S18*$G18*8.34,IF(AND($S18&lt;&gt;"",'Outfall 1 Limits'!$AX$36="L"),$S18,""))</f>
        <v/>
      </c>
      <c r="FM18" s="29" t="str">
        <f>IF(AND($G18&lt;&gt;"",$G18&gt;0,'Outfall 1 Limits'!$AX$40="C1",$U18&lt;&gt;""),$U18*$G18*8.34,IF(AND($U18&lt;&gt;"",'Outfall 1 Limits'!$AX$40="L"),$U18,""))</f>
        <v/>
      </c>
      <c r="FN18" s="29" t="str">
        <f>IF(AND($G18&lt;&gt;"",$G18&gt;0,'Outfall 1 Limits'!$AX$44="C1",$W18&lt;&gt;""),$W18*$G18*8.34,IF(AND($W18&lt;&gt;"",'Outfall 1 Limits'!$AX$44="L"),$W18,""))</f>
        <v/>
      </c>
      <c r="FO18" s="29" t="str">
        <f>IF(AND($G18&lt;&gt;"",$G18&gt;0,'Outfall 1 Limits'!$AX$48="C1",$Y18&lt;&gt;""),$Y18*$G18*8.34,IF(AND($Y18&lt;&gt;"",'Outfall 1 Limits'!$AX$48="L"),$Y18,""))</f>
        <v/>
      </c>
      <c r="FP18" s="29" t="str">
        <f>IF(AND($G18&lt;&gt;"",$G18&gt;0,'Outfall 1 Limits'!$AX$52="C1",$AA18&lt;&gt;""),$AA18*$G18*8.34,IF(AND($AA18&lt;&gt;"",'Outfall 1 Limits'!$AX$52="L"),$AA18,""))</f>
        <v/>
      </c>
      <c r="FQ18" s="29" t="str">
        <f>IF(AND($G18&lt;&gt;"",$G18&gt;0,'Outfall 1 Limits'!$AX$56="C1",$AC18&lt;&gt;""),$AC18*$G18*8.34,IF(AND($AC18&lt;&gt;"",'Outfall 1 Limits'!$AX$56="L"),$AC18,""))</f>
        <v/>
      </c>
      <c r="FR18" s="29" t="str">
        <f>IF(AND($G18&lt;&gt;"",$G18&gt;0,'Outfall 1 Limits'!$AX$60="C1",$AE18&lt;&gt;""),$AE18*$G18*8.34,IF(AND($AE18&lt;&gt;"",'Outfall 1 Limits'!$AX$60="L"),$AE18,""))</f>
        <v/>
      </c>
      <c r="FS18" s="29" t="str">
        <f>IF(AND($G18&lt;&gt;"",$G18&gt;0,'Outfall 1 Limits'!$AX$64="C1",$AG18&lt;&gt;""),$AG18*$G18*8.34,IF(AND($AG18&lt;&gt;"",'Outfall 1 Limits'!$AX$64="L"),$AG18,""))</f>
        <v/>
      </c>
      <c r="FT18" s="29" t="str">
        <f>IF(AND($G18&lt;&gt;"",$G18&gt;0,'Outfall 1 Limits'!$AX$68="C1",$AI18&lt;&gt;""),$AI18*$G18*8.34,IF(AND($AI18&lt;&gt;"",'Outfall 1 Limits'!$AX$68="L"),$AI18,""))</f>
        <v/>
      </c>
      <c r="GJ18" s="29" t="str">
        <f t="shared" si="29"/>
        <v/>
      </c>
      <c r="GK18" s="77" t="str">
        <f>IF(AND($G18&lt;&gt;"",$G18&gt;0,'Outfall 1 Limits'!$AX$16="C1",CY18&lt;&gt;""),CY18*$G18*8.34,IF(AND(CY18&lt;&gt;"",'Outfall 1 Limits'!$AX$16="L"),CY18,""))</f>
        <v/>
      </c>
      <c r="GL18" s="29" t="str">
        <f>IF(AND($G18&lt;&gt;"",$G18&gt;0,'Outfall 1 Limits'!$AX$20="C1",CZ18&lt;&gt;""),CZ18*$G18*8.34,IF(AND(CZ18&lt;&gt;"",'Outfall 1 Limits'!$AX$20="L"),CZ18,""))</f>
        <v/>
      </c>
      <c r="GM18" s="29" t="str">
        <f>IF(AND($G18&lt;&gt;"",$G18&gt;0,'Outfall 1 Limits'!$AX$24="C1",DA18&lt;&gt;""),DA18*$G18*8.34,IF(AND(DA18&lt;&gt;"",'Outfall 1 Limits'!$AX$24="L"),DA18,""))</f>
        <v/>
      </c>
      <c r="GN18" s="29" t="str">
        <f>IF(AND($G18&lt;&gt;"",$G18&gt;0,'Outfall 1 Limits'!$AX$28="C1",DB18&lt;&gt;""),DB18*$G18*8.34,IF(AND(DB18&lt;&gt;"",'Outfall 1 Limits'!$AX$28="L"),DB18,""))</f>
        <v/>
      </c>
      <c r="GO18" s="29" t="str">
        <f>IF(AND($G18&lt;&gt;"",$G18&gt;0,'Outfall 1 Limits'!$AX$32="C1",DC18&lt;&gt;""),DC18*$G18*8.34,IF(AND(DC18&lt;&gt;"",'Outfall 1 Limits'!$AX$32="L"),DC18,""))</f>
        <v/>
      </c>
      <c r="GP18" s="29" t="str">
        <f>IF(AND($G18&lt;&gt;"",$G18&gt;0,'Outfall 1 Limits'!$AX$36="C1",DD18&lt;&gt;""),DD18*$G18*8.34,IF(AND(DD18&lt;&gt;"",'Outfall 1 Limits'!$AX$36="L"),DD18,""))</f>
        <v/>
      </c>
      <c r="GQ18" s="29" t="str">
        <f>IF(AND($G18&lt;&gt;"",$G18&gt;0,'Outfall 1 Limits'!$AX$40="C1",DE18&lt;&gt;""),DE18*$G18*8.34,IF(AND(DE18&lt;&gt;"",'Outfall 1 Limits'!$AX$40="L"),DE18,""))</f>
        <v/>
      </c>
      <c r="GR18" s="29" t="str">
        <f>IF(AND($G18&lt;&gt;"",$G18&gt;0,'Outfall 1 Limits'!$AX$44="C1",DF18&lt;&gt;""),DF18*$G18*8.34,IF(AND(DF18&lt;&gt;"",'Outfall 1 Limits'!$AX$44="L"),DF18,""))</f>
        <v/>
      </c>
      <c r="GS18" s="29" t="str">
        <f>IF(AND($G18&lt;&gt;"",$G18&gt;0,'Outfall 1 Limits'!$AX$48="C1",DG18&lt;&gt;""),DG18*$G18*8.34,IF(AND(DG18&lt;&gt;"",'Outfall 1 Limits'!$AX$48="L"),DG18,""))</f>
        <v/>
      </c>
      <c r="GT18" s="29" t="str">
        <f>IF(AND($G18&lt;&gt;"",$G18&gt;0,'Outfall 1 Limits'!$AX$52="C1",DH18&lt;&gt;""),DH18*$G18*8.34,IF(AND(DH18&lt;&gt;"",'Outfall 1 Limits'!$AX$52="L"),DH18,""))</f>
        <v/>
      </c>
      <c r="GU18" s="29" t="str">
        <f>IF(AND($G18&lt;&gt;"",$G18&gt;0,'Outfall 1 Limits'!$AX$56="C1",DI18&lt;&gt;""),DI18*$G18*8.34,IF(AND(DI18&lt;&gt;"",'Outfall 1 Limits'!$AX$56="L"),DI18,""))</f>
        <v/>
      </c>
      <c r="GV18" s="29" t="str">
        <f>IF(AND($G18&lt;&gt;"",$G18&gt;0,'Outfall 1 Limits'!$AX$60="C1",DJ18&lt;&gt;""),DJ18*$G18*8.34,IF(AND(DJ18&lt;&gt;"",'Outfall 1 Limits'!$AX$60="L"),DJ18,""))</f>
        <v/>
      </c>
      <c r="GW18" s="29" t="str">
        <f>IF(AND($G18&lt;&gt;"",$G18&gt;0,'Outfall 1 Limits'!$AX$64="C1",DK18&lt;&gt;""),DK18*$G18*8.34,IF(AND(DK18&lt;&gt;"",'Outfall 1 Limits'!$AX$64="L"),DK18,""))</f>
        <v/>
      </c>
      <c r="GX18" s="29" t="str">
        <f>IF(AND($G18&lt;&gt;"",$G18&gt;0,'Outfall 1 Limits'!$AX$68="C1",DL18&lt;&gt;""),DL18*$G18*8.34,IF(AND(DL18&lt;&gt;"",'Outfall 1 Limits'!$AX$68="L"),DL18,""))</f>
        <v/>
      </c>
      <c r="HO18" s="98" t="str">
        <f t="shared" si="30"/>
        <v/>
      </c>
      <c r="HS18" s="68" t="str">
        <f t="shared" si="31"/>
        <v/>
      </c>
      <c r="HT18" s="188" t="str">
        <f t="shared" si="32"/>
        <v/>
      </c>
      <c r="HU18" s="188" t="str">
        <f t="shared" si="33"/>
        <v/>
      </c>
      <c r="HV18" s="188" t="str">
        <f t="shared" si="34"/>
        <v/>
      </c>
      <c r="HW18" s="188" t="str">
        <f t="shared" si="35"/>
        <v/>
      </c>
      <c r="HX18" s="188" t="str">
        <f t="shared" si="36"/>
        <v/>
      </c>
      <c r="HY18" s="188" t="str">
        <f t="shared" si="37"/>
        <v/>
      </c>
      <c r="HZ18" s="188" t="str">
        <f t="shared" si="38"/>
        <v/>
      </c>
      <c r="IA18" s="188" t="str">
        <f t="shared" si="39"/>
        <v/>
      </c>
      <c r="IB18" s="188" t="str">
        <f t="shared" si="40"/>
        <v/>
      </c>
      <c r="IC18" s="188" t="str">
        <f t="shared" si="41"/>
        <v/>
      </c>
      <c r="ID18" s="188" t="str">
        <f t="shared" si="42"/>
        <v/>
      </c>
      <c r="IE18" s="188" t="str">
        <f t="shared" si="43"/>
        <v/>
      </c>
      <c r="IF18" s="188" t="str">
        <f t="shared" si="44"/>
        <v/>
      </c>
      <c r="IX18" s="68" t="str">
        <f t="shared" si="45"/>
        <v/>
      </c>
      <c r="IY18" s="188" t="str">
        <f t="shared" si="46"/>
        <v/>
      </c>
      <c r="IZ18" s="188" t="str">
        <f t="shared" si="47"/>
        <v/>
      </c>
      <c r="JA18" s="188" t="str">
        <f t="shared" si="48"/>
        <v/>
      </c>
      <c r="JB18" s="188" t="str">
        <f t="shared" si="49"/>
        <v/>
      </c>
      <c r="JC18" s="188" t="str">
        <f t="shared" si="50"/>
        <v/>
      </c>
      <c r="JD18" s="188" t="str">
        <f t="shared" si="51"/>
        <v/>
      </c>
      <c r="JE18" s="188" t="str">
        <f t="shared" si="52"/>
        <v/>
      </c>
      <c r="JF18" s="188" t="str">
        <f t="shared" si="53"/>
        <v/>
      </c>
      <c r="JG18" s="188" t="str">
        <f t="shared" si="54"/>
        <v/>
      </c>
      <c r="JH18" s="188" t="str">
        <f t="shared" si="55"/>
        <v/>
      </c>
      <c r="JI18" s="188" t="str">
        <f t="shared" si="56"/>
        <v/>
      </c>
      <c r="JJ18" s="188" t="str">
        <f t="shared" si="57"/>
        <v/>
      </c>
      <c r="JK18" s="188" t="str">
        <f t="shared" si="58"/>
        <v/>
      </c>
      <c r="KA18" s="188"/>
      <c r="KB18" s="2"/>
      <c r="KC18" s="226"/>
      <c r="KD18" s="164" t="str">
        <f t="shared" si="1"/>
        <v/>
      </c>
      <c r="KE18" s="188" t="str">
        <f t="shared" si="2"/>
        <v/>
      </c>
      <c r="KF18" s="188" t="str">
        <f t="shared" si="3"/>
        <v/>
      </c>
      <c r="KG18" s="188" t="str">
        <f t="shared" si="4"/>
        <v/>
      </c>
      <c r="KH18" s="188" t="str">
        <f t="shared" si="5"/>
        <v/>
      </c>
      <c r="KI18" s="188" t="str">
        <f t="shared" si="6"/>
        <v/>
      </c>
      <c r="KJ18" s="188" t="str">
        <f t="shared" si="7"/>
        <v/>
      </c>
      <c r="KK18" s="188" t="str">
        <f t="shared" si="8"/>
        <v/>
      </c>
      <c r="KL18" s="188" t="str">
        <f t="shared" si="9"/>
        <v/>
      </c>
      <c r="KM18" s="188" t="str">
        <f t="shared" si="10"/>
        <v/>
      </c>
      <c r="KN18" s="188" t="str">
        <f t="shared" si="11"/>
        <v/>
      </c>
      <c r="KO18" s="188" t="str">
        <f t="shared" si="12"/>
        <v/>
      </c>
      <c r="KP18" s="188" t="str">
        <f t="shared" si="13"/>
        <v/>
      </c>
      <c r="KQ18" s="188" t="str">
        <f t="shared" si="14"/>
        <v/>
      </c>
    </row>
    <row r="19" spans="1:303" s="18" customFormat="1" ht="11.45" customHeight="1" x14ac:dyDescent="0.2">
      <c r="A19" s="38"/>
      <c r="B19" s="48"/>
      <c r="C19" s="421">
        <f t="shared" si="0"/>
        <v>45293</v>
      </c>
      <c r="D19" s="421"/>
      <c r="E19" s="422">
        <f t="shared" si="59"/>
        <v>45293</v>
      </c>
      <c r="F19" s="423"/>
      <c r="G19" s="31"/>
      <c r="H19" s="45"/>
      <c r="I19" s="44"/>
      <c r="J19" s="45"/>
      <c r="K19" s="44"/>
      <c r="L19" s="45"/>
      <c r="M19" s="44"/>
      <c r="N19" s="45"/>
      <c r="O19" s="44"/>
      <c r="P19" s="45"/>
      <c r="Q19" s="44"/>
      <c r="R19" s="45"/>
      <c r="S19" s="44"/>
      <c r="T19" s="45"/>
      <c r="U19" s="44"/>
      <c r="V19" s="45"/>
      <c r="W19" s="44"/>
      <c r="X19" s="45"/>
      <c r="Y19" s="44"/>
      <c r="Z19" s="45"/>
      <c r="AA19" s="44"/>
      <c r="AB19" s="45"/>
      <c r="AC19" s="44"/>
      <c r="AD19" s="45"/>
      <c r="AE19" s="44"/>
      <c r="AF19" s="45"/>
      <c r="AG19" s="44"/>
      <c r="AH19" s="45"/>
      <c r="AI19" s="127"/>
      <c r="AJ19" s="236"/>
      <c r="BO19" s="188"/>
      <c r="BP19" s="267">
        <v>2038</v>
      </c>
      <c r="BQ19" s="83" t="s">
        <v>34</v>
      </c>
      <c r="BR19" s="188"/>
      <c r="BS19" s="188" t="s">
        <v>1106</v>
      </c>
      <c r="BU19" s="68" t="str">
        <f t="shared" si="15"/>
        <v/>
      </c>
      <c r="BV19" s="188" t="str">
        <f t="shared" si="16"/>
        <v/>
      </c>
      <c r="BW19" s="188" t="str">
        <f t="shared" si="17"/>
        <v/>
      </c>
      <c r="BX19" s="188" t="str">
        <f t="shared" si="18"/>
        <v/>
      </c>
      <c r="BY19" s="188" t="str">
        <f t="shared" si="19"/>
        <v/>
      </c>
      <c r="BZ19" s="188" t="str">
        <f t="shared" si="20"/>
        <v/>
      </c>
      <c r="CA19" s="188" t="str">
        <f t="shared" si="21"/>
        <v/>
      </c>
      <c r="CB19" s="188" t="str">
        <f t="shared" si="22"/>
        <v/>
      </c>
      <c r="CC19" s="188" t="str">
        <f t="shared" si="23"/>
        <v/>
      </c>
      <c r="CD19" s="188" t="str">
        <f t="shared" si="24"/>
        <v/>
      </c>
      <c r="CE19" s="188" t="str">
        <f t="shared" si="25"/>
        <v/>
      </c>
      <c r="CF19" s="188" t="str">
        <f t="shared" si="26"/>
        <v/>
      </c>
      <c r="CG19" s="188" t="str">
        <f t="shared" si="27"/>
        <v/>
      </c>
      <c r="CH19" s="188" t="str">
        <f t="shared" si="28"/>
        <v/>
      </c>
      <c r="CY19" s="77" t="str">
        <f>IF(I19&lt;&gt;"",IF(H19="&lt;",IF(AND('Outfall 1 Limits'!$AM$16="Y",$BU$54&lt;&gt;"Y",I19&lt;='Outfall 1 Limits'!$AL$16),0,(1*I19)),I19),"")</f>
        <v/>
      </c>
      <c r="CZ19" s="29" t="str">
        <f>IF(K19&lt;&gt;"",IF(J19="&lt;",IF(AND('Outfall 1 Limits'!$AM$20="Y",$BV$54&lt;&gt;"Y",K19&lt;='Outfall 1 Limits'!$AL$20),0,(1*K19)),K19),"")</f>
        <v/>
      </c>
      <c r="DA19" s="29" t="str">
        <f>IF(M19&lt;&gt;"",IF(L19="&lt;",IF(AND('Outfall 1 Limits'!$AM$24="Y",$BW$54&lt;&gt;"Y",M19&lt;='Outfall 1 Limits'!$AL$24),0,(1*M19)),M19),"")</f>
        <v/>
      </c>
      <c r="DB19" s="29" t="str">
        <f>IF(O19&lt;&gt;"",IF(N19="&lt;",IF(AND('Outfall 1 Limits'!$AM$28="Y",$BX$54&lt;&gt;"Y",O19&lt;='Outfall 1 Limits'!$AL$28),0,(1*O19)),O19),"")</f>
        <v/>
      </c>
      <c r="DC19" s="29" t="str">
        <f>IF(Q19&lt;&gt;"",IF(P19="&lt;",IF(AND('Outfall 1 Limits'!$AM$32="Y",$BY$54&lt;&gt;"Y",Q19&lt;='Outfall 1 Limits'!$AL$32),0,(1*Q19)),Q19),"")</f>
        <v/>
      </c>
      <c r="DD19" s="29" t="str">
        <f>IF(S19&lt;&gt;"",IF(R19="&lt;",IF(AND('Outfall 1 Limits'!$AM$36="Y",$BZ$54&lt;&gt;"Y",S19&lt;='Outfall 1 Limits'!$AL$36),0,(1*S19)),S19),"")</f>
        <v/>
      </c>
      <c r="DE19" s="29" t="str">
        <f>IF(U19&lt;&gt;"",IF(T19="&lt;",IF(AND('Outfall 1 Limits'!$AM$40="Y",$CA$54&lt;&gt;"Y",U19&lt;='Outfall 1 Limits'!$AL$40),0,(1*U19)),U19),"")</f>
        <v/>
      </c>
      <c r="DF19" s="29" t="str">
        <f>IF(W19&lt;&gt;"",IF(V19="&lt;",IF(AND('Outfall 1 Limits'!$AM$44="Y",$CB$54&lt;&gt;"Y",W19&lt;='Outfall 1 Limits'!$AL$44),0,(1*W19)),W19),"")</f>
        <v/>
      </c>
      <c r="DG19" s="29" t="str">
        <f>IF(Y19&lt;&gt;"",IF(X19="&lt;",IF(AND('Outfall 1 Limits'!$AM$48="Y",$CC$54&lt;&gt;"Y",Y19&lt;='Outfall 1 Limits'!$AL$48),0,(1*Y19)),Y19),"")</f>
        <v/>
      </c>
      <c r="DH19" s="29" t="str">
        <f>IF(AA19&lt;&gt;"",IF(Z19="&lt;",IF(AND('Outfall 1 Limits'!$AM$52="Y",$CD$54&lt;&gt;"Y",AA19&lt;='Outfall 1 Limits'!$AL$52),0,(1*AA19)),AA19),"")</f>
        <v/>
      </c>
      <c r="DI19" s="29" t="str">
        <f>IF(AC19&lt;&gt;"",IF(AB19="&lt;",IF(AND('Outfall 1 Limits'!$AM$56="Y",$CE$54&lt;&gt;"Y",AC19&lt;='Outfall 1 Limits'!$AL$56),0,(1*AC19)),AC19),"")</f>
        <v/>
      </c>
      <c r="DJ19" s="29" t="str">
        <f>IF(AE19&lt;&gt;"",IF(AD19="&lt;",IF(AND('Outfall 1 Limits'!$AM$60="Y",$CF$54&lt;&gt;"Y",AE19&lt;='Outfall 1 Limits'!$AL$60),0,(1*AE19)),AE19),"")</f>
        <v/>
      </c>
      <c r="DK19" s="29" t="str">
        <f>IF(AG19&lt;&gt;"",IF(AF19="&lt;",IF(AND('Outfall 1 Limits'!$AM$64="Y",$CG$54&lt;&gt;"Y",AG19&lt;='Outfall 1 Limits'!$AL$64),0,(1*AG19)),AG19),"")</f>
        <v/>
      </c>
      <c r="DL19" s="29" t="str">
        <f>IF(AI19&lt;&gt;"",IF(AH19="&lt;",IF(AND('Outfall 1 Limits'!$AM$68="Y",$CH$54&lt;&gt;"Y",AI19&lt;='Outfall 1 Limits'!$AL$68),0,(1*AI19)),AI19),"")</f>
        <v/>
      </c>
      <c r="EB19" s="222"/>
      <c r="EC19" s="68" t="str">
        <f>IF(W22&lt;&gt;"",IF(V22="&lt;",1,0.99),"")</f>
        <v/>
      </c>
      <c r="ED19" s="188" t="str">
        <f>IF(X22&lt;&gt;"",IF(W22="&lt;",1,0.99),"")</f>
        <v/>
      </c>
      <c r="EE19" s="188" t="str">
        <f t="shared" ref="EE19:EP19" si="61">IF(Y22&lt;&gt;"",IF(X22="&lt;",1,0.99),"")</f>
        <v/>
      </c>
      <c r="EF19" s="188" t="str">
        <f t="shared" si="61"/>
        <v/>
      </c>
      <c r="EG19" s="188" t="str">
        <f t="shared" si="61"/>
        <v/>
      </c>
      <c r="EH19" s="188" t="str">
        <f t="shared" si="61"/>
        <v/>
      </c>
      <c r="EI19" s="188" t="str">
        <f t="shared" si="61"/>
        <v/>
      </c>
      <c r="EJ19" s="188" t="str">
        <f t="shared" si="61"/>
        <v/>
      </c>
      <c r="EK19" s="188" t="str">
        <f t="shared" si="61"/>
        <v/>
      </c>
      <c r="EL19" s="188" t="str">
        <f t="shared" si="61"/>
        <v/>
      </c>
      <c r="EM19" s="188" t="str">
        <f t="shared" si="61"/>
        <v/>
      </c>
      <c r="EN19" s="188" t="str">
        <f t="shared" si="61"/>
        <v/>
      </c>
      <c r="EO19" s="188" t="str">
        <f t="shared" si="61"/>
        <v/>
      </c>
      <c r="EP19" s="188" t="str">
        <f t="shared" si="61"/>
        <v/>
      </c>
      <c r="FG19" s="77" t="str">
        <f>IF(AND($G19&lt;&gt;"",$G19&gt;0,'Outfall 1 Limits'!$AX$16="C1",I19&lt;&gt;""),I19*$G19*8.34,IF(AND($I19&lt;&gt;"",'Outfall 1 Limits'!$AX$16="L"),I19,""))</f>
        <v/>
      </c>
      <c r="FH19" s="29" t="str">
        <f>IF(AND($G19&lt;&gt;"",$G19&gt;0,'Outfall 1 Limits'!$AX$20="C1",$K19&lt;&gt;""),$K19*$G19*8.34,IF(AND($K19&lt;&gt;"",'Outfall 1 Limits'!$AX$20="L"),$K19,""))</f>
        <v/>
      </c>
      <c r="FI19" s="29" t="str">
        <f>IF(AND($G19&lt;&gt;"",$G19&gt;0,'Outfall 1 Limits'!$AX$24="C1",$M19&lt;&gt;""),$M19*$G19*8.34,IF(AND($M19&lt;&gt;"",'Outfall 1 Limits'!$AX$24="L"),$M19,""))</f>
        <v/>
      </c>
      <c r="FJ19" s="29" t="str">
        <f>IF(AND($G19&lt;&gt;"",$G19&gt;0,'Outfall 1 Limits'!$AX$28="C1",$O19&lt;&gt;""),$O19*$G19*8.34,IF(AND($O19&lt;&gt;"",'Outfall 1 Limits'!$AX$28="L"),$O19,""))</f>
        <v/>
      </c>
      <c r="FK19" s="29" t="str">
        <f>IF(AND($G19&lt;&gt;"",$G19&gt;0,'Outfall 1 Limits'!$AX$32="C1",$Q19&lt;&gt;""),$Q19*$G19*8.34,IF(AND($Q19&lt;&gt;"",'Outfall 1 Limits'!$AX$32="L"),$Q19,""))</f>
        <v/>
      </c>
      <c r="FL19" s="29" t="str">
        <f>IF(AND($G19&lt;&gt;"",$G19&gt;0,'Outfall 1 Limits'!$AX$36="C1",$S19&lt;&gt;""),$S19*$G19*8.34,IF(AND($S19&lt;&gt;"",'Outfall 1 Limits'!$AX$36="L"),$S19,""))</f>
        <v/>
      </c>
      <c r="FM19" s="29" t="str">
        <f>IF(AND($G19&lt;&gt;"",$G19&gt;0,'Outfall 1 Limits'!$AX$40="C1",$U19&lt;&gt;""),$U19*$G19*8.34,IF(AND($U19&lt;&gt;"",'Outfall 1 Limits'!$AX$40="L"),$U19,""))</f>
        <v/>
      </c>
      <c r="FN19" s="29" t="str">
        <f>IF(AND($G19&lt;&gt;"",$G19&gt;0,'Outfall 1 Limits'!$AX$44="C1",$W19&lt;&gt;""),$W19*$G19*8.34,IF(AND($W19&lt;&gt;"",'Outfall 1 Limits'!$AX$44="L"),$W19,""))</f>
        <v/>
      </c>
      <c r="FO19" s="29" t="str">
        <f>IF(AND($G19&lt;&gt;"",$G19&gt;0,'Outfall 1 Limits'!$AX$48="C1",$Y19&lt;&gt;""),$Y19*$G19*8.34,IF(AND($Y19&lt;&gt;"",'Outfall 1 Limits'!$AX$48="L"),$Y19,""))</f>
        <v/>
      </c>
      <c r="FP19" s="29" t="str">
        <f>IF(AND($G19&lt;&gt;"",$G19&gt;0,'Outfall 1 Limits'!$AX$52="C1",$AA19&lt;&gt;""),$AA19*$G19*8.34,IF(AND($AA19&lt;&gt;"",'Outfall 1 Limits'!$AX$52="L"),$AA19,""))</f>
        <v/>
      </c>
      <c r="FQ19" s="29" t="str">
        <f>IF(AND($G19&lt;&gt;"",$G19&gt;0,'Outfall 1 Limits'!$AX$56="C1",$AC19&lt;&gt;""),$AC19*$G19*8.34,IF(AND($AC19&lt;&gt;"",'Outfall 1 Limits'!$AX$56="L"),$AC19,""))</f>
        <v/>
      </c>
      <c r="FR19" s="29" t="str">
        <f>IF(AND($G19&lt;&gt;"",$G19&gt;0,'Outfall 1 Limits'!$AX$60="C1",$AE19&lt;&gt;""),$AE19*$G19*8.34,IF(AND($AE19&lt;&gt;"",'Outfall 1 Limits'!$AX$60="L"),$AE19,""))</f>
        <v/>
      </c>
      <c r="FS19" s="29" t="str">
        <f>IF(AND($G19&lt;&gt;"",$G19&gt;0,'Outfall 1 Limits'!$AX$64="C1",$AG19&lt;&gt;""),$AG19*$G19*8.34,IF(AND($AG19&lt;&gt;"",'Outfall 1 Limits'!$AX$64="L"),$AG19,""))</f>
        <v/>
      </c>
      <c r="FT19" s="29" t="str">
        <f>IF(AND($G19&lt;&gt;"",$G19&gt;0,'Outfall 1 Limits'!$AX$68="C1",$AI19&lt;&gt;""),$AI19*$G19*8.34,IF(AND($AI19&lt;&gt;"",'Outfall 1 Limits'!$AX$68="L"),$AI19,""))</f>
        <v/>
      </c>
      <c r="GJ19" s="29" t="str">
        <f t="shared" si="29"/>
        <v/>
      </c>
      <c r="GK19" s="77" t="str">
        <f>IF(AND($G19&lt;&gt;"",$G19&gt;0,'Outfall 1 Limits'!$AX$16="C1",CY19&lt;&gt;""),CY19*$G19*8.34,IF(AND(CY19&lt;&gt;"",'Outfall 1 Limits'!$AX$16="L"),CY19,""))</f>
        <v/>
      </c>
      <c r="GL19" s="29" t="str">
        <f>IF(AND($G19&lt;&gt;"",$G19&gt;0,'Outfall 1 Limits'!$AX$20="C1",CZ19&lt;&gt;""),CZ19*$G19*8.34,IF(AND(CZ19&lt;&gt;"",'Outfall 1 Limits'!$AX$20="L"),CZ19,""))</f>
        <v/>
      </c>
      <c r="GM19" s="29" t="str">
        <f>IF(AND($G19&lt;&gt;"",$G19&gt;0,'Outfall 1 Limits'!$AX$24="C1",DA19&lt;&gt;""),DA19*$G19*8.34,IF(AND(DA19&lt;&gt;"",'Outfall 1 Limits'!$AX$24="L"),DA19,""))</f>
        <v/>
      </c>
      <c r="GN19" s="29" t="str">
        <f>IF(AND($G19&lt;&gt;"",$G19&gt;0,'Outfall 1 Limits'!$AX$28="C1",DB19&lt;&gt;""),DB19*$G19*8.34,IF(AND(DB19&lt;&gt;"",'Outfall 1 Limits'!$AX$28="L"),DB19,""))</f>
        <v/>
      </c>
      <c r="GO19" s="29" t="str">
        <f>IF(AND($G19&lt;&gt;"",$G19&gt;0,'Outfall 1 Limits'!$AX$32="C1",DC19&lt;&gt;""),DC19*$G19*8.34,IF(AND(DC19&lt;&gt;"",'Outfall 1 Limits'!$AX$32="L"),DC19,""))</f>
        <v/>
      </c>
      <c r="GP19" s="29" t="str">
        <f>IF(AND($G19&lt;&gt;"",$G19&gt;0,'Outfall 1 Limits'!$AX$36="C1",DD19&lt;&gt;""),DD19*$G19*8.34,IF(AND(DD19&lt;&gt;"",'Outfall 1 Limits'!$AX$36="L"),DD19,""))</f>
        <v/>
      </c>
      <c r="GQ19" s="29" t="str">
        <f>IF(AND($G19&lt;&gt;"",$G19&gt;0,'Outfall 1 Limits'!$AX$40="C1",DE19&lt;&gt;""),DE19*$G19*8.34,IF(AND(DE19&lt;&gt;"",'Outfall 1 Limits'!$AX$40="L"),DE19,""))</f>
        <v/>
      </c>
      <c r="GR19" s="29" t="str">
        <f>IF(AND($G19&lt;&gt;"",$G19&gt;0,'Outfall 1 Limits'!$AX$44="C1",DF19&lt;&gt;""),DF19*$G19*8.34,IF(AND(DF19&lt;&gt;"",'Outfall 1 Limits'!$AX$44="L"),DF19,""))</f>
        <v/>
      </c>
      <c r="GS19" s="29" t="str">
        <f>IF(AND($G19&lt;&gt;"",$G19&gt;0,'Outfall 1 Limits'!$AX$48="C1",DG19&lt;&gt;""),DG19*$G19*8.34,IF(AND(DG19&lt;&gt;"",'Outfall 1 Limits'!$AX$48="L"),DG19,""))</f>
        <v/>
      </c>
      <c r="GT19" s="29" t="str">
        <f>IF(AND($G19&lt;&gt;"",$G19&gt;0,'Outfall 1 Limits'!$AX$52="C1",DH19&lt;&gt;""),DH19*$G19*8.34,IF(AND(DH19&lt;&gt;"",'Outfall 1 Limits'!$AX$52="L"),DH19,""))</f>
        <v/>
      </c>
      <c r="GU19" s="29" t="str">
        <f>IF(AND($G19&lt;&gt;"",$G19&gt;0,'Outfall 1 Limits'!$AX$56="C1",DI19&lt;&gt;""),DI19*$G19*8.34,IF(AND(DI19&lt;&gt;"",'Outfall 1 Limits'!$AX$56="L"),DI19,""))</f>
        <v/>
      </c>
      <c r="GV19" s="29" t="str">
        <f>IF(AND($G19&lt;&gt;"",$G19&gt;0,'Outfall 1 Limits'!$AX$60="C1",DJ19&lt;&gt;""),DJ19*$G19*8.34,IF(AND(DJ19&lt;&gt;"",'Outfall 1 Limits'!$AX$60="L"),DJ19,""))</f>
        <v/>
      </c>
      <c r="GW19" s="29" t="str">
        <f>IF(AND($G19&lt;&gt;"",$G19&gt;0,'Outfall 1 Limits'!$AX$64="C1",DK19&lt;&gt;""),DK19*$G19*8.34,IF(AND(DK19&lt;&gt;"",'Outfall 1 Limits'!$AX$64="L"),DK19,""))</f>
        <v/>
      </c>
      <c r="GX19" s="29" t="str">
        <f>IF(AND($G19&lt;&gt;"",$G19&gt;0,'Outfall 1 Limits'!$AX$68="C1",DL19&lt;&gt;""),DL19*$G19*8.34,IF(AND(DL19&lt;&gt;"",'Outfall 1 Limits'!$AX$68="L"),DL19,""))</f>
        <v/>
      </c>
      <c r="HO19" s="98" t="str">
        <f t="shared" si="30"/>
        <v/>
      </c>
      <c r="HS19" s="68" t="str">
        <f t="shared" si="31"/>
        <v/>
      </c>
      <c r="HT19" s="188" t="str">
        <f t="shared" si="32"/>
        <v/>
      </c>
      <c r="HU19" s="188" t="str">
        <f t="shared" si="33"/>
        <v/>
      </c>
      <c r="HV19" s="188" t="str">
        <f t="shared" si="34"/>
        <v/>
      </c>
      <c r="HW19" s="188" t="str">
        <f t="shared" si="35"/>
        <v/>
      </c>
      <c r="HX19" s="188" t="str">
        <f t="shared" si="36"/>
        <v/>
      </c>
      <c r="HY19" s="188" t="str">
        <f t="shared" si="37"/>
        <v/>
      </c>
      <c r="HZ19" s="188" t="str">
        <f t="shared" si="38"/>
        <v/>
      </c>
      <c r="IA19" s="188" t="str">
        <f t="shared" si="39"/>
        <v/>
      </c>
      <c r="IB19" s="188" t="str">
        <f t="shared" si="40"/>
        <v/>
      </c>
      <c r="IC19" s="188" t="str">
        <f t="shared" si="41"/>
        <v/>
      </c>
      <c r="ID19" s="188" t="str">
        <f t="shared" si="42"/>
        <v/>
      </c>
      <c r="IE19" s="188" t="str">
        <f t="shared" si="43"/>
        <v/>
      </c>
      <c r="IF19" s="188" t="str">
        <f t="shared" si="44"/>
        <v/>
      </c>
      <c r="IX19" s="68" t="str">
        <f t="shared" si="45"/>
        <v/>
      </c>
      <c r="IY19" s="188" t="str">
        <f t="shared" si="46"/>
        <v/>
      </c>
      <c r="IZ19" s="188" t="str">
        <f t="shared" si="47"/>
        <v/>
      </c>
      <c r="JA19" s="188" t="str">
        <f t="shared" si="48"/>
        <v/>
      </c>
      <c r="JB19" s="188" t="str">
        <f t="shared" si="49"/>
        <v/>
      </c>
      <c r="JC19" s="188" t="str">
        <f t="shared" si="50"/>
        <v/>
      </c>
      <c r="JD19" s="188" t="str">
        <f t="shared" si="51"/>
        <v/>
      </c>
      <c r="JE19" s="188" t="str">
        <f t="shared" si="52"/>
        <v/>
      </c>
      <c r="JF19" s="188" t="str">
        <f t="shared" si="53"/>
        <v/>
      </c>
      <c r="JG19" s="188" t="str">
        <f t="shared" si="54"/>
        <v/>
      </c>
      <c r="JH19" s="188" t="str">
        <f t="shared" si="55"/>
        <v/>
      </c>
      <c r="JI19" s="188" t="str">
        <f t="shared" si="56"/>
        <v/>
      </c>
      <c r="JJ19" s="188" t="str">
        <f t="shared" si="57"/>
        <v/>
      </c>
      <c r="JK19" s="188" t="str">
        <f t="shared" si="58"/>
        <v/>
      </c>
      <c r="KA19" s="188"/>
      <c r="KB19" s="2"/>
      <c r="KC19" s="226"/>
      <c r="KD19" s="164" t="str">
        <f t="shared" si="1"/>
        <v/>
      </c>
      <c r="KE19" s="188" t="str">
        <f t="shared" si="2"/>
        <v/>
      </c>
      <c r="KF19" s="188" t="str">
        <f t="shared" si="3"/>
        <v/>
      </c>
      <c r="KG19" s="188" t="str">
        <f t="shared" si="4"/>
        <v/>
      </c>
      <c r="KH19" s="188" t="str">
        <f t="shared" si="5"/>
        <v/>
      </c>
      <c r="KI19" s="188" t="str">
        <f t="shared" si="6"/>
        <v/>
      </c>
      <c r="KJ19" s="188" t="str">
        <f t="shared" si="7"/>
        <v/>
      </c>
      <c r="KK19" s="188" t="str">
        <f t="shared" si="8"/>
        <v/>
      </c>
      <c r="KL19" s="188" t="str">
        <f t="shared" si="9"/>
        <v/>
      </c>
      <c r="KM19" s="188" t="str">
        <f t="shared" si="10"/>
        <v/>
      </c>
      <c r="KN19" s="188" t="str">
        <f t="shared" si="11"/>
        <v/>
      </c>
      <c r="KO19" s="188" t="str">
        <f t="shared" si="12"/>
        <v/>
      </c>
      <c r="KP19" s="188" t="str">
        <f t="shared" si="13"/>
        <v/>
      </c>
      <c r="KQ19" s="188" t="str">
        <f t="shared" si="14"/>
        <v/>
      </c>
    </row>
    <row r="20" spans="1:303" s="18" customFormat="1" ht="11.45" customHeight="1" x14ac:dyDescent="0.2">
      <c r="A20" s="38"/>
      <c r="B20" s="48"/>
      <c r="C20" s="421">
        <f t="shared" si="0"/>
        <v>45294</v>
      </c>
      <c r="D20" s="421"/>
      <c r="E20" s="422">
        <f t="shared" si="59"/>
        <v>45294</v>
      </c>
      <c r="F20" s="423"/>
      <c r="G20" s="31"/>
      <c r="H20" s="45"/>
      <c r="I20" s="44"/>
      <c r="J20" s="45"/>
      <c r="K20" s="44"/>
      <c r="L20" s="45"/>
      <c r="M20" s="44"/>
      <c r="N20" s="45"/>
      <c r="O20" s="44"/>
      <c r="P20" s="45"/>
      <c r="Q20" s="44"/>
      <c r="R20" s="45"/>
      <c r="S20" s="44"/>
      <c r="T20" s="45"/>
      <c r="U20" s="44"/>
      <c r="V20" s="45"/>
      <c r="W20" s="44"/>
      <c r="X20" s="45"/>
      <c r="Y20" s="44"/>
      <c r="Z20" s="45"/>
      <c r="AA20" s="44"/>
      <c r="AB20" s="45"/>
      <c r="AC20" s="44"/>
      <c r="AD20" s="45"/>
      <c r="AE20" s="44"/>
      <c r="AF20" s="45"/>
      <c r="AG20" s="44"/>
      <c r="AH20" s="45"/>
      <c r="AI20" s="127"/>
      <c r="AJ20" s="236"/>
      <c r="BO20" s="188"/>
      <c r="BP20" s="267">
        <v>2039</v>
      </c>
      <c r="BQ20" s="83" t="s">
        <v>35</v>
      </c>
      <c r="BR20" s="188"/>
      <c r="BS20" s="188" t="s">
        <v>1107</v>
      </c>
      <c r="BU20" s="68" t="str">
        <f t="shared" si="15"/>
        <v/>
      </c>
      <c r="BV20" s="188" t="str">
        <f t="shared" si="16"/>
        <v/>
      </c>
      <c r="BW20" s="188" t="str">
        <f t="shared" si="17"/>
        <v/>
      </c>
      <c r="BX20" s="188" t="str">
        <f t="shared" si="18"/>
        <v/>
      </c>
      <c r="BY20" s="188" t="str">
        <f t="shared" si="19"/>
        <v/>
      </c>
      <c r="BZ20" s="188" t="str">
        <f t="shared" si="20"/>
        <v/>
      </c>
      <c r="CA20" s="188" t="str">
        <f t="shared" si="21"/>
        <v/>
      </c>
      <c r="CB20" s="188" t="str">
        <f t="shared" si="22"/>
        <v/>
      </c>
      <c r="CC20" s="188" t="str">
        <f t="shared" si="23"/>
        <v/>
      </c>
      <c r="CD20" s="188" t="str">
        <f t="shared" si="24"/>
        <v/>
      </c>
      <c r="CE20" s="188" t="str">
        <f t="shared" si="25"/>
        <v/>
      </c>
      <c r="CF20" s="188" t="str">
        <f t="shared" si="26"/>
        <v/>
      </c>
      <c r="CG20" s="188" t="str">
        <f t="shared" si="27"/>
        <v/>
      </c>
      <c r="CH20" s="188" t="str">
        <f t="shared" si="28"/>
        <v/>
      </c>
      <c r="CY20" s="77" t="str">
        <f>IF(I20&lt;&gt;"",IF(H20="&lt;",IF(AND('Outfall 1 Limits'!$AM$16="Y",$BU$54&lt;&gt;"Y",I20&lt;='Outfall 1 Limits'!$AL$16),0,(1*I20)),I20),"")</f>
        <v/>
      </c>
      <c r="CZ20" s="29" t="str">
        <f>IF(K20&lt;&gt;"",IF(J20="&lt;",IF(AND('Outfall 1 Limits'!$AM$20="Y",$BV$54&lt;&gt;"Y",K20&lt;='Outfall 1 Limits'!$AL$20),0,(1*K20)),K20),"")</f>
        <v/>
      </c>
      <c r="DA20" s="29" t="str">
        <f>IF(M20&lt;&gt;"",IF(L20="&lt;",IF(AND('Outfall 1 Limits'!$AM$24="Y",$BW$54&lt;&gt;"Y",M20&lt;='Outfall 1 Limits'!$AL$24),0,(1*M20)),M20),"")</f>
        <v/>
      </c>
      <c r="DB20" s="29" t="str">
        <f>IF(O20&lt;&gt;"",IF(N20="&lt;",IF(AND('Outfall 1 Limits'!$AM$28="Y",$BX$54&lt;&gt;"Y",O20&lt;='Outfall 1 Limits'!$AL$28),0,(1*O20)),O20),"")</f>
        <v/>
      </c>
      <c r="DC20" s="29" t="str">
        <f>IF(Q20&lt;&gt;"",IF(P20="&lt;",IF(AND('Outfall 1 Limits'!$AM$32="Y",$BY$54&lt;&gt;"Y",Q20&lt;='Outfall 1 Limits'!$AL$32),0,(1*Q20)),Q20),"")</f>
        <v/>
      </c>
      <c r="DD20" s="29" t="str">
        <f>IF(S20&lt;&gt;"",IF(R20="&lt;",IF(AND('Outfall 1 Limits'!$AM$36="Y",$BZ$54&lt;&gt;"Y",S20&lt;='Outfall 1 Limits'!$AL$36),0,(1*S20)),S20),"")</f>
        <v/>
      </c>
      <c r="DE20" s="29" t="str">
        <f>IF(U20&lt;&gt;"",IF(T20="&lt;",IF(AND('Outfall 1 Limits'!$AM$40="Y",$CA$54&lt;&gt;"Y",U20&lt;='Outfall 1 Limits'!$AL$40),0,(1*U20)),U20),"")</f>
        <v/>
      </c>
      <c r="DF20" s="29" t="str">
        <f>IF(W20&lt;&gt;"",IF(V20="&lt;",IF(AND('Outfall 1 Limits'!$AM$44="Y",$CB$54&lt;&gt;"Y",W20&lt;='Outfall 1 Limits'!$AL$44),0,(1*W20)),W20),"")</f>
        <v/>
      </c>
      <c r="DG20" s="29" t="str">
        <f>IF(Y20&lt;&gt;"",IF(X20="&lt;",IF(AND('Outfall 1 Limits'!$AM$48="Y",$CC$54&lt;&gt;"Y",Y20&lt;='Outfall 1 Limits'!$AL$48),0,(1*Y20)),Y20),"")</f>
        <v/>
      </c>
      <c r="DH20" s="29" t="str">
        <f>IF(AA20&lt;&gt;"",IF(Z20="&lt;",IF(AND('Outfall 1 Limits'!$AM$52="Y",$CD$54&lt;&gt;"Y",AA20&lt;='Outfall 1 Limits'!$AL$52),0,(1*AA20)),AA20),"")</f>
        <v/>
      </c>
      <c r="DI20" s="29" t="str">
        <f>IF(AC20&lt;&gt;"",IF(AB20="&lt;",IF(AND('Outfall 1 Limits'!$AM$56="Y",$CE$54&lt;&gt;"Y",AC20&lt;='Outfall 1 Limits'!$AL$56),0,(1*AC20)),AC20),"")</f>
        <v/>
      </c>
      <c r="DJ20" s="29" t="str">
        <f>IF(AE20&lt;&gt;"",IF(AD20="&lt;",IF(AND('Outfall 1 Limits'!$AM$60="Y",$CF$54&lt;&gt;"Y",AE20&lt;='Outfall 1 Limits'!$AL$60),0,(1*AE20)),AE20),"")</f>
        <v/>
      </c>
      <c r="DK20" s="29" t="str">
        <f>IF(AG20&lt;&gt;"",IF(AF20="&lt;",IF(AND('Outfall 1 Limits'!$AM$64="Y",$CG$54&lt;&gt;"Y",AG20&lt;='Outfall 1 Limits'!$AL$64),0,(1*AG20)),AG20),"")</f>
        <v/>
      </c>
      <c r="DL20" s="29" t="str">
        <f>IF(AI20&lt;&gt;"",IF(AH20="&lt;",IF(AND('Outfall 1 Limits'!$AM$68="Y",$CH$54&lt;&gt;"Y",AI20&lt;='Outfall 1 Limits'!$AL$68),0,(1*AI20)),AI20),"")</f>
        <v/>
      </c>
      <c r="EB20" s="222" t="s">
        <v>1141</v>
      </c>
      <c r="EC20" s="84" t="str">
        <f>IF(EC13&lt;&gt;"",IF(BU58="Y",EC13-0.1,EC13),"")</f>
        <v/>
      </c>
      <c r="ED20" s="85" t="str">
        <f t="shared" ref="ED20:EP20" si="62">IF(ED13&lt;&gt;"",IF(BV58="Y",ED13-0.1,ED13),"")</f>
        <v/>
      </c>
      <c r="EE20" s="85" t="str">
        <f t="shared" si="62"/>
        <v/>
      </c>
      <c r="EF20" s="85" t="str">
        <f t="shared" si="62"/>
        <v/>
      </c>
      <c r="EG20" s="85" t="str">
        <f t="shared" si="62"/>
        <v/>
      </c>
      <c r="EH20" s="85" t="str">
        <f t="shared" si="62"/>
        <v/>
      </c>
      <c r="EI20" s="85" t="str">
        <f t="shared" si="62"/>
        <v/>
      </c>
      <c r="EJ20" s="85" t="str">
        <f t="shared" si="62"/>
        <v/>
      </c>
      <c r="EK20" s="85" t="str">
        <f t="shared" si="62"/>
        <v/>
      </c>
      <c r="EL20" s="85" t="str">
        <f t="shared" si="62"/>
        <v/>
      </c>
      <c r="EM20" s="85" t="str">
        <f t="shared" si="62"/>
        <v/>
      </c>
      <c r="EN20" s="85" t="str">
        <f t="shared" si="62"/>
        <v/>
      </c>
      <c r="EO20" s="85" t="str">
        <f t="shared" si="62"/>
        <v/>
      </c>
      <c r="EP20" s="85" t="str">
        <f t="shared" si="62"/>
        <v/>
      </c>
      <c r="FG20" s="77" t="str">
        <f>IF(AND($G20&lt;&gt;"",$G20&gt;0,'Outfall 1 Limits'!$AX$16="C1",I20&lt;&gt;""),I20*$G20*8.34,IF(AND($I20&lt;&gt;"",'Outfall 1 Limits'!$AX$16="L"),I20,""))</f>
        <v/>
      </c>
      <c r="FH20" s="29" t="str">
        <f>IF(AND($G20&lt;&gt;"",$G20&gt;0,'Outfall 1 Limits'!$AX$20="C1",$K20&lt;&gt;""),$K20*$G20*8.34,IF(AND($K20&lt;&gt;"",'Outfall 1 Limits'!$AX$20="L"),$K20,""))</f>
        <v/>
      </c>
      <c r="FI20" s="29" t="str">
        <f>IF(AND($G20&lt;&gt;"",$G20&gt;0,'Outfall 1 Limits'!$AX$24="C1",$M20&lt;&gt;""),$M20*$G20*8.34,IF(AND($M20&lt;&gt;"",'Outfall 1 Limits'!$AX$24="L"),$M20,""))</f>
        <v/>
      </c>
      <c r="FJ20" s="29" t="str">
        <f>IF(AND($G20&lt;&gt;"",$G20&gt;0,'Outfall 1 Limits'!$AX$28="C1",$O20&lt;&gt;""),$O20*$G20*8.34,IF(AND($O20&lt;&gt;"",'Outfall 1 Limits'!$AX$28="L"),$O20,""))</f>
        <v/>
      </c>
      <c r="FK20" s="29" t="str">
        <f>IF(AND($G20&lt;&gt;"",$G20&gt;0,'Outfall 1 Limits'!$AX$32="C1",$Q20&lt;&gt;""),$Q20*$G20*8.34,IF(AND($Q20&lt;&gt;"",'Outfall 1 Limits'!$AX$32="L"),$Q20,""))</f>
        <v/>
      </c>
      <c r="FL20" s="29" t="str">
        <f>IF(AND($G20&lt;&gt;"",$G20&gt;0,'Outfall 1 Limits'!$AX$36="C1",$S20&lt;&gt;""),$S20*$G20*8.34,IF(AND($S20&lt;&gt;"",'Outfall 1 Limits'!$AX$36="L"),$S20,""))</f>
        <v/>
      </c>
      <c r="FM20" s="29" t="str">
        <f>IF(AND($G20&lt;&gt;"",$G20&gt;0,'Outfall 1 Limits'!$AX$40="C1",$U20&lt;&gt;""),$U20*$G20*8.34,IF(AND($U20&lt;&gt;"",'Outfall 1 Limits'!$AX$40="L"),$U20,""))</f>
        <v/>
      </c>
      <c r="FN20" s="29" t="str">
        <f>IF(AND($G20&lt;&gt;"",$G20&gt;0,'Outfall 1 Limits'!$AX$44="C1",$W20&lt;&gt;""),$W20*$G20*8.34,IF(AND($W20&lt;&gt;"",'Outfall 1 Limits'!$AX$44="L"),$W20,""))</f>
        <v/>
      </c>
      <c r="FO20" s="29" t="str">
        <f>IF(AND($G20&lt;&gt;"",$G20&gt;0,'Outfall 1 Limits'!$AX$48="C1",$Y20&lt;&gt;""),$Y20*$G20*8.34,IF(AND($Y20&lt;&gt;"",'Outfall 1 Limits'!$AX$48="L"),$Y20,""))</f>
        <v/>
      </c>
      <c r="FP20" s="29" t="str">
        <f>IF(AND($G20&lt;&gt;"",$G20&gt;0,'Outfall 1 Limits'!$AX$52="C1",$AA20&lt;&gt;""),$AA20*$G20*8.34,IF(AND($AA20&lt;&gt;"",'Outfall 1 Limits'!$AX$52="L"),$AA20,""))</f>
        <v/>
      </c>
      <c r="FQ20" s="29" t="str">
        <f>IF(AND($G20&lt;&gt;"",$G20&gt;0,'Outfall 1 Limits'!$AX$56="C1",$AC20&lt;&gt;""),$AC20*$G20*8.34,IF(AND($AC20&lt;&gt;"",'Outfall 1 Limits'!$AX$56="L"),$AC20,""))</f>
        <v/>
      </c>
      <c r="FR20" s="29" t="str">
        <f>IF(AND($G20&lt;&gt;"",$G20&gt;0,'Outfall 1 Limits'!$AX$60="C1",$AE20&lt;&gt;""),$AE20*$G20*8.34,IF(AND($AE20&lt;&gt;"",'Outfall 1 Limits'!$AX$60="L"),$AE20,""))</f>
        <v/>
      </c>
      <c r="FS20" s="29" t="str">
        <f>IF(AND($G20&lt;&gt;"",$G20&gt;0,'Outfall 1 Limits'!$AX$64="C1",$AG20&lt;&gt;""),$AG20*$G20*8.34,IF(AND($AG20&lt;&gt;"",'Outfall 1 Limits'!$AX$64="L"),$AG20,""))</f>
        <v/>
      </c>
      <c r="FT20" s="29" t="str">
        <f>IF(AND($G20&lt;&gt;"",$G20&gt;0,'Outfall 1 Limits'!$AX$68="C1",$AI20&lt;&gt;""),$AI20*$G20*8.34,IF(AND($AI20&lt;&gt;"",'Outfall 1 Limits'!$AX$68="L"),$AI20,""))</f>
        <v/>
      </c>
      <c r="GJ20" s="29" t="str">
        <f t="shared" si="29"/>
        <v/>
      </c>
      <c r="GK20" s="77" t="str">
        <f>IF(AND($G20&lt;&gt;"",$G20&gt;0,'Outfall 1 Limits'!$AX$16="C1",CY20&lt;&gt;""),CY20*$G20*8.34,IF(AND(CY20&lt;&gt;"",'Outfall 1 Limits'!$AX$16="L"),CY20,""))</f>
        <v/>
      </c>
      <c r="GL20" s="29" t="str">
        <f>IF(AND($G20&lt;&gt;"",$G20&gt;0,'Outfall 1 Limits'!$AX$20="C1",CZ20&lt;&gt;""),CZ20*$G20*8.34,IF(AND(CZ20&lt;&gt;"",'Outfall 1 Limits'!$AX$20="L"),CZ20,""))</f>
        <v/>
      </c>
      <c r="GM20" s="29" t="str">
        <f>IF(AND($G20&lt;&gt;"",$G20&gt;0,'Outfall 1 Limits'!$AX$24="C1",DA20&lt;&gt;""),DA20*$G20*8.34,IF(AND(DA20&lt;&gt;"",'Outfall 1 Limits'!$AX$24="L"),DA20,""))</f>
        <v/>
      </c>
      <c r="GN20" s="29" t="str">
        <f>IF(AND($G20&lt;&gt;"",$G20&gt;0,'Outfall 1 Limits'!$AX$28="C1",DB20&lt;&gt;""),DB20*$G20*8.34,IF(AND(DB20&lt;&gt;"",'Outfall 1 Limits'!$AX$28="L"),DB20,""))</f>
        <v/>
      </c>
      <c r="GO20" s="29" t="str">
        <f>IF(AND($G20&lt;&gt;"",$G20&gt;0,'Outfall 1 Limits'!$AX$32="C1",DC20&lt;&gt;""),DC20*$G20*8.34,IF(AND(DC20&lt;&gt;"",'Outfall 1 Limits'!$AX$32="L"),DC20,""))</f>
        <v/>
      </c>
      <c r="GP20" s="29" t="str">
        <f>IF(AND($G20&lt;&gt;"",$G20&gt;0,'Outfall 1 Limits'!$AX$36="C1",DD20&lt;&gt;""),DD20*$G20*8.34,IF(AND(DD20&lt;&gt;"",'Outfall 1 Limits'!$AX$36="L"),DD20,""))</f>
        <v/>
      </c>
      <c r="GQ20" s="29" t="str">
        <f>IF(AND($G20&lt;&gt;"",$G20&gt;0,'Outfall 1 Limits'!$AX$40="C1",DE20&lt;&gt;""),DE20*$G20*8.34,IF(AND(DE20&lt;&gt;"",'Outfall 1 Limits'!$AX$40="L"),DE20,""))</f>
        <v/>
      </c>
      <c r="GR20" s="29" t="str">
        <f>IF(AND($G20&lt;&gt;"",$G20&gt;0,'Outfall 1 Limits'!$AX$44="C1",DF20&lt;&gt;""),DF20*$G20*8.34,IF(AND(DF20&lt;&gt;"",'Outfall 1 Limits'!$AX$44="L"),DF20,""))</f>
        <v/>
      </c>
      <c r="GS20" s="29" t="str">
        <f>IF(AND($G20&lt;&gt;"",$G20&gt;0,'Outfall 1 Limits'!$AX$48="C1",DG20&lt;&gt;""),DG20*$G20*8.34,IF(AND(DG20&lt;&gt;"",'Outfall 1 Limits'!$AX$48="L"),DG20,""))</f>
        <v/>
      </c>
      <c r="GT20" s="29" t="str">
        <f>IF(AND($G20&lt;&gt;"",$G20&gt;0,'Outfall 1 Limits'!$AX$52="C1",DH20&lt;&gt;""),DH20*$G20*8.34,IF(AND(DH20&lt;&gt;"",'Outfall 1 Limits'!$AX$52="L"),DH20,""))</f>
        <v/>
      </c>
      <c r="GU20" s="29" t="str">
        <f>IF(AND($G20&lt;&gt;"",$G20&gt;0,'Outfall 1 Limits'!$AX$56="C1",DI20&lt;&gt;""),DI20*$G20*8.34,IF(AND(DI20&lt;&gt;"",'Outfall 1 Limits'!$AX$56="L"),DI20,""))</f>
        <v/>
      </c>
      <c r="GV20" s="29" t="str">
        <f>IF(AND($G20&lt;&gt;"",$G20&gt;0,'Outfall 1 Limits'!$AX$60="C1",DJ20&lt;&gt;""),DJ20*$G20*8.34,IF(AND(DJ20&lt;&gt;"",'Outfall 1 Limits'!$AX$60="L"),DJ20,""))</f>
        <v/>
      </c>
      <c r="GW20" s="29" t="str">
        <f>IF(AND($G20&lt;&gt;"",$G20&gt;0,'Outfall 1 Limits'!$AX$64="C1",DK20&lt;&gt;""),DK20*$G20*8.34,IF(AND(DK20&lt;&gt;"",'Outfall 1 Limits'!$AX$64="L"),DK20,""))</f>
        <v/>
      </c>
      <c r="GX20" s="29" t="str">
        <f>IF(AND($G20&lt;&gt;"",$G20&gt;0,'Outfall 1 Limits'!$AX$68="C1",DL20&lt;&gt;""),DL20*$G20*8.34,IF(AND(DL20&lt;&gt;"",'Outfall 1 Limits'!$AX$68="L"),DL20,""))</f>
        <v/>
      </c>
      <c r="HO20" s="98" t="str">
        <f t="shared" si="30"/>
        <v/>
      </c>
      <c r="HS20" s="68" t="str">
        <f t="shared" si="31"/>
        <v/>
      </c>
      <c r="HT20" s="188" t="str">
        <f t="shared" si="32"/>
        <v/>
      </c>
      <c r="HU20" s="188" t="str">
        <f t="shared" si="33"/>
        <v/>
      </c>
      <c r="HV20" s="188" t="str">
        <f t="shared" si="34"/>
        <v/>
      </c>
      <c r="HW20" s="188" t="str">
        <f t="shared" si="35"/>
        <v/>
      </c>
      <c r="HX20" s="188" t="str">
        <f t="shared" si="36"/>
        <v/>
      </c>
      <c r="HY20" s="188" t="str">
        <f t="shared" si="37"/>
        <v/>
      </c>
      <c r="HZ20" s="188" t="str">
        <f t="shared" si="38"/>
        <v/>
      </c>
      <c r="IA20" s="188" t="str">
        <f t="shared" si="39"/>
        <v/>
      </c>
      <c r="IB20" s="188" t="str">
        <f t="shared" si="40"/>
        <v/>
      </c>
      <c r="IC20" s="188" t="str">
        <f t="shared" si="41"/>
        <v/>
      </c>
      <c r="ID20" s="188" t="str">
        <f t="shared" si="42"/>
        <v/>
      </c>
      <c r="IE20" s="188" t="str">
        <f t="shared" si="43"/>
        <v/>
      </c>
      <c r="IF20" s="188" t="str">
        <f t="shared" si="44"/>
        <v/>
      </c>
      <c r="IX20" s="68" t="str">
        <f t="shared" si="45"/>
        <v/>
      </c>
      <c r="IY20" s="188" t="str">
        <f t="shared" si="46"/>
        <v/>
      </c>
      <c r="IZ20" s="188" t="str">
        <f t="shared" si="47"/>
        <v/>
      </c>
      <c r="JA20" s="188" t="str">
        <f t="shared" si="48"/>
        <v/>
      </c>
      <c r="JB20" s="188" t="str">
        <f t="shared" si="49"/>
        <v/>
      </c>
      <c r="JC20" s="188" t="str">
        <f t="shared" si="50"/>
        <v/>
      </c>
      <c r="JD20" s="188" t="str">
        <f t="shared" si="51"/>
        <v/>
      </c>
      <c r="JE20" s="188" t="str">
        <f t="shared" si="52"/>
        <v/>
      </c>
      <c r="JF20" s="188" t="str">
        <f t="shared" si="53"/>
        <v/>
      </c>
      <c r="JG20" s="188" t="str">
        <f t="shared" si="54"/>
        <v/>
      </c>
      <c r="JH20" s="188" t="str">
        <f t="shared" si="55"/>
        <v/>
      </c>
      <c r="JI20" s="188" t="str">
        <f t="shared" si="56"/>
        <v/>
      </c>
      <c r="JJ20" s="188" t="str">
        <f t="shared" si="57"/>
        <v/>
      </c>
      <c r="JK20" s="188" t="str">
        <f t="shared" si="58"/>
        <v/>
      </c>
      <c r="KA20" s="188"/>
      <c r="KB20" s="2"/>
      <c r="KC20" s="226"/>
      <c r="KD20" s="164" t="str">
        <f t="shared" si="1"/>
        <v/>
      </c>
      <c r="KE20" s="188" t="str">
        <f t="shared" si="2"/>
        <v/>
      </c>
      <c r="KF20" s="188" t="str">
        <f t="shared" si="3"/>
        <v/>
      </c>
      <c r="KG20" s="188" t="str">
        <f t="shared" si="4"/>
        <v/>
      </c>
      <c r="KH20" s="188" t="str">
        <f t="shared" si="5"/>
        <v/>
      </c>
      <c r="KI20" s="188" t="str">
        <f t="shared" si="6"/>
        <v/>
      </c>
      <c r="KJ20" s="188" t="str">
        <f t="shared" si="7"/>
        <v/>
      </c>
      <c r="KK20" s="188" t="str">
        <f t="shared" si="8"/>
        <v/>
      </c>
      <c r="KL20" s="188" t="str">
        <f t="shared" si="9"/>
        <v/>
      </c>
      <c r="KM20" s="188" t="str">
        <f t="shared" si="10"/>
        <v/>
      </c>
      <c r="KN20" s="188" t="str">
        <f t="shared" si="11"/>
        <v/>
      </c>
      <c r="KO20" s="188" t="str">
        <f t="shared" si="12"/>
        <v/>
      </c>
      <c r="KP20" s="188" t="str">
        <f t="shared" si="13"/>
        <v/>
      </c>
      <c r="KQ20" s="188" t="str">
        <f t="shared" si="14"/>
        <v/>
      </c>
    </row>
    <row r="21" spans="1:303" s="18" customFormat="1" ht="11.45" customHeight="1" x14ac:dyDescent="0.2">
      <c r="A21" s="38"/>
      <c r="B21" s="48"/>
      <c r="C21" s="421">
        <f t="shared" si="0"/>
        <v>45295</v>
      </c>
      <c r="D21" s="421"/>
      <c r="E21" s="422">
        <f t="shared" si="59"/>
        <v>45295</v>
      </c>
      <c r="F21" s="423"/>
      <c r="G21" s="31"/>
      <c r="H21" s="45"/>
      <c r="I21" s="44"/>
      <c r="J21" s="45"/>
      <c r="K21" s="44"/>
      <c r="L21" s="45"/>
      <c r="M21" s="44"/>
      <c r="N21" s="45"/>
      <c r="O21" s="44"/>
      <c r="P21" s="45"/>
      <c r="Q21" s="44"/>
      <c r="R21" s="45"/>
      <c r="S21" s="44"/>
      <c r="T21" s="45"/>
      <c r="U21" s="44"/>
      <c r="V21" s="45"/>
      <c r="W21" s="44"/>
      <c r="X21" s="45"/>
      <c r="Y21" s="44"/>
      <c r="Z21" s="45"/>
      <c r="AA21" s="44"/>
      <c r="AB21" s="45"/>
      <c r="AC21" s="44"/>
      <c r="AD21" s="45"/>
      <c r="AE21" s="44"/>
      <c r="AF21" s="45"/>
      <c r="AG21" s="44"/>
      <c r="AH21" s="45"/>
      <c r="AI21" s="127"/>
      <c r="AJ21" s="236"/>
      <c r="BO21" s="188"/>
      <c r="BP21" s="267">
        <v>2040</v>
      </c>
      <c r="BQ21" s="83" t="s">
        <v>36</v>
      </c>
      <c r="BR21" s="188"/>
      <c r="BS21" s="188" t="s">
        <v>1108</v>
      </c>
      <c r="BU21" s="68" t="str">
        <f t="shared" si="15"/>
        <v/>
      </c>
      <c r="BV21" s="188" t="str">
        <f t="shared" si="16"/>
        <v/>
      </c>
      <c r="BW21" s="188" t="str">
        <f t="shared" si="17"/>
        <v/>
      </c>
      <c r="BX21" s="188" t="str">
        <f t="shared" si="18"/>
        <v/>
      </c>
      <c r="BY21" s="188" t="str">
        <f t="shared" si="19"/>
        <v/>
      </c>
      <c r="BZ21" s="188" t="str">
        <f t="shared" si="20"/>
        <v/>
      </c>
      <c r="CA21" s="188" t="str">
        <f t="shared" si="21"/>
        <v/>
      </c>
      <c r="CB21" s="188" t="str">
        <f t="shared" si="22"/>
        <v/>
      </c>
      <c r="CC21" s="188" t="str">
        <f t="shared" si="23"/>
        <v/>
      </c>
      <c r="CD21" s="188" t="str">
        <f t="shared" si="24"/>
        <v/>
      </c>
      <c r="CE21" s="188" t="str">
        <f t="shared" si="25"/>
        <v/>
      </c>
      <c r="CF21" s="188" t="str">
        <f t="shared" si="26"/>
        <v/>
      </c>
      <c r="CG21" s="188" t="str">
        <f t="shared" si="27"/>
        <v/>
      </c>
      <c r="CH21" s="188" t="str">
        <f t="shared" si="28"/>
        <v/>
      </c>
      <c r="CY21" s="77" t="str">
        <f>IF(I21&lt;&gt;"",IF(H21="&lt;",IF(AND('Outfall 1 Limits'!$AM$16="Y",$BU$54&lt;&gt;"Y",I21&lt;='Outfall 1 Limits'!$AL$16),0,(1*I21)),I21),"")</f>
        <v/>
      </c>
      <c r="CZ21" s="29" t="str">
        <f>IF(K21&lt;&gt;"",IF(J21="&lt;",IF(AND('Outfall 1 Limits'!$AM$20="Y",$BV$54&lt;&gt;"Y",K21&lt;='Outfall 1 Limits'!$AL$20),0,(1*K21)),K21),"")</f>
        <v/>
      </c>
      <c r="DA21" s="29" t="str">
        <f>IF(M21&lt;&gt;"",IF(L21="&lt;",IF(AND('Outfall 1 Limits'!$AM$24="Y",$BW$54&lt;&gt;"Y",M21&lt;='Outfall 1 Limits'!$AL$24),0,(1*M21)),M21),"")</f>
        <v/>
      </c>
      <c r="DB21" s="29" t="str">
        <f>IF(O21&lt;&gt;"",IF(N21="&lt;",IF(AND('Outfall 1 Limits'!$AM$28="Y",$BX$54&lt;&gt;"Y",O21&lt;='Outfall 1 Limits'!$AL$28),0,(1*O21)),O21),"")</f>
        <v/>
      </c>
      <c r="DC21" s="29" t="str">
        <f>IF(Q21&lt;&gt;"",IF(P21="&lt;",IF(AND('Outfall 1 Limits'!$AM$32="Y",$BY$54&lt;&gt;"Y",Q21&lt;='Outfall 1 Limits'!$AL$32),0,(1*Q21)),Q21),"")</f>
        <v/>
      </c>
      <c r="DD21" s="29" t="str">
        <f>IF(S21&lt;&gt;"",IF(R21="&lt;",IF(AND('Outfall 1 Limits'!$AM$36="Y",$BZ$54&lt;&gt;"Y",S21&lt;='Outfall 1 Limits'!$AL$36),0,(1*S21)),S21),"")</f>
        <v/>
      </c>
      <c r="DE21" s="29" t="str">
        <f>IF(U21&lt;&gt;"",IF(T21="&lt;",IF(AND('Outfall 1 Limits'!$AM$40="Y",$CA$54&lt;&gt;"Y",U21&lt;='Outfall 1 Limits'!$AL$40),0,(1*U21)),U21),"")</f>
        <v/>
      </c>
      <c r="DF21" s="29" t="str">
        <f>IF(W21&lt;&gt;"",IF(V21="&lt;",IF(AND('Outfall 1 Limits'!$AM$44="Y",$CB$54&lt;&gt;"Y",W21&lt;='Outfall 1 Limits'!$AL$44),0,(1*W21)),W21),"")</f>
        <v/>
      </c>
      <c r="DG21" s="29" t="str">
        <f>IF(Y21&lt;&gt;"",IF(X21="&lt;",IF(AND('Outfall 1 Limits'!$AM$48="Y",$CC$54&lt;&gt;"Y",Y21&lt;='Outfall 1 Limits'!$AL$48),0,(1*Y21)),Y21),"")</f>
        <v/>
      </c>
      <c r="DH21" s="29" t="str">
        <f>IF(AA21&lt;&gt;"",IF(Z21="&lt;",IF(AND('Outfall 1 Limits'!$AM$52="Y",$CD$54&lt;&gt;"Y",AA21&lt;='Outfall 1 Limits'!$AL$52),0,(1*AA21)),AA21),"")</f>
        <v/>
      </c>
      <c r="DI21" s="29" t="str">
        <f>IF(AC21&lt;&gt;"",IF(AB21="&lt;",IF(AND('Outfall 1 Limits'!$AM$56="Y",$CE$54&lt;&gt;"Y",AC21&lt;='Outfall 1 Limits'!$AL$56),0,(1*AC21)),AC21),"")</f>
        <v/>
      </c>
      <c r="DJ21" s="29" t="str">
        <f>IF(AE21&lt;&gt;"",IF(AD21="&lt;",IF(AND('Outfall 1 Limits'!$AM$60="Y",$CF$54&lt;&gt;"Y",AE21&lt;='Outfall 1 Limits'!$AL$60),0,(1*AE21)),AE21),"")</f>
        <v/>
      </c>
      <c r="DK21" s="29" t="str">
        <f>IF(AG21&lt;&gt;"",IF(AF21="&lt;",IF(AND('Outfall 1 Limits'!$AM$64="Y",$CG$54&lt;&gt;"Y",AG21&lt;='Outfall 1 Limits'!$AL$64),0,(1*AG21)),AG21),"")</f>
        <v/>
      </c>
      <c r="DL21" s="29" t="str">
        <f>IF(AI21&lt;&gt;"",IF(AH21="&lt;",IF(AND('Outfall 1 Limits'!$AM$68="Y",$CH$54&lt;&gt;"Y",AI21&lt;='Outfall 1 Limits'!$AL$68),0,(1*AI21)),AI21),"")</f>
        <v/>
      </c>
      <c r="EB21" s="222" t="s">
        <v>1142</v>
      </c>
      <c r="EC21" s="84" t="str">
        <f>IF(EC14&lt;&gt;"",IF(BU60="Y",EC14-0.1,EC14),"")</f>
        <v/>
      </c>
      <c r="ED21" s="85" t="str">
        <f t="shared" ref="ED21:EP21" si="63">IF(ED14&lt;&gt;"",IF(BV60="Y",ED14-0.1,ED14),"")</f>
        <v/>
      </c>
      <c r="EE21" s="85" t="str">
        <f t="shared" si="63"/>
        <v/>
      </c>
      <c r="EF21" s="85" t="str">
        <f t="shared" si="63"/>
        <v/>
      </c>
      <c r="EG21" s="85" t="str">
        <f t="shared" si="63"/>
        <v/>
      </c>
      <c r="EH21" s="85" t="str">
        <f t="shared" si="63"/>
        <v/>
      </c>
      <c r="EI21" s="85" t="str">
        <f t="shared" si="63"/>
        <v/>
      </c>
      <c r="EJ21" s="85" t="str">
        <f t="shared" si="63"/>
        <v/>
      </c>
      <c r="EK21" s="85" t="str">
        <f t="shared" si="63"/>
        <v/>
      </c>
      <c r="EL21" s="85" t="str">
        <f t="shared" si="63"/>
        <v/>
      </c>
      <c r="EM21" s="85" t="str">
        <f t="shared" si="63"/>
        <v/>
      </c>
      <c r="EN21" s="85" t="str">
        <f t="shared" si="63"/>
        <v/>
      </c>
      <c r="EO21" s="85" t="str">
        <f t="shared" si="63"/>
        <v/>
      </c>
      <c r="EP21" s="85" t="str">
        <f t="shared" si="63"/>
        <v/>
      </c>
      <c r="FG21" s="77" t="str">
        <f>IF(AND($G21&lt;&gt;"",$G21&gt;0,'Outfall 1 Limits'!$AX$16="C1",I21&lt;&gt;""),I21*$G21*8.34,IF(AND($I21&lt;&gt;"",'Outfall 1 Limits'!$AX$16="L"),I21,""))</f>
        <v/>
      </c>
      <c r="FH21" s="29" t="str">
        <f>IF(AND($G21&lt;&gt;"",$G21&gt;0,'Outfall 1 Limits'!$AX$20="C1",$K21&lt;&gt;""),$K21*$G21*8.34,IF(AND($K21&lt;&gt;"",'Outfall 1 Limits'!$AX$20="L"),$K21,""))</f>
        <v/>
      </c>
      <c r="FI21" s="29" t="str">
        <f>IF(AND($G21&lt;&gt;"",$G21&gt;0,'Outfall 1 Limits'!$AX$24="C1",$M21&lt;&gt;""),$M21*$G21*8.34,IF(AND($M21&lt;&gt;"",'Outfall 1 Limits'!$AX$24="L"),$M21,""))</f>
        <v/>
      </c>
      <c r="FJ21" s="29" t="str">
        <f>IF(AND($G21&lt;&gt;"",$G21&gt;0,'Outfall 1 Limits'!$AX$28="C1",$O21&lt;&gt;""),$O21*$G21*8.34,IF(AND($O21&lt;&gt;"",'Outfall 1 Limits'!$AX$28="L"),$O21,""))</f>
        <v/>
      </c>
      <c r="FK21" s="29" t="str">
        <f>IF(AND($G21&lt;&gt;"",$G21&gt;0,'Outfall 1 Limits'!$AX$32="C1",$Q21&lt;&gt;""),$Q21*$G21*8.34,IF(AND($Q21&lt;&gt;"",'Outfall 1 Limits'!$AX$32="L"),$Q21,""))</f>
        <v/>
      </c>
      <c r="FL21" s="29" t="str">
        <f>IF(AND($G21&lt;&gt;"",$G21&gt;0,'Outfall 1 Limits'!$AX$36="C1",$S21&lt;&gt;""),$S21*$G21*8.34,IF(AND($S21&lt;&gt;"",'Outfall 1 Limits'!$AX$36="L"),$S21,""))</f>
        <v/>
      </c>
      <c r="FM21" s="29" t="str">
        <f>IF(AND($G21&lt;&gt;"",$G21&gt;0,'Outfall 1 Limits'!$AX$40="C1",$U21&lt;&gt;""),$U21*$G21*8.34,IF(AND($U21&lt;&gt;"",'Outfall 1 Limits'!$AX$40="L"),$U21,""))</f>
        <v/>
      </c>
      <c r="FN21" s="29" t="str">
        <f>IF(AND($G21&lt;&gt;"",$G21&gt;0,'Outfall 1 Limits'!$AX$44="C1",$W21&lt;&gt;""),$W21*$G21*8.34,IF(AND($W21&lt;&gt;"",'Outfall 1 Limits'!$AX$44="L"),$W21,""))</f>
        <v/>
      </c>
      <c r="FO21" s="29" t="str">
        <f>IF(AND($G21&lt;&gt;"",$G21&gt;0,'Outfall 1 Limits'!$AX$48="C1",$Y21&lt;&gt;""),$Y21*$G21*8.34,IF(AND($Y21&lt;&gt;"",'Outfall 1 Limits'!$AX$48="L"),$Y21,""))</f>
        <v/>
      </c>
      <c r="FP21" s="29" t="str">
        <f>IF(AND($G21&lt;&gt;"",$G21&gt;0,'Outfall 1 Limits'!$AX$52="C1",$AA21&lt;&gt;""),$AA21*$G21*8.34,IF(AND($AA21&lt;&gt;"",'Outfall 1 Limits'!$AX$52="L"),$AA21,""))</f>
        <v/>
      </c>
      <c r="FQ21" s="29" t="str">
        <f>IF(AND($G21&lt;&gt;"",$G21&gt;0,'Outfall 1 Limits'!$AX$56="C1",$AC21&lt;&gt;""),$AC21*$G21*8.34,IF(AND($AC21&lt;&gt;"",'Outfall 1 Limits'!$AX$56="L"),$AC21,""))</f>
        <v/>
      </c>
      <c r="FR21" s="29" t="str">
        <f>IF(AND($G21&lt;&gt;"",$G21&gt;0,'Outfall 1 Limits'!$AX$60="C1",$AE21&lt;&gt;""),$AE21*$G21*8.34,IF(AND($AE21&lt;&gt;"",'Outfall 1 Limits'!$AX$60="L"),$AE21,""))</f>
        <v/>
      </c>
      <c r="FS21" s="29" t="str">
        <f>IF(AND($G21&lt;&gt;"",$G21&gt;0,'Outfall 1 Limits'!$AX$64="C1",$AG21&lt;&gt;""),$AG21*$G21*8.34,IF(AND($AG21&lt;&gt;"",'Outfall 1 Limits'!$AX$64="L"),$AG21,""))</f>
        <v/>
      </c>
      <c r="FT21" s="29" t="str">
        <f>IF(AND($G21&lt;&gt;"",$G21&gt;0,'Outfall 1 Limits'!$AX$68="C1",$AI21&lt;&gt;""),$AI21*$G21*8.34,IF(AND($AI21&lt;&gt;"",'Outfall 1 Limits'!$AX$68="L"),$AI21,""))</f>
        <v/>
      </c>
      <c r="GJ21" s="29" t="str">
        <f t="shared" si="29"/>
        <v/>
      </c>
      <c r="GK21" s="77" t="str">
        <f>IF(AND($G21&lt;&gt;"",$G21&gt;0,'Outfall 1 Limits'!$AX$16="C1",CY21&lt;&gt;""),CY21*$G21*8.34,IF(AND(CY21&lt;&gt;"",'Outfall 1 Limits'!$AX$16="L"),CY21,""))</f>
        <v/>
      </c>
      <c r="GL21" s="29" t="str">
        <f>IF(AND($G21&lt;&gt;"",$G21&gt;0,'Outfall 1 Limits'!$AX$20="C1",CZ21&lt;&gt;""),CZ21*$G21*8.34,IF(AND(CZ21&lt;&gt;"",'Outfall 1 Limits'!$AX$20="L"),CZ21,""))</f>
        <v/>
      </c>
      <c r="GM21" s="29" t="str">
        <f>IF(AND($G21&lt;&gt;"",$G21&gt;0,'Outfall 1 Limits'!$AX$24="C1",DA21&lt;&gt;""),DA21*$G21*8.34,IF(AND(DA21&lt;&gt;"",'Outfall 1 Limits'!$AX$24="L"),DA21,""))</f>
        <v/>
      </c>
      <c r="GN21" s="29" t="str">
        <f>IF(AND($G21&lt;&gt;"",$G21&gt;0,'Outfall 1 Limits'!$AX$28="C1",DB21&lt;&gt;""),DB21*$G21*8.34,IF(AND(DB21&lt;&gt;"",'Outfall 1 Limits'!$AX$28="L"),DB21,""))</f>
        <v/>
      </c>
      <c r="GO21" s="29" t="str">
        <f>IF(AND($G21&lt;&gt;"",$G21&gt;0,'Outfall 1 Limits'!$AX$32="C1",DC21&lt;&gt;""),DC21*$G21*8.34,IF(AND(DC21&lt;&gt;"",'Outfall 1 Limits'!$AX$32="L"),DC21,""))</f>
        <v/>
      </c>
      <c r="GP21" s="29" t="str">
        <f>IF(AND($G21&lt;&gt;"",$G21&gt;0,'Outfall 1 Limits'!$AX$36="C1",DD21&lt;&gt;""),DD21*$G21*8.34,IF(AND(DD21&lt;&gt;"",'Outfall 1 Limits'!$AX$36="L"),DD21,""))</f>
        <v/>
      </c>
      <c r="GQ21" s="29" t="str">
        <f>IF(AND($G21&lt;&gt;"",$G21&gt;0,'Outfall 1 Limits'!$AX$40="C1",DE21&lt;&gt;""),DE21*$G21*8.34,IF(AND(DE21&lt;&gt;"",'Outfall 1 Limits'!$AX$40="L"),DE21,""))</f>
        <v/>
      </c>
      <c r="GR21" s="29" t="str">
        <f>IF(AND($G21&lt;&gt;"",$G21&gt;0,'Outfall 1 Limits'!$AX$44="C1",DF21&lt;&gt;""),DF21*$G21*8.34,IF(AND(DF21&lt;&gt;"",'Outfall 1 Limits'!$AX$44="L"),DF21,""))</f>
        <v/>
      </c>
      <c r="GS21" s="29" t="str">
        <f>IF(AND($G21&lt;&gt;"",$G21&gt;0,'Outfall 1 Limits'!$AX$48="C1",DG21&lt;&gt;""),DG21*$G21*8.34,IF(AND(DG21&lt;&gt;"",'Outfall 1 Limits'!$AX$48="L"),DG21,""))</f>
        <v/>
      </c>
      <c r="GT21" s="29" t="str">
        <f>IF(AND($G21&lt;&gt;"",$G21&gt;0,'Outfall 1 Limits'!$AX$52="C1",DH21&lt;&gt;""),DH21*$G21*8.34,IF(AND(DH21&lt;&gt;"",'Outfall 1 Limits'!$AX$52="L"),DH21,""))</f>
        <v/>
      </c>
      <c r="GU21" s="29" t="str">
        <f>IF(AND($G21&lt;&gt;"",$G21&gt;0,'Outfall 1 Limits'!$AX$56="C1",DI21&lt;&gt;""),DI21*$G21*8.34,IF(AND(DI21&lt;&gt;"",'Outfall 1 Limits'!$AX$56="L"),DI21,""))</f>
        <v/>
      </c>
      <c r="GV21" s="29" t="str">
        <f>IF(AND($G21&lt;&gt;"",$G21&gt;0,'Outfall 1 Limits'!$AX$60="C1",DJ21&lt;&gt;""),DJ21*$G21*8.34,IF(AND(DJ21&lt;&gt;"",'Outfall 1 Limits'!$AX$60="L"),DJ21,""))</f>
        <v/>
      </c>
      <c r="GW21" s="29" t="str">
        <f>IF(AND($G21&lt;&gt;"",$G21&gt;0,'Outfall 1 Limits'!$AX$64="C1",DK21&lt;&gt;""),DK21*$G21*8.34,IF(AND(DK21&lt;&gt;"",'Outfall 1 Limits'!$AX$64="L"),DK21,""))</f>
        <v/>
      </c>
      <c r="GX21" s="29" t="str">
        <f>IF(AND($G21&lt;&gt;"",$G21&gt;0,'Outfall 1 Limits'!$AX$68="C1",DL21&lt;&gt;""),DL21*$G21*8.34,IF(AND(DL21&lt;&gt;"",'Outfall 1 Limits'!$AX$68="L"),DL21,""))</f>
        <v/>
      </c>
      <c r="HO21" s="98" t="str">
        <f t="shared" si="30"/>
        <v/>
      </c>
      <c r="HS21" s="68" t="str">
        <f t="shared" si="31"/>
        <v/>
      </c>
      <c r="HT21" s="188" t="str">
        <f t="shared" si="32"/>
        <v/>
      </c>
      <c r="HU21" s="188" t="str">
        <f t="shared" si="33"/>
        <v/>
      </c>
      <c r="HV21" s="188" t="str">
        <f t="shared" si="34"/>
        <v/>
      </c>
      <c r="HW21" s="188" t="str">
        <f t="shared" si="35"/>
        <v/>
      </c>
      <c r="HX21" s="188" t="str">
        <f t="shared" si="36"/>
        <v/>
      </c>
      <c r="HY21" s="188" t="str">
        <f t="shared" si="37"/>
        <v/>
      </c>
      <c r="HZ21" s="188" t="str">
        <f t="shared" si="38"/>
        <v/>
      </c>
      <c r="IA21" s="188" t="str">
        <f t="shared" si="39"/>
        <v/>
      </c>
      <c r="IB21" s="188" t="str">
        <f t="shared" si="40"/>
        <v/>
      </c>
      <c r="IC21" s="188" t="str">
        <f t="shared" si="41"/>
        <v/>
      </c>
      <c r="ID21" s="188" t="str">
        <f t="shared" si="42"/>
        <v/>
      </c>
      <c r="IE21" s="188" t="str">
        <f t="shared" si="43"/>
        <v/>
      </c>
      <c r="IF21" s="188" t="str">
        <f t="shared" si="44"/>
        <v/>
      </c>
      <c r="IX21" s="68" t="str">
        <f t="shared" si="45"/>
        <v/>
      </c>
      <c r="IY21" s="188" t="str">
        <f t="shared" si="46"/>
        <v/>
      </c>
      <c r="IZ21" s="188" t="str">
        <f t="shared" si="47"/>
        <v/>
      </c>
      <c r="JA21" s="188" t="str">
        <f t="shared" si="48"/>
        <v/>
      </c>
      <c r="JB21" s="188" t="str">
        <f t="shared" si="49"/>
        <v/>
      </c>
      <c r="JC21" s="188" t="str">
        <f t="shared" si="50"/>
        <v/>
      </c>
      <c r="JD21" s="188" t="str">
        <f t="shared" si="51"/>
        <v/>
      </c>
      <c r="JE21" s="188" t="str">
        <f t="shared" si="52"/>
        <v/>
      </c>
      <c r="JF21" s="188" t="str">
        <f t="shared" si="53"/>
        <v/>
      </c>
      <c r="JG21" s="188" t="str">
        <f t="shared" si="54"/>
        <v/>
      </c>
      <c r="JH21" s="188" t="str">
        <f t="shared" si="55"/>
        <v/>
      </c>
      <c r="JI21" s="188" t="str">
        <f t="shared" si="56"/>
        <v/>
      </c>
      <c r="JJ21" s="188" t="str">
        <f t="shared" si="57"/>
        <v/>
      </c>
      <c r="JK21" s="188" t="str">
        <f t="shared" si="58"/>
        <v/>
      </c>
      <c r="KA21" s="188"/>
      <c r="KB21" s="2"/>
      <c r="KC21" s="226"/>
      <c r="KD21" s="164" t="str">
        <f t="shared" si="1"/>
        <v/>
      </c>
      <c r="KE21" s="188" t="str">
        <f t="shared" si="2"/>
        <v/>
      </c>
      <c r="KF21" s="188" t="str">
        <f t="shared" si="3"/>
        <v/>
      </c>
      <c r="KG21" s="188" t="str">
        <f t="shared" si="4"/>
        <v/>
      </c>
      <c r="KH21" s="188" t="str">
        <f t="shared" si="5"/>
        <v/>
      </c>
      <c r="KI21" s="188" t="str">
        <f t="shared" si="6"/>
        <v/>
      </c>
      <c r="KJ21" s="188" t="str">
        <f t="shared" si="7"/>
        <v/>
      </c>
      <c r="KK21" s="188" t="str">
        <f t="shared" si="8"/>
        <v/>
      </c>
      <c r="KL21" s="188" t="str">
        <f t="shared" si="9"/>
        <v/>
      </c>
      <c r="KM21" s="188" t="str">
        <f t="shared" si="10"/>
        <v/>
      </c>
      <c r="KN21" s="188" t="str">
        <f t="shared" si="11"/>
        <v/>
      </c>
      <c r="KO21" s="188" t="str">
        <f t="shared" si="12"/>
        <v/>
      </c>
      <c r="KP21" s="188" t="str">
        <f t="shared" si="13"/>
        <v/>
      </c>
      <c r="KQ21" s="188" t="str">
        <f t="shared" si="14"/>
        <v/>
      </c>
    </row>
    <row r="22" spans="1:303" s="18" customFormat="1" ht="11.45" customHeight="1" x14ac:dyDescent="0.2">
      <c r="A22" s="38"/>
      <c r="B22" s="48"/>
      <c r="C22" s="421">
        <f t="shared" si="0"/>
        <v>45296</v>
      </c>
      <c r="D22" s="421"/>
      <c r="E22" s="422">
        <f t="shared" si="59"/>
        <v>45296</v>
      </c>
      <c r="F22" s="423"/>
      <c r="G22" s="31"/>
      <c r="H22" s="45"/>
      <c r="I22" s="44"/>
      <c r="J22" s="45"/>
      <c r="K22" s="44"/>
      <c r="L22" s="45"/>
      <c r="M22" s="44"/>
      <c r="N22" s="45"/>
      <c r="O22" s="44"/>
      <c r="P22" s="45"/>
      <c r="Q22" s="44"/>
      <c r="R22" s="45"/>
      <c r="S22" s="44"/>
      <c r="T22" s="45"/>
      <c r="U22" s="44"/>
      <c r="V22" s="45"/>
      <c r="W22" s="44"/>
      <c r="X22" s="45"/>
      <c r="Y22" s="44"/>
      <c r="Z22" s="45"/>
      <c r="AA22" s="44"/>
      <c r="AB22" s="45"/>
      <c r="AC22" s="44"/>
      <c r="AD22" s="45"/>
      <c r="AE22" s="44"/>
      <c r="AF22" s="45"/>
      <c r="AG22" s="44"/>
      <c r="AH22" s="45"/>
      <c r="AI22" s="127"/>
      <c r="AJ22" s="236"/>
      <c r="BO22" s="188"/>
      <c r="BP22" s="267">
        <v>2041</v>
      </c>
      <c r="BQ22" s="224" t="s">
        <v>37</v>
      </c>
      <c r="BR22" s="225"/>
      <c r="BS22" s="188" t="s">
        <v>1109</v>
      </c>
      <c r="BU22" s="68" t="str">
        <f t="shared" si="15"/>
        <v/>
      </c>
      <c r="BV22" s="188" t="str">
        <f t="shared" si="16"/>
        <v/>
      </c>
      <c r="BW22" s="188" t="str">
        <f t="shared" si="17"/>
        <v/>
      </c>
      <c r="BX22" s="188" t="str">
        <f t="shared" si="18"/>
        <v/>
      </c>
      <c r="BY22" s="188" t="str">
        <f t="shared" si="19"/>
        <v/>
      </c>
      <c r="BZ22" s="188" t="str">
        <f t="shared" si="20"/>
        <v/>
      </c>
      <c r="CA22" s="188" t="str">
        <f t="shared" si="21"/>
        <v/>
      </c>
      <c r="CB22" s="188" t="str">
        <f t="shared" si="22"/>
        <v/>
      </c>
      <c r="CC22" s="188" t="str">
        <f t="shared" si="23"/>
        <v/>
      </c>
      <c r="CD22" s="188" t="str">
        <f t="shared" si="24"/>
        <v/>
      </c>
      <c r="CE22" s="188" t="str">
        <f t="shared" si="25"/>
        <v/>
      </c>
      <c r="CF22" s="188" t="str">
        <f t="shared" si="26"/>
        <v/>
      </c>
      <c r="CG22" s="188" t="str">
        <f t="shared" si="27"/>
        <v/>
      </c>
      <c r="CH22" s="188" t="str">
        <f t="shared" si="28"/>
        <v/>
      </c>
      <c r="CY22" s="77" t="str">
        <f>IF(I22&lt;&gt;"",IF(H22="&lt;",IF(AND('Outfall 1 Limits'!$AM$16="Y",$BU$54&lt;&gt;"Y",I22&lt;='Outfall 1 Limits'!$AL$16),0,(1*I22)),I22),"")</f>
        <v/>
      </c>
      <c r="CZ22" s="29" t="str">
        <f>IF(K22&lt;&gt;"",IF(J22="&lt;",IF(AND('Outfall 1 Limits'!$AM$20="Y",$BV$54&lt;&gt;"Y",K22&lt;='Outfall 1 Limits'!$AL$20),0,(1*K22)),K22),"")</f>
        <v/>
      </c>
      <c r="DA22" s="29" t="str">
        <f>IF(M22&lt;&gt;"",IF(L22="&lt;",IF(AND('Outfall 1 Limits'!$AM$24="Y",$BW$54&lt;&gt;"Y",M22&lt;='Outfall 1 Limits'!$AL$24),0,(1*M22)),M22),"")</f>
        <v/>
      </c>
      <c r="DB22" s="29" t="str">
        <f>IF(O22&lt;&gt;"",IF(N22="&lt;",IF(AND('Outfall 1 Limits'!$AM$28="Y",$BX$54&lt;&gt;"Y",O22&lt;='Outfall 1 Limits'!$AL$28),0,(1*O22)),O22),"")</f>
        <v/>
      </c>
      <c r="DC22" s="29" t="str">
        <f>IF(Q22&lt;&gt;"",IF(P22="&lt;",IF(AND('Outfall 1 Limits'!$AM$32="Y",$BY$54&lt;&gt;"Y",Q22&lt;='Outfall 1 Limits'!$AL$32),0,(1*Q22)),Q22),"")</f>
        <v/>
      </c>
      <c r="DD22" s="29" t="str">
        <f>IF(S22&lt;&gt;"",IF(R22="&lt;",IF(AND('Outfall 1 Limits'!$AM$36="Y",$BZ$54&lt;&gt;"Y",S22&lt;='Outfall 1 Limits'!$AL$36),0,(1*S22)),S22),"")</f>
        <v/>
      </c>
      <c r="DE22" s="29" t="str">
        <f>IF(U22&lt;&gt;"",IF(T22="&lt;",IF(AND('Outfall 1 Limits'!$AM$40="Y",$CA$54&lt;&gt;"Y",U22&lt;='Outfall 1 Limits'!$AL$40),0,(1*U22)),U22),"")</f>
        <v/>
      </c>
      <c r="DF22" s="29" t="str">
        <f>IF(W22&lt;&gt;"",IF(V22="&lt;",IF(AND('Outfall 1 Limits'!$AM$44="Y",$CB$54&lt;&gt;"Y",W22&lt;='Outfall 1 Limits'!$AL$44),0,(1*W22)),W22),"")</f>
        <v/>
      </c>
      <c r="DG22" s="29" t="str">
        <f>IF(Y22&lt;&gt;"",IF(X22="&lt;",IF(AND('Outfall 1 Limits'!$AM$48="Y",$CC$54&lt;&gt;"Y",Y22&lt;='Outfall 1 Limits'!$AL$48),0,(1*Y22)),Y22),"")</f>
        <v/>
      </c>
      <c r="DH22" s="29" t="str">
        <f>IF(AA22&lt;&gt;"",IF(Z22="&lt;",IF(AND('Outfall 1 Limits'!$AM$52="Y",$CD$54&lt;&gt;"Y",AA22&lt;='Outfall 1 Limits'!$AL$52),0,(1*AA22)),AA22),"")</f>
        <v/>
      </c>
      <c r="DI22" s="29" t="str">
        <f>IF(AC22&lt;&gt;"",IF(AB22="&lt;",IF(AND('Outfall 1 Limits'!$AM$56="Y",$CE$54&lt;&gt;"Y",AC22&lt;='Outfall 1 Limits'!$AL$56),0,(1*AC22)),AC22),"")</f>
        <v/>
      </c>
      <c r="DJ22" s="29" t="str">
        <f>IF(AE22&lt;&gt;"",IF(AD22="&lt;",IF(AND('Outfall 1 Limits'!$AM$60="Y",$CF$54&lt;&gt;"Y",AE22&lt;='Outfall 1 Limits'!$AL$60),0,(1*AE22)),AE22),"")</f>
        <v/>
      </c>
      <c r="DK22" s="29" t="str">
        <f>IF(AG22&lt;&gt;"",IF(AF22="&lt;",IF(AND('Outfall 1 Limits'!$AM$64="Y",$CG$54&lt;&gt;"Y",AG22&lt;='Outfall 1 Limits'!$AL$64),0,(1*AG22)),AG22),"")</f>
        <v/>
      </c>
      <c r="DL22" s="29" t="str">
        <f>IF(AI22&lt;&gt;"",IF(AH22="&lt;",IF(AND('Outfall 1 Limits'!$AM$68="Y",$CH$54&lt;&gt;"Y",AI22&lt;='Outfall 1 Limits'!$AL$68),0,(1*AI22)),AI22),"")</f>
        <v/>
      </c>
      <c r="EB22" s="222" t="s">
        <v>1143</v>
      </c>
      <c r="EC22" s="84" t="str">
        <f>IF(EC15&lt;&gt;"",IF(BU62="Y",EC15-0.1,EC15),"")</f>
        <v/>
      </c>
      <c r="ED22" s="85" t="str">
        <f t="shared" ref="ED22:EP22" si="64">IF(ED15&lt;&gt;"",IF(BV62="Y",ED15-0.1,ED15),"")</f>
        <v/>
      </c>
      <c r="EE22" s="85" t="str">
        <f t="shared" si="64"/>
        <v/>
      </c>
      <c r="EF22" s="85" t="str">
        <f t="shared" si="64"/>
        <v/>
      </c>
      <c r="EG22" s="85" t="str">
        <f t="shared" si="64"/>
        <v/>
      </c>
      <c r="EH22" s="85" t="str">
        <f t="shared" si="64"/>
        <v/>
      </c>
      <c r="EI22" s="85" t="str">
        <f t="shared" si="64"/>
        <v/>
      </c>
      <c r="EJ22" s="85" t="str">
        <f t="shared" si="64"/>
        <v/>
      </c>
      <c r="EK22" s="85" t="str">
        <f t="shared" si="64"/>
        <v/>
      </c>
      <c r="EL22" s="85" t="str">
        <f t="shared" si="64"/>
        <v/>
      </c>
      <c r="EM22" s="85" t="str">
        <f t="shared" si="64"/>
        <v/>
      </c>
      <c r="EN22" s="85" t="str">
        <f t="shared" si="64"/>
        <v/>
      </c>
      <c r="EO22" s="85" t="str">
        <f t="shared" si="64"/>
        <v/>
      </c>
      <c r="EP22" s="85" t="str">
        <f t="shared" si="64"/>
        <v/>
      </c>
      <c r="FG22" s="77" t="str">
        <f>IF(AND($G22&lt;&gt;"",$G22&gt;0,'Outfall 1 Limits'!$AX$16="C1",I22&lt;&gt;""),I22*$G22*8.34,IF(AND($I22&lt;&gt;"",'Outfall 1 Limits'!$AX$16="L"),I22,""))</f>
        <v/>
      </c>
      <c r="FH22" s="29" t="str">
        <f>IF(AND($G22&lt;&gt;"",$G22&gt;0,'Outfall 1 Limits'!$AX$20="C1",$K22&lt;&gt;""),$K22*$G22*8.34,IF(AND($K22&lt;&gt;"",'Outfall 1 Limits'!$AX$20="L"),$K22,""))</f>
        <v/>
      </c>
      <c r="FI22" s="29" t="str">
        <f>IF(AND($G22&lt;&gt;"",$G22&gt;0,'Outfall 1 Limits'!$AX$24="C1",$M22&lt;&gt;""),$M22*$G22*8.34,IF(AND($M22&lt;&gt;"",'Outfall 1 Limits'!$AX$24="L"),$M22,""))</f>
        <v/>
      </c>
      <c r="FJ22" s="29" t="str">
        <f>IF(AND($G22&lt;&gt;"",$G22&gt;0,'Outfall 1 Limits'!$AX$28="C1",$O22&lt;&gt;""),$O22*$G22*8.34,IF(AND($O22&lt;&gt;"",'Outfall 1 Limits'!$AX$28="L"),$O22,""))</f>
        <v/>
      </c>
      <c r="FK22" s="29" t="str">
        <f>IF(AND($G22&lt;&gt;"",$G22&gt;0,'Outfall 1 Limits'!$AX$32="C1",$Q22&lt;&gt;""),$Q22*$G22*8.34,IF(AND($Q22&lt;&gt;"",'Outfall 1 Limits'!$AX$32="L"),$Q22,""))</f>
        <v/>
      </c>
      <c r="FL22" s="29" t="str">
        <f>IF(AND($G22&lt;&gt;"",$G22&gt;0,'Outfall 1 Limits'!$AX$36="C1",$S22&lt;&gt;""),$S22*$G22*8.34,IF(AND($S22&lt;&gt;"",'Outfall 1 Limits'!$AX$36="L"),$S22,""))</f>
        <v/>
      </c>
      <c r="FM22" s="29" t="str">
        <f>IF(AND($G22&lt;&gt;"",$G22&gt;0,'Outfall 1 Limits'!$AX$40="C1",$U22&lt;&gt;""),$U22*$G22*8.34,IF(AND($U22&lt;&gt;"",'Outfall 1 Limits'!$AX$40="L"),$U22,""))</f>
        <v/>
      </c>
      <c r="FN22" s="29" t="str">
        <f>IF(AND($G22&lt;&gt;"",$G22&gt;0,'Outfall 1 Limits'!$AX$44="C1",$W22&lt;&gt;""),$W22*$G22*8.34,IF(AND($W22&lt;&gt;"",'Outfall 1 Limits'!$AX$44="L"),$W22,""))</f>
        <v/>
      </c>
      <c r="FO22" s="29" t="str">
        <f>IF(AND($G22&lt;&gt;"",$G22&gt;0,'Outfall 1 Limits'!$AX$48="C1",$Y22&lt;&gt;""),$Y22*$G22*8.34,IF(AND($Y22&lt;&gt;"",'Outfall 1 Limits'!$AX$48="L"),$Y22,""))</f>
        <v/>
      </c>
      <c r="FP22" s="29" t="str">
        <f>IF(AND($G22&lt;&gt;"",$G22&gt;0,'Outfall 1 Limits'!$AX$52="C1",$AA22&lt;&gt;""),$AA22*$G22*8.34,IF(AND($AA22&lt;&gt;"",'Outfall 1 Limits'!$AX$52="L"),$AA22,""))</f>
        <v/>
      </c>
      <c r="FQ22" s="29" t="str">
        <f>IF(AND($G22&lt;&gt;"",$G22&gt;0,'Outfall 1 Limits'!$AX$56="C1",$AC22&lt;&gt;""),$AC22*$G22*8.34,IF(AND($AC22&lt;&gt;"",'Outfall 1 Limits'!$AX$56="L"),$AC22,""))</f>
        <v/>
      </c>
      <c r="FR22" s="29" t="str">
        <f>IF(AND($G22&lt;&gt;"",$G22&gt;0,'Outfall 1 Limits'!$AX$60="C1",$AE22&lt;&gt;""),$AE22*$G22*8.34,IF(AND($AE22&lt;&gt;"",'Outfall 1 Limits'!$AX$60="L"),$AE22,""))</f>
        <v/>
      </c>
      <c r="FS22" s="29" t="str">
        <f>IF(AND($G22&lt;&gt;"",$G22&gt;0,'Outfall 1 Limits'!$AX$64="C1",$AG22&lt;&gt;""),$AG22*$G22*8.34,IF(AND($AG22&lt;&gt;"",'Outfall 1 Limits'!$AX$64="L"),$AG22,""))</f>
        <v/>
      </c>
      <c r="FT22" s="29" t="str">
        <f>IF(AND($G22&lt;&gt;"",$G22&gt;0,'Outfall 1 Limits'!$AX$68="C1",$AI22&lt;&gt;""),$AI22*$G22*8.34,IF(AND($AI22&lt;&gt;"",'Outfall 1 Limits'!$AX$68="L"),$AI22,""))</f>
        <v/>
      </c>
      <c r="GJ22" s="29" t="str">
        <f t="shared" si="29"/>
        <v/>
      </c>
      <c r="GK22" s="77" t="str">
        <f>IF(AND($G22&lt;&gt;"",$G22&gt;0,'Outfall 1 Limits'!$AX$16="C1",CY22&lt;&gt;""),CY22*$G22*8.34,IF(AND(CY22&lt;&gt;"",'Outfall 1 Limits'!$AX$16="L"),CY22,""))</f>
        <v/>
      </c>
      <c r="GL22" s="29" t="str">
        <f>IF(AND($G22&lt;&gt;"",$G22&gt;0,'Outfall 1 Limits'!$AX$20="C1",CZ22&lt;&gt;""),CZ22*$G22*8.34,IF(AND(CZ22&lt;&gt;"",'Outfall 1 Limits'!$AX$20="L"),CZ22,""))</f>
        <v/>
      </c>
      <c r="GM22" s="29" t="str">
        <f>IF(AND($G22&lt;&gt;"",$G22&gt;0,'Outfall 1 Limits'!$AX$24="C1",DA22&lt;&gt;""),DA22*$G22*8.34,IF(AND(DA22&lt;&gt;"",'Outfall 1 Limits'!$AX$24="L"),DA22,""))</f>
        <v/>
      </c>
      <c r="GN22" s="29" t="str">
        <f>IF(AND($G22&lt;&gt;"",$G22&gt;0,'Outfall 1 Limits'!$AX$28="C1",DB22&lt;&gt;""),DB22*$G22*8.34,IF(AND(DB22&lt;&gt;"",'Outfall 1 Limits'!$AX$28="L"),DB22,""))</f>
        <v/>
      </c>
      <c r="GO22" s="29" t="str">
        <f>IF(AND($G22&lt;&gt;"",$G22&gt;0,'Outfall 1 Limits'!$AX$32="C1",DC22&lt;&gt;""),DC22*$G22*8.34,IF(AND(DC22&lt;&gt;"",'Outfall 1 Limits'!$AX$32="L"),DC22,""))</f>
        <v/>
      </c>
      <c r="GP22" s="29" t="str">
        <f>IF(AND($G22&lt;&gt;"",$G22&gt;0,'Outfall 1 Limits'!$AX$36="C1",DD22&lt;&gt;""),DD22*$G22*8.34,IF(AND(DD22&lt;&gt;"",'Outfall 1 Limits'!$AX$36="L"),DD22,""))</f>
        <v/>
      </c>
      <c r="GQ22" s="29" t="str">
        <f>IF(AND($G22&lt;&gt;"",$G22&gt;0,'Outfall 1 Limits'!$AX$40="C1",DE22&lt;&gt;""),DE22*$G22*8.34,IF(AND(DE22&lt;&gt;"",'Outfall 1 Limits'!$AX$40="L"),DE22,""))</f>
        <v/>
      </c>
      <c r="GR22" s="29" t="str">
        <f>IF(AND($G22&lt;&gt;"",$G22&gt;0,'Outfall 1 Limits'!$AX$44="C1",DF22&lt;&gt;""),DF22*$G22*8.34,IF(AND(DF22&lt;&gt;"",'Outfall 1 Limits'!$AX$44="L"),DF22,""))</f>
        <v/>
      </c>
      <c r="GS22" s="29" t="str">
        <f>IF(AND($G22&lt;&gt;"",$G22&gt;0,'Outfall 1 Limits'!$AX$48="C1",DG22&lt;&gt;""),DG22*$G22*8.34,IF(AND(DG22&lt;&gt;"",'Outfall 1 Limits'!$AX$48="L"),DG22,""))</f>
        <v/>
      </c>
      <c r="GT22" s="29" t="str">
        <f>IF(AND($G22&lt;&gt;"",$G22&gt;0,'Outfall 1 Limits'!$AX$52="C1",DH22&lt;&gt;""),DH22*$G22*8.34,IF(AND(DH22&lt;&gt;"",'Outfall 1 Limits'!$AX$52="L"),DH22,""))</f>
        <v/>
      </c>
      <c r="GU22" s="29" t="str">
        <f>IF(AND($G22&lt;&gt;"",$G22&gt;0,'Outfall 1 Limits'!$AX$56="C1",DI22&lt;&gt;""),DI22*$G22*8.34,IF(AND(DI22&lt;&gt;"",'Outfall 1 Limits'!$AX$56="L"),DI22,""))</f>
        <v/>
      </c>
      <c r="GV22" s="29" t="str">
        <f>IF(AND($G22&lt;&gt;"",$G22&gt;0,'Outfall 1 Limits'!$AX$60="C1",DJ22&lt;&gt;""),DJ22*$G22*8.34,IF(AND(DJ22&lt;&gt;"",'Outfall 1 Limits'!$AX$60="L"),DJ22,""))</f>
        <v/>
      </c>
      <c r="GW22" s="29" t="str">
        <f>IF(AND($G22&lt;&gt;"",$G22&gt;0,'Outfall 1 Limits'!$AX$64="C1",DK22&lt;&gt;""),DK22*$G22*8.34,IF(AND(DK22&lt;&gt;"",'Outfall 1 Limits'!$AX$64="L"),DK22,""))</f>
        <v/>
      </c>
      <c r="GX22" s="29" t="str">
        <f>IF(AND($G22&lt;&gt;"",$G22&gt;0,'Outfall 1 Limits'!$AX$68="C1",DL22&lt;&gt;""),DL22*$G22*8.34,IF(AND(DL22&lt;&gt;"",'Outfall 1 Limits'!$AX$68="L"),DL22,""))</f>
        <v/>
      </c>
      <c r="HO22" s="98" t="str">
        <f t="shared" si="30"/>
        <v/>
      </c>
      <c r="HS22" s="68" t="str">
        <f t="shared" si="31"/>
        <v/>
      </c>
      <c r="HT22" s="188" t="str">
        <f t="shared" si="32"/>
        <v/>
      </c>
      <c r="HU22" s="188" t="str">
        <f t="shared" si="33"/>
        <v/>
      </c>
      <c r="HV22" s="188" t="str">
        <f t="shared" si="34"/>
        <v/>
      </c>
      <c r="HW22" s="188" t="str">
        <f t="shared" si="35"/>
        <v/>
      </c>
      <c r="HX22" s="188" t="str">
        <f t="shared" si="36"/>
        <v/>
      </c>
      <c r="HY22" s="188" t="str">
        <f t="shared" si="37"/>
        <v/>
      </c>
      <c r="HZ22" s="188" t="str">
        <f t="shared" si="38"/>
        <v/>
      </c>
      <c r="IA22" s="188" t="str">
        <f t="shared" si="39"/>
        <v/>
      </c>
      <c r="IB22" s="188" t="str">
        <f t="shared" si="40"/>
        <v/>
      </c>
      <c r="IC22" s="188" t="str">
        <f t="shared" si="41"/>
        <v/>
      </c>
      <c r="ID22" s="188" t="str">
        <f t="shared" si="42"/>
        <v/>
      </c>
      <c r="IE22" s="188" t="str">
        <f t="shared" si="43"/>
        <v/>
      </c>
      <c r="IF22" s="188" t="str">
        <f t="shared" si="44"/>
        <v/>
      </c>
      <c r="IX22" s="68" t="str">
        <f t="shared" si="45"/>
        <v/>
      </c>
      <c r="IY22" s="188" t="str">
        <f t="shared" si="46"/>
        <v/>
      </c>
      <c r="IZ22" s="188" t="str">
        <f t="shared" si="47"/>
        <v/>
      </c>
      <c r="JA22" s="188" t="str">
        <f t="shared" si="48"/>
        <v/>
      </c>
      <c r="JB22" s="188" t="str">
        <f t="shared" si="49"/>
        <v/>
      </c>
      <c r="JC22" s="188" t="str">
        <f t="shared" si="50"/>
        <v/>
      </c>
      <c r="JD22" s="188" t="str">
        <f t="shared" si="51"/>
        <v/>
      </c>
      <c r="JE22" s="188" t="str">
        <f t="shared" si="52"/>
        <v/>
      </c>
      <c r="JF22" s="188" t="str">
        <f t="shared" si="53"/>
        <v/>
      </c>
      <c r="JG22" s="188" t="str">
        <f t="shared" si="54"/>
        <v/>
      </c>
      <c r="JH22" s="188" t="str">
        <f t="shared" si="55"/>
        <v/>
      </c>
      <c r="JI22" s="188" t="str">
        <f t="shared" si="56"/>
        <v/>
      </c>
      <c r="JJ22" s="188" t="str">
        <f t="shared" si="57"/>
        <v/>
      </c>
      <c r="JK22" s="188" t="str">
        <f t="shared" si="58"/>
        <v/>
      </c>
      <c r="KA22" s="188"/>
      <c r="KB22" s="2"/>
      <c r="KC22" s="226"/>
      <c r="KD22" s="164" t="str">
        <f t="shared" si="1"/>
        <v/>
      </c>
      <c r="KE22" s="188" t="str">
        <f t="shared" si="2"/>
        <v/>
      </c>
      <c r="KF22" s="188" t="str">
        <f t="shared" si="3"/>
        <v/>
      </c>
      <c r="KG22" s="188" t="str">
        <f t="shared" si="4"/>
        <v/>
      </c>
      <c r="KH22" s="188" t="str">
        <f t="shared" si="5"/>
        <v/>
      </c>
      <c r="KI22" s="188" t="str">
        <f t="shared" si="6"/>
        <v/>
      </c>
      <c r="KJ22" s="188" t="str">
        <f t="shared" si="7"/>
        <v/>
      </c>
      <c r="KK22" s="188" t="str">
        <f t="shared" si="8"/>
        <v/>
      </c>
      <c r="KL22" s="188" t="str">
        <f t="shared" si="9"/>
        <v/>
      </c>
      <c r="KM22" s="188" t="str">
        <f t="shared" si="10"/>
        <v/>
      </c>
      <c r="KN22" s="188" t="str">
        <f t="shared" si="11"/>
        <v/>
      </c>
      <c r="KO22" s="188" t="str">
        <f t="shared" si="12"/>
        <v/>
      </c>
      <c r="KP22" s="188" t="str">
        <f t="shared" si="13"/>
        <v/>
      </c>
      <c r="KQ22" s="188" t="str">
        <f t="shared" si="14"/>
        <v/>
      </c>
    </row>
    <row r="23" spans="1:303" s="18" customFormat="1" ht="11.45" customHeight="1" x14ac:dyDescent="0.2">
      <c r="A23" s="38"/>
      <c r="B23" s="48"/>
      <c r="C23" s="421">
        <f t="shared" si="0"/>
        <v>45297</v>
      </c>
      <c r="D23" s="421"/>
      <c r="E23" s="422">
        <f t="shared" si="59"/>
        <v>45297</v>
      </c>
      <c r="F23" s="423"/>
      <c r="G23" s="31"/>
      <c r="H23" s="45"/>
      <c r="I23" s="44"/>
      <c r="J23" s="45"/>
      <c r="K23" s="44"/>
      <c r="L23" s="45"/>
      <c r="M23" s="44"/>
      <c r="N23" s="45"/>
      <c r="O23" s="44"/>
      <c r="P23" s="45"/>
      <c r="Q23" s="44"/>
      <c r="R23" s="45"/>
      <c r="S23" s="44"/>
      <c r="T23" s="45"/>
      <c r="U23" s="44"/>
      <c r="V23" s="45"/>
      <c r="W23" s="44"/>
      <c r="X23" s="45"/>
      <c r="Y23" s="44"/>
      <c r="Z23" s="45"/>
      <c r="AA23" s="44"/>
      <c r="AB23" s="45"/>
      <c r="AC23" s="44"/>
      <c r="AD23" s="45"/>
      <c r="AE23" s="44"/>
      <c r="AF23" s="45"/>
      <c r="AG23" s="44"/>
      <c r="AH23" s="45"/>
      <c r="AI23" s="127"/>
      <c r="AJ23" s="236"/>
      <c r="BO23" s="188"/>
      <c r="BP23" s="267">
        <v>2042</v>
      </c>
      <c r="BQ23" s="224" t="s">
        <v>38</v>
      </c>
      <c r="BR23" s="225"/>
      <c r="BS23" s="188" t="s">
        <v>1110</v>
      </c>
      <c r="BU23" s="68" t="str">
        <f t="shared" si="15"/>
        <v/>
      </c>
      <c r="BV23" s="188" t="str">
        <f t="shared" si="16"/>
        <v/>
      </c>
      <c r="BW23" s="188" t="str">
        <f t="shared" si="17"/>
        <v/>
      </c>
      <c r="BX23" s="188" t="str">
        <f t="shared" si="18"/>
        <v/>
      </c>
      <c r="BY23" s="188" t="str">
        <f t="shared" si="19"/>
        <v/>
      </c>
      <c r="BZ23" s="188" t="str">
        <f t="shared" si="20"/>
        <v/>
      </c>
      <c r="CA23" s="188" t="str">
        <f t="shared" si="21"/>
        <v/>
      </c>
      <c r="CB23" s="188" t="str">
        <f t="shared" si="22"/>
        <v/>
      </c>
      <c r="CC23" s="188" t="str">
        <f t="shared" si="23"/>
        <v/>
      </c>
      <c r="CD23" s="188" t="str">
        <f t="shared" si="24"/>
        <v/>
      </c>
      <c r="CE23" s="188" t="str">
        <f t="shared" si="25"/>
        <v/>
      </c>
      <c r="CF23" s="188" t="str">
        <f t="shared" si="26"/>
        <v/>
      </c>
      <c r="CG23" s="188" t="str">
        <f t="shared" si="27"/>
        <v/>
      </c>
      <c r="CH23" s="188" t="str">
        <f t="shared" si="28"/>
        <v/>
      </c>
      <c r="CY23" s="77" t="str">
        <f>IF(I23&lt;&gt;"",IF(H23="&lt;",IF(AND('Outfall 1 Limits'!$AM$16="Y",$BU$54&lt;&gt;"Y",I23&lt;='Outfall 1 Limits'!$AL$16),0,(1*I23)),I23),"")</f>
        <v/>
      </c>
      <c r="CZ23" s="29" t="str">
        <f>IF(K23&lt;&gt;"",IF(J23="&lt;",IF(AND('Outfall 1 Limits'!$AM$20="Y",$BV$54&lt;&gt;"Y",K23&lt;='Outfall 1 Limits'!$AL$20),0,(1*K23)),K23),"")</f>
        <v/>
      </c>
      <c r="DA23" s="29" t="str">
        <f>IF(M23&lt;&gt;"",IF(L23="&lt;",IF(AND('Outfall 1 Limits'!$AM$24="Y",$BW$54&lt;&gt;"Y",M23&lt;='Outfall 1 Limits'!$AL$24),0,(1*M23)),M23),"")</f>
        <v/>
      </c>
      <c r="DB23" s="29" t="str">
        <f>IF(O23&lt;&gt;"",IF(N23="&lt;",IF(AND('Outfall 1 Limits'!$AM$28="Y",$BX$54&lt;&gt;"Y",O23&lt;='Outfall 1 Limits'!$AL$28),0,(1*O23)),O23),"")</f>
        <v/>
      </c>
      <c r="DC23" s="29" t="str">
        <f>IF(Q23&lt;&gt;"",IF(P23="&lt;",IF(AND('Outfall 1 Limits'!$AM$32="Y",$BY$54&lt;&gt;"Y",Q23&lt;='Outfall 1 Limits'!$AL$32),0,(1*Q23)),Q23),"")</f>
        <v/>
      </c>
      <c r="DD23" s="29" t="str">
        <f>IF(S23&lt;&gt;"",IF(R23="&lt;",IF(AND('Outfall 1 Limits'!$AM$36="Y",$BZ$54&lt;&gt;"Y",S23&lt;='Outfall 1 Limits'!$AL$36),0,(1*S23)),S23),"")</f>
        <v/>
      </c>
      <c r="DE23" s="29" t="str">
        <f>IF(U23&lt;&gt;"",IF(T23="&lt;",IF(AND('Outfall 1 Limits'!$AM$40="Y",$CA$54&lt;&gt;"Y",U23&lt;='Outfall 1 Limits'!$AL$40),0,(1*U23)),U23),"")</f>
        <v/>
      </c>
      <c r="DF23" s="29" t="str">
        <f>IF(W23&lt;&gt;"",IF(V23="&lt;",IF(AND('Outfall 1 Limits'!$AM$44="Y",$CB$54&lt;&gt;"Y",W23&lt;='Outfall 1 Limits'!$AL$44),0,(1*W23)),W23),"")</f>
        <v/>
      </c>
      <c r="DG23" s="29" t="str">
        <f>IF(Y23&lt;&gt;"",IF(X23="&lt;",IF(AND('Outfall 1 Limits'!$AM$48="Y",$CC$54&lt;&gt;"Y",Y23&lt;='Outfall 1 Limits'!$AL$48),0,(1*Y23)),Y23),"")</f>
        <v/>
      </c>
      <c r="DH23" s="29" t="str">
        <f>IF(AA23&lt;&gt;"",IF(Z23="&lt;",IF(AND('Outfall 1 Limits'!$AM$52="Y",$CD$54&lt;&gt;"Y",AA23&lt;='Outfall 1 Limits'!$AL$52),0,(1*AA23)),AA23),"")</f>
        <v/>
      </c>
      <c r="DI23" s="29" t="str">
        <f>IF(AC23&lt;&gt;"",IF(AB23="&lt;",IF(AND('Outfall 1 Limits'!$AM$56="Y",$CE$54&lt;&gt;"Y",AC23&lt;='Outfall 1 Limits'!$AL$56),0,(1*AC23)),AC23),"")</f>
        <v/>
      </c>
      <c r="DJ23" s="29" t="str">
        <f>IF(AE23&lt;&gt;"",IF(AD23="&lt;",IF(AND('Outfall 1 Limits'!$AM$60="Y",$CF$54&lt;&gt;"Y",AE23&lt;='Outfall 1 Limits'!$AL$60),0,(1*AE23)),AE23),"")</f>
        <v/>
      </c>
      <c r="DK23" s="29" t="str">
        <f>IF(AG23&lt;&gt;"",IF(AF23="&lt;",IF(AND('Outfall 1 Limits'!$AM$64="Y",$CG$54&lt;&gt;"Y",AG23&lt;='Outfall 1 Limits'!$AL$64),0,(1*AG23)),AG23),"")</f>
        <v/>
      </c>
      <c r="DL23" s="29" t="str">
        <f>IF(AI23&lt;&gt;"",IF(AH23="&lt;",IF(AND('Outfall 1 Limits'!$AM$68="Y",$CH$54&lt;&gt;"Y",AI23&lt;='Outfall 1 Limits'!$AL$68),0,(1*AI23)),AI23),"")</f>
        <v/>
      </c>
      <c r="EB23" s="222" t="s">
        <v>1144</v>
      </c>
      <c r="EC23" s="84" t="str">
        <f>IF(EC16&lt;&gt;"",IF(BU64="Y",EC16-0.1,EC16),"")</f>
        <v/>
      </c>
      <c r="ED23" s="85" t="str">
        <f t="shared" ref="ED23:EP23" si="65">IF(ED16&lt;&gt;"",IF(BV64="Y",ED16-0.1,ED16),"")</f>
        <v/>
      </c>
      <c r="EE23" s="85" t="str">
        <f t="shared" si="65"/>
        <v/>
      </c>
      <c r="EF23" s="85" t="str">
        <f t="shared" si="65"/>
        <v/>
      </c>
      <c r="EG23" s="85" t="str">
        <f t="shared" si="65"/>
        <v/>
      </c>
      <c r="EH23" s="85" t="str">
        <f t="shared" si="65"/>
        <v/>
      </c>
      <c r="EI23" s="85" t="str">
        <f t="shared" si="65"/>
        <v/>
      </c>
      <c r="EJ23" s="85" t="str">
        <f t="shared" si="65"/>
        <v/>
      </c>
      <c r="EK23" s="85" t="str">
        <f t="shared" si="65"/>
        <v/>
      </c>
      <c r="EL23" s="85" t="str">
        <f t="shared" si="65"/>
        <v/>
      </c>
      <c r="EM23" s="85" t="str">
        <f t="shared" si="65"/>
        <v/>
      </c>
      <c r="EN23" s="85" t="str">
        <f t="shared" si="65"/>
        <v/>
      </c>
      <c r="EO23" s="85" t="str">
        <f t="shared" si="65"/>
        <v/>
      </c>
      <c r="EP23" s="85" t="str">
        <f t="shared" si="65"/>
        <v/>
      </c>
      <c r="FG23" s="77" t="str">
        <f>IF(AND($G23&lt;&gt;"",$G23&gt;0,'Outfall 1 Limits'!$AX$16="C1",I23&lt;&gt;""),I23*$G23*8.34,IF(AND($I23&lt;&gt;"",'Outfall 1 Limits'!$AX$16="L"),I23,""))</f>
        <v/>
      </c>
      <c r="FH23" s="29" t="str">
        <f>IF(AND($G23&lt;&gt;"",$G23&gt;0,'Outfall 1 Limits'!$AX$20="C1",$K23&lt;&gt;""),$K23*$G23*8.34,IF(AND($K23&lt;&gt;"",'Outfall 1 Limits'!$AX$20="L"),$K23,""))</f>
        <v/>
      </c>
      <c r="FI23" s="29" t="str">
        <f>IF(AND($G23&lt;&gt;"",$G23&gt;0,'Outfall 1 Limits'!$AX$24="C1",$M23&lt;&gt;""),$M23*$G23*8.34,IF(AND($M23&lt;&gt;"",'Outfall 1 Limits'!$AX$24="L"),$M23,""))</f>
        <v/>
      </c>
      <c r="FJ23" s="29" t="str">
        <f>IF(AND($G23&lt;&gt;"",$G23&gt;0,'Outfall 1 Limits'!$AX$28="C1",$O23&lt;&gt;""),$O23*$G23*8.34,IF(AND($O23&lt;&gt;"",'Outfall 1 Limits'!$AX$28="L"),$O23,""))</f>
        <v/>
      </c>
      <c r="FK23" s="29" t="str">
        <f>IF(AND($G23&lt;&gt;"",$G23&gt;0,'Outfall 1 Limits'!$AX$32="C1",$Q23&lt;&gt;""),$Q23*$G23*8.34,IF(AND($Q23&lt;&gt;"",'Outfall 1 Limits'!$AX$32="L"),$Q23,""))</f>
        <v/>
      </c>
      <c r="FL23" s="29" t="str">
        <f>IF(AND($G23&lt;&gt;"",$G23&gt;0,'Outfall 1 Limits'!$AX$36="C1",$S23&lt;&gt;""),$S23*$G23*8.34,IF(AND($S23&lt;&gt;"",'Outfall 1 Limits'!$AX$36="L"),$S23,""))</f>
        <v/>
      </c>
      <c r="FM23" s="29" t="str">
        <f>IF(AND($G23&lt;&gt;"",$G23&gt;0,'Outfall 1 Limits'!$AX$40="C1",$U23&lt;&gt;""),$U23*$G23*8.34,IF(AND($U23&lt;&gt;"",'Outfall 1 Limits'!$AX$40="L"),$U23,""))</f>
        <v/>
      </c>
      <c r="FN23" s="29" t="str">
        <f>IF(AND($G23&lt;&gt;"",$G23&gt;0,'Outfall 1 Limits'!$AX$44="C1",$W23&lt;&gt;""),$W23*$G23*8.34,IF(AND($W23&lt;&gt;"",'Outfall 1 Limits'!$AX$44="L"),$W23,""))</f>
        <v/>
      </c>
      <c r="FO23" s="29" t="str">
        <f>IF(AND($G23&lt;&gt;"",$G23&gt;0,'Outfall 1 Limits'!$AX$48="C1",$Y23&lt;&gt;""),$Y23*$G23*8.34,IF(AND($Y23&lt;&gt;"",'Outfall 1 Limits'!$AX$48="L"),$Y23,""))</f>
        <v/>
      </c>
      <c r="FP23" s="29" t="str">
        <f>IF(AND($G23&lt;&gt;"",$G23&gt;0,'Outfall 1 Limits'!$AX$52="C1",$AA23&lt;&gt;""),$AA23*$G23*8.34,IF(AND($AA23&lt;&gt;"",'Outfall 1 Limits'!$AX$52="L"),$AA23,""))</f>
        <v/>
      </c>
      <c r="FQ23" s="29" t="str">
        <f>IF(AND($G23&lt;&gt;"",$G23&gt;0,'Outfall 1 Limits'!$AX$56="C1",$AC23&lt;&gt;""),$AC23*$G23*8.34,IF(AND($AC23&lt;&gt;"",'Outfall 1 Limits'!$AX$56="L"),$AC23,""))</f>
        <v/>
      </c>
      <c r="FR23" s="29" t="str">
        <f>IF(AND($G23&lt;&gt;"",$G23&gt;0,'Outfall 1 Limits'!$AX$60="C1",$AE23&lt;&gt;""),$AE23*$G23*8.34,IF(AND($AE23&lt;&gt;"",'Outfall 1 Limits'!$AX$60="L"),$AE23,""))</f>
        <v/>
      </c>
      <c r="FS23" s="29" t="str">
        <f>IF(AND($G23&lt;&gt;"",$G23&gt;0,'Outfall 1 Limits'!$AX$64="C1",$AG23&lt;&gt;""),$AG23*$G23*8.34,IF(AND($AG23&lt;&gt;"",'Outfall 1 Limits'!$AX$64="L"),$AG23,""))</f>
        <v/>
      </c>
      <c r="FT23" s="29" t="str">
        <f>IF(AND($G23&lt;&gt;"",$G23&gt;0,'Outfall 1 Limits'!$AX$68="C1",$AI23&lt;&gt;""),$AI23*$G23*8.34,IF(AND($AI23&lt;&gt;"",'Outfall 1 Limits'!$AX$68="L"),$AI23,""))</f>
        <v/>
      </c>
      <c r="GJ23" s="29" t="str">
        <f t="shared" si="29"/>
        <v/>
      </c>
      <c r="GK23" s="77" t="str">
        <f>IF(AND($G23&lt;&gt;"",$G23&gt;0,'Outfall 1 Limits'!$AX$16="C1",CY23&lt;&gt;""),CY23*$G23*8.34,IF(AND(CY23&lt;&gt;"",'Outfall 1 Limits'!$AX$16="L"),CY23,""))</f>
        <v/>
      </c>
      <c r="GL23" s="29" t="str">
        <f>IF(AND($G23&lt;&gt;"",$G23&gt;0,'Outfall 1 Limits'!$AX$20="C1",CZ23&lt;&gt;""),CZ23*$G23*8.34,IF(AND(CZ23&lt;&gt;"",'Outfall 1 Limits'!$AX$20="L"),CZ23,""))</f>
        <v/>
      </c>
      <c r="GM23" s="29" t="str">
        <f>IF(AND($G23&lt;&gt;"",$G23&gt;0,'Outfall 1 Limits'!$AX$24="C1",DA23&lt;&gt;""),DA23*$G23*8.34,IF(AND(DA23&lt;&gt;"",'Outfall 1 Limits'!$AX$24="L"),DA23,""))</f>
        <v/>
      </c>
      <c r="GN23" s="29" t="str">
        <f>IF(AND($G23&lt;&gt;"",$G23&gt;0,'Outfall 1 Limits'!$AX$28="C1",DB23&lt;&gt;""),DB23*$G23*8.34,IF(AND(DB23&lt;&gt;"",'Outfall 1 Limits'!$AX$28="L"),DB23,""))</f>
        <v/>
      </c>
      <c r="GO23" s="29" t="str">
        <f>IF(AND($G23&lt;&gt;"",$G23&gt;0,'Outfall 1 Limits'!$AX$32="C1",DC23&lt;&gt;""),DC23*$G23*8.34,IF(AND(DC23&lt;&gt;"",'Outfall 1 Limits'!$AX$32="L"),DC23,""))</f>
        <v/>
      </c>
      <c r="GP23" s="29" t="str">
        <f>IF(AND($G23&lt;&gt;"",$G23&gt;0,'Outfall 1 Limits'!$AX$36="C1",DD23&lt;&gt;""),DD23*$G23*8.34,IF(AND(DD23&lt;&gt;"",'Outfall 1 Limits'!$AX$36="L"),DD23,""))</f>
        <v/>
      </c>
      <c r="GQ23" s="29" t="str">
        <f>IF(AND($G23&lt;&gt;"",$G23&gt;0,'Outfall 1 Limits'!$AX$40="C1",DE23&lt;&gt;""),DE23*$G23*8.34,IF(AND(DE23&lt;&gt;"",'Outfall 1 Limits'!$AX$40="L"),DE23,""))</f>
        <v/>
      </c>
      <c r="GR23" s="29" t="str">
        <f>IF(AND($G23&lt;&gt;"",$G23&gt;0,'Outfall 1 Limits'!$AX$44="C1",DF23&lt;&gt;""),DF23*$G23*8.34,IF(AND(DF23&lt;&gt;"",'Outfall 1 Limits'!$AX$44="L"),DF23,""))</f>
        <v/>
      </c>
      <c r="GS23" s="29" t="str">
        <f>IF(AND($G23&lt;&gt;"",$G23&gt;0,'Outfall 1 Limits'!$AX$48="C1",DG23&lt;&gt;""),DG23*$G23*8.34,IF(AND(DG23&lt;&gt;"",'Outfall 1 Limits'!$AX$48="L"),DG23,""))</f>
        <v/>
      </c>
      <c r="GT23" s="29" t="str">
        <f>IF(AND($G23&lt;&gt;"",$G23&gt;0,'Outfall 1 Limits'!$AX$52="C1",DH23&lt;&gt;""),DH23*$G23*8.34,IF(AND(DH23&lt;&gt;"",'Outfall 1 Limits'!$AX$52="L"),DH23,""))</f>
        <v/>
      </c>
      <c r="GU23" s="29" t="str">
        <f>IF(AND($G23&lt;&gt;"",$G23&gt;0,'Outfall 1 Limits'!$AX$56="C1",DI23&lt;&gt;""),DI23*$G23*8.34,IF(AND(DI23&lt;&gt;"",'Outfall 1 Limits'!$AX$56="L"),DI23,""))</f>
        <v/>
      </c>
      <c r="GV23" s="29" t="str">
        <f>IF(AND($G23&lt;&gt;"",$G23&gt;0,'Outfall 1 Limits'!$AX$60="C1",DJ23&lt;&gt;""),DJ23*$G23*8.34,IF(AND(DJ23&lt;&gt;"",'Outfall 1 Limits'!$AX$60="L"),DJ23,""))</f>
        <v/>
      </c>
      <c r="GW23" s="29" t="str">
        <f>IF(AND($G23&lt;&gt;"",$G23&gt;0,'Outfall 1 Limits'!$AX$64="C1",DK23&lt;&gt;""),DK23*$G23*8.34,IF(AND(DK23&lt;&gt;"",'Outfall 1 Limits'!$AX$64="L"),DK23,""))</f>
        <v/>
      </c>
      <c r="GX23" s="29" t="str">
        <f>IF(AND($G23&lt;&gt;"",$G23&gt;0,'Outfall 1 Limits'!$AX$68="C1",DL23&lt;&gt;""),DL23*$G23*8.34,IF(AND(DL23&lt;&gt;"",'Outfall 1 Limits'!$AX$68="L"),DL23,""))</f>
        <v/>
      </c>
      <c r="HO23" s="98" t="str">
        <f t="shared" si="30"/>
        <v/>
      </c>
      <c r="HS23" s="68" t="str">
        <f t="shared" si="31"/>
        <v/>
      </c>
      <c r="HT23" s="188" t="str">
        <f t="shared" si="32"/>
        <v/>
      </c>
      <c r="HU23" s="188" t="str">
        <f t="shared" si="33"/>
        <v/>
      </c>
      <c r="HV23" s="188" t="str">
        <f t="shared" si="34"/>
        <v/>
      </c>
      <c r="HW23" s="188" t="str">
        <f t="shared" si="35"/>
        <v/>
      </c>
      <c r="HX23" s="188" t="str">
        <f t="shared" si="36"/>
        <v/>
      </c>
      <c r="HY23" s="188" t="str">
        <f t="shared" si="37"/>
        <v/>
      </c>
      <c r="HZ23" s="188" t="str">
        <f t="shared" si="38"/>
        <v/>
      </c>
      <c r="IA23" s="188" t="str">
        <f t="shared" si="39"/>
        <v/>
      </c>
      <c r="IB23" s="188" t="str">
        <f t="shared" si="40"/>
        <v/>
      </c>
      <c r="IC23" s="188" t="str">
        <f t="shared" si="41"/>
        <v/>
      </c>
      <c r="ID23" s="188" t="str">
        <f t="shared" si="42"/>
        <v/>
      </c>
      <c r="IE23" s="188" t="str">
        <f t="shared" si="43"/>
        <v/>
      </c>
      <c r="IF23" s="188" t="str">
        <f t="shared" si="44"/>
        <v/>
      </c>
      <c r="IX23" s="68" t="str">
        <f t="shared" si="45"/>
        <v/>
      </c>
      <c r="IY23" s="188" t="str">
        <f t="shared" si="46"/>
        <v/>
      </c>
      <c r="IZ23" s="188" t="str">
        <f t="shared" si="47"/>
        <v/>
      </c>
      <c r="JA23" s="188" t="str">
        <f t="shared" si="48"/>
        <v/>
      </c>
      <c r="JB23" s="188" t="str">
        <f t="shared" si="49"/>
        <v/>
      </c>
      <c r="JC23" s="188" t="str">
        <f t="shared" si="50"/>
        <v/>
      </c>
      <c r="JD23" s="188" t="str">
        <f t="shared" si="51"/>
        <v/>
      </c>
      <c r="JE23" s="188" t="str">
        <f t="shared" si="52"/>
        <v/>
      </c>
      <c r="JF23" s="188" t="str">
        <f t="shared" si="53"/>
        <v/>
      </c>
      <c r="JG23" s="188" t="str">
        <f t="shared" si="54"/>
        <v/>
      </c>
      <c r="JH23" s="188" t="str">
        <f t="shared" si="55"/>
        <v/>
      </c>
      <c r="JI23" s="188" t="str">
        <f t="shared" si="56"/>
        <v/>
      </c>
      <c r="JJ23" s="188" t="str">
        <f t="shared" si="57"/>
        <v/>
      </c>
      <c r="JK23" s="188" t="str">
        <f t="shared" si="58"/>
        <v/>
      </c>
      <c r="KA23" s="188"/>
      <c r="KB23" s="2"/>
      <c r="KC23" s="226"/>
      <c r="KD23" s="164" t="str">
        <f t="shared" si="1"/>
        <v/>
      </c>
      <c r="KE23" s="188" t="str">
        <f t="shared" si="2"/>
        <v/>
      </c>
      <c r="KF23" s="188" t="str">
        <f t="shared" si="3"/>
        <v/>
      </c>
      <c r="KG23" s="188" t="str">
        <f t="shared" si="4"/>
        <v/>
      </c>
      <c r="KH23" s="188" t="str">
        <f t="shared" si="5"/>
        <v/>
      </c>
      <c r="KI23" s="188" t="str">
        <f t="shared" si="6"/>
        <v/>
      </c>
      <c r="KJ23" s="188" t="str">
        <f t="shared" si="7"/>
        <v/>
      </c>
      <c r="KK23" s="188" t="str">
        <f t="shared" si="8"/>
        <v/>
      </c>
      <c r="KL23" s="188" t="str">
        <f t="shared" si="9"/>
        <v/>
      </c>
      <c r="KM23" s="188" t="str">
        <f t="shared" si="10"/>
        <v/>
      </c>
      <c r="KN23" s="188" t="str">
        <f t="shared" si="11"/>
        <v/>
      </c>
      <c r="KO23" s="188" t="str">
        <f t="shared" si="12"/>
        <v/>
      </c>
      <c r="KP23" s="188" t="str">
        <f t="shared" si="13"/>
        <v/>
      </c>
      <c r="KQ23" s="188" t="str">
        <f t="shared" si="14"/>
        <v/>
      </c>
    </row>
    <row r="24" spans="1:303" s="18" customFormat="1" ht="11.45" customHeight="1" x14ac:dyDescent="0.2">
      <c r="A24" s="38"/>
      <c r="B24" s="48">
        <v>2</v>
      </c>
      <c r="C24" s="421">
        <f t="shared" si="0"/>
        <v>45298</v>
      </c>
      <c r="D24" s="421"/>
      <c r="E24" s="422">
        <f t="shared" si="59"/>
        <v>45298</v>
      </c>
      <c r="F24" s="423"/>
      <c r="G24" s="31"/>
      <c r="H24" s="45"/>
      <c r="I24" s="44"/>
      <c r="J24" s="45"/>
      <c r="K24" s="44"/>
      <c r="L24" s="45"/>
      <c r="M24" s="44"/>
      <c r="N24" s="45"/>
      <c r="O24" s="44"/>
      <c r="P24" s="45"/>
      <c r="Q24" s="44"/>
      <c r="R24" s="45"/>
      <c r="S24" s="44"/>
      <c r="T24" s="45"/>
      <c r="U24" s="44"/>
      <c r="V24" s="45"/>
      <c r="W24" s="44"/>
      <c r="X24" s="45"/>
      <c r="Y24" s="44"/>
      <c r="Z24" s="45"/>
      <c r="AA24" s="44"/>
      <c r="AB24" s="45"/>
      <c r="AC24" s="44"/>
      <c r="AD24" s="45"/>
      <c r="AE24" s="44"/>
      <c r="AF24" s="45"/>
      <c r="AG24" s="44"/>
      <c r="AH24" s="45"/>
      <c r="AI24" s="127"/>
      <c r="AJ24" s="236"/>
      <c r="BO24" s="188"/>
      <c r="BP24" s="267">
        <v>2043</v>
      </c>
      <c r="BQ24" s="224" t="s">
        <v>39</v>
      </c>
      <c r="BR24" s="225"/>
      <c r="BS24" s="188" t="s">
        <v>1111</v>
      </c>
      <c r="BU24" s="68" t="str">
        <f t="shared" si="15"/>
        <v/>
      </c>
      <c r="BV24" s="188" t="str">
        <f t="shared" si="16"/>
        <v/>
      </c>
      <c r="BW24" s="188" t="str">
        <f t="shared" si="17"/>
        <v/>
      </c>
      <c r="BX24" s="188" t="str">
        <f t="shared" si="18"/>
        <v/>
      </c>
      <c r="BY24" s="188" t="str">
        <f t="shared" si="19"/>
        <v/>
      </c>
      <c r="BZ24" s="188" t="str">
        <f t="shared" si="20"/>
        <v/>
      </c>
      <c r="CA24" s="188" t="str">
        <f t="shared" si="21"/>
        <v/>
      </c>
      <c r="CB24" s="188" t="str">
        <f t="shared" si="22"/>
        <v/>
      </c>
      <c r="CC24" s="188" t="str">
        <f t="shared" si="23"/>
        <v/>
      </c>
      <c r="CD24" s="188" t="str">
        <f t="shared" si="24"/>
        <v/>
      </c>
      <c r="CE24" s="188" t="str">
        <f t="shared" si="25"/>
        <v/>
      </c>
      <c r="CF24" s="188" t="str">
        <f t="shared" si="26"/>
        <v/>
      </c>
      <c r="CG24" s="188" t="str">
        <f t="shared" si="27"/>
        <v/>
      </c>
      <c r="CH24" s="188" t="str">
        <f t="shared" si="28"/>
        <v/>
      </c>
      <c r="CY24" s="77" t="str">
        <f>IF(I24&lt;&gt;"",IF(H24="&lt;",IF(AND('Outfall 1 Limits'!$AM$16="Y",$BU$54&lt;&gt;"Y",I24&lt;='Outfall 1 Limits'!$AL$16),0,(1*I24)),I24),"")</f>
        <v/>
      </c>
      <c r="CZ24" s="29" t="str">
        <f>IF(K24&lt;&gt;"",IF(J24="&lt;",IF(AND('Outfall 1 Limits'!$AM$20="Y",$BV$54&lt;&gt;"Y",K24&lt;='Outfall 1 Limits'!$AL$20),0,(1*K24)),K24),"")</f>
        <v/>
      </c>
      <c r="DA24" s="29" t="str">
        <f>IF(M24&lt;&gt;"",IF(L24="&lt;",IF(AND('Outfall 1 Limits'!$AM$24="Y",$BW$54&lt;&gt;"Y",M24&lt;='Outfall 1 Limits'!$AL$24),0,(1*M24)),M24),"")</f>
        <v/>
      </c>
      <c r="DB24" s="29" t="str">
        <f>IF(O24&lt;&gt;"",IF(N24="&lt;",IF(AND('Outfall 1 Limits'!$AM$28="Y",$BX$54&lt;&gt;"Y",O24&lt;='Outfall 1 Limits'!$AL$28),0,(1*O24)),O24),"")</f>
        <v/>
      </c>
      <c r="DC24" s="29" t="str">
        <f>IF(Q24&lt;&gt;"",IF(P24="&lt;",IF(AND('Outfall 1 Limits'!$AM$32="Y",$BY$54&lt;&gt;"Y",Q24&lt;='Outfall 1 Limits'!$AL$32),0,(1*Q24)),Q24),"")</f>
        <v/>
      </c>
      <c r="DD24" s="29" t="str">
        <f>IF(S24&lt;&gt;"",IF(R24="&lt;",IF(AND('Outfall 1 Limits'!$AM$36="Y",$BZ$54&lt;&gt;"Y",S24&lt;='Outfall 1 Limits'!$AL$36),0,(1*S24)),S24),"")</f>
        <v/>
      </c>
      <c r="DE24" s="29" t="str">
        <f>IF(U24&lt;&gt;"",IF(T24="&lt;",IF(AND('Outfall 1 Limits'!$AM$40="Y",$CA$54&lt;&gt;"Y",U24&lt;='Outfall 1 Limits'!$AL$40),0,(1*U24)),U24),"")</f>
        <v/>
      </c>
      <c r="DF24" s="29" t="str">
        <f>IF(W24&lt;&gt;"",IF(V24="&lt;",IF(AND('Outfall 1 Limits'!$AM$44="Y",$CB$54&lt;&gt;"Y",W24&lt;='Outfall 1 Limits'!$AL$44),0,(1*W24)),W24),"")</f>
        <v/>
      </c>
      <c r="DG24" s="29" t="str">
        <f>IF(Y24&lt;&gt;"",IF(X24="&lt;",IF(AND('Outfall 1 Limits'!$AM$48="Y",$CC$54&lt;&gt;"Y",Y24&lt;='Outfall 1 Limits'!$AL$48),0,(1*Y24)),Y24),"")</f>
        <v/>
      </c>
      <c r="DH24" s="29" t="str">
        <f>IF(AA24&lt;&gt;"",IF(Z24="&lt;",IF(AND('Outfall 1 Limits'!$AM$52="Y",$CD$54&lt;&gt;"Y",AA24&lt;='Outfall 1 Limits'!$AL$52),0,(1*AA24)),AA24),"")</f>
        <v/>
      </c>
      <c r="DI24" s="29" t="str">
        <f>IF(AC24&lt;&gt;"",IF(AB24="&lt;",IF(AND('Outfall 1 Limits'!$AM$56="Y",$CE$54&lt;&gt;"Y",AC24&lt;='Outfall 1 Limits'!$AL$56),0,(1*AC24)),AC24),"")</f>
        <v/>
      </c>
      <c r="DJ24" s="29" t="str">
        <f>IF(AE24&lt;&gt;"",IF(AD24="&lt;",IF(AND('Outfall 1 Limits'!$AM$60="Y",$CF$54&lt;&gt;"Y",AE24&lt;='Outfall 1 Limits'!$AL$60),0,(1*AE24)),AE24),"")</f>
        <v/>
      </c>
      <c r="DK24" s="29" t="str">
        <f>IF(AG24&lt;&gt;"",IF(AF24="&lt;",IF(AND('Outfall 1 Limits'!$AM$64="Y",$CG$54&lt;&gt;"Y",AG24&lt;='Outfall 1 Limits'!$AL$64),0,(1*AG24)),AG24),"")</f>
        <v/>
      </c>
      <c r="DL24" s="29" t="str">
        <f>IF(AI24&lt;&gt;"",IF(AH24="&lt;",IF(AND('Outfall 1 Limits'!$AM$68="Y",$CH$54&lt;&gt;"Y",AI24&lt;='Outfall 1 Limits'!$AL$68),0,(1*AI24)),AI24),"")</f>
        <v/>
      </c>
      <c r="EB24" s="222" t="s">
        <v>1145</v>
      </c>
      <c r="EC24" s="84" t="str">
        <f>IF(EC17&lt;&gt;"",IF(BU66="Y",EC17-0.1,EC17),"")</f>
        <v/>
      </c>
      <c r="ED24" s="85" t="str">
        <f t="shared" ref="ED24:EP24" si="66">IF(ED17&lt;&gt;"",IF(BV66="Y",ED17-0.1,ED17),"")</f>
        <v/>
      </c>
      <c r="EE24" s="85" t="str">
        <f t="shared" si="66"/>
        <v/>
      </c>
      <c r="EF24" s="85" t="str">
        <f t="shared" si="66"/>
        <v/>
      </c>
      <c r="EG24" s="85" t="str">
        <f t="shared" si="66"/>
        <v/>
      </c>
      <c r="EH24" s="85" t="str">
        <f t="shared" si="66"/>
        <v/>
      </c>
      <c r="EI24" s="85" t="str">
        <f t="shared" si="66"/>
        <v/>
      </c>
      <c r="EJ24" s="85" t="str">
        <f t="shared" si="66"/>
        <v/>
      </c>
      <c r="EK24" s="85" t="str">
        <f t="shared" si="66"/>
        <v/>
      </c>
      <c r="EL24" s="85" t="str">
        <f t="shared" si="66"/>
        <v/>
      </c>
      <c r="EM24" s="85" t="str">
        <f t="shared" si="66"/>
        <v/>
      </c>
      <c r="EN24" s="85" t="str">
        <f t="shared" si="66"/>
        <v/>
      </c>
      <c r="EO24" s="85" t="str">
        <f t="shared" si="66"/>
        <v/>
      </c>
      <c r="EP24" s="85" t="str">
        <f t="shared" si="66"/>
        <v/>
      </c>
      <c r="FG24" s="77" t="str">
        <f>IF(AND($G24&lt;&gt;"",$G24&gt;0,'Outfall 1 Limits'!$AX$16="C1",I24&lt;&gt;""),I24*$G24*8.34,IF(AND($I24&lt;&gt;"",'Outfall 1 Limits'!$AX$16="L"),I24,""))</f>
        <v/>
      </c>
      <c r="FH24" s="29" t="str">
        <f>IF(AND($G24&lt;&gt;"",$G24&gt;0,'Outfall 1 Limits'!$AX$20="C1",$K24&lt;&gt;""),$K24*$G24*8.34,IF(AND($K24&lt;&gt;"",'Outfall 1 Limits'!$AX$20="L"),$K24,""))</f>
        <v/>
      </c>
      <c r="FI24" s="29" t="str">
        <f>IF(AND($G24&lt;&gt;"",$G24&gt;0,'Outfall 1 Limits'!$AX$24="C1",$M24&lt;&gt;""),$M24*$G24*8.34,IF(AND($M24&lt;&gt;"",'Outfall 1 Limits'!$AX$24="L"),$M24,""))</f>
        <v/>
      </c>
      <c r="FJ24" s="29" t="str">
        <f>IF(AND($G24&lt;&gt;"",$G24&gt;0,'Outfall 1 Limits'!$AX$28="C1",$O24&lt;&gt;""),$O24*$G24*8.34,IF(AND($O24&lt;&gt;"",'Outfall 1 Limits'!$AX$28="L"),$O24,""))</f>
        <v/>
      </c>
      <c r="FK24" s="29" t="str">
        <f>IF(AND($G24&lt;&gt;"",$G24&gt;0,'Outfall 1 Limits'!$AX$32="C1",$Q24&lt;&gt;""),$Q24*$G24*8.34,IF(AND($Q24&lt;&gt;"",'Outfall 1 Limits'!$AX$32="L"),$Q24,""))</f>
        <v/>
      </c>
      <c r="FL24" s="29" t="str">
        <f>IF(AND($G24&lt;&gt;"",$G24&gt;0,'Outfall 1 Limits'!$AX$36="C1",$S24&lt;&gt;""),$S24*$G24*8.34,IF(AND($S24&lt;&gt;"",'Outfall 1 Limits'!$AX$36="L"),$S24,""))</f>
        <v/>
      </c>
      <c r="FM24" s="29" t="str">
        <f>IF(AND($G24&lt;&gt;"",$G24&gt;0,'Outfall 1 Limits'!$AX$40="C1",$U24&lt;&gt;""),$U24*$G24*8.34,IF(AND($U24&lt;&gt;"",'Outfall 1 Limits'!$AX$40="L"),$U24,""))</f>
        <v/>
      </c>
      <c r="FN24" s="29" t="str">
        <f>IF(AND($G24&lt;&gt;"",$G24&gt;0,'Outfall 1 Limits'!$AX$44="C1",$W24&lt;&gt;""),$W24*$G24*8.34,IF(AND($W24&lt;&gt;"",'Outfall 1 Limits'!$AX$44="L"),$W24,""))</f>
        <v/>
      </c>
      <c r="FO24" s="29" t="str">
        <f>IF(AND($G24&lt;&gt;"",$G24&gt;0,'Outfall 1 Limits'!$AX$48="C1",$Y24&lt;&gt;""),$Y24*$G24*8.34,IF(AND($Y24&lt;&gt;"",'Outfall 1 Limits'!$AX$48="L"),$Y24,""))</f>
        <v/>
      </c>
      <c r="FP24" s="29" t="str">
        <f>IF(AND($G24&lt;&gt;"",$G24&gt;0,'Outfall 1 Limits'!$AX$52="C1",$AA24&lt;&gt;""),$AA24*$G24*8.34,IF(AND($AA24&lt;&gt;"",'Outfall 1 Limits'!$AX$52="L"),$AA24,""))</f>
        <v/>
      </c>
      <c r="FQ24" s="29" t="str">
        <f>IF(AND($G24&lt;&gt;"",$G24&gt;0,'Outfall 1 Limits'!$AX$56="C1",$AC24&lt;&gt;""),$AC24*$G24*8.34,IF(AND($AC24&lt;&gt;"",'Outfall 1 Limits'!$AX$56="L"),$AC24,""))</f>
        <v/>
      </c>
      <c r="FR24" s="29" t="str">
        <f>IF(AND($G24&lt;&gt;"",$G24&gt;0,'Outfall 1 Limits'!$AX$60="C1",$AE24&lt;&gt;""),$AE24*$G24*8.34,IF(AND($AE24&lt;&gt;"",'Outfall 1 Limits'!$AX$60="L"),$AE24,""))</f>
        <v/>
      </c>
      <c r="FS24" s="29" t="str">
        <f>IF(AND($G24&lt;&gt;"",$G24&gt;0,'Outfall 1 Limits'!$AX$64="C1",$AG24&lt;&gt;""),$AG24*$G24*8.34,IF(AND($AG24&lt;&gt;"",'Outfall 1 Limits'!$AX$64="L"),$AG24,""))</f>
        <v/>
      </c>
      <c r="FT24" s="29" t="str">
        <f>IF(AND($G24&lt;&gt;"",$G24&gt;0,'Outfall 1 Limits'!$AX$68="C1",$AI24&lt;&gt;""),$AI24*$G24*8.34,IF(AND($AI24&lt;&gt;"",'Outfall 1 Limits'!$AX$68="L"),$AI24,""))</f>
        <v/>
      </c>
      <c r="GJ24" s="29" t="str">
        <f t="shared" si="29"/>
        <v/>
      </c>
      <c r="GK24" s="77" t="str">
        <f>IF(AND($G24&lt;&gt;"",$G24&gt;0,'Outfall 1 Limits'!$AX$16="C1",CY24&lt;&gt;""),CY24*$G24*8.34,IF(AND(CY24&lt;&gt;"",'Outfall 1 Limits'!$AX$16="L"),CY24,""))</f>
        <v/>
      </c>
      <c r="GL24" s="29" t="str">
        <f>IF(AND($G24&lt;&gt;"",$G24&gt;0,'Outfall 1 Limits'!$AX$20="C1",CZ24&lt;&gt;""),CZ24*$G24*8.34,IF(AND(CZ24&lt;&gt;"",'Outfall 1 Limits'!$AX$20="L"),CZ24,""))</f>
        <v/>
      </c>
      <c r="GM24" s="29" t="str">
        <f>IF(AND($G24&lt;&gt;"",$G24&gt;0,'Outfall 1 Limits'!$AX$24="C1",DA24&lt;&gt;""),DA24*$G24*8.34,IF(AND(DA24&lt;&gt;"",'Outfall 1 Limits'!$AX$24="L"),DA24,""))</f>
        <v/>
      </c>
      <c r="GN24" s="29" t="str">
        <f>IF(AND($G24&lt;&gt;"",$G24&gt;0,'Outfall 1 Limits'!$AX$28="C1",DB24&lt;&gt;""),DB24*$G24*8.34,IF(AND(DB24&lt;&gt;"",'Outfall 1 Limits'!$AX$28="L"),DB24,""))</f>
        <v/>
      </c>
      <c r="GO24" s="29" t="str">
        <f>IF(AND($G24&lt;&gt;"",$G24&gt;0,'Outfall 1 Limits'!$AX$32="C1",DC24&lt;&gt;""),DC24*$G24*8.34,IF(AND(DC24&lt;&gt;"",'Outfall 1 Limits'!$AX$32="L"),DC24,""))</f>
        <v/>
      </c>
      <c r="GP24" s="29" t="str">
        <f>IF(AND($G24&lt;&gt;"",$G24&gt;0,'Outfall 1 Limits'!$AX$36="C1",DD24&lt;&gt;""),DD24*$G24*8.34,IF(AND(DD24&lt;&gt;"",'Outfall 1 Limits'!$AX$36="L"),DD24,""))</f>
        <v/>
      </c>
      <c r="GQ24" s="29" t="str">
        <f>IF(AND($G24&lt;&gt;"",$G24&gt;0,'Outfall 1 Limits'!$AX$40="C1",DE24&lt;&gt;""),DE24*$G24*8.34,IF(AND(DE24&lt;&gt;"",'Outfall 1 Limits'!$AX$40="L"),DE24,""))</f>
        <v/>
      </c>
      <c r="GR24" s="29" t="str">
        <f>IF(AND($G24&lt;&gt;"",$G24&gt;0,'Outfall 1 Limits'!$AX$44="C1",DF24&lt;&gt;""),DF24*$G24*8.34,IF(AND(DF24&lt;&gt;"",'Outfall 1 Limits'!$AX$44="L"),DF24,""))</f>
        <v/>
      </c>
      <c r="GS24" s="29" t="str">
        <f>IF(AND($G24&lt;&gt;"",$G24&gt;0,'Outfall 1 Limits'!$AX$48="C1",DG24&lt;&gt;""),DG24*$G24*8.34,IF(AND(DG24&lt;&gt;"",'Outfall 1 Limits'!$AX$48="L"),DG24,""))</f>
        <v/>
      </c>
      <c r="GT24" s="29" t="str">
        <f>IF(AND($G24&lt;&gt;"",$G24&gt;0,'Outfall 1 Limits'!$AX$52="C1",DH24&lt;&gt;""),DH24*$G24*8.34,IF(AND(DH24&lt;&gt;"",'Outfall 1 Limits'!$AX$52="L"),DH24,""))</f>
        <v/>
      </c>
      <c r="GU24" s="29" t="str">
        <f>IF(AND($G24&lt;&gt;"",$G24&gt;0,'Outfall 1 Limits'!$AX$56="C1",DI24&lt;&gt;""),DI24*$G24*8.34,IF(AND(DI24&lt;&gt;"",'Outfall 1 Limits'!$AX$56="L"),DI24,""))</f>
        <v/>
      </c>
      <c r="GV24" s="29" t="str">
        <f>IF(AND($G24&lt;&gt;"",$G24&gt;0,'Outfall 1 Limits'!$AX$60="C1",DJ24&lt;&gt;""),DJ24*$G24*8.34,IF(AND(DJ24&lt;&gt;"",'Outfall 1 Limits'!$AX$60="L"),DJ24,""))</f>
        <v/>
      </c>
      <c r="GW24" s="29" t="str">
        <f>IF(AND($G24&lt;&gt;"",$G24&gt;0,'Outfall 1 Limits'!$AX$64="C1",DK24&lt;&gt;""),DK24*$G24*8.34,IF(AND(DK24&lt;&gt;"",'Outfall 1 Limits'!$AX$64="L"),DK24,""))</f>
        <v/>
      </c>
      <c r="GX24" s="29" t="str">
        <f>IF(AND($G24&lt;&gt;"",$G24&gt;0,'Outfall 1 Limits'!$AX$68="C1",DL24&lt;&gt;""),DL24*$G24*8.34,IF(AND(DL24&lt;&gt;"",'Outfall 1 Limits'!$AX$68="L"),DL24,""))</f>
        <v/>
      </c>
      <c r="HO24" s="98" t="str">
        <f t="shared" si="30"/>
        <v/>
      </c>
      <c r="HS24" s="68" t="str">
        <f t="shared" si="31"/>
        <v/>
      </c>
      <c r="HT24" s="188" t="str">
        <f t="shared" si="32"/>
        <v/>
      </c>
      <c r="HU24" s="188" t="str">
        <f t="shared" si="33"/>
        <v/>
      </c>
      <c r="HV24" s="188" t="str">
        <f t="shared" si="34"/>
        <v/>
      </c>
      <c r="HW24" s="188" t="str">
        <f t="shared" si="35"/>
        <v/>
      </c>
      <c r="HX24" s="188" t="str">
        <f t="shared" si="36"/>
        <v/>
      </c>
      <c r="HY24" s="188" t="str">
        <f t="shared" si="37"/>
        <v/>
      </c>
      <c r="HZ24" s="188" t="str">
        <f t="shared" si="38"/>
        <v/>
      </c>
      <c r="IA24" s="188" t="str">
        <f t="shared" si="39"/>
        <v/>
      </c>
      <c r="IB24" s="188" t="str">
        <f t="shared" si="40"/>
        <v/>
      </c>
      <c r="IC24" s="188" t="str">
        <f t="shared" si="41"/>
        <v/>
      </c>
      <c r="ID24" s="188" t="str">
        <f t="shared" si="42"/>
        <v/>
      </c>
      <c r="IE24" s="188" t="str">
        <f t="shared" si="43"/>
        <v/>
      </c>
      <c r="IF24" s="188" t="str">
        <f t="shared" si="44"/>
        <v/>
      </c>
      <c r="IX24" s="68" t="str">
        <f t="shared" si="45"/>
        <v/>
      </c>
      <c r="IY24" s="188" t="str">
        <f t="shared" si="46"/>
        <v/>
      </c>
      <c r="IZ24" s="188" t="str">
        <f t="shared" si="47"/>
        <v/>
      </c>
      <c r="JA24" s="188" t="str">
        <f t="shared" si="48"/>
        <v/>
      </c>
      <c r="JB24" s="188" t="str">
        <f t="shared" si="49"/>
        <v/>
      </c>
      <c r="JC24" s="188" t="str">
        <f t="shared" si="50"/>
        <v/>
      </c>
      <c r="JD24" s="188" t="str">
        <f t="shared" si="51"/>
        <v/>
      </c>
      <c r="JE24" s="188" t="str">
        <f t="shared" si="52"/>
        <v/>
      </c>
      <c r="JF24" s="188" t="str">
        <f t="shared" si="53"/>
        <v/>
      </c>
      <c r="JG24" s="188" t="str">
        <f t="shared" si="54"/>
        <v/>
      </c>
      <c r="JH24" s="188" t="str">
        <f t="shared" si="55"/>
        <v/>
      </c>
      <c r="JI24" s="188" t="str">
        <f t="shared" si="56"/>
        <v/>
      </c>
      <c r="JJ24" s="188" t="str">
        <f t="shared" si="57"/>
        <v/>
      </c>
      <c r="JK24" s="188" t="str">
        <f t="shared" si="58"/>
        <v/>
      </c>
      <c r="KA24" s="188"/>
      <c r="KB24" s="2"/>
      <c r="KC24" s="226"/>
      <c r="KD24" s="164" t="str">
        <f t="shared" si="1"/>
        <v/>
      </c>
      <c r="KE24" s="188" t="str">
        <f t="shared" si="2"/>
        <v/>
      </c>
      <c r="KF24" s="188" t="str">
        <f t="shared" si="3"/>
        <v/>
      </c>
      <c r="KG24" s="188" t="str">
        <f t="shared" si="4"/>
        <v/>
      </c>
      <c r="KH24" s="188" t="str">
        <f t="shared" si="5"/>
        <v/>
      </c>
      <c r="KI24" s="188" t="str">
        <f t="shared" si="6"/>
        <v/>
      </c>
      <c r="KJ24" s="188" t="str">
        <f t="shared" si="7"/>
        <v/>
      </c>
      <c r="KK24" s="188" t="str">
        <f t="shared" si="8"/>
        <v/>
      </c>
      <c r="KL24" s="188" t="str">
        <f t="shared" si="9"/>
        <v/>
      </c>
      <c r="KM24" s="188" t="str">
        <f t="shared" si="10"/>
        <v/>
      </c>
      <c r="KN24" s="188" t="str">
        <f t="shared" si="11"/>
        <v/>
      </c>
      <c r="KO24" s="188" t="str">
        <f t="shared" si="12"/>
        <v/>
      </c>
      <c r="KP24" s="188" t="str">
        <f t="shared" si="13"/>
        <v/>
      </c>
      <c r="KQ24" s="188" t="str">
        <f t="shared" si="14"/>
        <v/>
      </c>
    </row>
    <row r="25" spans="1:303" s="18" customFormat="1" ht="11.45" customHeight="1" x14ac:dyDescent="0.2">
      <c r="A25" s="38"/>
      <c r="B25" s="48"/>
      <c r="C25" s="421">
        <f t="shared" si="0"/>
        <v>45299</v>
      </c>
      <c r="D25" s="421"/>
      <c r="E25" s="422">
        <f t="shared" si="59"/>
        <v>45299</v>
      </c>
      <c r="F25" s="423"/>
      <c r="G25" s="31"/>
      <c r="H25" s="45"/>
      <c r="I25" s="44"/>
      <c r="J25" s="45"/>
      <c r="K25" s="44"/>
      <c r="L25" s="45"/>
      <c r="M25" s="44"/>
      <c r="N25" s="45"/>
      <c r="O25" s="44"/>
      <c r="P25" s="45"/>
      <c r="Q25" s="44"/>
      <c r="R25" s="45"/>
      <c r="S25" s="44"/>
      <c r="T25" s="45"/>
      <c r="U25" s="44"/>
      <c r="V25" s="45"/>
      <c r="W25" s="44"/>
      <c r="X25" s="45"/>
      <c r="Y25" s="44"/>
      <c r="Z25" s="45"/>
      <c r="AA25" s="44"/>
      <c r="AB25" s="45"/>
      <c r="AC25" s="44"/>
      <c r="AD25" s="45"/>
      <c r="AE25" s="44"/>
      <c r="AF25" s="45"/>
      <c r="AG25" s="44"/>
      <c r="AH25" s="45"/>
      <c r="AI25" s="127"/>
      <c r="AJ25" s="236"/>
      <c r="BO25" s="188"/>
      <c r="BP25" s="267">
        <v>2044</v>
      </c>
      <c r="BQ25" s="224" t="s">
        <v>40</v>
      </c>
      <c r="BR25" s="225"/>
      <c r="BS25" s="188" t="s">
        <v>1112</v>
      </c>
      <c r="BU25" s="68" t="str">
        <f t="shared" si="15"/>
        <v/>
      </c>
      <c r="BV25" s="188" t="str">
        <f t="shared" si="16"/>
        <v/>
      </c>
      <c r="BW25" s="188" t="str">
        <f t="shared" si="17"/>
        <v/>
      </c>
      <c r="BX25" s="188" t="str">
        <f t="shared" si="18"/>
        <v/>
      </c>
      <c r="BY25" s="188" t="str">
        <f t="shared" si="19"/>
        <v/>
      </c>
      <c r="BZ25" s="188" t="str">
        <f t="shared" si="20"/>
        <v/>
      </c>
      <c r="CA25" s="188" t="str">
        <f t="shared" si="21"/>
        <v/>
      </c>
      <c r="CB25" s="188" t="str">
        <f t="shared" si="22"/>
        <v/>
      </c>
      <c r="CC25" s="188" t="str">
        <f t="shared" si="23"/>
        <v/>
      </c>
      <c r="CD25" s="188" t="str">
        <f t="shared" si="24"/>
        <v/>
      </c>
      <c r="CE25" s="188" t="str">
        <f t="shared" si="25"/>
        <v/>
      </c>
      <c r="CF25" s="188" t="str">
        <f t="shared" si="26"/>
        <v/>
      </c>
      <c r="CG25" s="188" t="str">
        <f t="shared" si="27"/>
        <v/>
      </c>
      <c r="CH25" s="188" t="str">
        <f t="shared" si="28"/>
        <v/>
      </c>
      <c r="CY25" s="77" t="str">
        <f>IF(I25&lt;&gt;"",IF(H25="&lt;",IF(AND('Outfall 1 Limits'!$AM$16="Y",$BU$54&lt;&gt;"Y",I25&lt;='Outfall 1 Limits'!$AL$16),0,(1*I25)),I25),"")</f>
        <v/>
      </c>
      <c r="CZ25" s="29" t="str">
        <f>IF(K25&lt;&gt;"",IF(J25="&lt;",IF(AND('Outfall 1 Limits'!$AM$20="Y",$BV$54&lt;&gt;"Y",K25&lt;='Outfall 1 Limits'!$AL$20),0,(1*K25)),K25),"")</f>
        <v/>
      </c>
      <c r="DA25" s="29" t="str">
        <f>IF(M25&lt;&gt;"",IF(L25="&lt;",IF(AND('Outfall 1 Limits'!$AM$24="Y",$BW$54&lt;&gt;"Y",M25&lt;='Outfall 1 Limits'!$AL$24),0,(1*M25)),M25),"")</f>
        <v/>
      </c>
      <c r="DB25" s="29" t="str">
        <f>IF(O25&lt;&gt;"",IF(N25="&lt;",IF(AND('Outfall 1 Limits'!$AM$28="Y",$BX$54&lt;&gt;"Y",O25&lt;='Outfall 1 Limits'!$AL$28),0,(1*O25)),O25),"")</f>
        <v/>
      </c>
      <c r="DC25" s="29" t="str">
        <f>IF(Q25&lt;&gt;"",IF(P25="&lt;",IF(AND('Outfall 1 Limits'!$AM$32="Y",$BY$54&lt;&gt;"Y",Q25&lt;='Outfall 1 Limits'!$AL$32),0,(1*Q25)),Q25),"")</f>
        <v/>
      </c>
      <c r="DD25" s="29" t="str">
        <f>IF(S25&lt;&gt;"",IF(R25="&lt;",IF(AND('Outfall 1 Limits'!$AM$36="Y",$BZ$54&lt;&gt;"Y",S25&lt;='Outfall 1 Limits'!$AL$36),0,(1*S25)),S25),"")</f>
        <v/>
      </c>
      <c r="DE25" s="29" t="str">
        <f>IF(U25&lt;&gt;"",IF(T25="&lt;",IF(AND('Outfall 1 Limits'!$AM$40="Y",$CA$54&lt;&gt;"Y",U25&lt;='Outfall 1 Limits'!$AL$40),0,(1*U25)),U25),"")</f>
        <v/>
      </c>
      <c r="DF25" s="29" t="str">
        <f>IF(W25&lt;&gt;"",IF(V25="&lt;",IF(AND('Outfall 1 Limits'!$AM$44="Y",$CB$54&lt;&gt;"Y",W25&lt;='Outfall 1 Limits'!$AL$44),0,(1*W25)),W25),"")</f>
        <v/>
      </c>
      <c r="DG25" s="29" t="str">
        <f>IF(Y25&lt;&gt;"",IF(X25="&lt;",IF(AND('Outfall 1 Limits'!$AM$48="Y",$CC$54&lt;&gt;"Y",Y25&lt;='Outfall 1 Limits'!$AL$48),0,(1*Y25)),Y25),"")</f>
        <v/>
      </c>
      <c r="DH25" s="29" t="str">
        <f>IF(AA25&lt;&gt;"",IF(Z25="&lt;",IF(AND('Outfall 1 Limits'!$AM$52="Y",$CD$54&lt;&gt;"Y",AA25&lt;='Outfall 1 Limits'!$AL$52),0,(1*AA25)),AA25),"")</f>
        <v/>
      </c>
      <c r="DI25" s="29" t="str">
        <f>IF(AC25&lt;&gt;"",IF(AB25="&lt;",IF(AND('Outfall 1 Limits'!$AM$56="Y",$CE$54&lt;&gt;"Y",AC25&lt;='Outfall 1 Limits'!$AL$56),0,(1*AC25)),AC25),"")</f>
        <v/>
      </c>
      <c r="DJ25" s="29" t="str">
        <f>IF(AE25&lt;&gt;"",IF(AD25="&lt;",IF(AND('Outfall 1 Limits'!$AM$60="Y",$CF$54&lt;&gt;"Y",AE25&lt;='Outfall 1 Limits'!$AL$60),0,(1*AE25)),AE25),"")</f>
        <v/>
      </c>
      <c r="DK25" s="29" t="str">
        <f>IF(AG25&lt;&gt;"",IF(AF25="&lt;",IF(AND('Outfall 1 Limits'!$AM$64="Y",$CG$54&lt;&gt;"Y",AG25&lt;='Outfall 1 Limits'!$AL$64),0,(1*AG25)),AG25),"")</f>
        <v/>
      </c>
      <c r="DL25" s="29" t="str">
        <f>IF(AI25&lt;&gt;"",IF(AH25="&lt;",IF(AND('Outfall 1 Limits'!$AM$68="Y",$CH$54&lt;&gt;"Y",AI25&lt;='Outfall 1 Limits'!$AL$68),0,(1*AI25)),AI25),"")</f>
        <v/>
      </c>
      <c r="EB25" s="222" t="s">
        <v>382</v>
      </c>
      <c r="EC25" s="86">
        <f>MAX(EC20:EC24)</f>
        <v>0</v>
      </c>
      <c r="ED25" s="87">
        <f>MAX(ED20:ED24)</f>
        <v>0</v>
      </c>
      <c r="EE25" s="87">
        <f>MAX(EE20:EE24)</f>
        <v>0</v>
      </c>
      <c r="EF25" s="87">
        <f>MAX(EF20:EF24)</f>
        <v>0</v>
      </c>
      <c r="EG25" s="87">
        <f t="shared" ref="EG25:EP25" si="67">MAX(EG20:EG24)</f>
        <v>0</v>
      </c>
      <c r="EH25" s="87">
        <f t="shared" si="67"/>
        <v>0</v>
      </c>
      <c r="EI25" s="87">
        <f t="shared" si="67"/>
        <v>0</v>
      </c>
      <c r="EJ25" s="87">
        <f t="shared" si="67"/>
        <v>0</v>
      </c>
      <c r="EK25" s="87">
        <f t="shared" si="67"/>
        <v>0</v>
      </c>
      <c r="EL25" s="87">
        <f t="shared" si="67"/>
        <v>0</v>
      </c>
      <c r="EM25" s="87">
        <f t="shared" si="67"/>
        <v>0</v>
      </c>
      <c r="EN25" s="87">
        <f t="shared" si="67"/>
        <v>0</v>
      </c>
      <c r="EO25" s="87">
        <f t="shared" si="67"/>
        <v>0</v>
      </c>
      <c r="EP25" s="87">
        <f t="shared" si="67"/>
        <v>0</v>
      </c>
      <c r="FG25" s="77" t="str">
        <f>IF(AND($G25&lt;&gt;"",$G25&gt;0,'Outfall 1 Limits'!$AX$16="C1",I25&lt;&gt;""),I25*$G25*8.34,IF(AND($I25&lt;&gt;"",'Outfall 1 Limits'!$AX$16="L"),I25,""))</f>
        <v/>
      </c>
      <c r="FH25" s="29" t="str">
        <f>IF(AND($G25&lt;&gt;"",$G25&gt;0,'Outfall 1 Limits'!$AX$20="C1",$K25&lt;&gt;""),$K25*$G25*8.34,IF(AND($K25&lt;&gt;"",'Outfall 1 Limits'!$AX$20="L"),$K25,""))</f>
        <v/>
      </c>
      <c r="FI25" s="29" t="str">
        <f>IF(AND($G25&lt;&gt;"",$G25&gt;0,'Outfall 1 Limits'!$AX$24="C1",$M25&lt;&gt;""),$M25*$G25*8.34,IF(AND($M25&lt;&gt;"",'Outfall 1 Limits'!$AX$24="L"),$M25,""))</f>
        <v/>
      </c>
      <c r="FJ25" s="29" t="str">
        <f>IF(AND($G25&lt;&gt;"",$G25&gt;0,'Outfall 1 Limits'!$AX$28="C1",$O25&lt;&gt;""),$O25*$G25*8.34,IF(AND($O25&lt;&gt;"",'Outfall 1 Limits'!$AX$28="L"),$O25,""))</f>
        <v/>
      </c>
      <c r="FK25" s="29" t="str">
        <f>IF(AND($G25&lt;&gt;"",$G25&gt;0,'Outfall 1 Limits'!$AX$32="C1",$Q25&lt;&gt;""),$Q25*$G25*8.34,IF(AND($Q25&lt;&gt;"",'Outfall 1 Limits'!$AX$32="L"),$Q25,""))</f>
        <v/>
      </c>
      <c r="FL25" s="29" t="str">
        <f>IF(AND($G25&lt;&gt;"",$G25&gt;0,'Outfall 1 Limits'!$AX$36="C1",$S25&lt;&gt;""),$S25*$G25*8.34,IF(AND($S25&lt;&gt;"",'Outfall 1 Limits'!$AX$36="L"),$S25,""))</f>
        <v/>
      </c>
      <c r="FM25" s="29" t="str">
        <f>IF(AND($G25&lt;&gt;"",$G25&gt;0,'Outfall 1 Limits'!$AX$40="C1",$U25&lt;&gt;""),$U25*$G25*8.34,IF(AND($U25&lt;&gt;"",'Outfall 1 Limits'!$AX$40="L"),$U25,""))</f>
        <v/>
      </c>
      <c r="FN25" s="29" t="str">
        <f>IF(AND($G25&lt;&gt;"",$G25&gt;0,'Outfall 1 Limits'!$AX$44="C1",$W25&lt;&gt;""),$W25*$G25*8.34,IF(AND($W25&lt;&gt;"",'Outfall 1 Limits'!$AX$44="L"),$W25,""))</f>
        <v/>
      </c>
      <c r="FO25" s="29" t="str">
        <f>IF(AND($G25&lt;&gt;"",$G25&gt;0,'Outfall 1 Limits'!$AX$48="C1",$Y25&lt;&gt;""),$Y25*$G25*8.34,IF(AND($Y25&lt;&gt;"",'Outfall 1 Limits'!$AX$48="L"),$Y25,""))</f>
        <v/>
      </c>
      <c r="FP25" s="29" t="str">
        <f>IF(AND($G25&lt;&gt;"",$G25&gt;0,'Outfall 1 Limits'!$AX$52="C1",$AA25&lt;&gt;""),$AA25*$G25*8.34,IF(AND($AA25&lt;&gt;"",'Outfall 1 Limits'!$AX$52="L"),$AA25,""))</f>
        <v/>
      </c>
      <c r="FQ25" s="29" t="str">
        <f>IF(AND($G25&lt;&gt;"",$G25&gt;0,'Outfall 1 Limits'!$AX$56="C1",$AC25&lt;&gt;""),$AC25*$G25*8.34,IF(AND($AC25&lt;&gt;"",'Outfall 1 Limits'!$AX$56="L"),$AC25,""))</f>
        <v/>
      </c>
      <c r="FR25" s="29" t="str">
        <f>IF(AND($G25&lt;&gt;"",$G25&gt;0,'Outfall 1 Limits'!$AX$60="C1",$AE25&lt;&gt;""),$AE25*$G25*8.34,IF(AND($AE25&lt;&gt;"",'Outfall 1 Limits'!$AX$60="L"),$AE25,""))</f>
        <v/>
      </c>
      <c r="FS25" s="29" t="str">
        <f>IF(AND($G25&lt;&gt;"",$G25&gt;0,'Outfall 1 Limits'!$AX$64="C1",$AG25&lt;&gt;""),$AG25*$G25*8.34,IF(AND($AG25&lt;&gt;"",'Outfall 1 Limits'!$AX$64="L"),$AG25,""))</f>
        <v/>
      </c>
      <c r="FT25" s="29" t="str">
        <f>IF(AND($G25&lt;&gt;"",$G25&gt;0,'Outfall 1 Limits'!$AX$68="C1",$AI25&lt;&gt;""),$AI25*$G25*8.34,IF(AND($AI25&lt;&gt;"",'Outfall 1 Limits'!$AX$68="L"),$AI25,""))</f>
        <v/>
      </c>
      <c r="GJ25" s="29" t="str">
        <f t="shared" si="29"/>
        <v/>
      </c>
      <c r="GK25" s="77" t="str">
        <f>IF(AND($G25&lt;&gt;"",$G25&gt;0,'Outfall 1 Limits'!$AX$16="C1",CY25&lt;&gt;""),CY25*$G25*8.34,IF(AND(CY25&lt;&gt;"",'Outfall 1 Limits'!$AX$16="L"),CY25,""))</f>
        <v/>
      </c>
      <c r="GL25" s="29" t="str">
        <f>IF(AND($G25&lt;&gt;"",$G25&gt;0,'Outfall 1 Limits'!$AX$20="C1",CZ25&lt;&gt;""),CZ25*$G25*8.34,IF(AND(CZ25&lt;&gt;"",'Outfall 1 Limits'!$AX$20="L"),CZ25,""))</f>
        <v/>
      </c>
      <c r="GM25" s="29" t="str">
        <f>IF(AND($G25&lt;&gt;"",$G25&gt;0,'Outfall 1 Limits'!$AX$24="C1",DA25&lt;&gt;""),DA25*$G25*8.34,IF(AND(DA25&lt;&gt;"",'Outfall 1 Limits'!$AX$24="L"),DA25,""))</f>
        <v/>
      </c>
      <c r="GN25" s="29" t="str">
        <f>IF(AND($G25&lt;&gt;"",$G25&gt;0,'Outfall 1 Limits'!$AX$28="C1",DB25&lt;&gt;""),DB25*$G25*8.34,IF(AND(DB25&lt;&gt;"",'Outfall 1 Limits'!$AX$28="L"),DB25,""))</f>
        <v/>
      </c>
      <c r="GO25" s="29" t="str">
        <f>IF(AND($G25&lt;&gt;"",$G25&gt;0,'Outfall 1 Limits'!$AX$32="C1",DC25&lt;&gt;""),DC25*$G25*8.34,IF(AND(DC25&lt;&gt;"",'Outfall 1 Limits'!$AX$32="L"),DC25,""))</f>
        <v/>
      </c>
      <c r="GP25" s="29" t="str">
        <f>IF(AND($G25&lt;&gt;"",$G25&gt;0,'Outfall 1 Limits'!$AX$36="C1",DD25&lt;&gt;""),DD25*$G25*8.34,IF(AND(DD25&lt;&gt;"",'Outfall 1 Limits'!$AX$36="L"),DD25,""))</f>
        <v/>
      </c>
      <c r="GQ25" s="29" t="str">
        <f>IF(AND($G25&lt;&gt;"",$G25&gt;0,'Outfall 1 Limits'!$AX$40="C1",DE25&lt;&gt;""),DE25*$G25*8.34,IF(AND(DE25&lt;&gt;"",'Outfall 1 Limits'!$AX$40="L"),DE25,""))</f>
        <v/>
      </c>
      <c r="GR25" s="29" t="str">
        <f>IF(AND($G25&lt;&gt;"",$G25&gt;0,'Outfall 1 Limits'!$AX$44="C1",DF25&lt;&gt;""),DF25*$G25*8.34,IF(AND(DF25&lt;&gt;"",'Outfall 1 Limits'!$AX$44="L"),DF25,""))</f>
        <v/>
      </c>
      <c r="GS25" s="29" t="str">
        <f>IF(AND($G25&lt;&gt;"",$G25&gt;0,'Outfall 1 Limits'!$AX$48="C1",DG25&lt;&gt;""),DG25*$G25*8.34,IF(AND(DG25&lt;&gt;"",'Outfall 1 Limits'!$AX$48="L"),DG25,""))</f>
        <v/>
      </c>
      <c r="GT25" s="29" t="str">
        <f>IF(AND($G25&lt;&gt;"",$G25&gt;0,'Outfall 1 Limits'!$AX$52="C1",DH25&lt;&gt;""),DH25*$G25*8.34,IF(AND(DH25&lt;&gt;"",'Outfall 1 Limits'!$AX$52="L"),DH25,""))</f>
        <v/>
      </c>
      <c r="GU25" s="29" t="str">
        <f>IF(AND($G25&lt;&gt;"",$G25&gt;0,'Outfall 1 Limits'!$AX$56="C1",DI25&lt;&gt;""),DI25*$G25*8.34,IF(AND(DI25&lt;&gt;"",'Outfall 1 Limits'!$AX$56="L"),DI25,""))</f>
        <v/>
      </c>
      <c r="GV25" s="29" t="str">
        <f>IF(AND($G25&lt;&gt;"",$G25&gt;0,'Outfall 1 Limits'!$AX$60="C1",DJ25&lt;&gt;""),DJ25*$G25*8.34,IF(AND(DJ25&lt;&gt;"",'Outfall 1 Limits'!$AX$60="L"),DJ25,""))</f>
        <v/>
      </c>
      <c r="GW25" s="29" t="str">
        <f>IF(AND($G25&lt;&gt;"",$G25&gt;0,'Outfall 1 Limits'!$AX$64="C1",DK25&lt;&gt;""),DK25*$G25*8.34,IF(AND(DK25&lt;&gt;"",'Outfall 1 Limits'!$AX$64="L"),DK25,""))</f>
        <v/>
      </c>
      <c r="GX25" s="29" t="str">
        <f>IF(AND($G25&lt;&gt;"",$G25&gt;0,'Outfall 1 Limits'!$AX$68="C1",DL25&lt;&gt;""),DL25*$G25*8.34,IF(AND(DL25&lt;&gt;"",'Outfall 1 Limits'!$AX$68="L"),DL25,""))</f>
        <v/>
      </c>
      <c r="HO25" s="98" t="str">
        <f t="shared" si="30"/>
        <v/>
      </c>
      <c r="HS25" s="68" t="str">
        <f t="shared" si="31"/>
        <v/>
      </c>
      <c r="HT25" s="188" t="str">
        <f t="shared" si="32"/>
        <v/>
      </c>
      <c r="HU25" s="188" t="str">
        <f t="shared" si="33"/>
        <v/>
      </c>
      <c r="HV25" s="188" t="str">
        <f t="shared" si="34"/>
        <v/>
      </c>
      <c r="HW25" s="188" t="str">
        <f t="shared" si="35"/>
        <v/>
      </c>
      <c r="HX25" s="188" t="str">
        <f t="shared" si="36"/>
        <v/>
      </c>
      <c r="HY25" s="188" t="str">
        <f t="shared" si="37"/>
        <v/>
      </c>
      <c r="HZ25" s="188" t="str">
        <f t="shared" si="38"/>
        <v/>
      </c>
      <c r="IA25" s="188" t="str">
        <f t="shared" si="39"/>
        <v/>
      </c>
      <c r="IB25" s="188" t="str">
        <f t="shared" si="40"/>
        <v/>
      </c>
      <c r="IC25" s="188" t="str">
        <f t="shared" si="41"/>
        <v/>
      </c>
      <c r="ID25" s="188" t="str">
        <f t="shared" si="42"/>
        <v/>
      </c>
      <c r="IE25" s="188" t="str">
        <f t="shared" si="43"/>
        <v/>
      </c>
      <c r="IF25" s="188" t="str">
        <f t="shared" si="44"/>
        <v/>
      </c>
      <c r="IX25" s="68" t="str">
        <f t="shared" si="45"/>
        <v/>
      </c>
      <c r="IY25" s="188" t="str">
        <f t="shared" si="46"/>
        <v/>
      </c>
      <c r="IZ25" s="188" t="str">
        <f t="shared" si="47"/>
        <v/>
      </c>
      <c r="JA25" s="188" t="str">
        <f t="shared" si="48"/>
        <v/>
      </c>
      <c r="JB25" s="188" t="str">
        <f t="shared" si="49"/>
        <v/>
      </c>
      <c r="JC25" s="188" t="str">
        <f t="shared" si="50"/>
        <v/>
      </c>
      <c r="JD25" s="188" t="str">
        <f t="shared" si="51"/>
        <v/>
      </c>
      <c r="JE25" s="188" t="str">
        <f t="shared" si="52"/>
        <v/>
      </c>
      <c r="JF25" s="188" t="str">
        <f t="shared" si="53"/>
        <v/>
      </c>
      <c r="JG25" s="188" t="str">
        <f t="shared" si="54"/>
        <v/>
      </c>
      <c r="JH25" s="188" t="str">
        <f t="shared" si="55"/>
        <v/>
      </c>
      <c r="JI25" s="188" t="str">
        <f t="shared" si="56"/>
        <v/>
      </c>
      <c r="JJ25" s="188" t="str">
        <f t="shared" si="57"/>
        <v/>
      </c>
      <c r="JK25" s="188" t="str">
        <f t="shared" si="58"/>
        <v/>
      </c>
      <c r="KA25" s="188"/>
      <c r="KB25" s="2"/>
      <c r="KC25" s="226"/>
      <c r="KD25" s="164" t="str">
        <f t="shared" si="1"/>
        <v/>
      </c>
      <c r="KE25" s="188" t="str">
        <f t="shared" si="2"/>
        <v/>
      </c>
      <c r="KF25" s="188" t="str">
        <f t="shared" si="3"/>
        <v/>
      </c>
      <c r="KG25" s="188" t="str">
        <f t="shared" si="4"/>
        <v/>
      </c>
      <c r="KH25" s="188" t="str">
        <f t="shared" si="5"/>
        <v/>
      </c>
      <c r="KI25" s="188" t="str">
        <f t="shared" si="6"/>
        <v/>
      </c>
      <c r="KJ25" s="188" t="str">
        <f t="shared" si="7"/>
        <v/>
      </c>
      <c r="KK25" s="188" t="str">
        <f t="shared" si="8"/>
        <v/>
      </c>
      <c r="KL25" s="188" t="str">
        <f t="shared" si="9"/>
        <v/>
      </c>
      <c r="KM25" s="188" t="str">
        <f t="shared" si="10"/>
        <v/>
      </c>
      <c r="KN25" s="188" t="str">
        <f t="shared" si="11"/>
        <v/>
      </c>
      <c r="KO25" s="188" t="str">
        <f t="shared" si="12"/>
        <v/>
      </c>
      <c r="KP25" s="188" t="str">
        <f t="shared" si="13"/>
        <v/>
      </c>
      <c r="KQ25" s="188" t="str">
        <f t="shared" si="14"/>
        <v/>
      </c>
    </row>
    <row r="26" spans="1:303" s="18" customFormat="1" ht="11.45" customHeight="1" x14ac:dyDescent="0.2">
      <c r="A26" s="38"/>
      <c r="B26" s="48"/>
      <c r="C26" s="421">
        <f t="shared" si="0"/>
        <v>45300</v>
      </c>
      <c r="D26" s="421"/>
      <c r="E26" s="422">
        <f t="shared" si="59"/>
        <v>45300</v>
      </c>
      <c r="F26" s="423"/>
      <c r="G26" s="31"/>
      <c r="H26" s="45"/>
      <c r="I26" s="44"/>
      <c r="J26" s="45"/>
      <c r="K26" s="44"/>
      <c r="L26" s="45"/>
      <c r="M26" s="44"/>
      <c r="N26" s="45"/>
      <c r="O26" s="44"/>
      <c r="P26" s="45"/>
      <c r="Q26" s="44"/>
      <c r="R26" s="45"/>
      <c r="S26" s="44"/>
      <c r="T26" s="45"/>
      <c r="U26" s="44"/>
      <c r="V26" s="45"/>
      <c r="W26" s="44"/>
      <c r="X26" s="45"/>
      <c r="Y26" s="44"/>
      <c r="Z26" s="45"/>
      <c r="AA26" s="44"/>
      <c r="AB26" s="45"/>
      <c r="AC26" s="44"/>
      <c r="AD26" s="45"/>
      <c r="AE26" s="44"/>
      <c r="AF26" s="45"/>
      <c r="AG26" s="44"/>
      <c r="AH26" s="45"/>
      <c r="AI26" s="127"/>
      <c r="AJ26" s="236"/>
      <c r="BO26" s="188"/>
      <c r="BP26" s="267">
        <v>2045</v>
      </c>
      <c r="BQ26" s="224" t="s">
        <v>41</v>
      </c>
      <c r="BR26" s="225"/>
      <c r="BS26" s="188" t="s">
        <v>1113</v>
      </c>
      <c r="BU26" s="68" t="str">
        <f t="shared" si="15"/>
        <v/>
      </c>
      <c r="BV26" s="188" t="str">
        <f t="shared" si="16"/>
        <v/>
      </c>
      <c r="BW26" s="188" t="str">
        <f t="shared" si="17"/>
        <v/>
      </c>
      <c r="BX26" s="188" t="str">
        <f t="shared" si="18"/>
        <v/>
      </c>
      <c r="BY26" s="188" t="str">
        <f t="shared" si="19"/>
        <v/>
      </c>
      <c r="BZ26" s="188" t="str">
        <f t="shared" si="20"/>
        <v/>
      </c>
      <c r="CA26" s="188" t="str">
        <f t="shared" si="21"/>
        <v/>
      </c>
      <c r="CB26" s="188" t="str">
        <f t="shared" si="22"/>
        <v/>
      </c>
      <c r="CC26" s="188" t="str">
        <f t="shared" si="23"/>
        <v/>
      </c>
      <c r="CD26" s="188" t="str">
        <f t="shared" si="24"/>
        <v/>
      </c>
      <c r="CE26" s="188" t="str">
        <f t="shared" si="25"/>
        <v/>
      </c>
      <c r="CF26" s="188" t="str">
        <f t="shared" si="26"/>
        <v/>
      </c>
      <c r="CG26" s="188" t="str">
        <f t="shared" si="27"/>
        <v/>
      </c>
      <c r="CH26" s="188" t="str">
        <f t="shared" si="28"/>
        <v/>
      </c>
      <c r="CY26" s="77" t="str">
        <f>IF(I26&lt;&gt;"",IF(H26="&lt;",IF(AND('Outfall 1 Limits'!$AM$16="Y",$BU$54&lt;&gt;"Y",I26&lt;='Outfall 1 Limits'!$AL$16),0,(1*I26)),I26),"")</f>
        <v/>
      </c>
      <c r="CZ26" s="29" t="str">
        <f>IF(K26&lt;&gt;"",IF(J26="&lt;",IF(AND('Outfall 1 Limits'!$AM$20="Y",$BV$54&lt;&gt;"Y",K26&lt;='Outfall 1 Limits'!$AL$20),0,(1*K26)),K26),"")</f>
        <v/>
      </c>
      <c r="DA26" s="29" t="str">
        <f>IF(M26&lt;&gt;"",IF(L26="&lt;",IF(AND('Outfall 1 Limits'!$AM$24="Y",$BW$54&lt;&gt;"Y",M26&lt;='Outfall 1 Limits'!$AL$24),0,(1*M26)),M26),"")</f>
        <v/>
      </c>
      <c r="DB26" s="29" t="str">
        <f>IF(O26&lt;&gt;"",IF(N26="&lt;",IF(AND('Outfall 1 Limits'!$AM$28="Y",$BX$54&lt;&gt;"Y",O26&lt;='Outfall 1 Limits'!$AL$28),0,(1*O26)),O26),"")</f>
        <v/>
      </c>
      <c r="DC26" s="29" t="str">
        <f>IF(Q26&lt;&gt;"",IF(P26="&lt;",IF(AND('Outfall 1 Limits'!$AM$32="Y",$BY$54&lt;&gt;"Y",Q26&lt;='Outfall 1 Limits'!$AL$32),0,(1*Q26)),Q26),"")</f>
        <v/>
      </c>
      <c r="DD26" s="29" t="str">
        <f>IF(S26&lt;&gt;"",IF(R26="&lt;",IF(AND('Outfall 1 Limits'!$AM$36="Y",$BZ$54&lt;&gt;"Y",S26&lt;='Outfall 1 Limits'!$AL$36),0,(1*S26)),S26),"")</f>
        <v/>
      </c>
      <c r="DE26" s="29" t="str">
        <f>IF(U26&lt;&gt;"",IF(T26="&lt;",IF(AND('Outfall 1 Limits'!$AM$40="Y",$CA$54&lt;&gt;"Y",U26&lt;='Outfall 1 Limits'!$AL$40),0,(1*U26)),U26),"")</f>
        <v/>
      </c>
      <c r="DF26" s="29" t="str">
        <f>IF(W26&lt;&gt;"",IF(V26="&lt;",IF(AND('Outfall 1 Limits'!$AM$44="Y",$CB$54&lt;&gt;"Y",W26&lt;='Outfall 1 Limits'!$AL$44),0,(1*W26)),W26),"")</f>
        <v/>
      </c>
      <c r="DG26" s="29" t="str">
        <f>IF(Y26&lt;&gt;"",IF(X26="&lt;",IF(AND('Outfall 1 Limits'!$AM$48="Y",$CC$54&lt;&gt;"Y",Y26&lt;='Outfall 1 Limits'!$AL$48),0,(1*Y26)),Y26),"")</f>
        <v/>
      </c>
      <c r="DH26" s="29" t="str">
        <f>IF(AA26&lt;&gt;"",IF(Z26="&lt;",IF(AND('Outfall 1 Limits'!$AM$52="Y",$CD$54&lt;&gt;"Y",AA26&lt;='Outfall 1 Limits'!$AL$52),0,(1*AA26)),AA26),"")</f>
        <v/>
      </c>
      <c r="DI26" s="29" t="str">
        <f>IF(AC26&lt;&gt;"",IF(AB26="&lt;",IF(AND('Outfall 1 Limits'!$AM$56="Y",$CE$54&lt;&gt;"Y",AC26&lt;='Outfall 1 Limits'!$AL$56),0,(1*AC26)),AC26),"")</f>
        <v/>
      </c>
      <c r="DJ26" s="29" t="str">
        <f>IF(AE26&lt;&gt;"",IF(AD26="&lt;",IF(AND('Outfall 1 Limits'!$AM$60="Y",$CF$54&lt;&gt;"Y",AE26&lt;='Outfall 1 Limits'!$AL$60),0,(1*AE26)),AE26),"")</f>
        <v/>
      </c>
      <c r="DK26" s="29" t="str">
        <f>IF(AG26&lt;&gt;"",IF(AF26="&lt;",IF(AND('Outfall 1 Limits'!$AM$64="Y",$CG$54&lt;&gt;"Y",AG26&lt;='Outfall 1 Limits'!$AL$64),0,(1*AG26)),AG26),"")</f>
        <v/>
      </c>
      <c r="DL26" s="29" t="str">
        <f>IF(AI26&lt;&gt;"",IF(AH26="&lt;",IF(AND('Outfall 1 Limits'!$AM$68="Y",$CH$54&lt;&gt;"Y",AI26&lt;='Outfall 1 Limits'!$AL$68),0,(1*AI26)),AI26),"")</f>
        <v/>
      </c>
      <c r="EB26" s="222"/>
      <c r="EC26" s="68"/>
      <c r="ED26" s="188"/>
      <c r="EE26" s="188"/>
      <c r="EF26" s="188"/>
      <c r="EG26" s="188"/>
      <c r="EH26" s="188"/>
      <c r="EI26" s="188"/>
      <c r="EJ26" s="188"/>
      <c r="EK26" s="188"/>
      <c r="EL26" s="188"/>
      <c r="EM26" s="188"/>
      <c r="EN26" s="188"/>
      <c r="EO26" s="188"/>
      <c r="EP26" s="188"/>
      <c r="FG26" s="77" t="str">
        <f>IF(AND($G26&lt;&gt;"",$G26&gt;0,'Outfall 1 Limits'!$AX$16="C1",I26&lt;&gt;""),I26*$G26*8.34,IF(AND($I26&lt;&gt;"",'Outfall 1 Limits'!$AX$16="L"),I26,""))</f>
        <v/>
      </c>
      <c r="FH26" s="29" t="str">
        <f>IF(AND($G26&lt;&gt;"",$G26&gt;0,'Outfall 1 Limits'!$AX$20="C1",$K26&lt;&gt;""),$K26*$G26*8.34,IF(AND($K26&lt;&gt;"",'Outfall 1 Limits'!$AX$20="L"),$K26,""))</f>
        <v/>
      </c>
      <c r="FI26" s="29" t="str">
        <f>IF(AND($G26&lt;&gt;"",$G26&gt;0,'Outfall 1 Limits'!$AX$24="C1",$M26&lt;&gt;""),$M26*$G26*8.34,IF(AND($M26&lt;&gt;"",'Outfall 1 Limits'!$AX$24="L"),$M26,""))</f>
        <v/>
      </c>
      <c r="FJ26" s="29" t="str">
        <f>IF(AND($G26&lt;&gt;"",$G26&gt;0,'Outfall 1 Limits'!$AX$28="C1",$O26&lt;&gt;""),$O26*$G26*8.34,IF(AND($O26&lt;&gt;"",'Outfall 1 Limits'!$AX$28="L"),$O26,""))</f>
        <v/>
      </c>
      <c r="FK26" s="29" t="str">
        <f>IF(AND($G26&lt;&gt;"",$G26&gt;0,'Outfall 1 Limits'!$AX$32="C1",$Q26&lt;&gt;""),$Q26*$G26*8.34,IF(AND($Q26&lt;&gt;"",'Outfall 1 Limits'!$AX$32="L"),$Q26,""))</f>
        <v/>
      </c>
      <c r="FL26" s="29" t="str">
        <f>IF(AND($G26&lt;&gt;"",$G26&gt;0,'Outfall 1 Limits'!$AX$36="C1",$S26&lt;&gt;""),$S26*$G26*8.34,IF(AND($S26&lt;&gt;"",'Outfall 1 Limits'!$AX$36="L"),$S26,""))</f>
        <v/>
      </c>
      <c r="FM26" s="29" t="str">
        <f>IF(AND($G26&lt;&gt;"",$G26&gt;0,'Outfall 1 Limits'!$AX$40="C1",$U26&lt;&gt;""),$U26*$G26*8.34,IF(AND($U26&lt;&gt;"",'Outfall 1 Limits'!$AX$40="L"),$U26,""))</f>
        <v/>
      </c>
      <c r="FN26" s="29" t="str">
        <f>IF(AND($G26&lt;&gt;"",$G26&gt;0,'Outfall 1 Limits'!$AX$44="C1",$W26&lt;&gt;""),$W26*$G26*8.34,IF(AND($W26&lt;&gt;"",'Outfall 1 Limits'!$AX$44="L"),$W26,""))</f>
        <v/>
      </c>
      <c r="FO26" s="29" t="str">
        <f>IF(AND($G26&lt;&gt;"",$G26&gt;0,'Outfall 1 Limits'!$AX$48="C1",$Y26&lt;&gt;""),$Y26*$G26*8.34,IF(AND($Y26&lt;&gt;"",'Outfall 1 Limits'!$AX$48="L"),$Y26,""))</f>
        <v/>
      </c>
      <c r="FP26" s="29" t="str">
        <f>IF(AND($G26&lt;&gt;"",$G26&gt;0,'Outfall 1 Limits'!$AX$52="C1",$AA26&lt;&gt;""),$AA26*$G26*8.34,IF(AND($AA26&lt;&gt;"",'Outfall 1 Limits'!$AX$52="L"),$AA26,""))</f>
        <v/>
      </c>
      <c r="FQ26" s="29" t="str">
        <f>IF(AND($G26&lt;&gt;"",$G26&gt;0,'Outfall 1 Limits'!$AX$56="C1",$AC26&lt;&gt;""),$AC26*$G26*8.34,IF(AND($AC26&lt;&gt;"",'Outfall 1 Limits'!$AX$56="L"),$AC26,""))</f>
        <v/>
      </c>
      <c r="FR26" s="29" t="str">
        <f>IF(AND($G26&lt;&gt;"",$G26&gt;0,'Outfall 1 Limits'!$AX$60="C1",$AE26&lt;&gt;""),$AE26*$G26*8.34,IF(AND($AE26&lt;&gt;"",'Outfall 1 Limits'!$AX$60="L"),$AE26,""))</f>
        <v/>
      </c>
      <c r="FS26" s="29" t="str">
        <f>IF(AND($G26&lt;&gt;"",$G26&gt;0,'Outfall 1 Limits'!$AX$64="C1",$AG26&lt;&gt;""),$AG26*$G26*8.34,IF(AND($AG26&lt;&gt;"",'Outfall 1 Limits'!$AX$64="L"),$AG26,""))</f>
        <v/>
      </c>
      <c r="FT26" s="29" t="str">
        <f>IF(AND($G26&lt;&gt;"",$G26&gt;0,'Outfall 1 Limits'!$AX$68="C1",$AI26&lt;&gt;""),$AI26*$G26*8.34,IF(AND($AI26&lt;&gt;"",'Outfall 1 Limits'!$AX$68="L"),$AI26,""))</f>
        <v/>
      </c>
      <c r="GJ26" s="29" t="str">
        <f t="shared" si="29"/>
        <v/>
      </c>
      <c r="GK26" s="77" t="str">
        <f>IF(AND($G26&lt;&gt;"",$G26&gt;0,'Outfall 1 Limits'!$AX$16="C1",CY26&lt;&gt;""),CY26*$G26*8.34,IF(AND(CY26&lt;&gt;"",'Outfall 1 Limits'!$AX$16="L"),CY26,""))</f>
        <v/>
      </c>
      <c r="GL26" s="29" t="str">
        <f>IF(AND($G26&lt;&gt;"",$G26&gt;0,'Outfall 1 Limits'!$AX$20="C1",CZ26&lt;&gt;""),CZ26*$G26*8.34,IF(AND(CZ26&lt;&gt;"",'Outfall 1 Limits'!$AX$20="L"),CZ26,""))</f>
        <v/>
      </c>
      <c r="GM26" s="29" t="str">
        <f>IF(AND($G26&lt;&gt;"",$G26&gt;0,'Outfall 1 Limits'!$AX$24="C1",DA26&lt;&gt;""),DA26*$G26*8.34,IF(AND(DA26&lt;&gt;"",'Outfall 1 Limits'!$AX$24="L"),DA26,""))</f>
        <v/>
      </c>
      <c r="GN26" s="29" t="str">
        <f>IF(AND($G26&lt;&gt;"",$G26&gt;0,'Outfall 1 Limits'!$AX$28="C1",DB26&lt;&gt;""),DB26*$G26*8.34,IF(AND(DB26&lt;&gt;"",'Outfall 1 Limits'!$AX$28="L"),DB26,""))</f>
        <v/>
      </c>
      <c r="GO26" s="29" t="str">
        <f>IF(AND($G26&lt;&gt;"",$G26&gt;0,'Outfall 1 Limits'!$AX$32="C1",DC26&lt;&gt;""),DC26*$G26*8.34,IF(AND(DC26&lt;&gt;"",'Outfall 1 Limits'!$AX$32="L"),DC26,""))</f>
        <v/>
      </c>
      <c r="GP26" s="29" t="str">
        <f>IF(AND($G26&lt;&gt;"",$G26&gt;0,'Outfall 1 Limits'!$AX$36="C1",DD26&lt;&gt;""),DD26*$G26*8.34,IF(AND(DD26&lt;&gt;"",'Outfall 1 Limits'!$AX$36="L"),DD26,""))</f>
        <v/>
      </c>
      <c r="GQ26" s="29" t="str">
        <f>IF(AND($G26&lt;&gt;"",$G26&gt;0,'Outfall 1 Limits'!$AX$40="C1",DE26&lt;&gt;""),DE26*$G26*8.34,IF(AND(DE26&lt;&gt;"",'Outfall 1 Limits'!$AX$40="L"),DE26,""))</f>
        <v/>
      </c>
      <c r="GR26" s="29" t="str">
        <f>IF(AND($G26&lt;&gt;"",$G26&gt;0,'Outfall 1 Limits'!$AX$44="C1",DF26&lt;&gt;""),DF26*$G26*8.34,IF(AND(DF26&lt;&gt;"",'Outfall 1 Limits'!$AX$44="L"),DF26,""))</f>
        <v/>
      </c>
      <c r="GS26" s="29" t="str">
        <f>IF(AND($G26&lt;&gt;"",$G26&gt;0,'Outfall 1 Limits'!$AX$48="C1",DG26&lt;&gt;""),DG26*$G26*8.34,IF(AND(DG26&lt;&gt;"",'Outfall 1 Limits'!$AX$48="L"),DG26,""))</f>
        <v/>
      </c>
      <c r="GT26" s="29" t="str">
        <f>IF(AND($G26&lt;&gt;"",$G26&gt;0,'Outfall 1 Limits'!$AX$52="C1",DH26&lt;&gt;""),DH26*$G26*8.34,IF(AND(DH26&lt;&gt;"",'Outfall 1 Limits'!$AX$52="L"),DH26,""))</f>
        <v/>
      </c>
      <c r="GU26" s="29" t="str">
        <f>IF(AND($G26&lt;&gt;"",$G26&gt;0,'Outfall 1 Limits'!$AX$56="C1",DI26&lt;&gt;""),DI26*$G26*8.34,IF(AND(DI26&lt;&gt;"",'Outfall 1 Limits'!$AX$56="L"),DI26,""))</f>
        <v/>
      </c>
      <c r="GV26" s="29" t="str">
        <f>IF(AND($G26&lt;&gt;"",$G26&gt;0,'Outfall 1 Limits'!$AX$60="C1",DJ26&lt;&gt;""),DJ26*$G26*8.34,IF(AND(DJ26&lt;&gt;"",'Outfall 1 Limits'!$AX$60="L"),DJ26,""))</f>
        <v/>
      </c>
      <c r="GW26" s="29" t="str">
        <f>IF(AND($G26&lt;&gt;"",$G26&gt;0,'Outfall 1 Limits'!$AX$64="C1",DK26&lt;&gt;""),DK26*$G26*8.34,IF(AND(DK26&lt;&gt;"",'Outfall 1 Limits'!$AX$64="L"),DK26,""))</f>
        <v/>
      </c>
      <c r="GX26" s="29" t="str">
        <f>IF(AND($G26&lt;&gt;"",$G26&gt;0,'Outfall 1 Limits'!$AX$68="C1",DL26&lt;&gt;""),DL26*$G26*8.34,IF(AND(DL26&lt;&gt;"",'Outfall 1 Limits'!$AX$68="L"),DL26,""))</f>
        <v/>
      </c>
      <c r="HO26" s="98" t="str">
        <f t="shared" si="30"/>
        <v/>
      </c>
      <c r="HS26" s="68" t="str">
        <f t="shared" si="31"/>
        <v/>
      </c>
      <c r="HT26" s="188" t="str">
        <f t="shared" si="32"/>
        <v/>
      </c>
      <c r="HU26" s="188" t="str">
        <f t="shared" si="33"/>
        <v/>
      </c>
      <c r="HV26" s="188" t="str">
        <f t="shared" si="34"/>
        <v/>
      </c>
      <c r="HW26" s="188" t="str">
        <f t="shared" si="35"/>
        <v/>
      </c>
      <c r="HX26" s="188" t="str">
        <f t="shared" si="36"/>
        <v/>
      </c>
      <c r="HY26" s="188" t="str">
        <f t="shared" si="37"/>
        <v/>
      </c>
      <c r="HZ26" s="188" t="str">
        <f t="shared" si="38"/>
        <v/>
      </c>
      <c r="IA26" s="188" t="str">
        <f t="shared" si="39"/>
        <v/>
      </c>
      <c r="IB26" s="188" t="str">
        <f t="shared" si="40"/>
        <v/>
      </c>
      <c r="IC26" s="188" t="str">
        <f t="shared" si="41"/>
        <v/>
      </c>
      <c r="ID26" s="188" t="str">
        <f t="shared" si="42"/>
        <v/>
      </c>
      <c r="IE26" s="188" t="str">
        <f t="shared" si="43"/>
        <v/>
      </c>
      <c r="IF26" s="188" t="str">
        <f t="shared" si="44"/>
        <v/>
      </c>
      <c r="IX26" s="68" t="str">
        <f t="shared" si="45"/>
        <v/>
      </c>
      <c r="IY26" s="188" t="str">
        <f t="shared" si="46"/>
        <v/>
      </c>
      <c r="IZ26" s="188" t="str">
        <f t="shared" si="47"/>
        <v/>
      </c>
      <c r="JA26" s="188" t="str">
        <f t="shared" si="48"/>
        <v/>
      </c>
      <c r="JB26" s="188" t="str">
        <f t="shared" si="49"/>
        <v/>
      </c>
      <c r="JC26" s="188" t="str">
        <f t="shared" si="50"/>
        <v/>
      </c>
      <c r="JD26" s="188" t="str">
        <f t="shared" si="51"/>
        <v/>
      </c>
      <c r="JE26" s="188" t="str">
        <f t="shared" si="52"/>
        <v/>
      </c>
      <c r="JF26" s="188" t="str">
        <f t="shared" si="53"/>
        <v/>
      </c>
      <c r="JG26" s="188" t="str">
        <f t="shared" si="54"/>
        <v/>
      </c>
      <c r="JH26" s="188" t="str">
        <f t="shared" si="55"/>
        <v/>
      </c>
      <c r="JI26" s="188" t="str">
        <f t="shared" si="56"/>
        <v/>
      </c>
      <c r="JJ26" s="188" t="str">
        <f t="shared" si="57"/>
        <v/>
      </c>
      <c r="JK26" s="188" t="str">
        <f t="shared" si="58"/>
        <v/>
      </c>
      <c r="KA26" s="188"/>
      <c r="KB26" s="2"/>
      <c r="KC26" s="226"/>
      <c r="KD26" s="164" t="str">
        <f t="shared" si="1"/>
        <v/>
      </c>
      <c r="KE26" s="188" t="str">
        <f t="shared" si="2"/>
        <v/>
      </c>
      <c r="KF26" s="188" t="str">
        <f t="shared" si="3"/>
        <v/>
      </c>
      <c r="KG26" s="188" t="str">
        <f t="shared" si="4"/>
        <v/>
      </c>
      <c r="KH26" s="188" t="str">
        <f t="shared" si="5"/>
        <v/>
      </c>
      <c r="KI26" s="188" t="str">
        <f t="shared" si="6"/>
        <v/>
      </c>
      <c r="KJ26" s="188" t="str">
        <f t="shared" si="7"/>
        <v/>
      </c>
      <c r="KK26" s="188" t="str">
        <f t="shared" si="8"/>
        <v/>
      </c>
      <c r="KL26" s="188" t="str">
        <f t="shared" si="9"/>
        <v/>
      </c>
      <c r="KM26" s="188" t="str">
        <f t="shared" si="10"/>
        <v/>
      </c>
      <c r="KN26" s="188" t="str">
        <f t="shared" si="11"/>
        <v/>
      </c>
      <c r="KO26" s="188" t="str">
        <f t="shared" si="12"/>
        <v/>
      </c>
      <c r="KP26" s="188" t="str">
        <f t="shared" si="13"/>
        <v/>
      </c>
      <c r="KQ26" s="188" t="str">
        <f t="shared" si="14"/>
        <v/>
      </c>
    </row>
    <row r="27" spans="1:303" s="18" customFormat="1" ht="11.45" customHeight="1" thickBot="1" x14ac:dyDescent="0.25">
      <c r="A27" s="38"/>
      <c r="B27" s="48"/>
      <c r="C27" s="421">
        <f t="shared" si="0"/>
        <v>45301</v>
      </c>
      <c r="D27" s="421"/>
      <c r="E27" s="422">
        <f t="shared" si="59"/>
        <v>45301</v>
      </c>
      <c r="F27" s="423"/>
      <c r="G27" s="31"/>
      <c r="H27" s="45"/>
      <c r="I27" s="44"/>
      <c r="J27" s="45"/>
      <c r="K27" s="44"/>
      <c r="L27" s="45"/>
      <c r="M27" s="44"/>
      <c r="N27" s="45"/>
      <c r="O27" s="44"/>
      <c r="P27" s="45"/>
      <c r="Q27" s="44"/>
      <c r="R27" s="45"/>
      <c r="S27" s="44"/>
      <c r="T27" s="45"/>
      <c r="U27" s="44"/>
      <c r="V27" s="45"/>
      <c r="W27" s="44"/>
      <c r="X27" s="45"/>
      <c r="Y27" s="44"/>
      <c r="Z27" s="45"/>
      <c r="AA27" s="44"/>
      <c r="AB27" s="45"/>
      <c r="AC27" s="44"/>
      <c r="AD27" s="45"/>
      <c r="AE27" s="44"/>
      <c r="AF27" s="45"/>
      <c r="AG27" s="44"/>
      <c r="AH27" s="45"/>
      <c r="AI27" s="127"/>
      <c r="AJ27" s="236"/>
      <c r="BO27" s="188"/>
      <c r="BP27" s="267">
        <v>2046</v>
      </c>
      <c r="BQ27" s="83" t="s">
        <v>42</v>
      </c>
      <c r="BR27" s="188"/>
      <c r="BS27" s="188" t="s">
        <v>1114</v>
      </c>
      <c r="BU27" s="68" t="str">
        <f t="shared" si="15"/>
        <v/>
      </c>
      <c r="BV27" s="188" t="str">
        <f t="shared" si="16"/>
        <v/>
      </c>
      <c r="BW27" s="188" t="str">
        <f t="shared" si="17"/>
        <v/>
      </c>
      <c r="BX27" s="188" t="str">
        <f t="shared" si="18"/>
        <v/>
      </c>
      <c r="BY27" s="188" t="str">
        <f t="shared" si="19"/>
        <v/>
      </c>
      <c r="BZ27" s="188" t="str">
        <f t="shared" si="20"/>
        <v/>
      </c>
      <c r="CA27" s="188" t="str">
        <f t="shared" si="21"/>
        <v/>
      </c>
      <c r="CB27" s="188" t="str">
        <f t="shared" si="22"/>
        <v/>
      </c>
      <c r="CC27" s="188" t="str">
        <f t="shared" si="23"/>
        <v/>
      </c>
      <c r="CD27" s="188" t="str">
        <f t="shared" si="24"/>
        <v/>
      </c>
      <c r="CE27" s="188" t="str">
        <f t="shared" si="25"/>
        <v/>
      </c>
      <c r="CF27" s="188" t="str">
        <f t="shared" si="26"/>
        <v/>
      </c>
      <c r="CG27" s="188" t="str">
        <f t="shared" si="27"/>
        <v/>
      </c>
      <c r="CH27" s="188" t="str">
        <f t="shared" si="28"/>
        <v/>
      </c>
      <c r="CY27" s="77" t="str">
        <f>IF(I27&lt;&gt;"",IF(H27="&lt;",IF(AND('Outfall 1 Limits'!$AM$16="Y",$BU$54&lt;&gt;"Y",I27&lt;='Outfall 1 Limits'!$AL$16),0,(1*I27)),I27),"")</f>
        <v/>
      </c>
      <c r="CZ27" s="29" t="str">
        <f>IF(K27&lt;&gt;"",IF(J27="&lt;",IF(AND('Outfall 1 Limits'!$AM$20="Y",$BV$54&lt;&gt;"Y",K27&lt;='Outfall 1 Limits'!$AL$20),0,(1*K27)),K27),"")</f>
        <v/>
      </c>
      <c r="DA27" s="29" t="str">
        <f>IF(M27&lt;&gt;"",IF(L27="&lt;",IF(AND('Outfall 1 Limits'!$AM$24="Y",$BW$54&lt;&gt;"Y",M27&lt;='Outfall 1 Limits'!$AL$24),0,(1*M27)),M27),"")</f>
        <v/>
      </c>
      <c r="DB27" s="29" t="str">
        <f>IF(O27&lt;&gt;"",IF(N27="&lt;",IF(AND('Outfall 1 Limits'!$AM$28="Y",$BX$54&lt;&gt;"Y",O27&lt;='Outfall 1 Limits'!$AL$28),0,(1*O27)),O27),"")</f>
        <v/>
      </c>
      <c r="DC27" s="29" t="str">
        <f>IF(Q27&lt;&gt;"",IF(P27="&lt;",IF(AND('Outfall 1 Limits'!$AM$32="Y",$BY$54&lt;&gt;"Y",Q27&lt;='Outfall 1 Limits'!$AL$32),0,(1*Q27)),Q27),"")</f>
        <v/>
      </c>
      <c r="DD27" s="29" t="str">
        <f>IF(S27&lt;&gt;"",IF(R27="&lt;",IF(AND('Outfall 1 Limits'!$AM$36="Y",$BZ$54&lt;&gt;"Y",S27&lt;='Outfall 1 Limits'!$AL$36),0,(1*S27)),S27),"")</f>
        <v/>
      </c>
      <c r="DE27" s="29" t="str">
        <f>IF(U27&lt;&gt;"",IF(T27="&lt;",IF(AND('Outfall 1 Limits'!$AM$40="Y",$CA$54&lt;&gt;"Y",U27&lt;='Outfall 1 Limits'!$AL$40),0,(1*U27)),U27),"")</f>
        <v/>
      </c>
      <c r="DF27" s="29" t="str">
        <f>IF(W27&lt;&gt;"",IF(V27="&lt;",IF(AND('Outfall 1 Limits'!$AM$44="Y",$CB$54&lt;&gt;"Y",W27&lt;='Outfall 1 Limits'!$AL$44),0,(1*W27)),W27),"")</f>
        <v/>
      </c>
      <c r="DG27" s="29" t="str">
        <f>IF(Y27&lt;&gt;"",IF(X27="&lt;",IF(AND('Outfall 1 Limits'!$AM$48="Y",$CC$54&lt;&gt;"Y",Y27&lt;='Outfall 1 Limits'!$AL$48),0,(1*Y27)),Y27),"")</f>
        <v/>
      </c>
      <c r="DH27" s="29" t="str">
        <f>IF(AA27&lt;&gt;"",IF(Z27="&lt;",IF(AND('Outfall 1 Limits'!$AM$52="Y",$CD$54&lt;&gt;"Y",AA27&lt;='Outfall 1 Limits'!$AL$52),0,(1*AA27)),AA27),"")</f>
        <v/>
      </c>
      <c r="DI27" s="29" t="str">
        <f>IF(AC27&lt;&gt;"",IF(AB27="&lt;",IF(AND('Outfall 1 Limits'!$AM$56="Y",$CE$54&lt;&gt;"Y",AC27&lt;='Outfall 1 Limits'!$AL$56),0,(1*AC27)),AC27),"")</f>
        <v/>
      </c>
      <c r="DJ27" s="29" t="str">
        <f>IF(AE27&lt;&gt;"",IF(AD27="&lt;",IF(AND('Outfall 1 Limits'!$AM$60="Y",$CF$54&lt;&gt;"Y",AE27&lt;='Outfall 1 Limits'!$AL$60),0,(1*AE27)),AE27),"")</f>
        <v/>
      </c>
      <c r="DK27" s="29" t="str">
        <f>IF(AG27&lt;&gt;"",IF(AF27="&lt;",IF(AND('Outfall 1 Limits'!$AM$64="Y",$CG$54&lt;&gt;"Y",AG27&lt;='Outfall 1 Limits'!$AL$64),0,(1*AG27)),AG27),"")</f>
        <v/>
      </c>
      <c r="DL27" s="29" t="str">
        <f>IF(AI27&lt;&gt;"",IF(AH27="&lt;",IF(AND('Outfall 1 Limits'!$AM$68="Y",$CH$54&lt;&gt;"Y",AI27&lt;='Outfall 1 Limits'!$AL$68),0,(1*AI27)),AI27),"")</f>
        <v/>
      </c>
      <c r="EB27" s="222" t="s">
        <v>383</v>
      </c>
      <c r="EC27" s="88" t="str">
        <f>IF(SUM(EC13:EC17)&gt;0,IF(EC25=EC18,"N","Y"),"")</f>
        <v/>
      </c>
      <c r="ED27" s="89" t="str">
        <f>IF(SUM(ED13:ED17)&gt;0,IF(ED25=ED18,"N","Y"),"")</f>
        <v/>
      </c>
      <c r="EE27" s="89" t="str">
        <f>IF(SUM(EE13:EE17)&gt;0,IF(EE25=EE18,"N","Y"),"")</f>
        <v/>
      </c>
      <c r="EF27" s="89" t="str">
        <f>IF(SUM(EF13:EF17)&gt;0,IF(EF25=EF18,"N","Y"),"")</f>
        <v/>
      </c>
      <c r="EG27" s="89" t="str">
        <f t="shared" ref="EG27:EP27" si="68">IF(SUM(EG13:EG17)&gt;0,IF(EG25=EG18,"N","Y"),"")</f>
        <v/>
      </c>
      <c r="EH27" s="89" t="str">
        <f t="shared" si="68"/>
        <v/>
      </c>
      <c r="EI27" s="89" t="str">
        <f t="shared" si="68"/>
        <v/>
      </c>
      <c r="EJ27" s="89" t="str">
        <f t="shared" si="68"/>
        <v/>
      </c>
      <c r="EK27" s="89" t="str">
        <f t="shared" si="68"/>
        <v/>
      </c>
      <c r="EL27" s="89" t="str">
        <f t="shared" si="68"/>
        <v/>
      </c>
      <c r="EM27" s="89" t="str">
        <f t="shared" si="68"/>
        <v/>
      </c>
      <c r="EN27" s="89" t="str">
        <f t="shared" si="68"/>
        <v/>
      </c>
      <c r="EO27" s="89" t="str">
        <f t="shared" si="68"/>
        <v/>
      </c>
      <c r="EP27" s="89" t="str">
        <f t="shared" si="68"/>
        <v/>
      </c>
      <c r="FG27" s="77" t="str">
        <f>IF(AND($G27&lt;&gt;"",$G27&gt;0,'Outfall 1 Limits'!$AX$16="C1",I27&lt;&gt;""),I27*$G27*8.34,IF(AND($I27&lt;&gt;"",'Outfall 1 Limits'!$AX$16="L"),I27,""))</f>
        <v/>
      </c>
      <c r="FH27" s="29" t="str">
        <f>IF(AND($G27&lt;&gt;"",$G27&gt;0,'Outfall 1 Limits'!$AX$20="C1",$K27&lt;&gt;""),$K27*$G27*8.34,IF(AND($K27&lt;&gt;"",'Outfall 1 Limits'!$AX$20="L"),$K27,""))</f>
        <v/>
      </c>
      <c r="FI27" s="29" t="str">
        <f>IF(AND($G27&lt;&gt;"",$G27&gt;0,'Outfall 1 Limits'!$AX$24="C1",$M27&lt;&gt;""),$M27*$G27*8.34,IF(AND($M27&lt;&gt;"",'Outfall 1 Limits'!$AX$24="L"),$M27,""))</f>
        <v/>
      </c>
      <c r="FJ27" s="29" t="str">
        <f>IF(AND($G27&lt;&gt;"",$G27&gt;0,'Outfall 1 Limits'!$AX$28="C1",$O27&lt;&gt;""),$O27*$G27*8.34,IF(AND($O27&lt;&gt;"",'Outfall 1 Limits'!$AX$28="L"),$O27,""))</f>
        <v/>
      </c>
      <c r="FK27" s="29" t="str">
        <f>IF(AND($G27&lt;&gt;"",$G27&gt;0,'Outfall 1 Limits'!$AX$32="C1",$Q27&lt;&gt;""),$Q27*$G27*8.34,IF(AND($Q27&lt;&gt;"",'Outfall 1 Limits'!$AX$32="L"),$Q27,""))</f>
        <v/>
      </c>
      <c r="FL27" s="29" t="str">
        <f>IF(AND($G27&lt;&gt;"",$G27&gt;0,'Outfall 1 Limits'!$AX$36="C1",$S27&lt;&gt;""),$S27*$G27*8.34,IF(AND($S27&lt;&gt;"",'Outfall 1 Limits'!$AX$36="L"),$S27,""))</f>
        <v/>
      </c>
      <c r="FM27" s="29" t="str">
        <f>IF(AND($G27&lt;&gt;"",$G27&gt;0,'Outfall 1 Limits'!$AX$40="C1",$U27&lt;&gt;""),$U27*$G27*8.34,IF(AND($U27&lt;&gt;"",'Outfall 1 Limits'!$AX$40="L"),$U27,""))</f>
        <v/>
      </c>
      <c r="FN27" s="29" t="str">
        <f>IF(AND($G27&lt;&gt;"",$G27&gt;0,'Outfall 1 Limits'!$AX$44="C1",$W27&lt;&gt;""),$W27*$G27*8.34,IF(AND($W27&lt;&gt;"",'Outfall 1 Limits'!$AX$44="L"),$W27,""))</f>
        <v/>
      </c>
      <c r="FO27" s="29" t="str">
        <f>IF(AND($G27&lt;&gt;"",$G27&gt;0,'Outfall 1 Limits'!$AX$48="C1",$Y27&lt;&gt;""),$Y27*$G27*8.34,IF(AND($Y27&lt;&gt;"",'Outfall 1 Limits'!$AX$48="L"),$Y27,""))</f>
        <v/>
      </c>
      <c r="FP27" s="29" t="str">
        <f>IF(AND($G27&lt;&gt;"",$G27&gt;0,'Outfall 1 Limits'!$AX$52="C1",$AA27&lt;&gt;""),$AA27*$G27*8.34,IF(AND($AA27&lt;&gt;"",'Outfall 1 Limits'!$AX$52="L"),$AA27,""))</f>
        <v/>
      </c>
      <c r="FQ27" s="29" t="str">
        <f>IF(AND($G27&lt;&gt;"",$G27&gt;0,'Outfall 1 Limits'!$AX$56="C1",$AC27&lt;&gt;""),$AC27*$G27*8.34,IF(AND($AC27&lt;&gt;"",'Outfall 1 Limits'!$AX$56="L"),$AC27,""))</f>
        <v/>
      </c>
      <c r="FR27" s="29" t="str">
        <f>IF(AND($G27&lt;&gt;"",$G27&gt;0,'Outfall 1 Limits'!$AX$60="C1",$AE27&lt;&gt;""),$AE27*$G27*8.34,IF(AND($AE27&lt;&gt;"",'Outfall 1 Limits'!$AX$60="L"),$AE27,""))</f>
        <v/>
      </c>
      <c r="FS27" s="29" t="str">
        <f>IF(AND($G27&lt;&gt;"",$G27&gt;0,'Outfall 1 Limits'!$AX$64="C1",$AG27&lt;&gt;""),$AG27*$G27*8.34,IF(AND($AG27&lt;&gt;"",'Outfall 1 Limits'!$AX$64="L"),$AG27,""))</f>
        <v/>
      </c>
      <c r="FT27" s="29" t="str">
        <f>IF(AND($G27&lt;&gt;"",$G27&gt;0,'Outfall 1 Limits'!$AX$68="C1",$AI27&lt;&gt;""),$AI27*$G27*8.34,IF(AND($AI27&lt;&gt;"",'Outfall 1 Limits'!$AX$68="L"),$AI27,""))</f>
        <v/>
      </c>
      <c r="GJ27" s="29" t="str">
        <f t="shared" si="29"/>
        <v/>
      </c>
      <c r="GK27" s="77" t="str">
        <f>IF(AND($G27&lt;&gt;"",$G27&gt;0,'Outfall 1 Limits'!$AX$16="C1",CY27&lt;&gt;""),CY27*$G27*8.34,IF(AND(CY27&lt;&gt;"",'Outfall 1 Limits'!$AX$16="L"),CY27,""))</f>
        <v/>
      </c>
      <c r="GL27" s="29" t="str">
        <f>IF(AND($G27&lt;&gt;"",$G27&gt;0,'Outfall 1 Limits'!$AX$20="C1",CZ27&lt;&gt;""),CZ27*$G27*8.34,IF(AND(CZ27&lt;&gt;"",'Outfall 1 Limits'!$AX$20="L"),CZ27,""))</f>
        <v/>
      </c>
      <c r="GM27" s="29" t="str">
        <f>IF(AND($G27&lt;&gt;"",$G27&gt;0,'Outfall 1 Limits'!$AX$24="C1",DA27&lt;&gt;""),DA27*$G27*8.34,IF(AND(DA27&lt;&gt;"",'Outfall 1 Limits'!$AX$24="L"),DA27,""))</f>
        <v/>
      </c>
      <c r="GN27" s="29" t="str">
        <f>IF(AND($G27&lt;&gt;"",$G27&gt;0,'Outfall 1 Limits'!$AX$28="C1",DB27&lt;&gt;""),DB27*$G27*8.34,IF(AND(DB27&lt;&gt;"",'Outfall 1 Limits'!$AX$28="L"),DB27,""))</f>
        <v/>
      </c>
      <c r="GO27" s="29" t="str">
        <f>IF(AND($G27&lt;&gt;"",$G27&gt;0,'Outfall 1 Limits'!$AX$32="C1",DC27&lt;&gt;""),DC27*$G27*8.34,IF(AND(DC27&lt;&gt;"",'Outfall 1 Limits'!$AX$32="L"),DC27,""))</f>
        <v/>
      </c>
      <c r="GP27" s="29" t="str">
        <f>IF(AND($G27&lt;&gt;"",$G27&gt;0,'Outfall 1 Limits'!$AX$36="C1",DD27&lt;&gt;""),DD27*$G27*8.34,IF(AND(DD27&lt;&gt;"",'Outfall 1 Limits'!$AX$36="L"),DD27,""))</f>
        <v/>
      </c>
      <c r="GQ27" s="29" t="str">
        <f>IF(AND($G27&lt;&gt;"",$G27&gt;0,'Outfall 1 Limits'!$AX$40="C1",DE27&lt;&gt;""),DE27*$G27*8.34,IF(AND(DE27&lt;&gt;"",'Outfall 1 Limits'!$AX$40="L"),DE27,""))</f>
        <v/>
      </c>
      <c r="GR27" s="29" t="str">
        <f>IF(AND($G27&lt;&gt;"",$G27&gt;0,'Outfall 1 Limits'!$AX$44="C1",DF27&lt;&gt;""),DF27*$G27*8.34,IF(AND(DF27&lt;&gt;"",'Outfall 1 Limits'!$AX$44="L"),DF27,""))</f>
        <v/>
      </c>
      <c r="GS27" s="29" t="str">
        <f>IF(AND($G27&lt;&gt;"",$G27&gt;0,'Outfall 1 Limits'!$AX$48="C1",DG27&lt;&gt;""),DG27*$G27*8.34,IF(AND(DG27&lt;&gt;"",'Outfall 1 Limits'!$AX$48="L"),DG27,""))</f>
        <v/>
      </c>
      <c r="GT27" s="29" t="str">
        <f>IF(AND($G27&lt;&gt;"",$G27&gt;0,'Outfall 1 Limits'!$AX$52="C1",DH27&lt;&gt;""),DH27*$G27*8.34,IF(AND(DH27&lt;&gt;"",'Outfall 1 Limits'!$AX$52="L"),DH27,""))</f>
        <v/>
      </c>
      <c r="GU27" s="29" t="str">
        <f>IF(AND($G27&lt;&gt;"",$G27&gt;0,'Outfall 1 Limits'!$AX$56="C1",DI27&lt;&gt;""),DI27*$G27*8.34,IF(AND(DI27&lt;&gt;"",'Outfall 1 Limits'!$AX$56="L"),DI27,""))</f>
        <v/>
      </c>
      <c r="GV27" s="29" t="str">
        <f>IF(AND($G27&lt;&gt;"",$G27&gt;0,'Outfall 1 Limits'!$AX$60="C1",DJ27&lt;&gt;""),DJ27*$G27*8.34,IF(AND(DJ27&lt;&gt;"",'Outfall 1 Limits'!$AX$60="L"),DJ27,""))</f>
        <v/>
      </c>
      <c r="GW27" s="29" t="str">
        <f>IF(AND($G27&lt;&gt;"",$G27&gt;0,'Outfall 1 Limits'!$AX$64="C1",DK27&lt;&gt;""),DK27*$G27*8.34,IF(AND(DK27&lt;&gt;"",'Outfall 1 Limits'!$AX$64="L"),DK27,""))</f>
        <v/>
      </c>
      <c r="GX27" s="29" t="str">
        <f>IF(AND($G27&lt;&gt;"",$G27&gt;0,'Outfall 1 Limits'!$AX$68="C1",DL27&lt;&gt;""),DL27*$G27*8.34,IF(AND(DL27&lt;&gt;"",'Outfall 1 Limits'!$AX$68="L"),DL27,""))</f>
        <v/>
      </c>
      <c r="HO27" s="98" t="str">
        <f t="shared" si="30"/>
        <v/>
      </c>
      <c r="HS27" s="68" t="str">
        <f t="shared" si="31"/>
        <v/>
      </c>
      <c r="HT27" s="188" t="str">
        <f t="shared" si="32"/>
        <v/>
      </c>
      <c r="HU27" s="188" t="str">
        <f t="shared" si="33"/>
        <v/>
      </c>
      <c r="HV27" s="188" t="str">
        <f t="shared" si="34"/>
        <v/>
      </c>
      <c r="HW27" s="188" t="str">
        <f t="shared" si="35"/>
        <v/>
      </c>
      <c r="HX27" s="188" t="str">
        <f t="shared" si="36"/>
        <v/>
      </c>
      <c r="HY27" s="188" t="str">
        <f t="shared" si="37"/>
        <v/>
      </c>
      <c r="HZ27" s="188" t="str">
        <f t="shared" si="38"/>
        <v/>
      </c>
      <c r="IA27" s="188" t="str">
        <f t="shared" si="39"/>
        <v/>
      </c>
      <c r="IB27" s="188" t="str">
        <f t="shared" si="40"/>
        <v/>
      </c>
      <c r="IC27" s="188" t="str">
        <f t="shared" si="41"/>
        <v/>
      </c>
      <c r="ID27" s="188" t="str">
        <f t="shared" si="42"/>
        <v/>
      </c>
      <c r="IE27" s="188" t="str">
        <f t="shared" si="43"/>
        <v/>
      </c>
      <c r="IF27" s="188" t="str">
        <f t="shared" si="44"/>
        <v/>
      </c>
      <c r="IX27" s="68" t="str">
        <f t="shared" si="45"/>
        <v/>
      </c>
      <c r="IY27" s="188" t="str">
        <f t="shared" si="46"/>
        <v/>
      </c>
      <c r="IZ27" s="188" t="str">
        <f t="shared" si="47"/>
        <v/>
      </c>
      <c r="JA27" s="188" t="str">
        <f t="shared" si="48"/>
        <v/>
      </c>
      <c r="JB27" s="188" t="str">
        <f t="shared" si="49"/>
        <v/>
      </c>
      <c r="JC27" s="188" t="str">
        <f t="shared" si="50"/>
        <v/>
      </c>
      <c r="JD27" s="188" t="str">
        <f t="shared" si="51"/>
        <v/>
      </c>
      <c r="JE27" s="188" t="str">
        <f t="shared" si="52"/>
        <v/>
      </c>
      <c r="JF27" s="188" t="str">
        <f t="shared" si="53"/>
        <v/>
      </c>
      <c r="JG27" s="188" t="str">
        <f t="shared" si="54"/>
        <v/>
      </c>
      <c r="JH27" s="188" t="str">
        <f t="shared" si="55"/>
        <v/>
      </c>
      <c r="JI27" s="188" t="str">
        <f t="shared" si="56"/>
        <v/>
      </c>
      <c r="JJ27" s="188" t="str">
        <f t="shared" si="57"/>
        <v/>
      </c>
      <c r="JK27" s="188" t="str">
        <f t="shared" si="58"/>
        <v/>
      </c>
      <c r="KA27" s="188"/>
      <c r="KB27" s="2"/>
      <c r="KC27" s="226"/>
      <c r="KD27" s="164" t="str">
        <f t="shared" si="1"/>
        <v/>
      </c>
      <c r="KE27" s="188" t="str">
        <f t="shared" si="2"/>
        <v/>
      </c>
      <c r="KF27" s="188" t="str">
        <f t="shared" si="3"/>
        <v/>
      </c>
      <c r="KG27" s="188" t="str">
        <f t="shared" si="4"/>
        <v/>
      </c>
      <c r="KH27" s="188" t="str">
        <f t="shared" si="5"/>
        <v/>
      </c>
      <c r="KI27" s="188" t="str">
        <f t="shared" si="6"/>
        <v/>
      </c>
      <c r="KJ27" s="188" t="str">
        <f t="shared" si="7"/>
        <v/>
      </c>
      <c r="KK27" s="188" t="str">
        <f t="shared" si="8"/>
        <v/>
      </c>
      <c r="KL27" s="188" t="str">
        <f t="shared" si="9"/>
        <v/>
      </c>
      <c r="KM27" s="188" t="str">
        <f t="shared" si="10"/>
        <v/>
      </c>
      <c r="KN27" s="188" t="str">
        <f t="shared" si="11"/>
        <v/>
      </c>
      <c r="KO27" s="188" t="str">
        <f t="shared" si="12"/>
        <v/>
      </c>
      <c r="KP27" s="188" t="str">
        <f t="shared" si="13"/>
        <v/>
      </c>
      <c r="KQ27" s="188" t="str">
        <f t="shared" si="14"/>
        <v/>
      </c>
    </row>
    <row r="28" spans="1:303" s="18" customFormat="1" ht="11.45" customHeight="1" thickTop="1" x14ac:dyDescent="0.2">
      <c r="A28" s="38"/>
      <c r="B28" s="48"/>
      <c r="C28" s="421">
        <f t="shared" si="0"/>
        <v>45302</v>
      </c>
      <c r="D28" s="421"/>
      <c r="E28" s="422">
        <f t="shared" si="59"/>
        <v>45302</v>
      </c>
      <c r="F28" s="423"/>
      <c r="G28" s="31"/>
      <c r="H28" s="45"/>
      <c r="I28" s="44"/>
      <c r="J28" s="45"/>
      <c r="K28" s="44"/>
      <c r="L28" s="45"/>
      <c r="M28" s="44"/>
      <c r="N28" s="45"/>
      <c r="O28" s="44"/>
      <c r="P28" s="45"/>
      <c r="Q28" s="44"/>
      <c r="R28" s="45"/>
      <c r="S28" s="44"/>
      <c r="T28" s="45"/>
      <c r="U28" s="44"/>
      <c r="V28" s="45"/>
      <c r="W28" s="44"/>
      <c r="X28" s="45"/>
      <c r="Y28" s="44"/>
      <c r="Z28" s="45"/>
      <c r="AA28" s="44"/>
      <c r="AB28" s="45"/>
      <c r="AC28" s="44"/>
      <c r="AD28" s="45"/>
      <c r="AE28" s="44"/>
      <c r="AF28" s="45"/>
      <c r="AG28" s="44"/>
      <c r="AH28" s="45"/>
      <c r="AI28" s="127"/>
      <c r="AJ28" s="236"/>
      <c r="BO28" s="188"/>
      <c r="BP28" s="267">
        <v>2047</v>
      </c>
      <c r="BQ28" s="83" t="s">
        <v>43</v>
      </c>
      <c r="BR28" s="188"/>
      <c r="BS28" s="188" t="s">
        <v>1115</v>
      </c>
      <c r="BU28" s="68" t="str">
        <f t="shared" si="15"/>
        <v/>
      </c>
      <c r="BV28" s="188" t="str">
        <f t="shared" si="16"/>
        <v/>
      </c>
      <c r="BW28" s="188" t="str">
        <f t="shared" si="17"/>
        <v/>
      </c>
      <c r="BX28" s="188" t="str">
        <f t="shared" si="18"/>
        <v/>
      </c>
      <c r="BY28" s="188" t="str">
        <f t="shared" si="19"/>
        <v/>
      </c>
      <c r="BZ28" s="188" t="str">
        <f t="shared" si="20"/>
        <v/>
      </c>
      <c r="CA28" s="188" t="str">
        <f t="shared" si="21"/>
        <v/>
      </c>
      <c r="CB28" s="188" t="str">
        <f t="shared" si="22"/>
        <v/>
      </c>
      <c r="CC28" s="188" t="str">
        <f t="shared" si="23"/>
        <v/>
      </c>
      <c r="CD28" s="188" t="str">
        <f t="shared" si="24"/>
        <v/>
      </c>
      <c r="CE28" s="188" t="str">
        <f t="shared" si="25"/>
        <v/>
      </c>
      <c r="CF28" s="188" t="str">
        <f t="shared" si="26"/>
        <v/>
      </c>
      <c r="CG28" s="188" t="str">
        <f t="shared" si="27"/>
        <v/>
      </c>
      <c r="CH28" s="188" t="str">
        <f t="shared" si="28"/>
        <v/>
      </c>
      <c r="CY28" s="77" t="str">
        <f>IF(I28&lt;&gt;"",IF(H28="&lt;",IF(AND('Outfall 1 Limits'!$AM$16="Y",$BU$54&lt;&gt;"Y",I28&lt;='Outfall 1 Limits'!$AL$16),0,(1*I28)),I28),"")</f>
        <v/>
      </c>
      <c r="CZ28" s="29" t="str">
        <f>IF(K28&lt;&gt;"",IF(J28="&lt;",IF(AND('Outfall 1 Limits'!$AM$20="Y",$BV$54&lt;&gt;"Y",K28&lt;='Outfall 1 Limits'!$AL$20),0,(1*K28)),K28),"")</f>
        <v/>
      </c>
      <c r="DA28" s="29" t="str">
        <f>IF(M28&lt;&gt;"",IF(L28="&lt;",IF(AND('Outfall 1 Limits'!$AM$24="Y",$BW$54&lt;&gt;"Y",M28&lt;='Outfall 1 Limits'!$AL$24),0,(1*M28)),M28),"")</f>
        <v/>
      </c>
      <c r="DB28" s="29" t="str">
        <f>IF(O28&lt;&gt;"",IF(N28="&lt;",IF(AND('Outfall 1 Limits'!$AM$28="Y",$BX$54&lt;&gt;"Y",O28&lt;='Outfall 1 Limits'!$AL$28),0,(1*O28)),O28),"")</f>
        <v/>
      </c>
      <c r="DC28" s="29" t="str">
        <f>IF(Q28&lt;&gt;"",IF(P28="&lt;",IF(AND('Outfall 1 Limits'!$AM$32="Y",$BY$54&lt;&gt;"Y",Q28&lt;='Outfall 1 Limits'!$AL$32),0,(1*Q28)),Q28),"")</f>
        <v/>
      </c>
      <c r="DD28" s="29" t="str">
        <f>IF(S28&lt;&gt;"",IF(R28="&lt;",IF(AND('Outfall 1 Limits'!$AM$36="Y",$BZ$54&lt;&gt;"Y",S28&lt;='Outfall 1 Limits'!$AL$36),0,(1*S28)),S28),"")</f>
        <v/>
      </c>
      <c r="DE28" s="29" t="str">
        <f>IF(U28&lt;&gt;"",IF(T28="&lt;",IF(AND('Outfall 1 Limits'!$AM$40="Y",$CA$54&lt;&gt;"Y",U28&lt;='Outfall 1 Limits'!$AL$40),0,(1*U28)),U28),"")</f>
        <v/>
      </c>
      <c r="DF28" s="29" t="str">
        <f>IF(W28&lt;&gt;"",IF(V28="&lt;",IF(AND('Outfall 1 Limits'!$AM$44="Y",$CB$54&lt;&gt;"Y",W28&lt;='Outfall 1 Limits'!$AL$44),0,(1*W28)),W28),"")</f>
        <v/>
      </c>
      <c r="DG28" s="29" t="str">
        <f>IF(Y28&lt;&gt;"",IF(X28="&lt;",IF(AND('Outfall 1 Limits'!$AM$48="Y",$CC$54&lt;&gt;"Y",Y28&lt;='Outfall 1 Limits'!$AL$48),0,(1*Y28)),Y28),"")</f>
        <v/>
      </c>
      <c r="DH28" s="29" t="str">
        <f>IF(AA28&lt;&gt;"",IF(Z28="&lt;",IF(AND('Outfall 1 Limits'!$AM$52="Y",$CD$54&lt;&gt;"Y",AA28&lt;='Outfall 1 Limits'!$AL$52),0,(1*AA28)),AA28),"")</f>
        <v/>
      </c>
      <c r="DI28" s="29" t="str">
        <f>IF(AC28&lt;&gt;"",IF(AB28="&lt;",IF(AND('Outfall 1 Limits'!$AM$56="Y",$CE$54&lt;&gt;"Y",AC28&lt;='Outfall 1 Limits'!$AL$56),0,(1*AC28)),AC28),"")</f>
        <v/>
      </c>
      <c r="DJ28" s="29" t="str">
        <f>IF(AE28&lt;&gt;"",IF(AD28="&lt;",IF(AND('Outfall 1 Limits'!$AM$60="Y",$CF$54&lt;&gt;"Y",AE28&lt;='Outfall 1 Limits'!$AL$60),0,(1*AE28)),AE28),"")</f>
        <v/>
      </c>
      <c r="DK28" s="29" t="str">
        <f>IF(AG28&lt;&gt;"",IF(AF28="&lt;",IF(AND('Outfall 1 Limits'!$AM$64="Y",$CG$54&lt;&gt;"Y",AG28&lt;='Outfall 1 Limits'!$AL$64),0,(1*AG28)),AG28),"")</f>
        <v/>
      </c>
      <c r="DL28" s="29" t="str">
        <f>IF(AI28&lt;&gt;"",IF(AH28="&lt;",IF(AND('Outfall 1 Limits'!$AM$68="Y",$CH$54&lt;&gt;"Y",AI28&lt;='Outfall 1 Limits'!$AL$68),0,(1*AI28)),AI28),"")</f>
        <v/>
      </c>
      <c r="EB28" s="2"/>
      <c r="EC28" s="29"/>
      <c r="EE28" s="29"/>
      <c r="EF28" s="29"/>
      <c r="EG28" s="29"/>
      <c r="EH28" s="29"/>
      <c r="EI28" s="29"/>
      <c r="EJ28" s="29"/>
      <c r="EK28" s="29"/>
      <c r="EL28" s="29"/>
      <c r="EM28" s="29"/>
      <c r="EN28" s="29"/>
      <c r="EO28" s="29"/>
      <c r="EP28" s="29"/>
      <c r="FG28" s="77" t="str">
        <f>IF(AND($G28&lt;&gt;"",$G28&gt;0,'Outfall 1 Limits'!$AX$16="C1",I28&lt;&gt;""),I28*$G28*8.34,IF(AND($I28&lt;&gt;"",'Outfall 1 Limits'!$AX$16="L"),I28,""))</f>
        <v/>
      </c>
      <c r="FH28" s="29" t="str">
        <f>IF(AND($G28&lt;&gt;"",$G28&gt;0,'Outfall 1 Limits'!$AX$20="C1",$K28&lt;&gt;""),$K28*$G28*8.34,IF(AND($K28&lt;&gt;"",'Outfall 1 Limits'!$AX$20="L"),$K28,""))</f>
        <v/>
      </c>
      <c r="FI28" s="29" t="str">
        <f>IF(AND($G28&lt;&gt;"",$G28&gt;0,'Outfall 1 Limits'!$AX$24="C1",$M28&lt;&gt;""),$M28*$G28*8.34,IF(AND($M28&lt;&gt;"",'Outfall 1 Limits'!$AX$24="L"),$M28,""))</f>
        <v/>
      </c>
      <c r="FJ28" s="29" t="str">
        <f>IF(AND($G28&lt;&gt;"",$G28&gt;0,'Outfall 1 Limits'!$AX$28="C1",$O28&lt;&gt;""),$O28*$G28*8.34,IF(AND($O28&lt;&gt;"",'Outfall 1 Limits'!$AX$28="L"),$O28,""))</f>
        <v/>
      </c>
      <c r="FK28" s="29" t="str">
        <f>IF(AND($G28&lt;&gt;"",$G28&gt;0,'Outfall 1 Limits'!$AX$32="C1",$Q28&lt;&gt;""),$Q28*$G28*8.34,IF(AND($Q28&lt;&gt;"",'Outfall 1 Limits'!$AX$32="L"),$Q28,""))</f>
        <v/>
      </c>
      <c r="FL28" s="29" t="str">
        <f>IF(AND($G28&lt;&gt;"",$G28&gt;0,'Outfall 1 Limits'!$AX$36="C1",$S28&lt;&gt;""),$S28*$G28*8.34,IF(AND($S28&lt;&gt;"",'Outfall 1 Limits'!$AX$36="L"),$S28,""))</f>
        <v/>
      </c>
      <c r="FM28" s="29" t="str">
        <f>IF(AND($G28&lt;&gt;"",$G28&gt;0,'Outfall 1 Limits'!$AX$40="C1",$U28&lt;&gt;""),$U28*$G28*8.34,IF(AND($U28&lt;&gt;"",'Outfall 1 Limits'!$AX$40="L"),$U28,""))</f>
        <v/>
      </c>
      <c r="FN28" s="29" t="str">
        <f>IF(AND($G28&lt;&gt;"",$G28&gt;0,'Outfall 1 Limits'!$AX$44="C1",$W28&lt;&gt;""),$W28*$G28*8.34,IF(AND($W28&lt;&gt;"",'Outfall 1 Limits'!$AX$44="L"),$W28,""))</f>
        <v/>
      </c>
      <c r="FO28" s="29" t="str">
        <f>IF(AND($G28&lt;&gt;"",$G28&gt;0,'Outfall 1 Limits'!$AX$48="C1",$Y28&lt;&gt;""),$Y28*$G28*8.34,IF(AND($Y28&lt;&gt;"",'Outfall 1 Limits'!$AX$48="L"),$Y28,""))</f>
        <v/>
      </c>
      <c r="FP28" s="29" t="str">
        <f>IF(AND($G28&lt;&gt;"",$G28&gt;0,'Outfall 1 Limits'!$AX$52="C1",$AA28&lt;&gt;""),$AA28*$G28*8.34,IF(AND($AA28&lt;&gt;"",'Outfall 1 Limits'!$AX$52="L"),$AA28,""))</f>
        <v/>
      </c>
      <c r="FQ28" s="29" t="str">
        <f>IF(AND($G28&lt;&gt;"",$G28&gt;0,'Outfall 1 Limits'!$AX$56="C1",$AC28&lt;&gt;""),$AC28*$G28*8.34,IF(AND($AC28&lt;&gt;"",'Outfall 1 Limits'!$AX$56="L"),$AC28,""))</f>
        <v/>
      </c>
      <c r="FR28" s="29" t="str">
        <f>IF(AND($G28&lt;&gt;"",$G28&gt;0,'Outfall 1 Limits'!$AX$60="C1",$AE28&lt;&gt;""),$AE28*$G28*8.34,IF(AND($AE28&lt;&gt;"",'Outfall 1 Limits'!$AX$60="L"),$AE28,""))</f>
        <v/>
      </c>
      <c r="FS28" s="29" t="str">
        <f>IF(AND($G28&lt;&gt;"",$G28&gt;0,'Outfall 1 Limits'!$AX$64="C1",$AG28&lt;&gt;""),$AG28*$G28*8.34,IF(AND($AG28&lt;&gt;"",'Outfall 1 Limits'!$AX$64="L"),$AG28,""))</f>
        <v/>
      </c>
      <c r="FT28" s="29" t="str">
        <f>IF(AND($G28&lt;&gt;"",$G28&gt;0,'Outfall 1 Limits'!$AX$68="C1",$AI28&lt;&gt;""),$AI28*$G28*8.34,IF(AND($AI28&lt;&gt;"",'Outfall 1 Limits'!$AX$68="L"),$AI28,""))</f>
        <v/>
      </c>
      <c r="GJ28" s="29" t="str">
        <f t="shared" si="29"/>
        <v/>
      </c>
      <c r="GK28" s="77" t="str">
        <f>IF(AND($G28&lt;&gt;"",$G28&gt;0,'Outfall 1 Limits'!$AX$16="C1",CY28&lt;&gt;""),CY28*$G28*8.34,IF(AND(CY28&lt;&gt;"",'Outfall 1 Limits'!$AX$16="L"),CY28,""))</f>
        <v/>
      </c>
      <c r="GL28" s="29" t="str">
        <f>IF(AND($G28&lt;&gt;"",$G28&gt;0,'Outfall 1 Limits'!$AX$20="C1",CZ28&lt;&gt;""),CZ28*$G28*8.34,IF(AND(CZ28&lt;&gt;"",'Outfall 1 Limits'!$AX$20="L"),CZ28,""))</f>
        <v/>
      </c>
      <c r="GM28" s="29" t="str">
        <f>IF(AND($G28&lt;&gt;"",$G28&gt;0,'Outfall 1 Limits'!$AX$24="C1",DA28&lt;&gt;""),DA28*$G28*8.34,IF(AND(DA28&lt;&gt;"",'Outfall 1 Limits'!$AX$24="L"),DA28,""))</f>
        <v/>
      </c>
      <c r="GN28" s="29" t="str">
        <f>IF(AND($G28&lt;&gt;"",$G28&gt;0,'Outfall 1 Limits'!$AX$28="C1",DB28&lt;&gt;""),DB28*$G28*8.34,IF(AND(DB28&lt;&gt;"",'Outfall 1 Limits'!$AX$28="L"),DB28,""))</f>
        <v/>
      </c>
      <c r="GO28" s="29" t="str">
        <f>IF(AND($G28&lt;&gt;"",$G28&gt;0,'Outfall 1 Limits'!$AX$32="C1",DC28&lt;&gt;""),DC28*$G28*8.34,IF(AND(DC28&lt;&gt;"",'Outfall 1 Limits'!$AX$32="L"),DC28,""))</f>
        <v/>
      </c>
      <c r="GP28" s="29" t="str">
        <f>IF(AND($G28&lt;&gt;"",$G28&gt;0,'Outfall 1 Limits'!$AX$36="C1",DD28&lt;&gt;""),DD28*$G28*8.34,IF(AND(DD28&lt;&gt;"",'Outfall 1 Limits'!$AX$36="L"),DD28,""))</f>
        <v/>
      </c>
      <c r="GQ28" s="29" t="str">
        <f>IF(AND($G28&lt;&gt;"",$G28&gt;0,'Outfall 1 Limits'!$AX$40="C1",DE28&lt;&gt;""),DE28*$G28*8.34,IF(AND(DE28&lt;&gt;"",'Outfall 1 Limits'!$AX$40="L"),DE28,""))</f>
        <v/>
      </c>
      <c r="GR28" s="29" t="str">
        <f>IF(AND($G28&lt;&gt;"",$G28&gt;0,'Outfall 1 Limits'!$AX$44="C1",DF28&lt;&gt;""),DF28*$G28*8.34,IF(AND(DF28&lt;&gt;"",'Outfall 1 Limits'!$AX$44="L"),DF28,""))</f>
        <v/>
      </c>
      <c r="GS28" s="29" t="str">
        <f>IF(AND($G28&lt;&gt;"",$G28&gt;0,'Outfall 1 Limits'!$AX$48="C1",DG28&lt;&gt;""),DG28*$G28*8.34,IF(AND(DG28&lt;&gt;"",'Outfall 1 Limits'!$AX$48="L"),DG28,""))</f>
        <v/>
      </c>
      <c r="GT28" s="29" t="str">
        <f>IF(AND($G28&lt;&gt;"",$G28&gt;0,'Outfall 1 Limits'!$AX$52="C1",DH28&lt;&gt;""),DH28*$G28*8.34,IF(AND(DH28&lt;&gt;"",'Outfall 1 Limits'!$AX$52="L"),DH28,""))</f>
        <v/>
      </c>
      <c r="GU28" s="29" t="str">
        <f>IF(AND($G28&lt;&gt;"",$G28&gt;0,'Outfall 1 Limits'!$AX$56="C1",DI28&lt;&gt;""),DI28*$G28*8.34,IF(AND(DI28&lt;&gt;"",'Outfall 1 Limits'!$AX$56="L"),DI28,""))</f>
        <v/>
      </c>
      <c r="GV28" s="29" t="str">
        <f>IF(AND($G28&lt;&gt;"",$G28&gt;0,'Outfall 1 Limits'!$AX$60="C1",DJ28&lt;&gt;""),DJ28*$G28*8.34,IF(AND(DJ28&lt;&gt;"",'Outfall 1 Limits'!$AX$60="L"),DJ28,""))</f>
        <v/>
      </c>
      <c r="GW28" s="29" t="str">
        <f>IF(AND($G28&lt;&gt;"",$G28&gt;0,'Outfall 1 Limits'!$AX$64="C1",DK28&lt;&gt;""),DK28*$G28*8.34,IF(AND(DK28&lt;&gt;"",'Outfall 1 Limits'!$AX$64="L"),DK28,""))</f>
        <v/>
      </c>
      <c r="GX28" s="29" t="str">
        <f>IF(AND($G28&lt;&gt;"",$G28&gt;0,'Outfall 1 Limits'!$AX$68="C1",DL28&lt;&gt;""),DL28*$G28*8.34,IF(AND(DL28&lt;&gt;"",'Outfall 1 Limits'!$AX$68="L"),DL28,""))</f>
        <v/>
      </c>
      <c r="HO28" s="98" t="str">
        <f t="shared" si="30"/>
        <v/>
      </c>
      <c r="HS28" s="68" t="str">
        <f t="shared" si="31"/>
        <v/>
      </c>
      <c r="HT28" s="188" t="str">
        <f t="shared" si="32"/>
        <v/>
      </c>
      <c r="HU28" s="188" t="str">
        <f t="shared" si="33"/>
        <v/>
      </c>
      <c r="HV28" s="188" t="str">
        <f t="shared" si="34"/>
        <v/>
      </c>
      <c r="HW28" s="188" t="str">
        <f t="shared" si="35"/>
        <v/>
      </c>
      <c r="HX28" s="188" t="str">
        <f t="shared" si="36"/>
        <v/>
      </c>
      <c r="HY28" s="188" t="str">
        <f t="shared" si="37"/>
        <v/>
      </c>
      <c r="HZ28" s="188" t="str">
        <f t="shared" si="38"/>
        <v/>
      </c>
      <c r="IA28" s="188" t="str">
        <f t="shared" si="39"/>
        <v/>
      </c>
      <c r="IB28" s="188" t="str">
        <f t="shared" si="40"/>
        <v/>
      </c>
      <c r="IC28" s="188" t="str">
        <f t="shared" si="41"/>
        <v/>
      </c>
      <c r="ID28" s="188" t="str">
        <f t="shared" si="42"/>
        <v/>
      </c>
      <c r="IE28" s="188" t="str">
        <f t="shared" si="43"/>
        <v/>
      </c>
      <c r="IF28" s="188" t="str">
        <f t="shared" si="44"/>
        <v/>
      </c>
      <c r="IX28" s="68" t="str">
        <f t="shared" si="45"/>
        <v/>
      </c>
      <c r="IY28" s="188" t="str">
        <f t="shared" si="46"/>
        <v/>
      </c>
      <c r="IZ28" s="188" t="str">
        <f t="shared" si="47"/>
        <v/>
      </c>
      <c r="JA28" s="188" t="str">
        <f t="shared" si="48"/>
        <v/>
      </c>
      <c r="JB28" s="188" t="str">
        <f t="shared" si="49"/>
        <v/>
      </c>
      <c r="JC28" s="188" t="str">
        <f t="shared" si="50"/>
        <v/>
      </c>
      <c r="JD28" s="188" t="str">
        <f t="shared" si="51"/>
        <v/>
      </c>
      <c r="JE28" s="188" t="str">
        <f t="shared" si="52"/>
        <v/>
      </c>
      <c r="JF28" s="188" t="str">
        <f t="shared" si="53"/>
        <v/>
      </c>
      <c r="JG28" s="188" t="str">
        <f t="shared" si="54"/>
        <v/>
      </c>
      <c r="JH28" s="188" t="str">
        <f t="shared" si="55"/>
        <v/>
      </c>
      <c r="JI28" s="188" t="str">
        <f t="shared" si="56"/>
        <v/>
      </c>
      <c r="JJ28" s="188" t="str">
        <f t="shared" si="57"/>
        <v/>
      </c>
      <c r="JK28" s="188" t="str">
        <f t="shared" si="58"/>
        <v/>
      </c>
      <c r="KA28" s="188"/>
      <c r="KB28" s="2"/>
      <c r="KC28" s="226"/>
      <c r="KD28" s="164" t="str">
        <f t="shared" si="1"/>
        <v/>
      </c>
      <c r="KE28" s="188" t="str">
        <f t="shared" si="2"/>
        <v/>
      </c>
      <c r="KF28" s="188" t="str">
        <f t="shared" si="3"/>
        <v/>
      </c>
      <c r="KG28" s="188" t="str">
        <f t="shared" si="4"/>
        <v/>
      </c>
      <c r="KH28" s="188" t="str">
        <f t="shared" si="5"/>
        <v/>
      </c>
      <c r="KI28" s="188" t="str">
        <f t="shared" si="6"/>
        <v/>
      </c>
      <c r="KJ28" s="188" t="str">
        <f t="shared" si="7"/>
        <v/>
      </c>
      <c r="KK28" s="188" t="str">
        <f t="shared" si="8"/>
        <v/>
      </c>
      <c r="KL28" s="188" t="str">
        <f t="shared" si="9"/>
        <v/>
      </c>
      <c r="KM28" s="188" t="str">
        <f t="shared" si="10"/>
        <v/>
      </c>
      <c r="KN28" s="188" t="str">
        <f t="shared" si="11"/>
        <v/>
      </c>
      <c r="KO28" s="188" t="str">
        <f t="shared" si="12"/>
        <v/>
      </c>
      <c r="KP28" s="188" t="str">
        <f t="shared" si="13"/>
        <v/>
      </c>
      <c r="KQ28" s="188" t="str">
        <f t="shared" si="14"/>
        <v/>
      </c>
    </row>
    <row r="29" spans="1:303" s="18" customFormat="1" ht="11.45" customHeight="1" thickBot="1" x14ac:dyDescent="0.25">
      <c r="A29" s="38"/>
      <c r="B29" s="48"/>
      <c r="C29" s="421">
        <f t="shared" si="0"/>
        <v>45303</v>
      </c>
      <c r="D29" s="421"/>
      <c r="E29" s="422">
        <f t="shared" si="59"/>
        <v>45303</v>
      </c>
      <c r="F29" s="423"/>
      <c r="G29" s="31"/>
      <c r="H29" s="45"/>
      <c r="I29" s="44"/>
      <c r="J29" s="45"/>
      <c r="K29" s="44"/>
      <c r="L29" s="45"/>
      <c r="M29" s="44"/>
      <c r="N29" s="45"/>
      <c r="O29" s="44"/>
      <c r="P29" s="45"/>
      <c r="Q29" s="44"/>
      <c r="R29" s="45"/>
      <c r="S29" s="44"/>
      <c r="T29" s="45"/>
      <c r="U29" s="44"/>
      <c r="V29" s="45"/>
      <c r="W29" s="44"/>
      <c r="X29" s="45"/>
      <c r="Y29" s="44"/>
      <c r="Z29" s="45"/>
      <c r="AA29" s="44"/>
      <c r="AB29" s="45"/>
      <c r="AC29" s="44"/>
      <c r="AD29" s="45"/>
      <c r="AE29" s="44"/>
      <c r="AF29" s="45"/>
      <c r="AG29" s="44"/>
      <c r="AH29" s="45"/>
      <c r="AI29" s="127"/>
      <c r="AJ29" s="236"/>
      <c r="BO29" s="188"/>
      <c r="BP29" s="267">
        <v>2048</v>
      </c>
      <c r="BQ29" s="83" t="s">
        <v>44</v>
      </c>
      <c r="BR29" s="188"/>
      <c r="BS29" s="188" t="s">
        <v>1116</v>
      </c>
      <c r="BU29" s="68" t="str">
        <f t="shared" si="15"/>
        <v/>
      </c>
      <c r="BV29" s="188" t="str">
        <f t="shared" si="16"/>
        <v/>
      </c>
      <c r="BW29" s="188" t="str">
        <f t="shared" si="17"/>
        <v/>
      </c>
      <c r="BX29" s="188" t="str">
        <f t="shared" si="18"/>
        <v/>
      </c>
      <c r="BY29" s="188" t="str">
        <f t="shared" si="19"/>
        <v/>
      </c>
      <c r="BZ29" s="188" t="str">
        <f t="shared" si="20"/>
        <v/>
      </c>
      <c r="CA29" s="188" t="str">
        <f t="shared" si="21"/>
        <v/>
      </c>
      <c r="CB29" s="188" t="str">
        <f t="shared" si="22"/>
        <v/>
      </c>
      <c r="CC29" s="188" t="str">
        <f t="shared" si="23"/>
        <v/>
      </c>
      <c r="CD29" s="188" t="str">
        <f t="shared" si="24"/>
        <v/>
      </c>
      <c r="CE29" s="188" t="str">
        <f t="shared" si="25"/>
        <v/>
      </c>
      <c r="CF29" s="188" t="str">
        <f t="shared" si="26"/>
        <v/>
      </c>
      <c r="CG29" s="188" t="str">
        <f t="shared" si="27"/>
        <v/>
      </c>
      <c r="CH29" s="188" t="str">
        <f t="shared" si="28"/>
        <v/>
      </c>
      <c r="CY29" s="77" t="str">
        <f>IF(I29&lt;&gt;"",IF(H29="&lt;",IF(AND('Outfall 1 Limits'!$AM$16="Y",$BU$54&lt;&gt;"Y",I29&lt;='Outfall 1 Limits'!$AL$16),0,(1*I29)),I29),"")</f>
        <v/>
      </c>
      <c r="CZ29" s="29" t="str">
        <f>IF(K29&lt;&gt;"",IF(J29="&lt;",IF(AND('Outfall 1 Limits'!$AM$20="Y",$BV$54&lt;&gt;"Y",K29&lt;='Outfall 1 Limits'!$AL$20),0,(1*K29)),K29),"")</f>
        <v/>
      </c>
      <c r="DA29" s="29" t="str">
        <f>IF(M29&lt;&gt;"",IF(L29="&lt;",IF(AND('Outfall 1 Limits'!$AM$24="Y",$BW$54&lt;&gt;"Y",M29&lt;='Outfall 1 Limits'!$AL$24),0,(1*M29)),M29),"")</f>
        <v/>
      </c>
      <c r="DB29" s="29" t="str">
        <f>IF(O29&lt;&gt;"",IF(N29="&lt;",IF(AND('Outfall 1 Limits'!$AM$28="Y",$BX$54&lt;&gt;"Y",O29&lt;='Outfall 1 Limits'!$AL$28),0,(1*O29)),O29),"")</f>
        <v/>
      </c>
      <c r="DC29" s="29" t="str">
        <f>IF(Q29&lt;&gt;"",IF(P29="&lt;",IF(AND('Outfall 1 Limits'!$AM$32="Y",$BY$54&lt;&gt;"Y",Q29&lt;='Outfall 1 Limits'!$AL$32),0,(1*Q29)),Q29),"")</f>
        <v/>
      </c>
      <c r="DD29" s="29" t="str">
        <f>IF(S29&lt;&gt;"",IF(R29="&lt;",IF(AND('Outfall 1 Limits'!$AM$36="Y",$BZ$54&lt;&gt;"Y",S29&lt;='Outfall 1 Limits'!$AL$36),0,(1*S29)),S29),"")</f>
        <v/>
      </c>
      <c r="DE29" s="29" t="str">
        <f>IF(U29&lt;&gt;"",IF(T29="&lt;",IF(AND('Outfall 1 Limits'!$AM$40="Y",$CA$54&lt;&gt;"Y",U29&lt;='Outfall 1 Limits'!$AL$40),0,(1*U29)),U29),"")</f>
        <v/>
      </c>
      <c r="DF29" s="29" t="str">
        <f>IF(W29&lt;&gt;"",IF(V29="&lt;",IF(AND('Outfall 1 Limits'!$AM$44="Y",$CB$54&lt;&gt;"Y",W29&lt;='Outfall 1 Limits'!$AL$44),0,(1*W29)),W29),"")</f>
        <v/>
      </c>
      <c r="DG29" s="29" t="str">
        <f>IF(Y29&lt;&gt;"",IF(X29="&lt;",IF(AND('Outfall 1 Limits'!$AM$48="Y",$CC$54&lt;&gt;"Y",Y29&lt;='Outfall 1 Limits'!$AL$48),0,(1*Y29)),Y29),"")</f>
        <v/>
      </c>
      <c r="DH29" s="29" t="str">
        <f>IF(AA29&lt;&gt;"",IF(Z29="&lt;",IF(AND('Outfall 1 Limits'!$AM$52="Y",$CD$54&lt;&gt;"Y",AA29&lt;='Outfall 1 Limits'!$AL$52),0,(1*AA29)),AA29),"")</f>
        <v/>
      </c>
      <c r="DI29" s="29" t="str">
        <f>IF(AC29&lt;&gt;"",IF(AB29="&lt;",IF(AND('Outfall 1 Limits'!$AM$56="Y",$CE$54&lt;&gt;"Y",AC29&lt;='Outfall 1 Limits'!$AL$56),0,(1*AC29)),AC29),"")</f>
        <v/>
      </c>
      <c r="DJ29" s="29" t="str">
        <f>IF(AE29&lt;&gt;"",IF(AD29="&lt;",IF(AND('Outfall 1 Limits'!$AM$60="Y",$CF$54&lt;&gt;"Y",AE29&lt;='Outfall 1 Limits'!$AL$60),0,(1*AE29)),AE29),"")</f>
        <v/>
      </c>
      <c r="DK29" s="29" t="str">
        <f>IF(AG29&lt;&gt;"",IF(AF29="&lt;",IF(AND('Outfall 1 Limits'!$AM$64="Y",$CG$54&lt;&gt;"Y",AG29&lt;='Outfall 1 Limits'!$AL$64),0,(1*AG29)),AG29),"")</f>
        <v/>
      </c>
      <c r="DL29" s="29" t="str">
        <f>IF(AI29&lt;&gt;"",IF(AH29="&lt;",IF(AND('Outfall 1 Limits'!$AM$68="Y",$CH$54&lt;&gt;"Y",AI29&lt;='Outfall 1 Limits'!$AL$68),0,(1*AI29)),AI29),"")</f>
        <v/>
      </c>
      <c r="EB29" s="2"/>
      <c r="EC29" s="217" t="s">
        <v>1151</v>
      </c>
      <c r="ED29" s="214"/>
      <c r="EE29" s="214"/>
      <c r="EF29" s="214"/>
      <c r="EG29" s="214"/>
      <c r="EH29" s="214"/>
      <c r="EI29" s="214"/>
      <c r="EJ29" s="214"/>
      <c r="EK29" s="214"/>
      <c r="EL29" s="214"/>
      <c r="EM29" s="214"/>
      <c r="EN29" s="214"/>
      <c r="EO29" s="214"/>
      <c r="EP29" s="214"/>
      <c r="FG29" s="77" t="str">
        <f>IF(AND($G29&lt;&gt;"",$G29&gt;0,'Outfall 1 Limits'!$AX$16="C1",I29&lt;&gt;""),I29*$G29*8.34,IF(AND($I29&lt;&gt;"",'Outfall 1 Limits'!$AX$16="L"),I29,""))</f>
        <v/>
      </c>
      <c r="FH29" s="29" t="str">
        <f>IF(AND($G29&lt;&gt;"",$G29&gt;0,'Outfall 1 Limits'!$AX$20="C1",$K29&lt;&gt;""),$K29*$G29*8.34,IF(AND($K29&lt;&gt;"",'Outfall 1 Limits'!$AX$20="L"),$K29,""))</f>
        <v/>
      </c>
      <c r="FI29" s="29" t="str">
        <f>IF(AND($G29&lt;&gt;"",$G29&gt;0,'Outfall 1 Limits'!$AX$24="C1",$M29&lt;&gt;""),$M29*$G29*8.34,IF(AND($M29&lt;&gt;"",'Outfall 1 Limits'!$AX$24="L"),$M29,""))</f>
        <v/>
      </c>
      <c r="FJ29" s="29" t="str">
        <f>IF(AND($G29&lt;&gt;"",$G29&gt;0,'Outfall 1 Limits'!$AX$28="C1",$O29&lt;&gt;""),$O29*$G29*8.34,IF(AND($O29&lt;&gt;"",'Outfall 1 Limits'!$AX$28="L"),$O29,""))</f>
        <v/>
      </c>
      <c r="FK29" s="29" t="str">
        <f>IF(AND($G29&lt;&gt;"",$G29&gt;0,'Outfall 1 Limits'!$AX$32="C1",$Q29&lt;&gt;""),$Q29*$G29*8.34,IF(AND($Q29&lt;&gt;"",'Outfall 1 Limits'!$AX$32="L"),$Q29,""))</f>
        <v/>
      </c>
      <c r="FL29" s="29" t="str">
        <f>IF(AND($G29&lt;&gt;"",$G29&gt;0,'Outfall 1 Limits'!$AX$36="C1",$S29&lt;&gt;""),$S29*$G29*8.34,IF(AND($S29&lt;&gt;"",'Outfall 1 Limits'!$AX$36="L"),$S29,""))</f>
        <v/>
      </c>
      <c r="FM29" s="29" t="str">
        <f>IF(AND($G29&lt;&gt;"",$G29&gt;0,'Outfall 1 Limits'!$AX$40="C1",$U29&lt;&gt;""),$U29*$G29*8.34,IF(AND($U29&lt;&gt;"",'Outfall 1 Limits'!$AX$40="L"),$U29,""))</f>
        <v/>
      </c>
      <c r="FN29" s="29" t="str">
        <f>IF(AND($G29&lt;&gt;"",$G29&gt;0,'Outfall 1 Limits'!$AX$44="C1",$W29&lt;&gt;""),$W29*$G29*8.34,IF(AND($W29&lt;&gt;"",'Outfall 1 Limits'!$AX$44="L"),$W29,""))</f>
        <v/>
      </c>
      <c r="FO29" s="29" t="str">
        <f>IF(AND($G29&lt;&gt;"",$G29&gt;0,'Outfall 1 Limits'!$AX$48="C1",$Y29&lt;&gt;""),$Y29*$G29*8.34,IF(AND($Y29&lt;&gt;"",'Outfall 1 Limits'!$AX$48="L"),$Y29,""))</f>
        <v/>
      </c>
      <c r="FP29" s="29" t="str">
        <f>IF(AND($G29&lt;&gt;"",$G29&gt;0,'Outfall 1 Limits'!$AX$52="C1",$AA29&lt;&gt;""),$AA29*$G29*8.34,IF(AND($AA29&lt;&gt;"",'Outfall 1 Limits'!$AX$52="L"),$AA29,""))</f>
        <v/>
      </c>
      <c r="FQ29" s="29" t="str">
        <f>IF(AND($G29&lt;&gt;"",$G29&gt;0,'Outfall 1 Limits'!$AX$56="C1",$AC29&lt;&gt;""),$AC29*$G29*8.34,IF(AND($AC29&lt;&gt;"",'Outfall 1 Limits'!$AX$56="L"),$AC29,""))</f>
        <v/>
      </c>
      <c r="FR29" s="29" t="str">
        <f>IF(AND($G29&lt;&gt;"",$G29&gt;0,'Outfall 1 Limits'!$AX$60="C1",$AE29&lt;&gt;""),$AE29*$G29*8.34,IF(AND($AE29&lt;&gt;"",'Outfall 1 Limits'!$AX$60="L"),$AE29,""))</f>
        <v/>
      </c>
      <c r="FS29" s="29" t="str">
        <f>IF(AND($G29&lt;&gt;"",$G29&gt;0,'Outfall 1 Limits'!$AX$64="C1",$AG29&lt;&gt;""),$AG29*$G29*8.34,IF(AND($AG29&lt;&gt;"",'Outfall 1 Limits'!$AX$64="L"),$AG29,""))</f>
        <v/>
      </c>
      <c r="FT29" s="29" t="str">
        <f>IF(AND($G29&lt;&gt;"",$G29&gt;0,'Outfall 1 Limits'!$AX$68="C1",$AI29&lt;&gt;""),$AI29*$G29*8.34,IF(AND($AI29&lt;&gt;"",'Outfall 1 Limits'!$AX$68="L"),$AI29,""))</f>
        <v/>
      </c>
      <c r="GJ29" s="29" t="str">
        <f t="shared" si="29"/>
        <v/>
      </c>
      <c r="GK29" s="77" t="str">
        <f>IF(AND($G29&lt;&gt;"",$G29&gt;0,'Outfall 1 Limits'!$AX$16="C1",CY29&lt;&gt;""),CY29*$G29*8.34,IF(AND(CY29&lt;&gt;"",'Outfall 1 Limits'!$AX$16="L"),CY29,""))</f>
        <v/>
      </c>
      <c r="GL29" s="29" t="str">
        <f>IF(AND($G29&lt;&gt;"",$G29&gt;0,'Outfall 1 Limits'!$AX$20="C1",CZ29&lt;&gt;""),CZ29*$G29*8.34,IF(AND(CZ29&lt;&gt;"",'Outfall 1 Limits'!$AX$20="L"),CZ29,""))</f>
        <v/>
      </c>
      <c r="GM29" s="29" t="str">
        <f>IF(AND($G29&lt;&gt;"",$G29&gt;0,'Outfall 1 Limits'!$AX$24="C1",DA29&lt;&gt;""),DA29*$G29*8.34,IF(AND(DA29&lt;&gt;"",'Outfall 1 Limits'!$AX$24="L"),DA29,""))</f>
        <v/>
      </c>
      <c r="GN29" s="29" t="str">
        <f>IF(AND($G29&lt;&gt;"",$G29&gt;0,'Outfall 1 Limits'!$AX$28="C1",DB29&lt;&gt;""),DB29*$G29*8.34,IF(AND(DB29&lt;&gt;"",'Outfall 1 Limits'!$AX$28="L"),DB29,""))</f>
        <v/>
      </c>
      <c r="GO29" s="29" t="str">
        <f>IF(AND($G29&lt;&gt;"",$G29&gt;0,'Outfall 1 Limits'!$AX$32="C1",DC29&lt;&gt;""),DC29*$G29*8.34,IF(AND(DC29&lt;&gt;"",'Outfall 1 Limits'!$AX$32="L"),DC29,""))</f>
        <v/>
      </c>
      <c r="GP29" s="29" t="str">
        <f>IF(AND($G29&lt;&gt;"",$G29&gt;0,'Outfall 1 Limits'!$AX$36="C1",DD29&lt;&gt;""),DD29*$G29*8.34,IF(AND(DD29&lt;&gt;"",'Outfall 1 Limits'!$AX$36="L"),DD29,""))</f>
        <v/>
      </c>
      <c r="GQ29" s="29" t="str">
        <f>IF(AND($G29&lt;&gt;"",$G29&gt;0,'Outfall 1 Limits'!$AX$40="C1",DE29&lt;&gt;""),DE29*$G29*8.34,IF(AND(DE29&lt;&gt;"",'Outfall 1 Limits'!$AX$40="L"),DE29,""))</f>
        <v/>
      </c>
      <c r="GR29" s="29" t="str">
        <f>IF(AND($G29&lt;&gt;"",$G29&gt;0,'Outfall 1 Limits'!$AX$44="C1",DF29&lt;&gt;""),DF29*$G29*8.34,IF(AND(DF29&lt;&gt;"",'Outfall 1 Limits'!$AX$44="L"),DF29,""))</f>
        <v/>
      </c>
      <c r="GS29" s="29" t="str">
        <f>IF(AND($G29&lt;&gt;"",$G29&gt;0,'Outfall 1 Limits'!$AX$48="C1",DG29&lt;&gt;""),DG29*$G29*8.34,IF(AND(DG29&lt;&gt;"",'Outfall 1 Limits'!$AX$48="L"),DG29,""))</f>
        <v/>
      </c>
      <c r="GT29" s="29" t="str">
        <f>IF(AND($G29&lt;&gt;"",$G29&gt;0,'Outfall 1 Limits'!$AX$52="C1",DH29&lt;&gt;""),DH29*$G29*8.34,IF(AND(DH29&lt;&gt;"",'Outfall 1 Limits'!$AX$52="L"),DH29,""))</f>
        <v/>
      </c>
      <c r="GU29" s="29" t="str">
        <f>IF(AND($G29&lt;&gt;"",$G29&gt;0,'Outfall 1 Limits'!$AX$56="C1",DI29&lt;&gt;""),DI29*$G29*8.34,IF(AND(DI29&lt;&gt;"",'Outfall 1 Limits'!$AX$56="L"),DI29,""))</f>
        <v/>
      </c>
      <c r="GV29" s="29" t="str">
        <f>IF(AND($G29&lt;&gt;"",$G29&gt;0,'Outfall 1 Limits'!$AX$60="C1",DJ29&lt;&gt;""),DJ29*$G29*8.34,IF(AND(DJ29&lt;&gt;"",'Outfall 1 Limits'!$AX$60="L"),DJ29,""))</f>
        <v/>
      </c>
      <c r="GW29" s="29" t="str">
        <f>IF(AND($G29&lt;&gt;"",$G29&gt;0,'Outfall 1 Limits'!$AX$64="C1",DK29&lt;&gt;""),DK29*$G29*8.34,IF(AND(DK29&lt;&gt;"",'Outfall 1 Limits'!$AX$64="L"),DK29,""))</f>
        <v/>
      </c>
      <c r="GX29" s="29" t="str">
        <f>IF(AND($G29&lt;&gt;"",$G29&gt;0,'Outfall 1 Limits'!$AX$68="C1",DL29&lt;&gt;""),DL29*$G29*8.34,IF(AND(DL29&lt;&gt;"",'Outfall 1 Limits'!$AX$68="L"),DL29,""))</f>
        <v/>
      </c>
      <c r="HO29" s="98" t="str">
        <f t="shared" si="30"/>
        <v/>
      </c>
      <c r="HS29" s="68" t="str">
        <f t="shared" si="31"/>
        <v/>
      </c>
      <c r="HT29" s="188" t="str">
        <f t="shared" si="32"/>
        <v/>
      </c>
      <c r="HU29" s="188" t="str">
        <f t="shared" si="33"/>
        <v/>
      </c>
      <c r="HV29" s="188" t="str">
        <f t="shared" si="34"/>
        <v/>
      </c>
      <c r="HW29" s="188" t="str">
        <f t="shared" si="35"/>
        <v/>
      </c>
      <c r="HX29" s="188" t="str">
        <f t="shared" si="36"/>
        <v/>
      </c>
      <c r="HY29" s="188" t="str">
        <f t="shared" si="37"/>
        <v/>
      </c>
      <c r="HZ29" s="188" t="str">
        <f t="shared" si="38"/>
        <v/>
      </c>
      <c r="IA29" s="188" t="str">
        <f t="shared" si="39"/>
        <v/>
      </c>
      <c r="IB29" s="188" t="str">
        <f t="shared" si="40"/>
        <v/>
      </c>
      <c r="IC29" s="188" t="str">
        <f t="shared" si="41"/>
        <v/>
      </c>
      <c r="ID29" s="188" t="str">
        <f t="shared" si="42"/>
        <v/>
      </c>
      <c r="IE29" s="188" t="str">
        <f t="shared" si="43"/>
        <v/>
      </c>
      <c r="IF29" s="188" t="str">
        <f t="shared" si="44"/>
        <v/>
      </c>
      <c r="IX29" s="68" t="str">
        <f t="shared" si="45"/>
        <v/>
      </c>
      <c r="IY29" s="188" t="str">
        <f t="shared" si="46"/>
        <v/>
      </c>
      <c r="IZ29" s="188" t="str">
        <f t="shared" si="47"/>
        <v/>
      </c>
      <c r="JA29" s="188" t="str">
        <f t="shared" si="48"/>
        <v/>
      </c>
      <c r="JB29" s="188" t="str">
        <f t="shared" si="49"/>
        <v/>
      </c>
      <c r="JC29" s="188" t="str">
        <f t="shared" si="50"/>
        <v/>
      </c>
      <c r="JD29" s="188" t="str">
        <f t="shared" si="51"/>
        <v/>
      </c>
      <c r="JE29" s="188" t="str">
        <f t="shared" si="52"/>
        <v/>
      </c>
      <c r="JF29" s="188" t="str">
        <f t="shared" si="53"/>
        <v/>
      </c>
      <c r="JG29" s="188" t="str">
        <f t="shared" si="54"/>
        <v/>
      </c>
      <c r="JH29" s="188" t="str">
        <f t="shared" si="55"/>
        <v/>
      </c>
      <c r="JI29" s="188" t="str">
        <f t="shared" si="56"/>
        <v/>
      </c>
      <c r="JJ29" s="188" t="str">
        <f t="shared" si="57"/>
        <v/>
      </c>
      <c r="JK29" s="188" t="str">
        <f t="shared" si="58"/>
        <v/>
      </c>
      <c r="KA29" s="188"/>
      <c r="KB29" s="2"/>
      <c r="KC29" s="226"/>
      <c r="KD29" s="164" t="str">
        <f t="shared" si="1"/>
        <v/>
      </c>
      <c r="KE29" s="188" t="str">
        <f t="shared" si="2"/>
        <v/>
      </c>
      <c r="KF29" s="188" t="str">
        <f t="shared" si="3"/>
        <v/>
      </c>
      <c r="KG29" s="188" t="str">
        <f t="shared" si="4"/>
        <v/>
      </c>
      <c r="KH29" s="188" t="str">
        <f t="shared" si="5"/>
        <v/>
      </c>
      <c r="KI29" s="188" t="str">
        <f t="shared" si="6"/>
        <v/>
      </c>
      <c r="KJ29" s="188" t="str">
        <f t="shared" si="7"/>
        <v/>
      </c>
      <c r="KK29" s="188" t="str">
        <f t="shared" si="8"/>
        <v/>
      </c>
      <c r="KL29" s="188" t="str">
        <f t="shared" si="9"/>
        <v/>
      </c>
      <c r="KM29" s="188" t="str">
        <f t="shared" si="10"/>
        <v/>
      </c>
      <c r="KN29" s="188" t="str">
        <f t="shared" si="11"/>
        <v/>
      </c>
      <c r="KO29" s="188" t="str">
        <f t="shared" si="12"/>
        <v/>
      </c>
      <c r="KP29" s="188" t="str">
        <f t="shared" si="13"/>
        <v/>
      </c>
      <c r="KQ29" s="188" t="str">
        <f t="shared" si="14"/>
        <v/>
      </c>
    </row>
    <row r="30" spans="1:303" s="18" customFormat="1" ht="11.45" customHeight="1" thickTop="1" x14ac:dyDescent="0.2">
      <c r="A30" s="38"/>
      <c r="B30" s="48"/>
      <c r="C30" s="421">
        <f t="shared" si="0"/>
        <v>45304</v>
      </c>
      <c r="D30" s="421"/>
      <c r="E30" s="422">
        <f t="shared" si="59"/>
        <v>45304</v>
      </c>
      <c r="F30" s="423"/>
      <c r="G30" s="31"/>
      <c r="H30" s="45"/>
      <c r="I30" s="44"/>
      <c r="J30" s="45"/>
      <c r="K30" s="44"/>
      <c r="L30" s="45"/>
      <c r="M30" s="44"/>
      <c r="N30" s="45"/>
      <c r="O30" s="44"/>
      <c r="P30" s="45"/>
      <c r="Q30" s="44"/>
      <c r="R30" s="45"/>
      <c r="S30" s="44"/>
      <c r="T30" s="45"/>
      <c r="U30" s="44"/>
      <c r="V30" s="45"/>
      <c r="W30" s="44"/>
      <c r="X30" s="45"/>
      <c r="Y30" s="44"/>
      <c r="Z30" s="45"/>
      <c r="AA30" s="44"/>
      <c r="AB30" s="45"/>
      <c r="AC30" s="44"/>
      <c r="AD30" s="45"/>
      <c r="AE30" s="44"/>
      <c r="AF30" s="45"/>
      <c r="AG30" s="44"/>
      <c r="AH30" s="45"/>
      <c r="AI30" s="127"/>
      <c r="AJ30" s="236"/>
      <c r="BO30" s="188"/>
      <c r="BP30" s="267">
        <v>2049</v>
      </c>
      <c r="BQ30" s="83" t="s">
        <v>45</v>
      </c>
      <c r="BR30" s="188"/>
      <c r="BS30" s="188" t="s">
        <v>1117</v>
      </c>
      <c r="BU30" s="68" t="str">
        <f t="shared" si="15"/>
        <v/>
      </c>
      <c r="BV30" s="188" t="str">
        <f t="shared" si="16"/>
        <v/>
      </c>
      <c r="BW30" s="188" t="str">
        <f t="shared" si="17"/>
        <v/>
      </c>
      <c r="BX30" s="188" t="str">
        <f t="shared" si="18"/>
        <v/>
      </c>
      <c r="BY30" s="188" t="str">
        <f t="shared" si="19"/>
        <v/>
      </c>
      <c r="BZ30" s="188" t="str">
        <f t="shared" si="20"/>
        <v/>
      </c>
      <c r="CA30" s="188" t="str">
        <f t="shared" si="21"/>
        <v/>
      </c>
      <c r="CB30" s="188" t="str">
        <f t="shared" si="22"/>
        <v/>
      </c>
      <c r="CC30" s="188" t="str">
        <f t="shared" si="23"/>
        <v/>
      </c>
      <c r="CD30" s="188" t="str">
        <f t="shared" si="24"/>
        <v/>
      </c>
      <c r="CE30" s="188" t="str">
        <f t="shared" si="25"/>
        <v/>
      </c>
      <c r="CF30" s="188" t="str">
        <f t="shared" si="26"/>
        <v/>
      </c>
      <c r="CG30" s="188" t="str">
        <f t="shared" si="27"/>
        <v/>
      </c>
      <c r="CH30" s="188" t="str">
        <f t="shared" si="28"/>
        <v/>
      </c>
      <c r="CY30" s="77" t="str">
        <f>IF(I30&lt;&gt;"",IF(H30="&lt;",IF(AND('Outfall 1 Limits'!$AM$16="Y",$BU$54&lt;&gt;"Y",I30&lt;='Outfall 1 Limits'!$AL$16),0,(1*I30)),I30),"")</f>
        <v/>
      </c>
      <c r="CZ30" s="29" t="str">
        <f>IF(K30&lt;&gt;"",IF(J30="&lt;",IF(AND('Outfall 1 Limits'!$AM$20="Y",$BV$54&lt;&gt;"Y",K30&lt;='Outfall 1 Limits'!$AL$20),0,(1*K30)),K30),"")</f>
        <v/>
      </c>
      <c r="DA30" s="29" t="str">
        <f>IF(M30&lt;&gt;"",IF(L30="&lt;",IF(AND('Outfall 1 Limits'!$AM$24="Y",$BW$54&lt;&gt;"Y",M30&lt;='Outfall 1 Limits'!$AL$24),0,(1*M30)),M30),"")</f>
        <v/>
      </c>
      <c r="DB30" s="29" t="str">
        <f>IF(O30&lt;&gt;"",IF(N30="&lt;",IF(AND('Outfall 1 Limits'!$AM$28="Y",$BX$54&lt;&gt;"Y",O30&lt;='Outfall 1 Limits'!$AL$28),0,(1*O30)),O30),"")</f>
        <v/>
      </c>
      <c r="DC30" s="29" t="str">
        <f>IF(Q30&lt;&gt;"",IF(P30="&lt;",IF(AND('Outfall 1 Limits'!$AM$32="Y",$BY$54&lt;&gt;"Y",Q30&lt;='Outfall 1 Limits'!$AL$32),0,(1*Q30)),Q30),"")</f>
        <v/>
      </c>
      <c r="DD30" s="29" t="str">
        <f>IF(S30&lt;&gt;"",IF(R30="&lt;",IF(AND('Outfall 1 Limits'!$AM$36="Y",$BZ$54&lt;&gt;"Y",S30&lt;='Outfall 1 Limits'!$AL$36),0,(1*S30)),S30),"")</f>
        <v/>
      </c>
      <c r="DE30" s="29" t="str">
        <f>IF(U30&lt;&gt;"",IF(T30="&lt;",IF(AND('Outfall 1 Limits'!$AM$40="Y",$CA$54&lt;&gt;"Y",U30&lt;='Outfall 1 Limits'!$AL$40),0,(1*U30)),U30),"")</f>
        <v/>
      </c>
      <c r="DF30" s="29" t="str">
        <f>IF(W30&lt;&gt;"",IF(V30="&lt;",IF(AND('Outfall 1 Limits'!$AM$44="Y",$CB$54&lt;&gt;"Y",W30&lt;='Outfall 1 Limits'!$AL$44),0,(1*W30)),W30),"")</f>
        <v/>
      </c>
      <c r="DG30" s="29" t="str">
        <f>IF(Y30&lt;&gt;"",IF(X30="&lt;",IF(AND('Outfall 1 Limits'!$AM$48="Y",$CC$54&lt;&gt;"Y",Y30&lt;='Outfall 1 Limits'!$AL$48),0,(1*Y30)),Y30),"")</f>
        <v/>
      </c>
      <c r="DH30" s="29" t="str">
        <f>IF(AA30&lt;&gt;"",IF(Z30="&lt;",IF(AND('Outfall 1 Limits'!$AM$52="Y",$CD$54&lt;&gt;"Y",AA30&lt;='Outfall 1 Limits'!$AL$52),0,(1*AA30)),AA30),"")</f>
        <v/>
      </c>
      <c r="DI30" s="29" t="str">
        <f>IF(AC30&lt;&gt;"",IF(AB30="&lt;",IF(AND('Outfall 1 Limits'!$AM$56="Y",$CE$54&lt;&gt;"Y",AC30&lt;='Outfall 1 Limits'!$AL$56),0,(1*AC30)),AC30),"")</f>
        <v/>
      </c>
      <c r="DJ30" s="29" t="str">
        <f>IF(AE30&lt;&gt;"",IF(AD30="&lt;",IF(AND('Outfall 1 Limits'!$AM$60="Y",$CF$54&lt;&gt;"Y",AE30&lt;='Outfall 1 Limits'!$AL$60),0,(1*AE30)),AE30),"")</f>
        <v/>
      </c>
      <c r="DK30" s="29" t="str">
        <f>IF(AG30&lt;&gt;"",IF(AF30="&lt;",IF(AND('Outfall 1 Limits'!$AM$64="Y",$CG$54&lt;&gt;"Y",AG30&lt;='Outfall 1 Limits'!$AL$64),0,(1*AG30)),AG30),"")</f>
        <v/>
      </c>
      <c r="DL30" s="29" t="str">
        <f>IF(AI30&lt;&gt;"",IF(AH30="&lt;",IF(AND('Outfall 1 Limits'!$AM$68="Y",$CH$54&lt;&gt;"Y",AI30&lt;='Outfall 1 Limits'!$AL$68),0,(1*AI30)),AI30),"")</f>
        <v/>
      </c>
      <c r="EB30" s="2"/>
      <c r="EC30" s="66">
        <v>1</v>
      </c>
      <c r="ED30" s="81">
        <v>2</v>
      </c>
      <c r="EE30" s="81">
        <v>3</v>
      </c>
      <c r="EF30" s="81">
        <v>4</v>
      </c>
      <c r="EG30" s="81">
        <v>5</v>
      </c>
      <c r="EH30" s="81">
        <v>6</v>
      </c>
      <c r="EI30" s="81">
        <v>7</v>
      </c>
      <c r="EJ30" s="81">
        <v>8</v>
      </c>
      <c r="EK30" s="81">
        <v>9</v>
      </c>
      <c r="EL30" s="81">
        <v>10</v>
      </c>
      <c r="EM30" s="81">
        <v>11</v>
      </c>
      <c r="EN30" s="81">
        <v>12</v>
      </c>
      <c r="EO30" s="81">
        <v>13</v>
      </c>
      <c r="EP30" s="81">
        <v>14</v>
      </c>
      <c r="FG30" s="77" t="str">
        <f>IF(AND($G30&lt;&gt;"",$G30&gt;0,'Outfall 1 Limits'!$AX$16="C1",I30&lt;&gt;""),I30*$G30*8.34,IF(AND($I30&lt;&gt;"",'Outfall 1 Limits'!$AX$16="L"),I30,""))</f>
        <v/>
      </c>
      <c r="FH30" s="29" t="str">
        <f>IF(AND($G30&lt;&gt;"",$G30&gt;0,'Outfall 1 Limits'!$AX$20="C1",$K30&lt;&gt;""),$K30*$G30*8.34,IF(AND($K30&lt;&gt;"",'Outfall 1 Limits'!$AX$20="L"),$K30,""))</f>
        <v/>
      </c>
      <c r="FI30" s="29" t="str">
        <f>IF(AND($G30&lt;&gt;"",$G30&gt;0,'Outfall 1 Limits'!$AX$24="C1",$M30&lt;&gt;""),$M30*$G30*8.34,IF(AND($M30&lt;&gt;"",'Outfall 1 Limits'!$AX$24="L"),$M30,""))</f>
        <v/>
      </c>
      <c r="FJ30" s="29" t="str">
        <f>IF(AND($G30&lt;&gt;"",$G30&gt;0,'Outfall 1 Limits'!$AX$28="C1",$O30&lt;&gt;""),$O30*$G30*8.34,IF(AND($O30&lt;&gt;"",'Outfall 1 Limits'!$AX$28="L"),$O30,""))</f>
        <v/>
      </c>
      <c r="FK30" s="29" t="str">
        <f>IF(AND($G30&lt;&gt;"",$G30&gt;0,'Outfall 1 Limits'!$AX$32="C1",$Q30&lt;&gt;""),$Q30*$G30*8.34,IF(AND($Q30&lt;&gt;"",'Outfall 1 Limits'!$AX$32="L"),$Q30,""))</f>
        <v/>
      </c>
      <c r="FL30" s="29" t="str">
        <f>IF(AND($G30&lt;&gt;"",$G30&gt;0,'Outfall 1 Limits'!$AX$36="C1",$S30&lt;&gt;""),$S30*$G30*8.34,IF(AND($S30&lt;&gt;"",'Outfall 1 Limits'!$AX$36="L"),$S30,""))</f>
        <v/>
      </c>
      <c r="FM30" s="29" t="str">
        <f>IF(AND($G30&lt;&gt;"",$G30&gt;0,'Outfall 1 Limits'!$AX$40="C1",$U30&lt;&gt;""),$U30*$G30*8.34,IF(AND($U30&lt;&gt;"",'Outfall 1 Limits'!$AX$40="L"),$U30,""))</f>
        <v/>
      </c>
      <c r="FN30" s="29" t="str">
        <f>IF(AND($G30&lt;&gt;"",$G30&gt;0,'Outfall 1 Limits'!$AX$44="C1",$W30&lt;&gt;""),$W30*$G30*8.34,IF(AND($W30&lt;&gt;"",'Outfall 1 Limits'!$AX$44="L"),$W30,""))</f>
        <v/>
      </c>
      <c r="FO30" s="29" t="str">
        <f>IF(AND($G30&lt;&gt;"",$G30&gt;0,'Outfall 1 Limits'!$AX$48="C1",$Y30&lt;&gt;""),$Y30*$G30*8.34,IF(AND($Y30&lt;&gt;"",'Outfall 1 Limits'!$AX$48="L"),$Y30,""))</f>
        <v/>
      </c>
      <c r="FP30" s="29" t="str">
        <f>IF(AND($G30&lt;&gt;"",$G30&gt;0,'Outfall 1 Limits'!$AX$52="C1",$AA30&lt;&gt;""),$AA30*$G30*8.34,IF(AND($AA30&lt;&gt;"",'Outfall 1 Limits'!$AX$52="L"),$AA30,""))</f>
        <v/>
      </c>
      <c r="FQ30" s="29" t="str">
        <f>IF(AND($G30&lt;&gt;"",$G30&gt;0,'Outfall 1 Limits'!$AX$56="C1",$AC30&lt;&gt;""),$AC30*$G30*8.34,IF(AND($AC30&lt;&gt;"",'Outfall 1 Limits'!$AX$56="L"),$AC30,""))</f>
        <v/>
      </c>
      <c r="FR30" s="29" t="str">
        <f>IF(AND($G30&lt;&gt;"",$G30&gt;0,'Outfall 1 Limits'!$AX$60="C1",$AE30&lt;&gt;""),$AE30*$G30*8.34,IF(AND($AE30&lt;&gt;"",'Outfall 1 Limits'!$AX$60="L"),$AE30,""))</f>
        <v/>
      </c>
      <c r="FS30" s="29" t="str">
        <f>IF(AND($G30&lt;&gt;"",$G30&gt;0,'Outfall 1 Limits'!$AX$64="C1",$AG30&lt;&gt;""),$AG30*$G30*8.34,IF(AND($AG30&lt;&gt;"",'Outfall 1 Limits'!$AX$64="L"),$AG30,""))</f>
        <v/>
      </c>
      <c r="FT30" s="29" t="str">
        <f>IF(AND($G30&lt;&gt;"",$G30&gt;0,'Outfall 1 Limits'!$AX$68="C1",$AI30&lt;&gt;""),$AI30*$G30*8.34,IF(AND($AI30&lt;&gt;"",'Outfall 1 Limits'!$AX$68="L"),$AI30,""))</f>
        <v/>
      </c>
      <c r="GJ30" s="29" t="str">
        <f t="shared" si="29"/>
        <v/>
      </c>
      <c r="GK30" s="77" t="str">
        <f>IF(AND($G30&lt;&gt;"",$G30&gt;0,'Outfall 1 Limits'!$AX$16="C1",CY30&lt;&gt;""),CY30*$G30*8.34,IF(AND(CY30&lt;&gt;"",'Outfall 1 Limits'!$AX$16="L"),CY30,""))</f>
        <v/>
      </c>
      <c r="GL30" s="29" t="str">
        <f>IF(AND($G30&lt;&gt;"",$G30&gt;0,'Outfall 1 Limits'!$AX$20="C1",CZ30&lt;&gt;""),CZ30*$G30*8.34,IF(AND(CZ30&lt;&gt;"",'Outfall 1 Limits'!$AX$20="L"),CZ30,""))</f>
        <v/>
      </c>
      <c r="GM30" s="29" t="str">
        <f>IF(AND($G30&lt;&gt;"",$G30&gt;0,'Outfall 1 Limits'!$AX$24="C1",DA30&lt;&gt;""),DA30*$G30*8.34,IF(AND(DA30&lt;&gt;"",'Outfall 1 Limits'!$AX$24="L"),DA30,""))</f>
        <v/>
      </c>
      <c r="GN30" s="29" t="str">
        <f>IF(AND($G30&lt;&gt;"",$G30&gt;0,'Outfall 1 Limits'!$AX$28="C1",DB30&lt;&gt;""),DB30*$G30*8.34,IF(AND(DB30&lt;&gt;"",'Outfall 1 Limits'!$AX$28="L"),DB30,""))</f>
        <v/>
      </c>
      <c r="GO30" s="29" t="str">
        <f>IF(AND($G30&lt;&gt;"",$G30&gt;0,'Outfall 1 Limits'!$AX$32="C1",DC30&lt;&gt;""),DC30*$G30*8.34,IF(AND(DC30&lt;&gt;"",'Outfall 1 Limits'!$AX$32="L"),DC30,""))</f>
        <v/>
      </c>
      <c r="GP30" s="29" t="str">
        <f>IF(AND($G30&lt;&gt;"",$G30&gt;0,'Outfall 1 Limits'!$AX$36="C1",DD30&lt;&gt;""),DD30*$G30*8.34,IF(AND(DD30&lt;&gt;"",'Outfall 1 Limits'!$AX$36="L"),DD30,""))</f>
        <v/>
      </c>
      <c r="GQ30" s="29" t="str">
        <f>IF(AND($G30&lt;&gt;"",$G30&gt;0,'Outfall 1 Limits'!$AX$40="C1",DE30&lt;&gt;""),DE30*$G30*8.34,IF(AND(DE30&lt;&gt;"",'Outfall 1 Limits'!$AX$40="L"),DE30,""))</f>
        <v/>
      </c>
      <c r="GR30" s="29" t="str">
        <f>IF(AND($G30&lt;&gt;"",$G30&gt;0,'Outfall 1 Limits'!$AX$44="C1",DF30&lt;&gt;""),DF30*$G30*8.34,IF(AND(DF30&lt;&gt;"",'Outfall 1 Limits'!$AX$44="L"),DF30,""))</f>
        <v/>
      </c>
      <c r="GS30" s="29" t="str">
        <f>IF(AND($G30&lt;&gt;"",$G30&gt;0,'Outfall 1 Limits'!$AX$48="C1",DG30&lt;&gt;""),DG30*$G30*8.34,IF(AND(DG30&lt;&gt;"",'Outfall 1 Limits'!$AX$48="L"),DG30,""))</f>
        <v/>
      </c>
      <c r="GT30" s="29" t="str">
        <f>IF(AND($G30&lt;&gt;"",$G30&gt;0,'Outfall 1 Limits'!$AX$52="C1",DH30&lt;&gt;""),DH30*$G30*8.34,IF(AND(DH30&lt;&gt;"",'Outfall 1 Limits'!$AX$52="L"),DH30,""))</f>
        <v/>
      </c>
      <c r="GU30" s="29" t="str">
        <f>IF(AND($G30&lt;&gt;"",$G30&gt;0,'Outfall 1 Limits'!$AX$56="C1",DI30&lt;&gt;""),DI30*$G30*8.34,IF(AND(DI30&lt;&gt;"",'Outfall 1 Limits'!$AX$56="L"),DI30,""))</f>
        <v/>
      </c>
      <c r="GV30" s="29" t="str">
        <f>IF(AND($G30&lt;&gt;"",$G30&gt;0,'Outfall 1 Limits'!$AX$60="C1",DJ30&lt;&gt;""),DJ30*$G30*8.34,IF(AND(DJ30&lt;&gt;"",'Outfall 1 Limits'!$AX$60="L"),DJ30,""))</f>
        <v/>
      </c>
      <c r="GW30" s="29" t="str">
        <f>IF(AND($G30&lt;&gt;"",$G30&gt;0,'Outfall 1 Limits'!$AX$64="C1",DK30&lt;&gt;""),DK30*$G30*8.34,IF(AND(DK30&lt;&gt;"",'Outfall 1 Limits'!$AX$64="L"),DK30,""))</f>
        <v/>
      </c>
      <c r="GX30" s="29" t="str">
        <f>IF(AND($G30&lt;&gt;"",$G30&gt;0,'Outfall 1 Limits'!$AX$68="C1",DL30&lt;&gt;""),DL30*$G30*8.34,IF(AND(DL30&lt;&gt;"",'Outfall 1 Limits'!$AX$68="L"),DL30,""))</f>
        <v/>
      </c>
      <c r="HO30" s="98" t="str">
        <f t="shared" si="30"/>
        <v/>
      </c>
      <c r="HS30" s="68" t="str">
        <f t="shared" si="31"/>
        <v/>
      </c>
      <c r="HT30" s="188" t="str">
        <f t="shared" si="32"/>
        <v/>
      </c>
      <c r="HU30" s="188" t="str">
        <f t="shared" si="33"/>
        <v/>
      </c>
      <c r="HV30" s="188" t="str">
        <f t="shared" si="34"/>
        <v/>
      </c>
      <c r="HW30" s="188" t="str">
        <f t="shared" si="35"/>
        <v/>
      </c>
      <c r="HX30" s="188" t="str">
        <f t="shared" si="36"/>
        <v/>
      </c>
      <c r="HY30" s="188" t="str">
        <f t="shared" si="37"/>
        <v/>
      </c>
      <c r="HZ30" s="188" t="str">
        <f t="shared" si="38"/>
        <v/>
      </c>
      <c r="IA30" s="188" t="str">
        <f t="shared" si="39"/>
        <v/>
      </c>
      <c r="IB30" s="188" t="str">
        <f t="shared" si="40"/>
        <v/>
      </c>
      <c r="IC30" s="188" t="str">
        <f t="shared" si="41"/>
        <v/>
      </c>
      <c r="ID30" s="188" t="str">
        <f t="shared" si="42"/>
        <v/>
      </c>
      <c r="IE30" s="188" t="str">
        <f t="shared" si="43"/>
        <v/>
      </c>
      <c r="IF30" s="188" t="str">
        <f t="shared" si="44"/>
        <v/>
      </c>
      <c r="IX30" s="68" t="str">
        <f t="shared" si="45"/>
        <v/>
      </c>
      <c r="IY30" s="188" t="str">
        <f t="shared" si="46"/>
        <v/>
      </c>
      <c r="IZ30" s="188" t="str">
        <f t="shared" si="47"/>
        <v/>
      </c>
      <c r="JA30" s="188" t="str">
        <f t="shared" si="48"/>
        <v/>
      </c>
      <c r="JB30" s="188" t="str">
        <f t="shared" si="49"/>
        <v/>
      </c>
      <c r="JC30" s="188" t="str">
        <f t="shared" si="50"/>
        <v/>
      </c>
      <c r="JD30" s="188" t="str">
        <f t="shared" si="51"/>
        <v/>
      </c>
      <c r="JE30" s="188" t="str">
        <f t="shared" si="52"/>
        <v/>
      </c>
      <c r="JF30" s="188" t="str">
        <f t="shared" si="53"/>
        <v/>
      </c>
      <c r="JG30" s="188" t="str">
        <f t="shared" si="54"/>
        <v/>
      </c>
      <c r="JH30" s="188" t="str">
        <f t="shared" si="55"/>
        <v/>
      </c>
      <c r="JI30" s="188" t="str">
        <f t="shared" si="56"/>
        <v/>
      </c>
      <c r="JJ30" s="188" t="str">
        <f t="shared" si="57"/>
        <v/>
      </c>
      <c r="JK30" s="188" t="str">
        <f t="shared" si="58"/>
        <v/>
      </c>
      <c r="KA30" s="188"/>
      <c r="KB30" s="2"/>
      <c r="KC30" s="226"/>
      <c r="KD30" s="164" t="str">
        <f t="shared" si="1"/>
        <v/>
      </c>
      <c r="KE30" s="188" t="str">
        <f t="shared" si="2"/>
        <v/>
      </c>
      <c r="KF30" s="188" t="str">
        <f t="shared" si="3"/>
        <v/>
      </c>
      <c r="KG30" s="188" t="str">
        <f t="shared" si="4"/>
        <v/>
      </c>
      <c r="KH30" s="188" t="str">
        <f t="shared" si="5"/>
        <v/>
      </c>
      <c r="KI30" s="188" t="str">
        <f t="shared" si="6"/>
        <v/>
      </c>
      <c r="KJ30" s="188" t="str">
        <f t="shared" si="7"/>
        <v/>
      </c>
      <c r="KK30" s="188" t="str">
        <f t="shared" si="8"/>
        <v/>
      </c>
      <c r="KL30" s="188" t="str">
        <f t="shared" si="9"/>
        <v/>
      </c>
      <c r="KM30" s="188" t="str">
        <f t="shared" si="10"/>
        <v/>
      </c>
      <c r="KN30" s="188" t="str">
        <f t="shared" si="11"/>
        <v/>
      </c>
      <c r="KO30" s="188" t="str">
        <f t="shared" si="12"/>
        <v/>
      </c>
      <c r="KP30" s="188" t="str">
        <f t="shared" si="13"/>
        <v/>
      </c>
      <c r="KQ30" s="188" t="str">
        <f t="shared" si="14"/>
        <v/>
      </c>
    </row>
    <row r="31" spans="1:303" s="18" customFormat="1" ht="11.45" customHeight="1" x14ac:dyDescent="0.2">
      <c r="A31" s="38"/>
      <c r="B31" s="48">
        <v>3</v>
      </c>
      <c r="C31" s="421">
        <f t="shared" si="0"/>
        <v>45305</v>
      </c>
      <c r="D31" s="421"/>
      <c r="E31" s="422">
        <f t="shared" si="59"/>
        <v>45305</v>
      </c>
      <c r="F31" s="423"/>
      <c r="G31" s="31"/>
      <c r="H31" s="45"/>
      <c r="I31" s="44"/>
      <c r="J31" s="45"/>
      <c r="K31" s="44"/>
      <c r="L31" s="45"/>
      <c r="M31" s="44"/>
      <c r="N31" s="45"/>
      <c r="O31" s="44"/>
      <c r="P31" s="45"/>
      <c r="Q31" s="44"/>
      <c r="R31" s="45"/>
      <c r="S31" s="44"/>
      <c r="T31" s="45"/>
      <c r="U31" s="44"/>
      <c r="V31" s="45"/>
      <c r="W31" s="44"/>
      <c r="X31" s="45"/>
      <c r="Y31" s="44"/>
      <c r="Z31" s="45"/>
      <c r="AA31" s="44"/>
      <c r="AB31" s="45"/>
      <c r="AC31" s="44"/>
      <c r="AD31" s="45"/>
      <c r="AE31" s="44"/>
      <c r="AF31" s="45"/>
      <c r="AG31" s="44"/>
      <c r="AH31" s="45"/>
      <c r="AI31" s="127"/>
      <c r="AJ31" s="236"/>
      <c r="BO31" s="188"/>
      <c r="BP31" s="267">
        <v>2050</v>
      </c>
      <c r="BQ31" s="224" t="s">
        <v>46</v>
      </c>
      <c r="BR31" s="225"/>
      <c r="BS31" s="188" t="s">
        <v>5</v>
      </c>
      <c r="BU31" s="68" t="str">
        <f t="shared" si="15"/>
        <v/>
      </c>
      <c r="BV31" s="188" t="str">
        <f t="shared" si="16"/>
        <v/>
      </c>
      <c r="BW31" s="188" t="str">
        <f t="shared" si="17"/>
        <v/>
      </c>
      <c r="BX31" s="188" t="str">
        <f t="shared" si="18"/>
        <v/>
      </c>
      <c r="BY31" s="188" t="str">
        <f t="shared" si="19"/>
        <v/>
      </c>
      <c r="BZ31" s="188" t="str">
        <f t="shared" si="20"/>
        <v/>
      </c>
      <c r="CA31" s="188" t="str">
        <f t="shared" si="21"/>
        <v/>
      </c>
      <c r="CB31" s="188" t="str">
        <f t="shared" si="22"/>
        <v/>
      </c>
      <c r="CC31" s="188" t="str">
        <f t="shared" si="23"/>
        <v/>
      </c>
      <c r="CD31" s="188" t="str">
        <f t="shared" si="24"/>
        <v/>
      </c>
      <c r="CE31" s="188" t="str">
        <f t="shared" si="25"/>
        <v/>
      </c>
      <c r="CF31" s="188" t="str">
        <f t="shared" si="26"/>
        <v/>
      </c>
      <c r="CG31" s="188" t="str">
        <f t="shared" si="27"/>
        <v/>
      </c>
      <c r="CH31" s="188" t="str">
        <f t="shared" si="28"/>
        <v/>
      </c>
      <c r="CY31" s="77" t="str">
        <f>IF(I31&lt;&gt;"",IF(H31="&lt;",IF(AND('Outfall 1 Limits'!$AM$16="Y",$BU$54&lt;&gt;"Y",I31&lt;='Outfall 1 Limits'!$AL$16),0,(1*I31)),I31),"")</f>
        <v/>
      </c>
      <c r="CZ31" s="29" t="str">
        <f>IF(K31&lt;&gt;"",IF(J31="&lt;",IF(AND('Outfall 1 Limits'!$AM$20="Y",$BV$54&lt;&gt;"Y",K31&lt;='Outfall 1 Limits'!$AL$20),0,(1*K31)),K31),"")</f>
        <v/>
      </c>
      <c r="DA31" s="29" t="str">
        <f>IF(M31&lt;&gt;"",IF(L31="&lt;",IF(AND('Outfall 1 Limits'!$AM$24="Y",$BW$54&lt;&gt;"Y",M31&lt;='Outfall 1 Limits'!$AL$24),0,(1*M31)),M31),"")</f>
        <v/>
      </c>
      <c r="DB31" s="29" t="str">
        <f>IF(O31&lt;&gt;"",IF(N31="&lt;",IF(AND('Outfall 1 Limits'!$AM$28="Y",$BX$54&lt;&gt;"Y",O31&lt;='Outfall 1 Limits'!$AL$28),0,(1*O31)),O31),"")</f>
        <v/>
      </c>
      <c r="DC31" s="29" t="str">
        <f>IF(Q31&lt;&gt;"",IF(P31="&lt;",IF(AND('Outfall 1 Limits'!$AM$32="Y",$BY$54&lt;&gt;"Y",Q31&lt;='Outfall 1 Limits'!$AL$32),0,(1*Q31)),Q31),"")</f>
        <v/>
      </c>
      <c r="DD31" s="29" t="str">
        <f>IF(S31&lt;&gt;"",IF(R31="&lt;",IF(AND('Outfall 1 Limits'!$AM$36="Y",$BZ$54&lt;&gt;"Y",S31&lt;='Outfall 1 Limits'!$AL$36),0,(1*S31)),S31),"")</f>
        <v/>
      </c>
      <c r="DE31" s="29" t="str">
        <f>IF(U31&lt;&gt;"",IF(T31="&lt;",IF(AND('Outfall 1 Limits'!$AM$40="Y",$CA$54&lt;&gt;"Y",U31&lt;='Outfall 1 Limits'!$AL$40),0,(1*U31)),U31),"")</f>
        <v/>
      </c>
      <c r="DF31" s="29" t="str">
        <f>IF(W31&lt;&gt;"",IF(V31="&lt;",IF(AND('Outfall 1 Limits'!$AM$44="Y",$CB$54&lt;&gt;"Y",W31&lt;='Outfall 1 Limits'!$AL$44),0,(1*W31)),W31),"")</f>
        <v/>
      </c>
      <c r="DG31" s="29" t="str">
        <f>IF(Y31&lt;&gt;"",IF(X31="&lt;",IF(AND('Outfall 1 Limits'!$AM$48="Y",$CC$54&lt;&gt;"Y",Y31&lt;='Outfall 1 Limits'!$AL$48),0,(1*Y31)),Y31),"")</f>
        <v/>
      </c>
      <c r="DH31" s="29" t="str">
        <f>IF(AA31&lt;&gt;"",IF(Z31="&lt;",IF(AND('Outfall 1 Limits'!$AM$52="Y",$CD$54&lt;&gt;"Y",AA31&lt;='Outfall 1 Limits'!$AL$52),0,(1*AA31)),AA31),"")</f>
        <v/>
      </c>
      <c r="DI31" s="29" t="str">
        <f>IF(AC31&lt;&gt;"",IF(AB31="&lt;",IF(AND('Outfall 1 Limits'!$AM$56="Y",$CE$54&lt;&gt;"Y",AC31&lt;='Outfall 1 Limits'!$AL$56),0,(1*AC31)),AC31),"")</f>
        <v/>
      </c>
      <c r="DJ31" s="29" t="str">
        <f>IF(AE31&lt;&gt;"",IF(AD31="&lt;",IF(AND('Outfall 1 Limits'!$AM$60="Y",$CF$54&lt;&gt;"Y",AE31&lt;='Outfall 1 Limits'!$AL$60),0,(1*AE31)),AE31),"")</f>
        <v/>
      </c>
      <c r="DK31" s="29" t="str">
        <f>IF(AG31&lt;&gt;"",IF(AF31="&lt;",IF(AND('Outfall 1 Limits'!$AM$64="Y",$CG$54&lt;&gt;"Y",AG31&lt;='Outfall 1 Limits'!$AL$64),0,(1*AG31)),AG31),"")</f>
        <v/>
      </c>
      <c r="DL31" s="29" t="str">
        <f>IF(AI31&lt;&gt;"",IF(AH31="&lt;",IF(AND('Outfall 1 Limits'!$AM$68="Y",$CH$54&lt;&gt;"Y",AI31&lt;='Outfall 1 Limits'!$AL$68),0,(1*AI31)),AI31),"")</f>
        <v/>
      </c>
      <c r="EB31" s="222" t="s">
        <v>377</v>
      </c>
      <c r="EC31" s="68" t="str">
        <f>IF(SUM(FG17:FG23)&lt;&gt;0,IF(BU68="Y",AVERAGE(FG17:FG23),AVERAGE(GK17:GK23)),"")</f>
        <v/>
      </c>
      <c r="ED31" s="188" t="str">
        <f t="shared" ref="ED31:EP31" si="69">IF(SUM(FH17:FH23)&lt;&gt;0,IF(BV68="Y",AVERAGE(FH17:FH23),AVERAGE(GL17:GL23)),"")</f>
        <v/>
      </c>
      <c r="EE31" s="188" t="str">
        <f t="shared" si="69"/>
        <v/>
      </c>
      <c r="EF31" s="188" t="str">
        <f t="shared" si="69"/>
        <v/>
      </c>
      <c r="EG31" s="188" t="str">
        <f t="shared" si="69"/>
        <v/>
      </c>
      <c r="EH31" s="188" t="str">
        <f t="shared" si="69"/>
        <v/>
      </c>
      <c r="EI31" s="188" t="str">
        <f t="shared" si="69"/>
        <v/>
      </c>
      <c r="EJ31" s="188" t="str">
        <f t="shared" si="69"/>
        <v/>
      </c>
      <c r="EK31" s="188" t="str">
        <f t="shared" si="69"/>
        <v/>
      </c>
      <c r="EL31" s="188" t="str">
        <f t="shared" si="69"/>
        <v/>
      </c>
      <c r="EM31" s="188" t="str">
        <f t="shared" si="69"/>
        <v/>
      </c>
      <c r="EN31" s="188" t="str">
        <f t="shared" si="69"/>
        <v/>
      </c>
      <c r="EO31" s="188" t="str">
        <f t="shared" si="69"/>
        <v/>
      </c>
      <c r="EP31" s="188" t="str">
        <f t="shared" si="69"/>
        <v/>
      </c>
      <c r="FG31" s="77" t="str">
        <f>IF(AND($G31&lt;&gt;"",$G31&gt;0,'Outfall 1 Limits'!$AX$16="C1",I31&lt;&gt;""),I31*$G31*8.34,IF(AND($I31&lt;&gt;"",'Outfall 1 Limits'!$AX$16="L"),I31,""))</f>
        <v/>
      </c>
      <c r="FH31" s="29" t="str">
        <f>IF(AND($G31&lt;&gt;"",$G31&gt;0,'Outfall 1 Limits'!$AX$20="C1",$K31&lt;&gt;""),$K31*$G31*8.34,IF(AND($K31&lt;&gt;"",'Outfall 1 Limits'!$AX$20="L"),$K31,""))</f>
        <v/>
      </c>
      <c r="FI31" s="29" t="str">
        <f>IF(AND($G31&lt;&gt;"",$G31&gt;0,'Outfall 1 Limits'!$AX$24="C1",$M31&lt;&gt;""),$M31*$G31*8.34,IF(AND($M31&lt;&gt;"",'Outfall 1 Limits'!$AX$24="L"),$M31,""))</f>
        <v/>
      </c>
      <c r="FJ31" s="29" t="str">
        <f>IF(AND($G31&lt;&gt;"",$G31&gt;0,'Outfall 1 Limits'!$AX$28="C1",$O31&lt;&gt;""),$O31*$G31*8.34,IF(AND($O31&lt;&gt;"",'Outfall 1 Limits'!$AX$28="L"),$O31,""))</f>
        <v/>
      </c>
      <c r="FK31" s="29" t="str">
        <f>IF(AND($G31&lt;&gt;"",$G31&gt;0,'Outfall 1 Limits'!$AX$32="C1",$Q31&lt;&gt;""),$Q31*$G31*8.34,IF(AND($Q31&lt;&gt;"",'Outfall 1 Limits'!$AX$32="L"),$Q31,""))</f>
        <v/>
      </c>
      <c r="FL31" s="29" t="str">
        <f>IF(AND($G31&lt;&gt;"",$G31&gt;0,'Outfall 1 Limits'!$AX$36="C1",$S31&lt;&gt;""),$S31*$G31*8.34,IF(AND($S31&lt;&gt;"",'Outfall 1 Limits'!$AX$36="L"),$S31,""))</f>
        <v/>
      </c>
      <c r="FM31" s="29" t="str">
        <f>IF(AND($G31&lt;&gt;"",$G31&gt;0,'Outfall 1 Limits'!$AX$40="C1",$U31&lt;&gt;""),$U31*$G31*8.34,IF(AND($U31&lt;&gt;"",'Outfall 1 Limits'!$AX$40="L"),$U31,""))</f>
        <v/>
      </c>
      <c r="FN31" s="29" t="str">
        <f>IF(AND($G31&lt;&gt;"",$G31&gt;0,'Outfall 1 Limits'!$AX$44="C1",$W31&lt;&gt;""),$W31*$G31*8.34,IF(AND($W31&lt;&gt;"",'Outfall 1 Limits'!$AX$44="L"),$W31,""))</f>
        <v/>
      </c>
      <c r="FO31" s="29" t="str">
        <f>IF(AND($G31&lt;&gt;"",$G31&gt;0,'Outfall 1 Limits'!$AX$48="C1",$Y31&lt;&gt;""),$Y31*$G31*8.34,IF(AND($Y31&lt;&gt;"",'Outfall 1 Limits'!$AX$48="L"),$Y31,""))</f>
        <v/>
      </c>
      <c r="FP31" s="29" t="str">
        <f>IF(AND($G31&lt;&gt;"",$G31&gt;0,'Outfall 1 Limits'!$AX$52="C1",$AA31&lt;&gt;""),$AA31*$G31*8.34,IF(AND($AA31&lt;&gt;"",'Outfall 1 Limits'!$AX$52="L"),$AA31,""))</f>
        <v/>
      </c>
      <c r="FQ31" s="29" t="str">
        <f>IF(AND($G31&lt;&gt;"",$G31&gt;0,'Outfall 1 Limits'!$AX$56="C1",$AC31&lt;&gt;""),$AC31*$G31*8.34,IF(AND($AC31&lt;&gt;"",'Outfall 1 Limits'!$AX$56="L"),$AC31,""))</f>
        <v/>
      </c>
      <c r="FR31" s="29" t="str">
        <f>IF(AND($G31&lt;&gt;"",$G31&gt;0,'Outfall 1 Limits'!$AX$60="C1",$AE31&lt;&gt;""),$AE31*$G31*8.34,IF(AND($AE31&lt;&gt;"",'Outfall 1 Limits'!$AX$60="L"),$AE31,""))</f>
        <v/>
      </c>
      <c r="FS31" s="29" t="str">
        <f>IF(AND($G31&lt;&gt;"",$G31&gt;0,'Outfall 1 Limits'!$AX$64="C1",$AG31&lt;&gt;""),$AG31*$G31*8.34,IF(AND($AG31&lt;&gt;"",'Outfall 1 Limits'!$AX$64="L"),$AG31,""))</f>
        <v/>
      </c>
      <c r="FT31" s="29" t="str">
        <f>IF(AND($G31&lt;&gt;"",$G31&gt;0,'Outfall 1 Limits'!$AX$68="C1",$AI31&lt;&gt;""),$AI31*$G31*8.34,IF(AND($AI31&lt;&gt;"",'Outfall 1 Limits'!$AX$68="L"),$AI31,""))</f>
        <v/>
      </c>
      <c r="GJ31" s="29" t="str">
        <f t="shared" si="29"/>
        <v/>
      </c>
      <c r="GK31" s="77" t="str">
        <f>IF(AND($G31&lt;&gt;"",$G31&gt;0,'Outfall 1 Limits'!$AX$16="C1",CY31&lt;&gt;""),CY31*$G31*8.34,IF(AND(CY31&lt;&gt;"",'Outfall 1 Limits'!$AX$16="L"),CY31,""))</f>
        <v/>
      </c>
      <c r="GL31" s="29" t="str">
        <f>IF(AND($G31&lt;&gt;"",$G31&gt;0,'Outfall 1 Limits'!$AX$20="C1",CZ31&lt;&gt;""),CZ31*$G31*8.34,IF(AND(CZ31&lt;&gt;"",'Outfall 1 Limits'!$AX$20="L"),CZ31,""))</f>
        <v/>
      </c>
      <c r="GM31" s="29" t="str">
        <f>IF(AND($G31&lt;&gt;"",$G31&gt;0,'Outfall 1 Limits'!$AX$24="C1",DA31&lt;&gt;""),DA31*$G31*8.34,IF(AND(DA31&lt;&gt;"",'Outfall 1 Limits'!$AX$24="L"),DA31,""))</f>
        <v/>
      </c>
      <c r="GN31" s="29" t="str">
        <f>IF(AND($G31&lt;&gt;"",$G31&gt;0,'Outfall 1 Limits'!$AX$28="C1",DB31&lt;&gt;""),DB31*$G31*8.34,IF(AND(DB31&lt;&gt;"",'Outfall 1 Limits'!$AX$28="L"),DB31,""))</f>
        <v/>
      </c>
      <c r="GO31" s="29" t="str">
        <f>IF(AND($G31&lt;&gt;"",$G31&gt;0,'Outfall 1 Limits'!$AX$32="C1",DC31&lt;&gt;""),DC31*$G31*8.34,IF(AND(DC31&lt;&gt;"",'Outfall 1 Limits'!$AX$32="L"),DC31,""))</f>
        <v/>
      </c>
      <c r="GP31" s="29" t="str">
        <f>IF(AND($G31&lt;&gt;"",$G31&gt;0,'Outfall 1 Limits'!$AX$36="C1",DD31&lt;&gt;""),DD31*$G31*8.34,IF(AND(DD31&lt;&gt;"",'Outfall 1 Limits'!$AX$36="L"),DD31,""))</f>
        <v/>
      </c>
      <c r="GQ31" s="29" t="str">
        <f>IF(AND($G31&lt;&gt;"",$G31&gt;0,'Outfall 1 Limits'!$AX$40="C1",DE31&lt;&gt;""),DE31*$G31*8.34,IF(AND(DE31&lt;&gt;"",'Outfall 1 Limits'!$AX$40="L"),DE31,""))</f>
        <v/>
      </c>
      <c r="GR31" s="29" t="str">
        <f>IF(AND($G31&lt;&gt;"",$G31&gt;0,'Outfall 1 Limits'!$AX$44="C1",DF31&lt;&gt;""),DF31*$G31*8.34,IF(AND(DF31&lt;&gt;"",'Outfall 1 Limits'!$AX$44="L"),DF31,""))</f>
        <v/>
      </c>
      <c r="GS31" s="29" t="str">
        <f>IF(AND($G31&lt;&gt;"",$G31&gt;0,'Outfall 1 Limits'!$AX$48="C1",DG31&lt;&gt;""),DG31*$G31*8.34,IF(AND(DG31&lt;&gt;"",'Outfall 1 Limits'!$AX$48="L"),DG31,""))</f>
        <v/>
      </c>
      <c r="GT31" s="29" t="str">
        <f>IF(AND($G31&lt;&gt;"",$G31&gt;0,'Outfall 1 Limits'!$AX$52="C1",DH31&lt;&gt;""),DH31*$G31*8.34,IF(AND(DH31&lt;&gt;"",'Outfall 1 Limits'!$AX$52="L"),DH31,""))</f>
        <v/>
      </c>
      <c r="GU31" s="29" t="str">
        <f>IF(AND($G31&lt;&gt;"",$G31&gt;0,'Outfall 1 Limits'!$AX$56="C1",DI31&lt;&gt;""),DI31*$G31*8.34,IF(AND(DI31&lt;&gt;"",'Outfall 1 Limits'!$AX$56="L"),DI31,""))</f>
        <v/>
      </c>
      <c r="GV31" s="29" t="str">
        <f>IF(AND($G31&lt;&gt;"",$G31&gt;0,'Outfall 1 Limits'!$AX$60="C1",DJ31&lt;&gt;""),DJ31*$G31*8.34,IF(AND(DJ31&lt;&gt;"",'Outfall 1 Limits'!$AX$60="L"),DJ31,""))</f>
        <v/>
      </c>
      <c r="GW31" s="29" t="str">
        <f>IF(AND($G31&lt;&gt;"",$G31&gt;0,'Outfall 1 Limits'!$AX$64="C1",DK31&lt;&gt;""),DK31*$G31*8.34,IF(AND(DK31&lt;&gt;"",'Outfall 1 Limits'!$AX$64="L"),DK31,""))</f>
        <v/>
      </c>
      <c r="GX31" s="29" t="str">
        <f>IF(AND($G31&lt;&gt;"",$G31&gt;0,'Outfall 1 Limits'!$AX$68="C1",DL31&lt;&gt;""),DL31*$G31*8.34,IF(AND(DL31&lt;&gt;"",'Outfall 1 Limits'!$AX$68="L"),DL31,""))</f>
        <v/>
      </c>
      <c r="HO31" s="98" t="str">
        <f t="shared" si="30"/>
        <v/>
      </c>
      <c r="HS31" s="68" t="str">
        <f t="shared" si="31"/>
        <v/>
      </c>
      <c r="HT31" s="188" t="str">
        <f t="shared" si="32"/>
        <v/>
      </c>
      <c r="HU31" s="188" t="str">
        <f t="shared" si="33"/>
        <v/>
      </c>
      <c r="HV31" s="188" t="str">
        <f t="shared" si="34"/>
        <v/>
      </c>
      <c r="HW31" s="188" t="str">
        <f t="shared" si="35"/>
        <v/>
      </c>
      <c r="HX31" s="188" t="str">
        <f t="shared" si="36"/>
        <v/>
      </c>
      <c r="HY31" s="188" t="str">
        <f t="shared" si="37"/>
        <v/>
      </c>
      <c r="HZ31" s="188" t="str">
        <f t="shared" si="38"/>
        <v/>
      </c>
      <c r="IA31" s="188" t="str">
        <f t="shared" si="39"/>
        <v/>
      </c>
      <c r="IB31" s="188" t="str">
        <f t="shared" si="40"/>
        <v/>
      </c>
      <c r="IC31" s="188" t="str">
        <f t="shared" si="41"/>
        <v/>
      </c>
      <c r="ID31" s="188" t="str">
        <f t="shared" si="42"/>
        <v/>
      </c>
      <c r="IE31" s="188" t="str">
        <f t="shared" si="43"/>
        <v/>
      </c>
      <c r="IF31" s="188" t="str">
        <f t="shared" si="44"/>
        <v/>
      </c>
      <c r="IX31" s="68" t="str">
        <f t="shared" si="45"/>
        <v/>
      </c>
      <c r="IY31" s="188" t="str">
        <f t="shared" si="46"/>
        <v/>
      </c>
      <c r="IZ31" s="188" t="str">
        <f t="shared" si="47"/>
        <v/>
      </c>
      <c r="JA31" s="188" t="str">
        <f t="shared" si="48"/>
        <v/>
      </c>
      <c r="JB31" s="188" t="str">
        <f t="shared" si="49"/>
        <v/>
      </c>
      <c r="JC31" s="188" t="str">
        <f t="shared" si="50"/>
        <v/>
      </c>
      <c r="JD31" s="188" t="str">
        <f t="shared" si="51"/>
        <v/>
      </c>
      <c r="JE31" s="188" t="str">
        <f t="shared" si="52"/>
        <v/>
      </c>
      <c r="JF31" s="188" t="str">
        <f t="shared" si="53"/>
        <v/>
      </c>
      <c r="JG31" s="188" t="str">
        <f t="shared" si="54"/>
        <v/>
      </c>
      <c r="JH31" s="188" t="str">
        <f t="shared" si="55"/>
        <v/>
      </c>
      <c r="JI31" s="188" t="str">
        <f t="shared" si="56"/>
        <v/>
      </c>
      <c r="JJ31" s="188" t="str">
        <f t="shared" si="57"/>
        <v/>
      </c>
      <c r="JK31" s="188" t="str">
        <f t="shared" si="58"/>
        <v/>
      </c>
      <c r="KA31" s="188"/>
      <c r="KB31" s="2"/>
      <c r="KC31" s="226"/>
      <c r="KD31" s="164" t="str">
        <f t="shared" si="1"/>
        <v/>
      </c>
      <c r="KE31" s="188" t="str">
        <f t="shared" si="2"/>
        <v/>
      </c>
      <c r="KF31" s="188" t="str">
        <f t="shared" si="3"/>
        <v/>
      </c>
      <c r="KG31" s="188" t="str">
        <f t="shared" si="4"/>
        <v/>
      </c>
      <c r="KH31" s="188" t="str">
        <f t="shared" si="5"/>
        <v/>
      </c>
      <c r="KI31" s="188" t="str">
        <f t="shared" si="6"/>
        <v/>
      </c>
      <c r="KJ31" s="188" t="str">
        <f t="shared" si="7"/>
        <v/>
      </c>
      <c r="KK31" s="188" t="str">
        <f t="shared" si="8"/>
        <v/>
      </c>
      <c r="KL31" s="188" t="str">
        <f t="shared" si="9"/>
        <v/>
      </c>
      <c r="KM31" s="188" t="str">
        <f t="shared" si="10"/>
        <v/>
      </c>
      <c r="KN31" s="188" t="str">
        <f t="shared" si="11"/>
        <v/>
      </c>
      <c r="KO31" s="188" t="str">
        <f t="shared" si="12"/>
        <v/>
      </c>
      <c r="KP31" s="188" t="str">
        <f t="shared" si="13"/>
        <v/>
      </c>
      <c r="KQ31" s="188" t="str">
        <f t="shared" si="14"/>
        <v/>
      </c>
    </row>
    <row r="32" spans="1:303" s="18" customFormat="1" ht="11.45" customHeight="1" x14ac:dyDescent="0.2">
      <c r="A32" s="38"/>
      <c r="B32" s="48"/>
      <c r="C32" s="421">
        <f t="shared" si="0"/>
        <v>45306</v>
      </c>
      <c r="D32" s="421"/>
      <c r="E32" s="422">
        <f t="shared" si="59"/>
        <v>45306</v>
      </c>
      <c r="F32" s="423"/>
      <c r="G32" s="31"/>
      <c r="H32" s="45"/>
      <c r="I32" s="44"/>
      <c r="J32" s="45"/>
      <c r="K32" s="44"/>
      <c r="L32" s="45"/>
      <c r="M32" s="44"/>
      <c r="N32" s="45"/>
      <c r="O32" s="44"/>
      <c r="P32" s="45"/>
      <c r="Q32" s="44"/>
      <c r="R32" s="45"/>
      <c r="S32" s="44"/>
      <c r="T32" s="45"/>
      <c r="U32" s="44"/>
      <c r="V32" s="45"/>
      <c r="W32" s="44"/>
      <c r="X32" s="45"/>
      <c r="Y32" s="44"/>
      <c r="Z32" s="45"/>
      <c r="AA32" s="44"/>
      <c r="AB32" s="45"/>
      <c r="AC32" s="44"/>
      <c r="AD32" s="45"/>
      <c r="AE32" s="44"/>
      <c r="AF32" s="45"/>
      <c r="AG32" s="44"/>
      <c r="AH32" s="45"/>
      <c r="AI32" s="127"/>
      <c r="AJ32" s="236"/>
      <c r="BO32" s="188"/>
      <c r="BP32" s="267">
        <v>2051</v>
      </c>
      <c r="BQ32" s="224" t="s">
        <v>47</v>
      </c>
      <c r="BR32" s="225"/>
      <c r="BS32" s="188" t="s">
        <v>1121</v>
      </c>
      <c r="BU32" s="68" t="str">
        <f t="shared" si="15"/>
        <v/>
      </c>
      <c r="BV32" s="188" t="str">
        <f t="shared" si="16"/>
        <v/>
      </c>
      <c r="BW32" s="188" t="str">
        <f t="shared" si="17"/>
        <v/>
      </c>
      <c r="BX32" s="188" t="str">
        <f t="shared" si="18"/>
        <v/>
      </c>
      <c r="BY32" s="188" t="str">
        <f t="shared" si="19"/>
        <v/>
      </c>
      <c r="BZ32" s="188" t="str">
        <f t="shared" si="20"/>
        <v/>
      </c>
      <c r="CA32" s="188" t="str">
        <f t="shared" si="21"/>
        <v/>
      </c>
      <c r="CB32" s="188" t="str">
        <f t="shared" si="22"/>
        <v/>
      </c>
      <c r="CC32" s="188" t="str">
        <f t="shared" si="23"/>
        <v/>
      </c>
      <c r="CD32" s="188" t="str">
        <f t="shared" si="24"/>
        <v/>
      </c>
      <c r="CE32" s="188" t="str">
        <f t="shared" si="25"/>
        <v/>
      </c>
      <c r="CF32" s="188" t="str">
        <f t="shared" si="26"/>
        <v/>
      </c>
      <c r="CG32" s="188" t="str">
        <f t="shared" si="27"/>
        <v/>
      </c>
      <c r="CH32" s="188" t="str">
        <f t="shared" si="28"/>
        <v/>
      </c>
      <c r="CY32" s="77" t="str">
        <f>IF(I32&lt;&gt;"",IF(H32="&lt;",IF(AND('Outfall 1 Limits'!$AM$16="Y",$BU$54&lt;&gt;"Y",I32&lt;='Outfall 1 Limits'!$AL$16),0,(1*I32)),I32),"")</f>
        <v/>
      </c>
      <c r="CZ32" s="29" t="str">
        <f>IF(K32&lt;&gt;"",IF(J32="&lt;",IF(AND('Outfall 1 Limits'!$AM$20="Y",$BV$54&lt;&gt;"Y",K32&lt;='Outfall 1 Limits'!$AL$20),0,(1*K32)),K32),"")</f>
        <v/>
      </c>
      <c r="DA32" s="29" t="str">
        <f>IF(M32&lt;&gt;"",IF(L32="&lt;",IF(AND('Outfall 1 Limits'!$AM$24="Y",$BW$54&lt;&gt;"Y",M32&lt;='Outfall 1 Limits'!$AL$24),0,(1*M32)),M32),"")</f>
        <v/>
      </c>
      <c r="DB32" s="29" t="str">
        <f>IF(O32&lt;&gt;"",IF(N32="&lt;",IF(AND('Outfall 1 Limits'!$AM$28="Y",$BX$54&lt;&gt;"Y",O32&lt;='Outfall 1 Limits'!$AL$28),0,(1*O32)),O32),"")</f>
        <v/>
      </c>
      <c r="DC32" s="29" t="str">
        <f>IF(Q32&lt;&gt;"",IF(P32="&lt;",IF(AND('Outfall 1 Limits'!$AM$32="Y",$BY$54&lt;&gt;"Y",Q32&lt;='Outfall 1 Limits'!$AL$32),0,(1*Q32)),Q32),"")</f>
        <v/>
      </c>
      <c r="DD32" s="29" t="str">
        <f>IF(S32&lt;&gt;"",IF(R32="&lt;",IF(AND('Outfall 1 Limits'!$AM$36="Y",$BZ$54&lt;&gt;"Y",S32&lt;='Outfall 1 Limits'!$AL$36),0,(1*S32)),S32),"")</f>
        <v/>
      </c>
      <c r="DE32" s="29" t="str">
        <f>IF(U32&lt;&gt;"",IF(T32="&lt;",IF(AND('Outfall 1 Limits'!$AM$40="Y",$CA$54&lt;&gt;"Y",U32&lt;='Outfall 1 Limits'!$AL$40),0,(1*U32)),U32),"")</f>
        <v/>
      </c>
      <c r="DF32" s="29" t="str">
        <f>IF(W32&lt;&gt;"",IF(V32="&lt;",IF(AND('Outfall 1 Limits'!$AM$44="Y",$CB$54&lt;&gt;"Y",W32&lt;='Outfall 1 Limits'!$AL$44),0,(1*W32)),W32),"")</f>
        <v/>
      </c>
      <c r="DG32" s="29" t="str">
        <f>IF(Y32&lt;&gt;"",IF(X32="&lt;",IF(AND('Outfall 1 Limits'!$AM$48="Y",$CC$54&lt;&gt;"Y",Y32&lt;='Outfall 1 Limits'!$AL$48),0,(1*Y32)),Y32),"")</f>
        <v/>
      </c>
      <c r="DH32" s="29" t="str">
        <f>IF(AA32&lt;&gt;"",IF(Z32="&lt;",IF(AND('Outfall 1 Limits'!$AM$52="Y",$CD$54&lt;&gt;"Y",AA32&lt;='Outfall 1 Limits'!$AL$52),0,(1*AA32)),AA32),"")</f>
        <v/>
      </c>
      <c r="DI32" s="29" t="str">
        <f>IF(AC32&lt;&gt;"",IF(AB32="&lt;",IF(AND('Outfall 1 Limits'!$AM$56="Y",$CE$54&lt;&gt;"Y",AC32&lt;='Outfall 1 Limits'!$AL$56),0,(1*AC32)),AC32),"")</f>
        <v/>
      </c>
      <c r="DJ32" s="29" t="str">
        <f>IF(AE32&lt;&gt;"",IF(AD32="&lt;",IF(AND('Outfall 1 Limits'!$AM$60="Y",$CF$54&lt;&gt;"Y",AE32&lt;='Outfall 1 Limits'!$AL$60),0,(1*AE32)),AE32),"")</f>
        <v/>
      </c>
      <c r="DK32" s="29" t="str">
        <f>IF(AG32&lt;&gt;"",IF(AF32="&lt;",IF(AND('Outfall 1 Limits'!$AM$64="Y",$CG$54&lt;&gt;"Y",AG32&lt;='Outfall 1 Limits'!$AL$64),0,(1*AG32)),AG32),"")</f>
        <v/>
      </c>
      <c r="DL32" s="29" t="str">
        <f>IF(AI32&lt;&gt;"",IF(AH32="&lt;",IF(AND('Outfall 1 Limits'!$AM$68="Y",$CH$54&lt;&gt;"Y",AI32&lt;='Outfall 1 Limits'!$AL$68),0,(1*AI32)),AI32),"")</f>
        <v/>
      </c>
      <c r="EB32" s="222" t="s">
        <v>378</v>
      </c>
      <c r="EC32" s="68" t="str">
        <f>IF(SUM(FG24:FG30)&lt;&gt;0,IF(BU70="Y",AVERAGE(FG24:FG30),AVERAGE(GK24:GK30)),"")</f>
        <v/>
      </c>
      <c r="ED32" s="188" t="str">
        <f t="shared" ref="ED32:EP32" si="70">IF(SUM(FH24:FH30)&lt;&gt;0,IF(BV70="Y",AVERAGE(FH24:FH30),AVERAGE(GL24:GL30)),"")</f>
        <v/>
      </c>
      <c r="EE32" s="188" t="str">
        <f t="shared" si="70"/>
        <v/>
      </c>
      <c r="EF32" s="188" t="str">
        <f t="shared" si="70"/>
        <v/>
      </c>
      <c r="EG32" s="188" t="str">
        <f t="shared" si="70"/>
        <v/>
      </c>
      <c r="EH32" s="188" t="str">
        <f t="shared" si="70"/>
        <v/>
      </c>
      <c r="EI32" s="188" t="str">
        <f t="shared" si="70"/>
        <v/>
      </c>
      <c r="EJ32" s="188" t="str">
        <f t="shared" si="70"/>
        <v/>
      </c>
      <c r="EK32" s="188" t="str">
        <f t="shared" si="70"/>
        <v/>
      </c>
      <c r="EL32" s="188" t="str">
        <f t="shared" si="70"/>
        <v/>
      </c>
      <c r="EM32" s="188" t="str">
        <f t="shared" si="70"/>
        <v/>
      </c>
      <c r="EN32" s="188" t="str">
        <f t="shared" si="70"/>
        <v/>
      </c>
      <c r="EO32" s="188" t="str">
        <f t="shared" si="70"/>
        <v/>
      </c>
      <c r="EP32" s="188" t="str">
        <f t="shared" si="70"/>
        <v/>
      </c>
      <c r="FG32" s="77" t="str">
        <f>IF(AND($G32&lt;&gt;"",$G32&gt;0,'Outfall 1 Limits'!$AX$16="C1",I32&lt;&gt;""),I32*$G32*8.34,IF(AND($I32&lt;&gt;"",'Outfall 1 Limits'!$AX$16="L"),I32,""))</f>
        <v/>
      </c>
      <c r="FH32" s="29" t="str">
        <f>IF(AND($G32&lt;&gt;"",$G32&gt;0,'Outfall 1 Limits'!$AX$20="C1",$K32&lt;&gt;""),$K32*$G32*8.34,IF(AND($K32&lt;&gt;"",'Outfall 1 Limits'!$AX$20="L"),$K32,""))</f>
        <v/>
      </c>
      <c r="FI32" s="29" t="str">
        <f>IF(AND($G32&lt;&gt;"",$G32&gt;0,'Outfall 1 Limits'!$AX$24="C1",$M32&lt;&gt;""),$M32*$G32*8.34,IF(AND($M32&lt;&gt;"",'Outfall 1 Limits'!$AX$24="L"),$M32,""))</f>
        <v/>
      </c>
      <c r="FJ32" s="29" t="str">
        <f>IF(AND($G32&lt;&gt;"",$G32&gt;0,'Outfall 1 Limits'!$AX$28="C1",$O32&lt;&gt;""),$O32*$G32*8.34,IF(AND($O32&lt;&gt;"",'Outfall 1 Limits'!$AX$28="L"),$O32,""))</f>
        <v/>
      </c>
      <c r="FK32" s="29" t="str">
        <f>IF(AND($G32&lt;&gt;"",$G32&gt;0,'Outfall 1 Limits'!$AX$32="C1",$Q32&lt;&gt;""),$Q32*$G32*8.34,IF(AND($Q32&lt;&gt;"",'Outfall 1 Limits'!$AX$32="L"),$Q32,""))</f>
        <v/>
      </c>
      <c r="FL32" s="29" t="str">
        <f>IF(AND($G32&lt;&gt;"",$G32&gt;0,'Outfall 1 Limits'!$AX$36="C1",$S32&lt;&gt;""),$S32*$G32*8.34,IF(AND($S32&lt;&gt;"",'Outfall 1 Limits'!$AX$36="L"),$S32,""))</f>
        <v/>
      </c>
      <c r="FM32" s="29" t="str">
        <f>IF(AND($G32&lt;&gt;"",$G32&gt;0,'Outfall 1 Limits'!$AX$40="C1",$U32&lt;&gt;""),$U32*$G32*8.34,IF(AND($U32&lt;&gt;"",'Outfall 1 Limits'!$AX$40="L"),$U32,""))</f>
        <v/>
      </c>
      <c r="FN32" s="29" t="str">
        <f>IF(AND($G32&lt;&gt;"",$G32&gt;0,'Outfall 1 Limits'!$AX$44="C1",$W32&lt;&gt;""),$W32*$G32*8.34,IF(AND($W32&lt;&gt;"",'Outfall 1 Limits'!$AX$44="L"),$W32,""))</f>
        <v/>
      </c>
      <c r="FO32" s="29" t="str">
        <f>IF(AND($G32&lt;&gt;"",$G32&gt;0,'Outfall 1 Limits'!$AX$48="C1",$Y32&lt;&gt;""),$Y32*$G32*8.34,IF(AND($Y32&lt;&gt;"",'Outfall 1 Limits'!$AX$48="L"),$Y32,""))</f>
        <v/>
      </c>
      <c r="FP32" s="29" t="str">
        <f>IF(AND($G32&lt;&gt;"",$G32&gt;0,'Outfall 1 Limits'!$AX$52="C1",$AA32&lt;&gt;""),$AA32*$G32*8.34,IF(AND($AA32&lt;&gt;"",'Outfall 1 Limits'!$AX$52="L"),$AA32,""))</f>
        <v/>
      </c>
      <c r="FQ32" s="29" t="str">
        <f>IF(AND($G32&lt;&gt;"",$G32&gt;0,'Outfall 1 Limits'!$AX$56="C1",$AC32&lt;&gt;""),$AC32*$G32*8.34,IF(AND($AC32&lt;&gt;"",'Outfall 1 Limits'!$AX$56="L"),$AC32,""))</f>
        <v/>
      </c>
      <c r="FR32" s="29" t="str">
        <f>IF(AND($G32&lt;&gt;"",$G32&gt;0,'Outfall 1 Limits'!$AX$60="C1",$AE32&lt;&gt;""),$AE32*$G32*8.34,IF(AND($AE32&lt;&gt;"",'Outfall 1 Limits'!$AX$60="L"),$AE32,""))</f>
        <v/>
      </c>
      <c r="FS32" s="29" t="str">
        <f>IF(AND($G32&lt;&gt;"",$G32&gt;0,'Outfall 1 Limits'!$AX$64="C1",$AG32&lt;&gt;""),$AG32*$G32*8.34,IF(AND($AG32&lt;&gt;"",'Outfall 1 Limits'!$AX$64="L"),$AG32,""))</f>
        <v/>
      </c>
      <c r="FT32" s="29" t="str">
        <f>IF(AND($G32&lt;&gt;"",$G32&gt;0,'Outfall 1 Limits'!$AX$68="C1",$AI32&lt;&gt;""),$AI32*$G32*8.34,IF(AND($AI32&lt;&gt;"",'Outfall 1 Limits'!$AX$68="L"),$AI32,""))</f>
        <v/>
      </c>
      <c r="GJ32" s="29" t="str">
        <f t="shared" si="29"/>
        <v/>
      </c>
      <c r="GK32" s="77" t="str">
        <f>IF(AND($G32&lt;&gt;"",$G32&gt;0,'Outfall 1 Limits'!$AX$16="C1",CY32&lt;&gt;""),CY32*$G32*8.34,IF(AND(CY32&lt;&gt;"",'Outfall 1 Limits'!$AX$16="L"),CY32,""))</f>
        <v/>
      </c>
      <c r="GL32" s="29" t="str">
        <f>IF(AND($G32&lt;&gt;"",$G32&gt;0,'Outfall 1 Limits'!$AX$20="C1",CZ32&lt;&gt;""),CZ32*$G32*8.34,IF(AND(CZ32&lt;&gt;"",'Outfall 1 Limits'!$AX$20="L"),CZ32,""))</f>
        <v/>
      </c>
      <c r="GM32" s="29" t="str">
        <f>IF(AND($G32&lt;&gt;"",$G32&gt;0,'Outfall 1 Limits'!$AX$24="C1",DA32&lt;&gt;""),DA32*$G32*8.34,IF(AND(DA32&lt;&gt;"",'Outfall 1 Limits'!$AX$24="L"),DA32,""))</f>
        <v/>
      </c>
      <c r="GN32" s="29" t="str">
        <f>IF(AND($G32&lt;&gt;"",$G32&gt;0,'Outfall 1 Limits'!$AX$28="C1",DB32&lt;&gt;""),DB32*$G32*8.34,IF(AND(DB32&lt;&gt;"",'Outfall 1 Limits'!$AX$28="L"),DB32,""))</f>
        <v/>
      </c>
      <c r="GO32" s="29" t="str">
        <f>IF(AND($G32&lt;&gt;"",$G32&gt;0,'Outfall 1 Limits'!$AX$32="C1",DC32&lt;&gt;""),DC32*$G32*8.34,IF(AND(DC32&lt;&gt;"",'Outfall 1 Limits'!$AX$32="L"),DC32,""))</f>
        <v/>
      </c>
      <c r="GP32" s="29" t="str">
        <f>IF(AND($G32&lt;&gt;"",$G32&gt;0,'Outfall 1 Limits'!$AX$36="C1",DD32&lt;&gt;""),DD32*$G32*8.34,IF(AND(DD32&lt;&gt;"",'Outfall 1 Limits'!$AX$36="L"),DD32,""))</f>
        <v/>
      </c>
      <c r="GQ32" s="29" t="str">
        <f>IF(AND($G32&lt;&gt;"",$G32&gt;0,'Outfall 1 Limits'!$AX$40="C1",DE32&lt;&gt;""),DE32*$G32*8.34,IF(AND(DE32&lt;&gt;"",'Outfall 1 Limits'!$AX$40="L"),DE32,""))</f>
        <v/>
      </c>
      <c r="GR32" s="29" t="str">
        <f>IF(AND($G32&lt;&gt;"",$G32&gt;0,'Outfall 1 Limits'!$AX$44="C1",DF32&lt;&gt;""),DF32*$G32*8.34,IF(AND(DF32&lt;&gt;"",'Outfall 1 Limits'!$AX$44="L"),DF32,""))</f>
        <v/>
      </c>
      <c r="GS32" s="29" t="str">
        <f>IF(AND($G32&lt;&gt;"",$G32&gt;0,'Outfall 1 Limits'!$AX$48="C1",DG32&lt;&gt;""),DG32*$G32*8.34,IF(AND(DG32&lt;&gt;"",'Outfall 1 Limits'!$AX$48="L"),DG32,""))</f>
        <v/>
      </c>
      <c r="GT32" s="29" t="str">
        <f>IF(AND($G32&lt;&gt;"",$G32&gt;0,'Outfall 1 Limits'!$AX$52="C1",DH32&lt;&gt;""),DH32*$G32*8.34,IF(AND(DH32&lt;&gt;"",'Outfall 1 Limits'!$AX$52="L"),DH32,""))</f>
        <v/>
      </c>
      <c r="GU32" s="29" t="str">
        <f>IF(AND($G32&lt;&gt;"",$G32&gt;0,'Outfall 1 Limits'!$AX$56="C1",DI32&lt;&gt;""),DI32*$G32*8.34,IF(AND(DI32&lt;&gt;"",'Outfall 1 Limits'!$AX$56="L"),DI32,""))</f>
        <v/>
      </c>
      <c r="GV32" s="29" t="str">
        <f>IF(AND($G32&lt;&gt;"",$G32&gt;0,'Outfall 1 Limits'!$AX$60="C1",DJ32&lt;&gt;""),DJ32*$G32*8.34,IF(AND(DJ32&lt;&gt;"",'Outfall 1 Limits'!$AX$60="L"),DJ32,""))</f>
        <v/>
      </c>
      <c r="GW32" s="29" t="str">
        <f>IF(AND($G32&lt;&gt;"",$G32&gt;0,'Outfall 1 Limits'!$AX$64="C1",DK32&lt;&gt;""),DK32*$G32*8.34,IF(AND(DK32&lt;&gt;"",'Outfall 1 Limits'!$AX$64="L"),DK32,""))</f>
        <v/>
      </c>
      <c r="GX32" s="29" t="str">
        <f>IF(AND($G32&lt;&gt;"",$G32&gt;0,'Outfall 1 Limits'!$AX$68="C1",DL32&lt;&gt;""),DL32*$G32*8.34,IF(AND(DL32&lt;&gt;"",'Outfall 1 Limits'!$AX$68="L"),DL32,""))</f>
        <v/>
      </c>
      <c r="HO32" s="98" t="str">
        <f t="shared" si="30"/>
        <v/>
      </c>
      <c r="HS32" s="68" t="str">
        <f t="shared" si="31"/>
        <v/>
      </c>
      <c r="HT32" s="188" t="str">
        <f t="shared" si="32"/>
        <v/>
      </c>
      <c r="HU32" s="188" t="str">
        <f t="shared" si="33"/>
        <v/>
      </c>
      <c r="HV32" s="188" t="str">
        <f t="shared" si="34"/>
        <v/>
      </c>
      <c r="HW32" s="188" t="str">
        <f t="shared" si="35"/>
        <v/>
      </c>
      <c r="HX32" s="188" t="str">
        <f t="shared" si="36"/>
        <v/>
      </c>
      <c r="HY32" s="188" t="str">
        <f t="shared" si="37"/>
        <v/>
      </c>
      <c r="HZ32" s="188" t="str">
        <f t="shared" si="38"/>
        <v/>
      </c>
      <c r="IA32" s="188" t="str">
        <f t="shared" si="39"/>
        <v/>
      </c>
      <c r="IB32" s="188" t="str">
        <f t="shared" si="40"/>
        <v/>
      </c>
      <c r="IC32" s="188" t="str">
        <f t="shared" si="41"/>
        <v/>
      </c>
      <c r="ID32" s="188" t="str">
        <f t="shared" si="42"/>
        <v/>
      </c>
      <c r="IE32" s="188" t="str">
        <f t="shared" si="43"/>
        <v/>
      </c>
      <c r="IF32" s="188" t="str">
        <f t="shared" si="44"/>
        <v/>
      </c>
      <c r="IX32" s="68" t="str">
        <f t="shared" si="45"/>
        <v/>
      </c>
      <c r="IY32" s="188" t="str">
        <f t="shared" si="46"/>
        <v/>
      </c>
      <c r="IZ32" s="188" t="str">
        <f t="shared" si="47"/>
        <v/>
      </c>
      <c r="JA32" s="188" t="str">
        <f t="shared" si="48"/>
        <v/>
      </c>
      <c r="JB32" s="188" t="str">
        <f t="shared" si="49"/>
        <v/>
      </c>
      <c r="JC32" s="188" t="str">
        <f t="shared" si="50"/>
        <v/>
      </c>
      <c r="JD32" s="188" t="str">
        <f t="shared" si="51"/>
        <v/>
      </c>
      <c r="JE32" s="188" t="str">
        <f t="shared" si="52"/>
        <v/>
      </c>
      <c r="JF32" s="188" t="str">
        <f t="shared" si="53"/>
        <v/>
      </c>
      <c r="JG32" s="188" t="str">
        <f t="shared" si="54"/>
        <v/>
      </c>
      <c r="JH32" s="188" t="str">
        <f t="shared" si="55"/>
        <v/>
      </c>
      <c r="JI32" s="188" t="str">
        <f t="shared" si="56"/>
        <v/>
      </c>
      <c r="JJ32" s="188" t="str">
        <f t="shared" si="57"/>
        <v/>
      </c>
      <c r="JK32" s="188" t="str">
        <f t="shared" si="58"/>
        <v/>
      </c>
      <c r="KA32" s="188"/>
      <c r="KB32" s="2"/>
      <c r="KC32" s="226"/>
      <c r="KD32" s="164" t="str">
        <f t="shared" si="1"/>
        <v/>
      </c>
      <c r="KE32" s="188" t="str">
        <f t="shared" si="2"/>
        <v/>
      </c>
      <c r="KF32" s="188" t="str">
        <f t="shared" si="3"/>
        <v/>
      </c>
      <c r="KG32" s="188" t="str">
        <f t="shared" si="4"/>
        <v/>
      </c>
      <c r="KH32" s="188" t="str">
        <f t="shared" si="5"/>
        <v/>
      </c>
      <c r="KI32" s="188" t="str">
        <f t="shared" si="6"/>
        <v/>
      </c>
      <c r="KJ32" s="188" t="str">
        <f t="shared" si="7"/>
        <v/>
      </c>
      <c r="KK32" s="188" t="str">
        <f t="shared" si="8"/>
        <v/>
      </c>
      <c r="KL32" s="188" t="str">
        <f t="shared" si="9"/>
        <v/>
      </c>
      <c r="KM32" s="188" t="str">
        <f t="shared" si="10"/>
        <v/>
      </c>
      <c r="KN32" s="188" t="str">
        <f t="shared" si="11"/>
        <v/>
      </c>
      <c r="KO32" s="188" t="str">
        <f t="shared" si="12"/>
        <v/>
      </c>
      <c r="KP32" s="188" t="str">
        <f t="shared" si="13"/>
        <v/>
      </c>
      <c r="KQ32" s="188" t="str">
        <f t="shared" si="14"/>
        <v/>
      </c>
    </row>
    <row r="33" spans="1:303" s="18" customFormat="1" ht="11.45" customHeight="1" x14ac:dyDescent="0.2">
      <c r="A33" s="38"/>
      <c r="B33" s="48"/>
      <c r="C33" s="421">
        <f t="shared" si="0"/>
        <v>45307</v>
      </c>
      <c r="D33" s="421"/>
      <c r="E33" s="422">
        <f t="shared" si="59"/>
        <v>45307</v>
      </c>
      <c r="F33" s="423"/>
      <c r="G33" s="31"/>
      <c r="H33" s="45"/>
      <c r="I33" s="44"/>
      <c r="J33" s="45"/>
      <c r="K33" s="44"/>
      <c r="L33" s="45"/>
      <c r="M33" s="44"/>
      <c r="N33" s="45"/>
      <c r="O33" s="44"/>
      <c r="P33" s="45"/>
      <c r="Q33" s="44"/>
      <c r="R33" s="45"/>
      <c r="S33" s="44"/>
      <c r="T33" s="45"/>
      <c r="U33" s="44"/>
      <c r="V33" s="45"/>
      <c r="W33" s="44"/>
      <c r="X33" s="45"/>
      <c r="Y33" s="44"/>
      <c r="Z33" s="45"/>
      <c r="AA33" s="44"/>
      <c r="AB33" s="45"/>
      <c r="AC33" s="44"/>
      <c r="AD33" s="45"/>
      <c r="AE33" s="44"/>
      <c r="AF33" s="45"/>
      <c r="AG33" s="44"/>
      <c r="AH33" s="45"/>
      <c r="AI33" s="127"/>
      <c r="AJ33" s="236"/>
      <c r="BO33" s="188"/>
      <c r="BP33" s="267">
        <v>2052</v>
      </c>
      <c r="BQ33" s="224" t="s">
        <v>48</v>
      </c>
      <c r="BR33" s="225"/>
      <c r="BS33" s="188" t="s">
        <v>1089</v>
      </c>
      <c r="BU33" s="68" t="str">
        <f t="shared" si="15"/>
        <v/>
      </c>
      <c r="BV33" s="188" t="str">
        <f t="shared" si="16"/>
        <v/>
      </c>
      <c r="BW33" s="188" t="str">
        <f t="shared" si="17"/>
        <v/>
      </c>
      <c r="BX33" s="188" t="str">
        <f t="shared" si="18"/>
        <v/>
      </c>
      <c r="BY33" s="188" t="str">
        <f t="shared" si="19"/>
        <v/>
      </c>
      <c r="BZ33" s="188" t="str">
        <f t="shared" si="20"/>
        <v/>
      </c>
      <c r="CA33" s="188" t="str">
        <f t="shared" si="21"/>
        <v/>
      </c>
      <c r="CB33" s="188" t="str">
        <f t="shared" si="22"/>
        <v/>
      </c>
      <c r="CC33" s="188" t="str">
        <f t="shared" si="23"/>
        <v/>
      </c>
      <c r="CD33" s="188" t="str">
        <f t="shared" si="24"/>
        <v/>
      </c>
      <c r="CE33" s="188" t="str">
        <f t="shared" si="25"/>
        <v/>
      </c>
      <c r="CF33" s="188" t="str">
        <f t="shared" si="26"/>
        <v/>
      </c>
      <c r="CG33" s="188" t="str">
        <f t="shared" si="27"/>
        <v/>
      </c>
      <c r="CH33" s="188" t="str">
        <f t="shared" si="28"/>
        <v/>
      </c>
      <c r="CY33" s="77" t="str">
        <f>IF(I33&lt;&gt;"",IF(H33="&lt;",IF(AND('Outfall 1 Limits'!$AM$16="Y",$BU$54&lt;&gt;"Y",I33&lt;='Outfall 1 Limits'!$AL$16),0,(1*I33)),I33),"")</f>
        <v/>
      </c>
      <c r="CZ33" s="29" t="str">
        <f>IF(K33&lt;&gt;"",IF(J33="&lt;",IF(AND('Outfall 1 Limits'!$AM$20="Y",$BV$54&lt;&gt;"Y",K33&lt;='Outfall 1 Limits'!$AL$20),0,(1*K33)),K33),"")</f>
        <v/>
      </c>
      <c r="DA33" s="29" t="str">
        <f>IF(M33&lt;&gt;"",IF(L33="&lt;",IF(AND('Outfall 1 Limits'!$AM$24="Y",$BW$54&lt;&gt;"Y",M33&lt;='Outfall 1 Limits'!$AL$24),0,(1*M33)),M33),"")</f>
        <v/>
      </c>
      <c r="DB33" s="29" t="str">
        <f>IF(O33&lt;&gt;"",IF(N33="&lt;",IF(AND('Outfall 1 Limits'!$AM$28="Y",$BX$54&lt;&gt;"Y",O33&lt;='Outfall 1 Limits'!$AL$28),0,(1*O33)),O33),"")</f>
        <v/>
      </c>
      <c r="DC33" s="29" t="str">
        <f>IF(Q33&lt;&gt;"",IF(P33="&lt;",IF(AND('Outfall 1 Limits'!$AM$32="Y",$BY$54&lt;&gt;"Y",Q33&lt;='Outfall 1 Limits'!$AL$32),0,(1*Q33)),Q33),"")</f>
        <v/>
      </c>
      <c r="DD33" s="29" t="str">
        <f>IF(S33&lt;&gt;"",IF(R33="&lt;",IF(AND('Outfall 1 Limits'!$AM$36="Y",$BZ$54&lt;&gt;"Y",S33&lt;='Outfall 1 Limits'!$AL$36),0,(1*S33)),S33),"")</f>
        <v/>
      </c>
      <c r="DE33" s="29" t="str">
        <f>IF(U33&lt;&gt;"",IF(T33="&lt;",IF(AND('Outfall 1 Limits'!$AM$40="Y",$CA$54&lt;&gt;"Y",U33&lt;='Outfall 1 Limits'!$AL$40),0,(1*U33)),U33),"")</f>
        <v/>
      </c>
      <c r="DF33" s="29" t="str">
        <f>IF(W33&lt;&gt;"",IF(V33="&lt;",IF(AND('Outfall 1 Limits'!$AM$44="Y",$CB$54&lt;&gt;"Y",W33&lt;='Outfall 1 Limits'!$AL$44),0,(1*W33)),W33),"")</f>
        <v/>
      </c>
      <c r="DG33" s="29" t="str">
        <f>IF(Y33&lt;&gt;"",IF(X33="&lt;",IF(AND('Outfall 1 Limits'!$AM$48="Y",$CC$54&lt;&gt;"Y",Y33&lt;='Outfall 1 Limits'!$AL$48),0,(1*Y33)),Y33),"")</f>
        <v/>
      </c>
      <c r="DH33" s="29" t="str">
        <f>IF(AA33&lt;&gt;"",IF(Z33="&lt;",IF(AND('Outfall 1 Limits'!$AM$52="Y",$CD$54&lt;&gt;"Y",AA33&lt;='Outfall 1 Limits'!$AL$52),0,(1*AA33)),AA33),"")</f>
        <v/>
      </c>
      <c r="DI33" s="29" t="str">
        <f>IF(AC33&lt;&gt;"",IF(AB33="&lt;",IF(AND('Outfall 1 Limits'!$AM$56="Y",$CE$54&lt;&gt;"Y",AC33&lt;='Outfall 1 Limits'!$AL$56),0,(1*AC33)),AC33),"")</f>
        <v/>
      </c>
      <c r="DJ33" s="29" t="str">
        <f>IF(AE33&lt;&gt;"",IF(AD33="&lt;",IF(AND('Outfall 1 Limits'!$AM$60="Y",$CF$54&lt;&gt;"Y",AE33&lt;='Outfall 1 Limits'!$AL$60),0,(1*AE33)),AE33),"")</f>
        <v/>
      </c>
      <c r="DK33" s="29" t="str">
        <f>IF(AG33&lt;&gt;"",IF(AF33="&lt;",IF(AND('Outfall 1 Limits'!$AM$64="Y",$CG$54&lt;&gt;"Y",AG33&lt;='Outfall 1 Limits'!$AL$64),0,(1*AG33)),AG33),"")</f>
        <v/>
      </c>
      <c r="DL33" s="29" t="str">
        <f>IF(AI33&lt;&gt;"",IF(AH33="&lt;",IF(AND('Outfall 1 Limits'!$AM$68="Y",$CH$54&lt;&gt;"Y",AI33&lt;='Outfall 1 Limits'!$AL$68),0,(1*AI33)),AI33),"")</f>
        <v/>
      </c>
      <c r="EB33" s="222" t="s">
        <v>379</v>
      </c>
      <c r="EC33" s="68" t="str">
        <f>IF(SUM(FG31:FG37)&lt;&gt;0,IF(BU72="Y",AVERAGE(FG31:FG37),AVERAGE(GK31:GK37)),"")</f>
        <v/>
      </c>
      <c r="ED33" s="188" t="str">
        <f t="shared" ref="ED33:EP33" si="71">IF(SUM(FH31:FH37)&lt;&gt;0,IF(BV72="Y",AVERAGE(FH31:FH37),AVERAGE(GL31:GL37)),"")</f>
        <v/>
      </c>
      <c r="EE33" s="188" t="str">
        <f t="shared" si="71"/>
        <v/>
      </c>
      <c r="EF33" s="188" t="str">
        <f t="shared" si="71"/>
        <v/>
      </c>
      <c r="EG33" s="188" t="str">
        <f t="shared" si="71"/>
        <v/>
      </c>
      <c r="EH33" s="188" t="str">
        <f t="shared" si="71"/>
        <v/>
      </c>
      <c r="EI33" s="188" t="str">
        <f t="shared" si="71"/>
        <v/>
      </c>
      <c r="EJ33" s="188" t="str">
        <f t="shared" si="71"/>
        <v/>
      </c>
      <c r="EK33" s="188" t="str">
        <f t="shared" si="71"/>
        <v/>
      </c>
      <c r="EL33" s="188" t="str">
        <f t="shared" si="71"/>
        <v/>
      </c>
      <c r="EM33" s="188" t="str">
        <f t="shared" si="71"/>
        <v/>
      </c>
      <c r="EN33" s="188" t="str">
        <f t="shared" si="71"/>
        <v/>
      </c>
      <c r="EO33" s="188" t="str">
        <f t="shared" si="71"/>
        <v/>
      </c>
      <c r="EP33" s="188" t="str">
        <f t="shared" si="71"/>
        <v/>
      </c>
      <c r="FG33" s="77" t="str">
        <f>IF(AND($G33&lt;&gt;"",$G33&gt;0,'Outfall 1 Limits'!$AX$16="C1",I33&lt;&gt;""),I33*$G33*8.34,IF(AND($I33&lt;&gt;"",'Outfall 1 Limits'!$AX$16="L"),I33,""))</f>
        <v/>
      </c>
      <c r="FH33" s="29" t="str">
        <f>IF(AND($G33&lt;&gt;"",$G33&gt;0,'Outfall 1 Limits'!$AX$20="C1",$K33&lt;&gt;""),$K33*$G33*8.34,IF(AND($K33&lt;&gt;"",'Outfall 1 Limits'!$AX$20="L"),$K33,""))</f>
        <v/>
      </c>
      <c r="FI33" s="29" t="str">
        <f>IF(AND($G33&lt;&gt;"",$G33&gt;0,'Outfall 1 Limits'!$AX$24="C1",$M33&lt;&gt;""),$M33*$G33*8.34,IF(AND($M33&lt;&gt;"",'Outfall 1 Limits'!$AX$24="L"),$M33,""))</f>
        <v/>
      </c>
      <c r="FJ33" s="29" t="str">
        <f>IF(AND($G33&lt;&gt;"",$G33&gt;0,'Outfall 1 Limits'!$AX$28="C1",$O33&lt;&gt;""),$O33*$G33*8.34,IF(AND($O33&lt;&gt;"",'Outfall 1 Limits'!$AX$28="L"),$O33,""))</f>
        <v/>
      </c>
      <c r="FK33" s="29" t="str">
        <f>IF(AND($G33&lt;&gt;"",$G33&gt;0,'Outfall 1 Limits'!$AX$32="C1",$Q33&lt;&gt;""),$Q33*$G33*8.34,IF(AND($Q33&lt;&gt;"",'Outfall 1 Limits'!$AX$32="L"),$Q33,""))</f>
        <v/>
      </c>
      <c r="FL33" s="29" t="str">
        <f>IF(AND($G33&lt;&gt;"",$G33&gt;0,'Outfall 1 Limits'!$AX$36="C1",$S33&lt;&gt;""),$S33*$G33*8.34,IF(AND($S33&lt;&gt;"",'Outfall 1 Limits'!$AX$36="L"),$S33,""))</f>
        <v/>
      </c>
      <c r="FM33" s="29" t="str">
        <f>IF(AND($G33&lt;&gt;"",$G33&gt;0,'Outfall 1 Limits'!$AX$40="C1",$U33&lt;&gt;""),$U33*$G33*8.34,IF(AND($U33&lt;&gt;"",'Outfall 1 Limits'!$AX$40="L"),$U33,""))</f>
        <v/>
      </c>
      <c r="FN33" s="29" t="str">
        <f>IF(AND($G33&lt;&gt;"",$G33&gt;0,'Outfall 1 Limits'!$AX$44="C1",$W33&lt;&gt;""),$W33*$G33*8.34,IF(AND($W33&lt;&gt;"",'Outfall 1 Limits'!$AX$44="L"),$W33,""))</f>
        <v/>
      </c>
      <c r="FO33" s="29" t="str">
        <f>IF(AND($G33&lt;&gt;"",$G33&gt;0,'Outfall 1 Limits'!$AX$48="C1",$Y33&lt;&gt;""),$Y33*$G33*8.34,IF(AND($Y33&lt;&gt;"",'Outfall 1 Limits'!$AX$48="L"),$Y33,""))</f>
        <v/>
      </c>
      <c r="FP33" s="29" t="str">
        <f>IF(AND($G33&lt;&gt;"",$G33&gt;0,'Outfall 1 Limits'!$AX$52="C1",$AA33&lt;&gt;""),$AA33*$G33*8.34,IF(AND($AA33&lt;&gt;"",'Outfall 1 Limits'!$AX$52="L"),$AA33,""))</f>
        <v/>
      </c>
      <c r="FQ33" s="29" t="str">
        <f>IF(AND($G33&lt;&gt;"",$G33&gt;0,'Outfall 1 Limits'!$AX$56="C1",$AC33&lt;&gt;""),$AC33*$G33*8.34,IF(AND($AC33&lt;&gt;"",'Outfall 1 Limits'!$AX$56="L"),$AC33,""))</f>
        <v/>
      </c>
      <c r="FR33" s="29" t="str">
        <f>IF(AND($G33&lt;&gt;"",$G33&gt;0,'Outfall 1 Limits'!$AX$60="C1",$AE33&lt;&gt;""),$AE33*$G33*8.34,IF(AND($AE33&lt;&gt;"",'Outfall 1 Limits'!$AX$60="L"),$AE33,""))</f>
        <v/>
      </c>
      <c r="FS33" s="29" t="str">
        <f>IF(AND($G33&lt;&gt;"",$G33&gt;0,'Outfall 1 Limits'!$AX$64="C1",$AG33&lt;&gt;""),$AG33*$G33*8.34,IF(AND($AG33&lt;&gt;"",'Outfall 1 Limits'!$AX$64="L"),$AG33,""))</f>
        <v/>
      </c>
      <c r="FT33" s="29" t="str">
        <f>IF(AND($G33&lt;&gt;"",$G33&gt;0,'Outfall 1 Limits'!$AX$68="C1",$AI33&lt;&gt;""),$AI33*$G33*8.34,IF(AND($AI33&lt;&gt;"",'Outfall 1 Limits'!$AX$68="L"),$AI33,""))</f>
        <v/>
      </c>
      <c r="GJ33" s="29" t="str">
        <f t="shared" si="29"/>
        <v/>
      </c>
      <c r="GK33" s="77" t="str">
        <f>IF(AND($G33&lt;&gt;"",$G33&gt;0,'Outfall 1 Limits'!$AX$16="C1",CY33&lt;&gt;""),CY33*$G33*8.34,IF(AND(CY33&lt;&gt;"",'Outfall 1 Limits'!$AX$16="L"),CY33,""))</f>
        <v/>
      </c>
      <c r="GL33" s="29" t="str">
        <f>IF(AND($G33&lt;&gt;"",$G33&gt;0,'Outfall 1 Limits'!$AX$20="C1",CZ33&lt;&gt;""),CZ33*$G33*8.34,IF(AND(CZ33&lt;&gt;"",'Outfall 1 Limits'!$AX$20="L"),CZ33,""))</f>
        <v/>
      </c>
      <c r="GM33" s="29" t="str">
        <f>IF(AND($G33&lt;&gt;"",$G33&gt;0,'Outfall 1 Limits'!$AX$24="C1",DA33&lt;&gt;""),DA33*$G33*8.34,IF(AND(DA33&lt;&gt;"",'Outfall 1 Limits'!$AX$24="L"),DA33,""))</f>
        <v/>
      </c>
      <c r="GN33" s="29" t="str">
        <f>IF(AND($G33&lt;&gt;"",$G33&gt;0,'Outfall 1 Limits'!$AX$28="C1",DB33&lt;&gt;""),DB33*$G33*8.34,IF(AND(DB33&lt;&gt;"",'Outfall 1 Limits'!$AX$28="L"),DB33,""))</f>
        <v/>
      </c>
      <c r="GO33" s="29" t="str">
        <f>IF(AND($G33&lt;&gt;"",$G33&gt;0,'Outfall 1 Limits'!$AX$32="C1",DC33&lt;&gt;""),DC33*$G33*8.34,IF(AND(DC33&lt;&gt;"",'Outfall 1 Limits'!$AX$32="L"),DC33,""))</f>
        <v/>
      </c>
      <c r="GP33" s="29" t="str">
        <f>IF(AND($G33&lt;&gt;"",$G33&gt;0,'Outfall 1 Limits'!$AX$36="C1",DD33&lt;&gt;""),DD33*$G33*8.34,IF(AND(DD33&lt;&gt;"",'Outfall 1 Limits'!$AX$36="L"),DD33,""))</f>
        <v/>
      </c>
      <c r="GQ33" s="29" t="str">
        <f>IF(AND($G33&lt;&gt;"",$G33&gt;0,'Outfall 1 Limits'!$AX$40="C1",DE33&lt;&gt;""),DE33*$G33*8.34,IF(AND(DE33&lt;&gt;"",'Outfall 1 Limits'!$AX$40="L"),DE33,""))</f>
        <v/>
      </c>
      <c r="GR33" s="29" t="str">
        <f>IF(AND($G33&lt;&gt;"",$G33&gt;0,'Outfall 1 Limits'!$AX$44="C1",DF33&lt;&gt;""),DF33*$G33*8.34,IF(AND(DF33&lt;&gt;"",'Outfall 1 Limits'!$AX$44="L"),DF33,""))</f>
        <v/>
      </c>
      <c r="GS33" s="29" t="str">
        <f>IF(AND($G33&lt;&gt;"",$G33&gt;0,'Outfall 1 Limits'!$AX$48="C1",DG33&lt;&gt;""),DG33*$G33*8.34,IF(AND(DG33&lt;&gt;"",'Outfall 1 Limits'!$AX$48="L"),DG33,""))</f>
        <v/>
      </c>
      <c r="GT33" s="29" t="str">
        <f>IF(AND($G33&lt;&gt;"",$G33&gt;0,'Outfall 1 Limits'!$AX$52="C1",DH33&lt;&gt;""),DH33*$G33*8.34,IF(AND(DH33&lt;&gt;"",'Outfall 1 Limits'!$AX$52="L"),DH33,""))</f>
        <v/>
      </c>
      <c r="GU33" s="29" t="str">
        <f>IF(AND($G33&lt;&gt;"",$G33&gt;0,'Outfall 1 Limits'!$AX$56="C1",DI33&lt;&gt;""),DI33*$G33*8.34,IF(AND(DI33&lt;&gt;"",'Outfall 1 Limits'!$AX$56="L"),DI33,""))</f>
        <v/>
      </c>
      <c r="GV33" s="29" t="str">
        <f>IF(AND($G33&lt;&gt;"",$G33&gt;0,'Outfall 1 Limits'!$AX$60="C1",DJ33&lt;&gt;""),DJ33*$G33*8.34,IF(AND(DJ33&lt;&gt;"",'Outfall 1 Limits'!$AX$60="L"),DJ33,""))</f>
        <v/>
      </c>
      <c r="GW33" s="29" t="str">
        <f>IF(AND($G33&lt;&gt;"",$G33&gt;0,'Outfall 1 Limits'!$AX$64="C1",DK33&lt;&gt;""),DK33*$G33*8.34,IF(AND(DK33&lt;&gt;"",'Outfall 1 Limits'!$AX$64="L"),DK33,""))</f>
        <v/>
      </c>
      <c r="GX33" s="29" t="str">
        <f>IF(AND($G33&lt;&gt;"",$G33&gt;0,'Outfall 1 Limits'!$AX$68="C1",DL33&lt;&gt;""),DL33*$G33*8.34,IF(AND(DL33&lt;&gt;"",'Outfall 1 Limits'!$AX$68="L"),DL33,""))</f>
        <v/>
      </c>
      <c r="HO33" s="98" t="str">
        <f t="shared" si="30"/>
        <v/>
      </c>
      <c r="HS33" s="68" t="str">
        <f t="shared" si="31"/>
        <v/>
      </c>
      <c r="HT33" s="188" t="str">
        <f t="shared" si="32"/>
        <v/>
      </c>
      <c r="HU33" s="188" t="str">
        <f t="shared" si="33"/>
        <v/>
      </c>
      <c r="HV33" s="188" t="str">
        <f t="shared" si="34"/>
        <v/>
      </c>
      <c r="HW33" s="188" t="str">
        <f t="shared" si="35"/>
        <v/>
      </c>
      <c r="HX33" s="188" t="str">
        <f t="shared" si="36"/>
        <v/>
      </c>
      <c r="HY33" s="188" t="str">
        <f t="shared" si="37"/>
        <v/>
      </c>
      <c r="HZ33" s="188" t="str">
        <f t="shared" si="38"/>
        <v/>
      </c>
      <c r="IA33" s="188" t="str">
        <f t="shared" si="39"/>
        <v/>
      </c>
      <c r="IB33" s="188" t="str">
        <f t="shared" si="40"/>
        <v/>
      </c>
      <c r="IC33" s="188" t="str">
        <f t="shared" si="41"/>
        <v/>
      </c>
      <c r="ID33" s="188" t="str">
        <f t="shared" si="42"/>
        <v/>
      </c>
      <c r="IE33" s="188" t="str">
        <f t="shared" si="43"/>
        <v/>
      </c>
      <c r="IF33" s="188" t="str">
        <f t="shared" si="44"/>
        <v/>
      </c>
      <c r="IX33" s="68" t="str">
        <f t="shared" si="45"/>
        <v/>
      </c>
      <c r="IY33" s="188" t="str">
        <f t="shared" si="46"/>
        <v/>
      </c>
      <c r="IZ33" s="188" t="str">
        <f t="shared" si="47"/>
        <v/>
      </c>
      <c r="JA33" s="188" t="str">
        <f t="shared" si="48"/>
        <v/>
      </c>
      <c r="JB33" s="188" t="str">
        <f t="shared" si="49"/>
        <v/>
      </c>
      <c r="JC33" s="188" t="str">
        <f t="shared" si="50"/>
        <v/>
      </c>
      <c r="JD33" s="188" t="str">
        <f t="shared" si="51"/>
        <v/>
      </c>
      <c r="JE33" s="188" t="str">
        <f t="shared" si="52"/>
        <v/>
      </c>
      <c r="JF33" s="188" t="str">
        <f t="shared" si="53"/>
        <v/>
      </c>
      <c r="JG33" s="188" t="str">
        <f t="shared" si="54"/>
        <v/>
      </c>
      <c r="JH33" s="188" t="str">
        <f t="shared" si="55"/>
        <v/>
      </c>
      <c r="JI33" s="188" t="str">
        <f t="shared" si="56"/>
        <v/>
      </c>
      <c r="JJ33" s="188" t="str">
        <f t="shared" si="57"/>
        <v/>
      </c>
      <c r="JK33" s="188" t="str">
        <f t="shared" si="58"/>
        <v/>
      </c>
      <c r="KA33" s="188"/>
      <c r="KB33" s="2"/>
      <c r="KC33" s="226"/>
      <c r="KD33" s="164" t="str">
        <f t="shared" si="1"/>
        <v/>
      </c>
      <c r="KE33" s="188" t="str">
        <f t="shared" si="2"/>
        <v/>
      </c>
      <c r="KF33" s="188" t="str">
        <f t="shared" si="3"/>
        <v/>
      </c>
      <c r="KG33" s="188" t="str">
        <f t="shared" si="4"/>
        <v/>
      </c>
      <c r="KH33" s="188" t="str">
        <f t="shared" si="5"/>
        <v/>
      </c>
      <c r="KI33" s="188" t="str">
        <f t="shared" si="6"/>
        <v/>
      </c>
      <c r="KJ33" s="188" t="str">
        <f t="shared" si="7"/>
        <v/>
      </c>
      <c r="KK33" s="188" t="str">
        <f t="shared" si="8"/>
        <v/>
      </c>
      <c r="KL33" s="188" t="str">
        <f t="shared" si="9"/>
        <v/>
      </c>
      <c r="KM33" s="188" t="str">
        <f t="shared" si="10"/>
        <v/>
      </c>
      <c r="KN33" s="188" t="str">
        <f t="shared" si="11"/>
        <v/>
      </c>
      <c r="KO33" s="188" t="str">
        <f t="shared" si="12"/>
        <v/>
      </c>
      <c r="KP33" s="188" t="str">
        <f t="shared" si="13"/>
        <v/>
      </c>
      <c r="KQ33" s="188" t="str">
        <f t="shared" si="14"/>
        <v/>
      </c>
    </row>
    <row r="34" spans="1:303" s="18" customFormat="1" ht="11.45" customHeight="1" x14ac:dyDescent="0.2">
      <c r="A34" s="38"/>
      <c r="B34" s="48"/>
      <c r="C34" s="421">
        <f t="shared" si="0"/>
        <v>45308</v>
      </c>
      <c r="D34" s="421"/>
      <c r="E34" s="422">
        <f t="shared" si="59"/>
        <v>45308</v>
      </c>
      <c r="F34" s="423"/>
      <c r="G34" s="31"/>
      <c r="H34" s="45"/>
      <c r="I34" s="44"/>
      <c r="J34" s="45"/>
      <c r="K34" s="44"/>
      <c r="L34" s="45"/>
      <c r="M34" s="44"/>
      <c r="N34" s="45"/>
      <c r="O34" s="44"/>
      <c r="P34" s="45"/>
      <c r="Q34" s="44"/>
      <c r="R34" s="45"/>
      <c r="S34" s="44"/>
      <c r="T34" s="45"/>
      <c r="U34" s="44"/>
      <c r="V34" s="45"/>
      <c r="W34" s="44"/>
      <c r="X34" s="45"/>
      <c r="Y34" s="44"/>
      <c r="Z34" s="45"/>
      <c r="AA34" s="44"/>
      <c r="AB34" s="45"/>
      <c r="AC34" s="44"/>
      <c r="AD34" s="45"/>
      <c r="AE34" s="44"/>
      <c r="AF34" s="45"/>
      <c r="AG34" s="44"/>
      <c r="AH34" s="45"/>
      <c r="AI34" s="127"/>
      <c r="AJ34" s="236"/>
      <c r="BO34" s="188"/>
      <c r="BP34" s="267">
        <v>2053</v>
      </c>
      <c r="BQ34" s="224" t="s">
        <v>49</v>
      </c>
      <c r="BR34" s="225"/>
      <c r="BS34" s="188" t="s">
        <v>1125</v>
      </c>
      <c r="BU34" s="68" t="str">
        <f t="shared" si="15"/>
        <v/>
      </c>
      <c r="BV34" s="188" t="str">
        <f t="shared" si="16"/>
        <v/>
      </c>
      <c r="BW34" s="188" t="str">
        <f t="shared" si="17"/>
        <v/>
      </c>
      <c r="BX34" s="188" t="str">
        <f t="shared" si="18"/>
        <v/>
      </c>
      <c r="BY34" s="188" t="str">
        <f t="shared" si="19"/>
        <v/>
      </c>
      <c r="BZ34" s="188" t="str">
        <f t="shared" si="20"/>
        <v/>
      </c>
      <c r="CA34" s="188" t="str">
        <f t="shared" si="21"/>
        <v/>
      </c>
      <c r="CB34" s="188" t="str">
        <f t="shared" si="22"/>
        <v/>
      </c>
      <c r="CC34" s="188" t="str">
        <f t="shared" si="23"/>
        <v/>
      </c>
      <c r="CD34" s="188" t="str">
        <f t="shared" si="24"/>
        <v/>
      </c>
      <c r="CE34" s="188" t="str">
        <f t="shared" si="25"/>
        <v/>
      </c>
      <c r="CF34" s="188" t="str">
        <f t="shared" si="26"/>
        <v/>
      </c>
      <c r="CG34" s="188" t="str">
        <f t="shared" si="27"/>
        <v/>
      </c>
      <c r="CH34" s="188" t="str">
        <f t="shared" si="28"/>
        <v/>
      </c>
      <c r="CY34" s="77" t="str">
        <f>IF(I34&lt;&gt;"",IF(H34="&lt;",IF(AND('Outfall 1 Limits'!$AM$16="Y",$BU$54&lt;&gt;"Y",I34&lt;='Outfall 1 Limits'!$AL$16),0,(1*I34)),I34),"")</f>
        <v/>
      </c>
      <c r="CZ34" s="29" t="str">
        <f>IF(K34&lt;&gt;"",IF(J34="&lt;",IF(AND('Outfall 1 Limits'!$AM$20="Y",$BV$54&lt;&gt;"Y",K34&lt;='Outfall 1 Limits'!$AL$20),0,(1*K34)),K34),"")</f>
        <v/>
      </c>
      <c r="DA34" s="29" t="str">
        <f>IF(M34&lt;&gt;"",IF(L34="&lt;",IF(AND('Outfall 1 Limits'!$AM$24="Y",$BW$54&lt;&gt;"Y",M34&lt;='Outfall 1 Limits'!$AL$24),0,(1*M34)),M34),"")</f>
        <v/>
      </c>
      <c r="DB34" s="29" t="str">
        <f>IF(O34&lt;&gt;"",IF(N34="&lt;",IF(AND('Outfall 1 Limits'!$AM$28="Y",$BX$54&lt;&gt;"Y",O34&lt;='Outfall 1 Limits'!$AL$28),0,(1*O34)),O34),"")</f>
        <v/>
      </c>
      <c r="DC34" s="29" t="str">
        <f>IF(Q34&lt;&gt;"",IF(P34="&lt;",IF(AND('Outfall 1 Limits'!$AM$32="Y",$BY$54&lt;&gt;"Y",Q34&lt;='Outfall 1 Limits'!$AL$32),0,(1*Q34)),Q34),"")</f>
        <v/>
      </c>
      <c r="DD34" s="29" t="str">
        <f>IF(S34&lt;&gt;"",IF(R34="&lt;",IF(AND('Outfall 1 Limits'!$AM$36="Y",$BZ$54&lt;&gt;"Y",S34&lt;='Outfall 1 Limits'!$AL$36),0,(1*S34)),S34),"")</f>
        <v/>
      </c>
      <c r="DE34" s="29" t="str">
        <f>IF(U34&lt;&gt;"",IF(T34="&lt;",IF(AND('Outfall 1 Limits'!$AM$40="Y",$CA$54&lt;&gt;"Y",U34&lt;='Outfall 1 Limits'!$AL$40),0,(1*U34)),U34),"")</f>
        <v/>
      </c>
      <c r="DF34" s="29" t="str">
        <f>IF(W34&lt;&gt;"",IF(V34="&lt;",IF(AND('Outfall 1 Limits'!$AM$44="Y",$CB$54&lt;&gt;"Y",W34&lt;='Outfall 1 Limits'!$AL$44),0,(1*W34)),W34),"")</f>
        <v/>
      </c>
      <c r="DG34" s="29" t="str">
        <f>IF(Y34&lt;&gt;"",IF(X34="&lt;",IF(AND('Outfall 1 Limits'!$AM$48="Y",$CC$54&lt;&gt;"Y",Y34&lt;='Outfall 1 Limits'!$AL$48),0,(1*Y34)),Y34),"")</f>
        <v/>
      </c>
      <c r="DH34" s="29" t="str">
        <f>IF(AA34&lt;&gt;"",IF(Z34="&lt;",IF(AND('Outfall 1 Limits'!$AM$52="Y",$CD$54&lt;&gt;"Y",AA34&lt;='Outfall 1 Limits'!$AL$52),0,(1*AA34)),AA34),"")</f>
        <v/>
      </c>
      <c r="DI34" s="29" t="str">
        <f>IF(AC34&lt;&gt;"",IF(AB34="&lt;",IF(AND('Outfall 1 Limits'!$AM$56="Y",$CE$54&lt;&gt;"Y",AC34&lt;='Outfall 1 Limits'!$AL$56),0,(1*AC34)),AC34),"")</f>
        <v/>
      </c>
      <c r="DJ34" s="29" t="str">
        <f>IF(AE34&lt;&gt;"",IF(AD34="&lt;",IF(AND('Outfall 1 Limits'!$AM$60="Y",$CF$54&lt;&gt;"Y",AE34&lt;='Outfall 1 Limits'!$AL$60),0,(1*AE34)),AE34),"")</f>
        <v/>
      </c>
      <c r="DK34" s="29" t="str">
        <f>IF(AG34&lt;&gt;"",IF(AF34="&lt;",IF(AND('Outfall 1 Limits'!$AM$64="Y",$CG$54&lt;&gt;"Y",AG34&lt;='Outfall 1 Limits'!$AL$64),0,(1*AG34)),AG34),"")</f>
        <v/>
      </c>
      <c r="DL34" s="29" t="str">
        <f>IF(AI34&lt;&gt;"",IF(AH34="&lt;",IF(AND('Outfall 1 Limits'!$AM$68="Y",$CH$54&lt;&gt;"Y",AI34&lt;='Outfall 1 Limits'!$AL$68),0,(1*AI34)),AI34),"")</f>
        <v/>
      </c>
      <c r="EB34" s="222" t="s">
        <v>380</v>
      </c>
      <c r="EC34" s="68" t="str">
        <f>IF(SUM(FG38:FG44)&lt;&gt;0,IF(BU74="Y",AVERAGE(FG38:FG44),AVERAGE(GK38:GK44)),"")</f>
        <v/>
      </c>
      <c r="ED34" s="188" t="str">
        <f t="shared" ref="ED34:EP34" si="72">IF(SUM(FH38:FH44)&lt;&gt;0,IF(BV74="Y",AVERAGE(FH38:FH44),AVERAGE(GL38:GL44)),"")</f>
        <v/>
      </c>
      <c r="EE34" s="188" t="str">
        <f t="shared" si="72"/>
        <v/>
      </c>
      <c r="EF34" s="188" t="str">
        <f t="shared" si="72"/>
        <v/>
      </c>
      <c r="EG34" s="188" t="str">
        <f t="shared" si="72"/>
        <v/>
      </c>
      <c r="EH34" s="188" t="str">
        <f t="shared" si="72"/>
        <v/>
      </c>
      <c r="EI34" s="188" t="str">
        <f t="shared" si="72"/>
        <v/>
      </c>
      <c r="EJ34" s="188" t="str">
        <f t="shared" si="72"/>
        <v/>
      </c>
      <c r="EK34" s="188" t="str">
        <f t="shared" si="72"/>
        <v/>
      </c>
      <c r="EL34" s="188" t="str">
        <f t="shared" si="72"/>
        <v/>
      </c>
      <c r="EM34" s="188" t="str">
        <f t="shared" si="72"/>
        <v/>
      </c>
      <c r="EN34" s="188" t="str">
        <f t="shared" si="72"/>
        <v/>
      </c>
      <c r="EO34" s="188" t="str">
        <f t="shared" si="72"/>
        <v/>
      </c>
      <c r="EP34" s="188" t="str">
        <f t="shared" si="72"/>
        <v/>
      </c>
      <c r="FG34" s="77" t="str">
        <f>IF(AND($G34&lt;&gt;"",$G34&gt;0,'Outfall 1 Limits'!$AX$16="C1",I34&lt;&gt;""),I34*$G34*8.34,IF(AND($I34&lt;&gt;"",'Outfall 1 Limits'!$AX$16="L"),I34,""))</f>
        <v/>
      </c>
      <c r="FH34" s="29" t="str">
        <f>IF(AND($G34&lt;&gt;"",$G34&gt;0,'Outfall 1 Limits'!$AX$20="C1",$K34&lt;&gt;""),$K34*$G34*8.34,IF(AND($K34&lt;&gt;"",'Outfall 1 Limits'!$AX$20="L"),$K34,""))</f>
        <v/>
      </c>
      <c r="FI34" s="29" t="str">
        <f>IF(AND($G34&lt;&gt;"",$G34&gt;0,'Outfall 1 Limits'!$AX$24="C1",$M34&lt;&gt;""),$M34*$G34*8.34,IF(AND($M34&lt;&gt;"",'Outfall 1 Limits'!$AX$24="L"),$M34,""))</f>
        <v/>
      </c>
      <c r="FJ34" s="29" t="str">
        <f>IF(AND($G34&lt;&gt;"",$G34&gt;0,'Outfall 1 Limits'!$AX$28="C1",$O34&lt;&gt;""),$O34*$G34*8.34,IF(AND($O34&lt;&gt;"",'Outfall 1 Limits'!$AX$28="L"),$O34,""))</f>
        <v/>
      </c>
      <c r="FK34" s="29" t="str">
        <f>IF(AND($G34&lt;&gt;"",$G34&gt;0,'Outfall 1 Limits'!$AX$32="C1",$Q34&lt;&gt;""),$Q34*$G34*8.34,IF(AND($Q34&lt;&gt;"",'Outfall 1 Limits'!$AX$32="L"),$Q34,""))</f>
        <v/>
      </c>
      <c r="FL34" s="29" t="str">
        <f>IF(AND($G34&lt;&gt;"",$G34&gt;0,'Outfall 1 Limits'!$AX$36="C1",$S34&lt;&gt;""),$S34*$G34*8.34,IF(AND($S34&lt;&gt;"",'Outfall 1 Limits'!$AX$36="L"),$S34,""))</f>
        <v/>
      </c>
      <c r="FM34" s="29" t="str">
        <f>IF(AND($G34&lt;&gt;"",$G34&gt;0,'Outfall 1 Limits'!$AX$40="C1",$U34&lt;&gt;""),$U34*$G34*8.34,IF(AND($U34&lt;&gt;"",'Outfall 1 Limits'!$AX$40="L"),$U34,""))</f>
        <v/>
      </c>
      <c r="FN34" s="29" t="str">
        <f>IF(AND($G34&lt;&gt;"",$G34&gt;0,'Outfall 1 Limits'!$AX$44="C1",$W34&lt;&gt;""),$W34*$G34*8.34,IF(AND($W34&lt;&gt;"",'Outfall 1 Limits'!$AX$44="L"),$W34,""))</f>
        <v/>
      </c>
      <c r="FO34" s="29" t="str">
        <f>IF(AND($G34&lt;&gt;"",$G34&gt;0,'Outfall 1 Limits'!$AX$48="C1",$Y34&lt;&gt;""),$Y34*$G34*8.34,IF(AND($Y34&lt;&gt;"",'Outfall 1 Limits'!$AX$48="L"),$Y34,""))</f>
        <v/>
      </c>
      <c r="FP34" s="29" t="str">
        <f>IF(AND($G34&lt;&gt;"",$G34&gt;0,'Outfall 1 Limits'!$AX$52="C1",$AA34&lt;&gt;""),$AA34*$G34*8.34,IF(AND($AA34&lt;&gt;"",'Outfall 1 Limits'!$AX$52="L"),$AA34,""))</f>
        <v/>
      </c>
      <c r="FQ34" s="29" t="str">
        <f>IF(AND($G34&lt;&gt;"",$G34&gt;0,'Outfall 1 Limits'!$AX$56="C1",$AC34&lt;&gt;""),$AC34*$G34*8.34,IF(AND($AC34&lt;&gt;"",'Outfall 1 Limits'!$AX$56="L"),$AC34,""))</f>
        <v/>
      </c>
      <c r="FR34" s="29" t="str">
        <f>IF(AND($G34&lt;&gt;"",$G34&gt;0,'Outfall 1 Limits'!$AX$60="C1",$AE34&lt;&gt;""),$AE34*$G34*8.34,IF(AND($AE34&lt;&gt;"",'Outfall 1 Limits'!$AX$60="L"),$AE34,""))</f>
        <v/>
      </c>
      <c r="FS34" s="29" t="str">
        <f>IF(AND($G34&lt;&gt;"",$G34&gt;0,'Outfall 1 Limits'!$AX$64="C1",$AG34&lt;&gt;""),$AG34*$G34*8.34,IF(AND($AG34&lt;&gt;"",'Outfall 1 Limits'!$AX$64="L"),$AG34,""))</f>
        <v/>
      </c>
      <c r="FT34" s="29" t="str">
        <f>IF(AND($G34&lt;&gt;"",$G34&gt;0,'Outfall 1 Limits'!$AX$68="C1",$AI34&lt;&gt;""),$AI34*$G34*8.34,IF(AND($AI34&lt;&gt;"",'Outfall 1 Limits'!$AX$68="L"),$AI34,""))</f>
        <v/>
      </c>
      <c r="GJ34" s="29" t="str">
        <f t="shared" si="29"/>
        <v/>
      </c>
      <c r="GK34" s="77" t="str">
        <f>IF(AND($G34&lt;&gt;"",$G34&gt;0,'Outfall 1 Limits'!$AX$16="C1",CY34&lt;&gt;""),CY34*$G34*8.34,IF(AND(CY34&lt;&gt;"",'Outfall 1 Limits'!$AX$16="L"),CY34,""))</f>
        <v/>
      </c>
      <c r="GL34" s="29" t="str">
        <f>IF(AND($G34&lt;&gt;"",$G34&gt;0,'Outfall 1 Limits'!$AX$20="C1",CZ34&lt;&gt;""),CZ34*$G34*8.34,IF(AND(CZ34&lt;&gt;"",'Outfall 1 Limits'!$AX$20="L"),CZ34,""))</f>
        <v/>
      </c>
      <c r="GM34" s="29" t="str">
        <f>IF(AND($G34&lt;&gt;"",$G34&gt;0,'Outfall 1 Limits'!$AX$24="C1",DA34&lt;&gt;""),DA34*$G34*8.34,IF(AND(DA34&lt;&gt;"",'Outfall 1 Limits'!$AX$24="L"),DA34,""))</f>
        <v/>
      </c>
      <c r="GN34" s="29" t="str">
        <f>IF(AND($G34&lt;&gt;"",$G34&gt;0,'Outfall 1 Limits'!$AX$28="C1",DB34&lt;&gt;""),DB34*$G34*8.34,IF(AND(DB34&lt;&gt;"",'Outfall 1 Limits'!$AX$28="L"),DB34,""))</f>
        <v/>
      </c>
      <c r="GO34" s="29" t="str">
        <f>IF(AND($G34&lt;&gt;"",$G34&gt;0,'Outfall 1 Limits'!$AX$32="C1",DC34&lt;&gt;""),DC34*$G34*8.34,IF(AND(DC34&lt;&gt;"",'Outfall 1 Limits'!$AX$32="L"),DC34,""))</f>
        <v/>
      </c>
      <c r="GP34" s="29" t="str">
        <f>IF(AND($G34&lt;&gt;"",$G34&gt;0,'Outfall 1 Limits'!$AX$36="C1",DD34&lt;&gt;""),DD34*$G34*8.34,IF(AND(DD34&lt;&gt;"",'Outfall 1 Limits'!$AX$36="L"),DD34,""))</f>
        <v/>
      </c>
      <c r="GQ34" s="29" t="str">
        <f>IF(AND($G34&lt;&gt;"",$G34&gt;0,'Outfall 1 Limits'!$AX$40="C1",DE34&lt;&gt;""),DE34*$G34*8.34,IF(AND(DE34&lt;&gt;"",'Outfall 1 Limits'!$AX$40="L"),DE34,""))</f>
        <v/>
      </c>
      <c r="GR34" s="29" t="str">
        <f>IF(AND($G34&lt;&gt;"",$G34&gt;0,'Outfall 1 Limits'!$AX$44="C1",DF34&lt;&gt;""),DF34*$G34*8.34,IF(AND(DF34&lt;&gt;"",'Outfall 1 Limits'!$AX$44="L"),DF34,""))</f>
        <v/>
      </c>
      <c r="GS34" s="29" t="str">
        <f>IF(AND($G34&lt;&gt;"",$G34&gt;0,'Outfall 1 Limits'!$AX$48="C1",DG34&lt;&gt;""),DG34*$G34*8.34,IF(AND(DG34&lt;&gt;"",'Outfall 1 Limits'!$AX$48="L"),DG34,""))</f>
        <v/>
      </c>
      <c r="GT34" s="29" t="str">
        <f>IF(AND($G34&lt;&gt;"",$G34&gt;0,'Outfall 1 Limits'!$AX$52="C1",DH34&lt;&gt;""),DH34*$G34*8.34,IF(AND(DH34&lt;&gt;"",'Outfall 1 Limits'!$AX$52="L"),DH34,""))</f>
        <v/>
      </c>
      <c r="GU34" s="29" t="str">
        <f>IF(AND($G34&lt;&gt;"",$G34&gt;0,'Outfall 1 Limits'!$AX$56="C1",DI34&lt;&gt;""),DI34*$G34*8.34,IF(AND(DI34&lt;&gt;"",'Outfall 1 Limits'!$AX$56="L"),DI34,""))</f>
        <v/>
      </c>
      <c r="GV34" s="29" t="str">
        <f>IF(AND($G34&lt;&gt;"",$G34&gt;0,'Outfall 1 Limits'!$AX$60="C1",DJ34&lt;&gt;""),DJ34*$G34*8.34,IF(AND(DJ34&lt;&gt;"",'Outfall 1 Limits'!$AX$60="L"),DJ34,""))</f>
        <v/>
      </c>
      <c r="GW34" s="29" t="str">
        <f>IF(AND($G34&lt;&gt;"",$G34&gt;0,'Outfall 1 Limits'!$AX$64="C1",DK34&lt;&gt;""),DK34*$G34*8.34,IF(AND(DK34&lt;&gt;"",'Outfall 1 Limits'!$AX$64="L"),DK34,""))</f>
        <v/>
      </c>
      <c r="GX34" s="29" t="str">
        <f>IF(AND($G34&lt;&gt;"",$G34&gt;0,'Outfall 1 Limits'!$AX$68="C1",DL34&lt;&gt;""),DL34*$G34*8.34,IF(AND(DL34&lt;&gt;"",'Outfall 1 Limits'!$AX$68="L"),DL34,""))</f>
        <v/>
      </c>
      <c r="HO34" s="98" t="str">
        <f t="shared" si="30"/>
        <v/>
      </c>
      <c r="HS34" s="68" t="str">
        <f t="shared" si="31"/>
        <v/>
      </c>
      <c r="HT34" s="188" t="str">
        <f t="shared" si="32"/>
        <v/>
      </c>
      <c r="HU34" s="188" t="str">
        <f t="shared" si="33"/>
        <v/>
      </c>
      <c r="HV34" s="188" t="str">
        <f t="shared" si="34"/>
        <v/>
      </c>
      <c r="HW34" s="188" t="str">
        <f t="shared" si="35"/>
        <v/>
      </c>
      <c r="HX34" s="188" t="str">
        <f t="shared" si="36"/>
        <v/>
      </c>
      <c r="HY34" s="188" t="str">
        <f t="shared" si="37"/>
        <v/>
      </c>
      <c r="HZ34" s="188" t="str">
        <f t="shared" si="38"/>
        <v/>
      </c>
      <c r="IA34" s="188" t="str">
        <f t="shared" si="39"/>
        <v/>
      </c>
      <c r="IB34" s="188" t="str">
        <f t="shared" si="40"/>
        <v/>
      </c>
      <c r="IC34" s="188" t="str">
        <f t="shared" si="41"/>
        <v/>
      </c>
      <c r="ID34" s="188" t="str">
        <f t="shared" si="42"/>
        <v/>
      </c>
      <c r="IE34" s="188" t="str">
        <f t="shared" si="43"/>
        <v/>
      </c>
      <c r="IF34" s="188" t="str">
        <f t="shared" si="44"/>
        <v/>
      </c>
      <c r="IX34" s="68" t="str">
        <f t="shared" si="45"/>
        <v/>
      </c>
      <c r="IY34" s="188" t="str">
        <f t="shared" si="46"/>
        <v/>
      </c>
      <c r="IZ34" s="188" t="str">
        <f t="shared" si="47"/>
        <v/>
      </c>
      <c r="JA34" s="188" t="str">
        <f t="shared" si="48"/>
        <v/>
      </c>
      <c r="JB34" s="188" t="str">
        <f t="shared" si="49"/>
        <v/>
      </c>
      <c r="JC34" s="188" t="str">
        <f t="shared" si="50"/>
        <v/>
      </c>
      <c r="JD34" s="188" t="str">
        <f t="shared" si="51"/>
        <v/>
      </c>
      <c r="JE34" s="188" t="str">
        <f t="shared" si="52"/>
        <v/>
      </c>
      <c r="JF34" s="188" t="str">
        <f t="shared" si="53"/>
        <v/>
      </c>
      <c r="JG34" s="188" t="str">
        <f t="shared" si="54"/>
        <v/>
      </c>
      <c r="JH34" s="188" t="str">
        <f t="shared" si="55"/>
        <v/>
      </c>
      <c r="JI34" s="188" t="str">
        <f t="shared" si="56"/>
        <v/>
      </c>
      <c r="JJ34" s="188" t="str">
        <f t="shared" si="57"/>
        <v/>
      </c>
      <c r="JK34" s="188" t="str">
        <f t="shared" si="58"/>
        <v/>
      </c>
      <c r="KA34" s="188"/>
      <c r="KB34" s="2"/>
      <c r="KC34" s="226"/>
      <c r="KD34" s="164" t="str">
        <f t="shared" si="1"/>
        <v/>
      </c>
      <c r="KE34" s="188" t="str">
        <f t="shared" si="2"/>
        <v/>
      </c>
      <c r="KF34" s="188" t="str">
        <f t="shared" si="3"/>
        <v/>
      </c>
      <c r="KG34" s="188" t="str">
        <f t="shared" si="4"/>
        <v/>
      </c>
      <c r="KH34" s="188" t="str">
        <f t="shared" si="5"/>
        <v/>
      </c>
      <c r="KI34" s="188" t="str">
        <f t="shared" si="6"/>
        <v/>
      </c>
      <c r="KJ34" s="188" t="str">
        <f t="shared" si="7"/>
        <v/>
      </c>
      <c r="KK34" s="188" t="str">
        <f t="shared" si="8"/>
        <v/>
      </c>
      <c r="KL34" s="188" t="str">
        <f t="shared" si="9"/>
        <v/>
      </c>
      <c r="KM34" s="188" t="str">
        <f t="shared" si="10"/>
        <v/>
      </c>
      <c r="KN34" s="188" t="str">
        <f t="shared" si="11"/>
        <v/>
      </c>
      <c r="KO34" s="188" t="str">
        <f t="shared" si="12"/>
        <v/>
      </c>
      <c r="KP34" s="188" t="str">
        <f t="shared" si="13"/>
        <v/>
      </c>
      <c r="KQ34" s="188" t="str">
        <f t="shared" si="14"/>
        <v/>
      </c>
    </row>
    <row r="35" spans="1:303" s="18" customFormat="1" ht="11.45" customHeight="1" x14ac:dyDescent="0.2">
      <c r="A35" s="38"/>
      <c r="B35" s="48"/>
      <c r="C35" s="421">
        <f t="shared" si="0"/>
        <v>45309</v>
      </c>
      <c r="D35" s="421"/>
      <c r="E35" s="422">
        <f t="shared" si="59"/>
        <v>45309</v>
      </c>
      <c r="F35" s="423"/>
      <c r="G35" s="31"/>
      <c r="H35" s="45"/>
      <c r="I35" s="44"/>
      <c r="J35" s="45"/>
      <c r="K35" s="44"/>
      <c r="L35" s="45"/>
      <c r="M35" s="44"/>
      <c r="N35" s="45"/>
      <c r="O35" s="44"/>
      <c r="P35" s="45"/>
      <c r="Q35" s="44"/>
      <c r="R35" s="45"/>
      <c r="S35" s="44"/>
      <c r="T35" s="45"/>
      <c r="U35" s="44"/>
      <c r="V35" s="45"/>
      <c r="W35" s="44"/>
      <c r="X35" s="45"/>
      <c r="Y35" s="44"/>
      <c r="Z35" s="45"/>
      <c r="AA35" s="44"/>
      <c r="AB35" s="45"/>
      <c r="AC35" s="44"/>
      <c r="AD35" s="45"/>
      <c r="AE35" s="44"/>
      <c r="AF35" s="45"/>
      <c r="AG35" s="44"/>
      <c r="AH35" s="45"/>
      <c r="AI35" s="127"/>
      <c r="AJ35" s="236"/>
      <c r="BO35" s="188"/>
      <c r="BP35" s="267">
        <v>2054</v>
      </c>
      <c r="BQ35" s="224" t="s">
        <v>50</v>
      </c>
      <c r="BR35" s="225"/>
      <c r="BS35" s="188" t="s">
        <v>1124</v>
      </c>
      <c r="BU35" s="68" t="str">
        <f t="shared" si="15"/>
        <v/>
      </c>
      <c r="BV35" s="188" t="str">
        <f t="shared" si="16"/>
        <v/>
      </c>
      <c r="BW35" s="188" t="str">
        <f t="shared" si="17"/>
        <v/>
      </c>
      <c r="BX35" s="188" t="str">
        <f t="shared" si="18"/>
        <v/>
      </c>
      <c r="BY35" s="188" t="str">
        <f t="shared" si="19"/>
        <v/>
      </c>
      <c r="BZ35" s="188" t="str">
        <f t="shared" si="20"/>
        <v/>
      </c>
      <c r="CA35" s="188" t="str">
        <f t="shared" si="21"/>
        <v/>
      </c>
      <c r="CB35" s="188" t="str">
        <f t="shared" si="22"/>
        <v/>
      </c>
      <c r="CC35" s="188" t="str">
        <f t="shared" si="23"/>
        <v/>
      </c>
      <c r="CD35" s="188" t="str">
        <f t="shared" si="24"/>
        <v/>
      </c>
      <c r="CE35" s="188" t="str">
        <f t="shared" si="25"/>
        <v/>
      </c>
      <c r="CF35" s="188" t="str">
        <f t="shared" si="26"/>
        <v/>
      </c>
      <c r="CG35" s="188" t="str">
        <f t="shared" si="27"/>
        <v/>
      </c>
      <c r="CH35" s="188" t="str">
        <f t="shared" si="28"/>
        <v/>
      </c>
      <c r="CY35" s="77" t="str">
        <f>IF(I35&lt;&gt;"",IF(H35="&lt;",IF(AND('Outfall 1 Limits'!$AM$16="Y",$BU$54&lt;&gt;"Y",I35&lt;='Outfall 1 Limits'!$AL$16),0,(1*I35)),I35),"")</f>
        <v/>
      </c>
      <c r="CZ35" s="29" t="str">
        <f>IF(K35&lt;&gt;"",IF(J35="&lt;",IF(AND('Outfall 1 Limits'!$AM$20="Y",$BV$54&lt;&gt;"Y",K35&lt;='Outfall 1 Limits'!$AL$20),0,(1*K35)),K35),"")</f>
        <v/>
      </c>
      <c r="DA35" s="29" t="str">
        <f>IF(M35&lt;&gt;"",IF(L35="&lt;",IF(AND('Outfall 1 Limits'!$AM$24="Y",$BW$54&lt;&gt;"Y",M35&lt;='Outfall 1 Limits'!$AL$24),0,(1*M35)),M35),"")</f>
        <v/>
      </c>
      <c r="DB35" s="29" t="str">
        <f>IF(O35&lt;&gt;"",IF(N35="&lt;",IF(AND('Outfall 1 Limits'!$AM$28="Y",$BX$54&lt;&gt;"Y",O35&lt;='Outfall 1 Limits'!$AL$28),0,(1*O35)),O35),"")</f>
        <v/>
      </c>
      <c r="DC35" s="29" t="str">
        <f>IF(Q35&lt;&gt;"",IF(P35="&lt;",IF(AND('Outfall 1 Limits'!$AM$32="Y",$BY$54&lt;&gt;"Y",Q35&lt;='Outfall 1 Limits'!$AL$32),0,(1*Q35)),Q35),"")</f>
        <v/>
      </c>
      <c r="DD35" s="29" t="str">
        <f>IF(S35&lt;&gt;"",IF(R35="&lt;",IF(AND('Outfall 1 Limits'!$AM$36="Y",$BZ$54&lt;&gt;"Y",S35&lt;='Outfall 1 Limits'!$AL$36),0,(1*S35)),S35),"")</f>
        <v/>
      </c>
      <c r="DE35" s="29" t="str">
        <f>IF(U35&lt;&gt;"",IF(T35="&lt;",IF(AND('Outfall 1 Limits'!$AM$40="Y",$CA$54&lt;&gt;"Y",U35&lt;='Outfall 1 Limits'!$AL$40),0,(1*U35)),U35),"")</f>
        <v/>
      </c>
      <c r="DF35" s="29" t="str">
        <f>IF(W35&lt;&gt;"",IF(V35="&lt;",IF(AND('Outfall 1 Limits'!$AM$44="Y",$CB$54&lt;&gt;"Y",W35&lt;='Outfall 1 Limits'!$AL$44),0,(1*W35)),W35),"")</f>
        <v/>
      </c>
      <c r="DG35" s="29" t="str">
        <f>IF(Y35&lt;&gt;"",IF(X35="&lt;",IF(AND('Outfall 1 Limits'!$AM$48="Y",$CC$54&lt;&gt;"Y",Y35&lt;='Outfall 1 Limits'!$AL$48),0,(1*Y35)),Y35),"")</f>
        <v/>
      </c>
      <c r="DH35" s="29" t="str">
        <f>IF(AA35&lt;&gt;"",IF(Z35="&lt;",IF(AND('Outfall 1 Limits'!$AM$52="Y",$CD$54&lt;&gt;"Y",AA35&lt;='Outfall 1 Limits'!$AL$52),0,(1*AA35)),AA35),"")</f>
        <v/>
      </c>
      <c r="DI35" s="29" t="str">
        <f>IF(AC35&lt;&gt;"",IF(AB35="&lt;",IF(AND('Outfall 1 Limits'!$AM$56="Y",$CE$54&lt;&gt;"Y",AC35&lt;='Outfall 1 Limits'!$AL$56),0,(1*AC35)),AC35),"")</f>
        <v/>
      </c>
      <c r="DJ35" s="29" t="str">
        <f>IF(AE35&lt;&gt;"",IF(AD35="&lt;",IF(AND('Outfall 1 Limits'!$AM$60="Y",$CF$54&lt;&gt;"Y",AE35&lt;='Outfall 1 Limits'!$AL$60),0,(1*AE35)),AE35),"")</f>
        <v/>
      </c>
      <c r="DK35" s="29" t="str">
        <f>IF(AG35&lt;&gt;"",IF(AF35="&lt;",IF(AND('Outfall 1 Limits'!$AM$64="Y",$CG$54&lt;&gt;"Y",AG35&lt;='Outfall 1 Limits'!$AL$64),0,(1*AG35)),AG35),"")</f>
        <v/>
      </c>
      <c r="DL35" s="29" t="str">
        <f>IF(AI35&lt;&gt;"",IF(AH35="&lt;",IF(AND('Outfall 1 Limits'!$AM$68="Y",$CH$54&lt;&gt;"Y",AI35&lt;='Outfall 1 Limits'!$AL$68),0,(1*AI35)),AI35),"")</f>
        <v/>
      </c>
      <c r="EB35" s="222" t="s">
        <v>381</v>
      </c>
      <c r="EC35" s="68" t="str">
        <f>IF(E51&lt;&gt;"",IF(SUM(FG45:FG51)&lt;&gt;0,IF(BU76="Y",AVERAGE(FG45:FG51),AVERAGE(GK45:GK51)),""),"")</f>
        <v/>
      </c>
      <c r="ED35" s="188" t="str">
        <f>IF(E51&lt;&gt;"",IF(SUM(FH45:FH51)&lt;&gt;0,IF(BV76="Y",AVERAGE(FH45:FH51),AVERAGE(GL45:GL51)),""),"")</f>
        <v/>
      </c>
      <c r="EE35" s="188" t="str">
        <f>IF(E51&lt;&gt;"",IF(SUM(FI45:FI51)&lt;&gt;0,IF(BW76="Y",AVERAGE(FI45:FI51),AVERAGE(GM45:GM51)),""),"")</f>
        <v/>
      </c>
      <c r="EF35" s="188" t="str">
        <f>IF(E51&lt;&gt;"",IF(SUM(FJ45:FJ51)&lt;&gt;0,IF(BX76="Y",AVERAGE(FJ45:FJ51),AVERAGE(GN45:GN51)),""),"")</f>
        <v/>
      </c>
      <c r="EG35" s="188" t="str">
        <f>IF(E51&lt;&gt;"",IF(SUM(FK45:FK51)&lt;&gt;0,IF(BY76="Y",AVERAGE(FK45:FK51),AVERAGE(GO45:GO51)),""),"")</f>
        <v/>
      </c>
      <c r="EH35" s="188" t="str">
        <f>IF(E51&lt;&gt;"",IF(SUM(FL45:FL51)&lt;&gt;0,IF(BZ76="Y",AVERAGE(FL45:FL51),AVERAGE(GP45:GP51)),""),"")</f>
        <v/>
      </c>
      <c r="EI35" s="188" t="str">
        <f>IF(E51&lt;&gt;"",IF(SUM(FM45:FM51)&lt;&gt;0,IF(CA76="Y",AVERAGE(FM45:FM51),AVERAGE(GQ45:GQ51)),""),"")</f>
        <v/>
      </c>
      <c r="EJ35" s="188" t="str">
        <f>IF(E51&lt;&gt;"",IF(SUM(FN45:FN51)&lt;&gt;0,IF(CB76="Y",AVERAGE(FN45:FN51),AVERAGE(GR45:GR51)),""),"")</f>
        <v/>
      </c>
      <c r="EK35" s="188" t="str">
        <f>IF(E51&lt;&gt;"",IF(SUM(FO45:FO51)&lt;&gt;0,IF(CC76="Y",AVERAGE(FO45:FO51),AVERAGE(GS45:GS51)),""),"")</f>
        <v/>
      </c>
      <c r="EL35" s="188" t="str">
        <f>IF(E51&lt;&gt;"",IF(SUM(FP45:FP51)&lt;&gt;0,IF(CD76="Y",AVERAGE(FP45:FP51),AVERAGE(GT45:GT51)),""),"")</f>
        <v/>
      </c>
      <c r="EM35" s="188" t="str">
        <f>IF(E51&lt;&gt;"",IF(SUM(FQ45:FQ51)&lt;&gt;0,IF(CE76="Y",AVERAGE(FQ45:FQ51),AVERAGE(GU45:GU51)),""),"")</f>
        <v/>
      </c>
      <c r="EN35" s="188" t="str">
        <f>IF(E51&lt;&gt;"",IF(SUM(FR45:FR51)&lt;&gt;0,IF(CF76="Y",AVERAGE(FR45:FR51),AVERAGE(GV45:GV51)),""),"")</f>
        <v/>
      </c>
      <c r="EO35" s="188" t="str">
        <f>IF(E51&lt;&gt;"",IF(SUM(FS45:FS51)&lt;&gt;0,IF(CG76="Y",AVERAGE(FS45:FS51),AVERAGE(GW45:GW51)),""),"")</f>
        <v/>
      </c>
      <c r="EP35" s="188" t="str">
        <f>IF(E51&lt;&gt;"",IF(SUM(FT45:FT51)&lt;&gt;0,IF(CH76="Y",AVERAGE(FT45:FT51),AVERAGE(GX45:GX51)),""),"")</f>
        <v/>
      </c>
      <c r="FG35" s="77" t="str">
        <f>IF(AND($G35&lt;&gt;"",$G35&gt;0,'Outfall 1 Limits'!$AX$16="C1",I35&lt;&gt;""),I35*$G35*8.34,IF(AND($I35&lt;&gt;"",'Outfall 1 Limits'!$AX$16="L"),I35,""))</f>
        <v/>
      </c>
      <c r="FH35" s="29" t="str">
        <f>IF(AND($G35&lt;&gt;"",$G35&gt;0,'Outfall 1 Limits'!$AX$20="C1",$K35&lt;&gt;""),$K35*$G35*8.34,IF(AND($K35&lt;&gt;"",'Outfall 1 Limits'!$AX$20="L"),$K35,""))</f>
        <v/>
      </c>
      <c r="FI35" s="29" t="str">
        <f>IF(AND($G35&lt;&gt;"",$G35&gt;0,'Outfall 1 Limits'!$AX$24="C1",$M35&lt;&gt;""),$M35*$G35*8.34,IF(AND($M35&lt;&gt;"",'Outfall 1 Limits'!$AX$24="L"),$M35,""))</f>
        <v/>
      </c>
      <c r="FJ35" s="29" t="str">
        <f>IF(AND($G35&lt;&gt;"",$G35&gt;0,'Outfall 1 Limits'!$AX$28="C1",$O35&lt;&gt;""),$O35*$G35*8.34,IF(AND($O35&lt;&gt;"",'Outfall 1 Limits'!$AX$28="L"),$O35,""))</f>
        <v/>
      </c>
      <c r="FK35" s="29" t="str">
        <f>IF(AND($G35&lt;&gt;"",$G35&gt;0,'Outfall 1 Limits'!$AX$32="C1",$Q35&lt;&gt;""),$Q35*$G35*8.34,IF(AND($Q35&lt;&gt;"",'Outfall 1 Limits'!$AX$32="L"),$Q35,""))</f>
        <v/>
      </c>
      <c r="FL35" s="29" t="str">
        <f>IF(AND($G35&lt;&gt;"",$G35&gt;0,'Outfall 1 Limits'!$AX$36="C1",$S35&lt;&gt;""),$S35*$G35*8.34,IF(AND($S35&lt;&gt;"",'Outfall 1 Limits'!$AX$36="L"),$S35,""))</f>
        <v/>
      </c>
      <c r="FM35" s="29" t="str">
        <f>IF(AND($G35&lt;&gt;"",$G35&gt;0,'Outfall 1 Limits'!$AX$40="C1",$U35&lt;&gt;""),$U35*$G35*8.34,IF(AND($U35&lt;&gt;"",'Outfall 1 Limits'!$AX$40="L"),$U35,""))</f>
        <v/>
      </c>
      <c r="FN35" s="29" t="str">
        <f>IF(AND($G35&lt;&gt;"",$G35&gt;0,'Outfall 1 Limits'!$AX$44="C1",$W35&lt;&gt;""),$W35*$G35*8.34,IF(AND($W35&lt;&gt;"",'Outfall 1 Limits'!$AX$44="L"),$W35,""))</f>
        <v/>
      </c>
      <c r="FO35" s="29" t="str">
        <f>IF(AND($G35&lt;&gt;"",$G35&gt;0,'Outfall 1 Limits'!$AX$48="C1",$Y35&lt;&gt;""),$Y35*$G35*8.34,IF(AND($Y35&lt;&gt;"",'Outfall 1 Limits'!$AX$48="L"),$Y35,""))</f>
        <v/>
      </c>
      <c r="FP35" s="29" t="str">
        <f>IF(AND($G35&lt;&gt;"",$G35&gt;0,'Outfall 1 Limits'!$AX$52="C1",$AA35&lt;&gt;""),$AA35*$G35*8.34,IF(AND($AA35&lt;&gt;"",'Outfall 1 Limits'!$AX$52="L"),$AA35,""))</f>
        <v/>
      </c>
      <c r="FQ35" s="29" t="str">
        <f>IF(AND($G35&lt;&gt;"",$G35&gt;0,'Outfall 1 Limits'!$AX$56="C1",$AC35&lt;&gt;""),$AC35*$G35*8.34,IF(AND($AC35&lt;&gt;"",'Outfall 1 Limits'!$AX$56="L"),$AC35,""))</f>
        <v/>
      </c>
      <c r="FR35" s="29" t="str">
        <f>IF(AND($G35&lt;&gt;"",$G35&gt;0,'Outfall 1 Limits'!$AX$60="C1",$AE35&lt;&gt;""),$AE35*$G35*8.34,IF(AND($AE35&lt;&gt;"",'Outfall 1 Limits'!$AX$60="L"),$AE35,""))</f>
        <v/>
      </c>
      <c r="FS35" s="29" t="str">
        <f>IF(AND($G35&lt;&gt;"",$G35&gt;0,'Outfall 1 Limits'!$AX$64="C1",$AG35&lt;&gt;""),$AG35*$G35*8.34,IF(AND($AG35&lt;&gt;"",'Outfall 1 Limits'!$AX$64="L"),$AG35,""))</f>
        <v/>
      </c>
      <c r="FT35" s="29" t="str">
        <f>IF(AND($G35&lt;&gt;"",$G35&gt;0,'Outfall 1 Limits'!$AX$68="C1",$AI35&lt;&gt;""),$AI35*$G35*8.34,IF(AND($AI35&lt;&gt;"",'Outfall 1 Limits'!$AX$68="L"),$AI35,""))</f>
        <v/>
      </c>
      <c r="GJ35" s="29" t="str">
        <f t="shared" si="29"/>
        <v/>
      </c>
      <c r="GK35" s="77" t="str">
        <f>IF(AND($G35&lt;&gt;"",$G35&gt;0,'Outfall 1 Limits'!$AX$16="C1",CY35&lt;&gt;""),CY35*$G35*8.34,IF(AND(CY35&lt;&gt;"",'Outfall 1 Limits'!$AX$16="L"),CY35,""))</f>
        <v/>
      </c>
      <c r="GL35" s="29" t="str">
        <f>IF(AND($G35&lt;&gt;"",$G35&gt;0,'Outfall 1 Limits'!$AX$20="C1",CZ35&lt;&gt;""),CZ35*$G35*8.34,IF(AND(CZ35&lt;&gt;"",'Outfall 1 Limits'!$AX$20="L"),CZ35,""))</f>
        <v/>
      </c>
      <c r="GM35" s="29" t="str">
        <f>IF(AND($G35&lt;&gt;"",$G35&gt;0,'Outfall 1 Limits'!$AX$24="C1",DA35&lt;&gt;""),DA35*$G35*8.34,IF(AND(DA35&lt;&gt;"",'Outfall 1 Limits'!$AX$24="L"),DA35,""))</f>
        <v/>
      </c>
      <c r="GN35" s="29" t="str">
        <f>IF(AND($G35&lt;&gt;"",$G35&gt;0,'Outfall 1 Limits'!$AX$28="C1",DB35&lt;&gt;""),DB35*$G35*8.34,IF(AND(DB35&lt;&gt;"",'Outfall 1 Limits'!$AX$28="L"),DB35,""))</f>
        <v/>
      </c>
      <c r="GO35" s="29" t="str">
        <f>IF(AND($G35&lt;&gt;"",$G35&gt;0,'Outfall 1 Limits'!$AX$32="C1",DC35&lt;&gt;""),DC35*$G35*8.34,IF(AND(DC35&lt;&gt;"",'Outfall 1 Limits'!$AX$32="L"),DC35,""))</f>
        <v/>
      </c>
      <c r="GP35" s="29" t="str">
        <f>IF(AND($G35&lt;&gt;"",$G35&gt;0,'Outfall 1 Limits'!$AX$36="C1",DD35&lt;&gt;""),DD35*$G35*8.34,IF(AND(DD35&lt;&gt;"",'Outfall 1 Limits'!$AX$36="L"),DD35,""))</f>
        <v/>
      </c>
      <c r="GQ35" s="29" t="str">
        <f>IF(AND($G35&lt;&gt;"",$G35&gt;0,'Outfall 1 Limits'!$AX$40="C1",DE35&lt;&gt;""),DE35*$G35*8.34,IF(AND(DE35&lt;&gt;"",'Outfall 1 Limits'!$AX$40="L"),DE35,""))</f>
        <v/>
      </c>
      <c r="GR35" s="29" t="str">
        <f>IF(AND($G35&lt;&gt;"",$G35&gt;0,'Outfall 1 Limits'!$AX$44="C1",DF35&lt;&gt;""),DF35*$G35*8.34,IF(AND(DF35&lt;&gt;"",'Outfall 1 Limits'!$AX$44="L"),DF35,""))</f>
        <v/>
      </c>
      <c r="GS35" s="29" t="str">
        <f>IF(AND($G35&lt;&gt;"",$G35&gt;0,'Outfall 1 Limits'!$AX$48="C1",DG35&lt;&gt;""),DG35*$G35*8.34,IF(AND(DG35&lt;&gt;"",'Outfall 1 Limits'!$AX$48="L"),DG35,""))</f>
        <v/>
      </c>
      <c r="GT35" s="29" t="str">
        <f>IF(AND($G35&lt;&gt;"",$G35&gt;0,'Outfall 1 Limits'!$AX$52="C1",DH35&lt;&gt;""),DH35*$G35*8.34,IF(AND(DH35&lt;&gt;"",'Outfall 1 Limits'!$AX$52="L"),DH35,""))</f>
        <v/>
      </c>
      <c r="GU35" s="29" t="str">
        <f>IF(AND($G35&lt;&gt;"",$G35&gt;0,'Outfall 1 Limits'!$AX$56="C1",DI35&lt;&gt;""),DI35*$G35*8.34,IF(AND(DI35&lt;&gt;"",'Outfall 1 Limits'!$AX$56="L"),DI35,""))</f>
        <v/>
      </c>
      <c r="GV35" s="29" t="str">
        <f>IF(AND($G35&lt;&gt;"",$G35&gt;0,'Outfall 1 Limits'!$AX$60="C1",DJ35&lt;&gt;""),DJ35*$G35*8.34,IF(AND(DJ35&lt;&gt;"",'Outfall 1 Limits'!$AX$60="L"),DJ35,""))</f>
        <v/>
      </c>
      <c r="GW35" s="29" t="str">
        <f>IF(AND($G35&lt;&gt;"",$G35&gt;0,'Outfall 1 Limits'!$AX$64="C1",DK35&lt;&gt;""),DK35*$G35*8.34,IF(AND(DK35&lt;&gt;"",'Outfall 1 Limits'!$AX$64="L"),DK35,""))</f>
        <v/>
      </c>
      <c r="GX35" s="29" t="str">
        <f>IF(AND($G35&lt;&gt;"",$G35&gt;0,'Outfall 1 Limits'!$AX$68="C1",DL35&lt;&gt;""),DL35*$G35*8.34,IF(AND(DL35&lt;&gt;"",'Outfall 1 Limits'!$AX$68="L"),DL35,""))</f>
        <v/>
      </c>
      <c r="HO35" s="98" t="str">
        <f t="shared" si="30"/>
        <v/>
      </c>
      <c r="HS35" s="68" t="str">
        <f t="shared" si="31"/>
        <v/>
      </c>
      <c r="HT35" s="188" t="str">
        <f t="shared" si="32"/>
        <v/>
      </c>
      <c r="HU35" s="188" t="str">
        <f t="shared" si="33"/>
        <v/>
      </c>
      <c r="HV35" s="188" t="str">
        <f t="shared" si="34"/>
        <v/>
      </c>
      <c r="HW35" s="188" t="str">
        <f t="shared" si="35"/>
        <v/>
      </c>
      <c r="HX35" s="188" t="str">
        <f t="shared" si="36"/>
        <v/>
      </c>
      <c r="HY35" s="188" t="str">
        <f t="shared" si="37"/>
        <v/>
      </c>
      <c r="HZ35" s="188" t="str">
        <f t="shared" si="38"/>
        <v/>
      </c>
      <c r="IA35" s="188" t="str">
        <f t="shared" si="39"/>
        <v/>
      </c>
      <c r="IB35" s="188" t="str">
        <f t="shared" si="40"/>
        <v/>
      </c>
      <c r="IC35" s="188" t="str">
        <f t="shared" si="41"/>
        <v/>
      </c>
      <c r="ID35" s="188" t="str">
        <f t="shared" si="42"/>
        <v/>
      </c>
      <c r="IE35" s="188" t="str">
        <f t="shared" si="43"/>
        <v/>
      </c>
      <c r="IF35" s="188" t="str">
        <f t="shared" si="44"/>
        <v/>
      </c>
      <c r="IX35" s="68" t="str">
        <f t="shared" si="45"/>
        <v/>
      </c>
      <c r="IY35" s="188" t="str">
        <f t="shared" si="46"/>
        <v/>
      </c>
      <c r="IZ35" s="188" t="str">
        <f t="shared" si="47"/>
        <v/>
      </c>
      <c r="JA35" s="188" t="str">
        <f t="shared" si="48"/>
        <v/>
      </c>
      <c r="JB35" s="188" t="str">
        <f t="shared" si="49"/>
        <v/>
      </c>
      <c r="JC35" s="188" t="str">
        <f t="shared" si="50"/>
        <v/>
      </c>
      <c r="JD35" s="188" t="str">
        <f t="shared" si="51"/>
        <v/>
      </c>
      <c r="JE35" s="188" t="str">
        <f t="shared" si="52"/>
        <v/>
      </c>
      <c r="JF35" s="188" t="str">
        <f t="shared" si="53"/>
        <v/>
      </c>
      <c r="JG35" s="188" t="str">
        <f t="shared" si="54"/>
        <v/>
      </c>
      <c r="JH35" s="188" t="str">
        <f t="shared" si="55"/>
        <v/>
      </c>
      <c r="JI35" s="188" t="str">
        <f t="shared" si="56"/>
        <v/>
      </c>
      <c r="JJ35" s="188" t="str">
        <f t="shared" si="57"/>
        <v/>
      </c>
      <c r="JK35" s="188" t="str">
        <f t="shared" si="58"/>
        <v/>
      </c>
      <c r="KA35" s="188"/>
      <c r="KB35" s="2"/>
      <c r="KC35" s="226"/>
      <c r="KD35" s="164" t="str">
        <f t="shared" si="1"/>
        <v/>
      </c>
      <c r="KE35" s="188" t="str">
        <f t="shared" si="2"/>
        <v/>
      </c>
      <c r="KF35" s="188" t="str">
        <f t="shared" si="3"/>
        <v/>
      </c>
      <c r="KG35" s="188" t="str">
        <f t="shared" si="4"/>
        <v/>
      </c>
      <c r="KH35" s="188" t="str">
        <f t="shared" si="5"/>
        <v/>
      </c>
      <c r="KI35" s="188" t="str">
        <f t="shared" si="6"/>
        <v/>
      </c>
      <c r="KJ35" s="188" t="str">
        <f t="shared" si="7"/>
        <v/>
      </c>
      <c r="KK35" s="188" t="str">
        <f t="shared" si="8"/>
        <v/>
      </c>
      <c r="KL35" s="188" t="str">
        <f t="shared" si="9"/>
        <v/>
      </c>
      <c r="KM35" s="188" t="str">
        <f t="shared" si="10"/>
        <v/>
      </c>
      <c r="KN35" s="188" t="str">
        <f t="shared" si="11"/>
        <v/>
      </c>
      <c r="KO35" s="188" t="str">
        <f t="shared" si="12"/>
        <v/>
      </c>
      <c r="KP35" s="188" t="str">
        <f t="shared" si="13"/>
        <v/>
      </c>
      <c r="KQ35" s="188" t="str">
        <f t="shared" si="14"/>
        <v/>
      </c>
    </row>
    <row r="36" spans="1:303" s="18" customFormat="1" ht="11.45" customHeight="1" x14ac:dyDescent="0.2">
      <c r="A36" s="38"/>
      <c r="B36" s="48"/>
      <c r="C36" s="421">
        <f t="shared" si="0"/>
        <v>45310</v>
      </c>
      <c r="D36" s="421"/>
      <c r="E36" s="422">
        <f t="shared" si="59"/>
        <v>45310</v>
      </c>
      <c r="F36" s="423"/>
      <c r="G36" s="31"/>
      <c r="H36" s="45"/>
      <c r="I36" s="44"/>
      <c r="J36" s="45"/>
      <c r="K36" s="44"/>
      <c r="L36" s="45"/>
      <c r="M36" s="44"/>
      <c r="N36" s="45"/>
      <c r="O36" s="44"/>
      <c r="P36" s="45"/>
      <c r="Q36" s="44"/>
      <c r="R36" s="45"/>
      <c r="S36" s="44"/>
      <c r="T36" s="45"/>
      <c r="U36" s="44"/>
      <c r="V36" s="45"/>
      <c r="W36" s="44"/>
      <c r="X36" s="45"/>
      <c r="Y36" s="44"/>
      <c r="Z36" s="45"/>
      <c r="AA36" s="44"/>
      <c r="AB36" s="45"/>
      <c r="AC36" s="44"/>
      <c r="AD36" s="45"/>
      <c r="AE36" s="44"/>
      <c r="AF36" s="45"/>
      <c r="AG36" s="44"/>
      <c r="AH36" s="45"/>
      <c r="AI36" s="127"/>
      <c r="AJ36" s="236"/>
      <c r="BO36" s="188"/>
      <c r="BP36" s="267">
        <v>2055</v>
      </c>
      <c r="BQ36" s="83" t="s">
        <v>51</v>
      </c>
      <c r="BR36" s="188"/>
      <c r="BS36" s="188" t="s">
        <v>1098</v>
      </c>
      <c r="BU36" s="68" t="str">
        <f t="shared" si="15"/>
        <v/>
      </c>
      <c r="BV36" s="188" t="str">
        <f t="shared" si="16"/>
        <v/>
      </c>
      <c r="BW36" s="188" t="str">
        <f t="shared" si="17"/>
        <v/>
      </c>
      <c r="BX36" s="188" t="str">
        <f t="shared" si="18"/>
        <v/>
      </c>
      <c r="BY36" s="188" t="str">
        <f t="shared" si="19"/>
        <v/>
      </c>
      <c r="BZ36" s="188" t="str">
        <f t="shared" si="20"/>
        <v/>
      </c>
      <c r="CA36" s="188" t="str">
        <f t="shared" si="21"/>
        <v/>
      </c>
      <c r="CB36" s="188" t="str">
        <f t="shared" si="22"/>
        <v/>
      </c>
      <c r="CC36" s="188" t="str">
        <f t="shared" si="23"/>
        <v/>
      </c>
      <c r="CD36" s="188" t="str">
        <f t="shared" si="24"/>
        <v/>
      </c>
      <c r="CE36" s="188" t="str">
        <f t="shared" si="25"/>
        <v/>
      </c>
      <c r="CF36" s="188" t="str">
        <f t="shared" si="26"/>
        <v/>
      </c>
      <c r="CG36" s="188" t="str">
        <f t="shared" si="27"/>
        <v/>
      </c>
      <c r="CH36" s="188" t="str">
        <f t="shared" si="28"/>
        <v/>
      </c>
      <c r="CY36" s="77" t="str">
        <f>IF(I36&lt;&gt;"",IF(H36="&lt;",IF(AND('Outfall 1 Limits'!$AM$16="Y",$BU$54&lt;&gt;"Y",I36&lt;='Outfall 1 Limits'!$AL$16),0,(1*I36)),I36),"")</f>
        <v/>
      </c>
      <c r="CZ36" s="29" t="str">
        <f>IF(K36&lt;&gt;"",IF(J36="&lt;",IF(AND('Outfall 1 Limits'!$AM$20="Y",$BV$54&lt;&gt;"Y",K36&lt;='Outfall 1 Limits'!$AL$20),0,(1*K36)),K36),"")</f>
        <v/>
      </c>
      <c r="DA36" s="29" t="str">
        <f>IF(M36&lt;&gt;"",IF(L36="&lt;",IF(AND('Outfall 1 Limits'!$AM$24="Y",$BW$54&lt;&gt;"Y",M36&lt;='Outfall 1 Limits'!$AL$24),0,(1*M36)),M36),"")</f>
        <v/>
      </c>
      <c r="DB36" s="29" t="str">
        <f>IF(O36&lt;&gt;"",IF(N36="&lt;",IF(AND('Outfall 1 Limits'!$AM$28="Y",$BX$54&lt;&gt;"Y",O36&lt;='Outfall 1 Limits'!$AL$28),0,(1*O36)),O36),"")</f>
        <v/>
      </c>
      <c r="DC36" s="29" t="str">
        <f>IF(Q36&lt;&gt;"",IF(P36="&lt;",IF(AND('Outfall 1 Limits'!$AM$32="Y",$BY$54&lt;&gt;"Y",Q36&lt;='Outfall 1 Limits'!$AL$32),0,(1*Q36)),Q36),"")</f>
        <v/>
      </c>
      <c r="DD36" s="29" t="str">
        <f>IF(S36&lt;&gt;"",IF(R36="&lt;",IF(AND('Outfall 1 Limits'!$AM$36="Y",$BZ$54&lt;&gt;"Y",S36&lt;='Outfall 1 Limits'!$AL$36),0,(1*S36)),S36),"")</f>
        <v/>
      </c>
      <c r="DE36" s="29" t="str">
        <f>IF(U36&lt;&gt;"",IF(T36="&lt;",IF(AND('Outfall 1 Limits'!$AM$40="Y",$CA$54&lt;&gt;"Y",U36&lt;='Outfall 1 Limits'!$AL$40),0,(1*U36)),U36),"")</f>
        <v/>
      </c>
      <c r="DF36" s="29" t="str">
        <f>IF(W36&lt;&gt;"",IF(V36="&lt;",IF(AND('Outfall 1 Limits'!$AM$44="Y",$CB$54&lt;&gt;"Y",W36&lt;='Outfall 1 Limits'!$AL$44),0,(1*W36)),W36),"")</f>
        <v/>
      </c>
      <c r="DG36" s="29" t="str">
        <f>IF(Y36&lt;&gt;"",IF(X36="&lt;",IF(AND('Outfall 1 Limits'!$AM$48="Y",$CC$54&lt;&gt;"Y",Y36&lt;='Outfall 1 Limits'!$AL$48),0,(1*Y36)),Y36),"")</f>
        <v/>
      </c>
      <c r="DH36" s="29" t="str">
        <f>IF(AA36&lt;&gt;"",IF(Z36="&lt;",IF(AND('Outfall 1 Limits'!$AM$52="Y",$CD$54&lt;&gt;"Y",AA36&lt;='Outfall 1 Limits'!$AL$52),0,(1*AA36)),AA36),"")</f>
        <v/>
      </c>
      <c r="DI36" s="29" t="str">
        <f>IF(AC36&lt;&gt;"",IF(AB36="&lt;",IF(AND('Outfall 1 Limits'!$AM$56="Y",$CE$54&lt;&gt;"Y",AC36&lt;='Outfall 1 Limits'!$AL$56),0,(1*AC36)),AC36),"")</f>
        <v/>
      </c>
      <c r="DJ36" s="29" t="str">
        <f>IF(AE36&lt;&gt;"",IF(AD36="&lt;",IF(AND('Outfall 1 Limits'!$AM$60="Y",$CF$54&lt;&gt;"Y",AE36&lt;='Outfall 1 Limits'!$AL$60),0,(1*AE36)),AE36),"")</f>
        <v/>
      </c>
      <c r="DK36" s="29" t="str">
        <f>IF(AG36&lt;&gt;"",IF(AF36="&lt;",IF(AND('Outfall 1 Limits'!$AM$64="Y",$CG$54&lt;&gt;"Y",AG36&lt;='Outfall 1 Limits'!$AL$64),0,(1*AG36)),AG36),"")</f>
        <v/>
      </c>
      <c r="DL36" s="29" t="str">
        <f>IF(AI36&lt;&gt;"",IF(AH36="&lt;",IF(AND('Outfall 1 Limits'!$AM$68="Y",$CH$54&lt;&gt;"Y",AI36&lt;='Outfall 1 Limits'!$AL$68),0,(1*AI36)),AI36),"")</f>
        <v/>
      </c>
      <c r="EB36" s="222" t="s">
        <v>382</v>
      </c>
      <c r="EC36" s="68" t="str">
        <f t="shared" ref="EC36:EP36" si="73">IF(SUM(EC31:EC35)&gt;0,MAX(EC31:EC35),"")</f>
        <v/>
      </c>
      <c r="ED36" s="188" t="str">
        <f t="shared" si="73"/>
        <v/>
      </c>
      <c r="EE36" s="188" t="str">
        <f t="shared" si="73"/>
        <v/>
      </c>
      <c r="EF36" s="188" t="str">
        <f t="shared" si="73"/>
        <v/>
      </c>
      <c r="EG36" s="188" t="str">
        <f t="shared" si="73"/>
        <v/>
      </c>
      <c r="EH36" s="188" t="str">
        <f t="shared" si="73"/>
        <v/>
      </c>
      <c r="EI36" s="188" t="str">
        <f t="shared" si="73"/>
        <v/>
      </c>
      <c r="EJ36" s="188" t="str">
        <f t="shared" si="73"/>
        <v/>
      </c>
      <c r="EK36" s="188" t="str">
        <f t="shared" si="73"/>
        <v/>
      </c>
      <c r="EL36" s="188" t="str">
        <f t="shared" si="73"/>
        <v/>
      </c>
      <c r="EM36" s="188" t="str">
        <f t="shared" si="73"/>
        <v/>
      </c>
      <c r="EN36" s="188" t="str">
        <f t="shared" si="73"/>
        <v/>
      </c>
      <c r="EO36" s="188" t="str">
        <f t="shared" si="73"/>
        <v/>
      </c>
      <c r="EP36" s="188" t="str">
        <f t="shared" si="73"/>
        <v/>
      </c>
      <c r="FG36" s="77" t="str">
        <f>IF(AND($G36&lt;&gt;"",$G36&gt;0,'Outfall 1 Limits'!$AX$16="C1",I36&lt;&gt;""),I36*$G36*8.34,IF(AND($I36&lt;&gt;"",'Outfall 1 Limits'!$AX$16="L"),I36,""))</f>
        <v/>
      </c>
      <c r="FH36" s="29" t="str">
        <f>IF(AND($G36&lt;&gt;"",$G36&gt;0,'Outfall 1 Limits'!$AX$20="C1",$K36&lt;&gt;""),$K36*$G36*8.34,IF(AND($K36&lt;&gt;"",'Outfall 1 Limits'!$AX$20="L"),$K36,""))</f>
        <v/>
      </c>
      <c r="FI36" s="29" t="str">
        <f>IF(AND($G36&lt;&gt;"",$G36&gt;0,'Outfall 1 Limits'!$AX$24="C1",$M36&lt;&gt;""),$M36*$G36*8.34,IF(AND($M36&lt;&gt;"",'Outfall 1 Limits'!$AX$24="L"),$M36,""))</f>
        <v/>
      </c>
      <c r="FJ36" s="29" t="str">
        <f>IF(AND($G36&lt;&gt;"",$G36&gt;0,'Outfall 1 Limits'!$AX$28="C1",$O36&lt;&gt;""),$O36*$G36*8.34,IF(AND($O36&lt;&gt;"",'Outfall 1 Limits'!$AX$28="L"),$O36,""))</f>
        <v/>
      </c>
      <c r="FK36" s="29" t="str">
        <f>IF(AND($G36&lt;&gt;"",$G36&gt;0,'Outfall 1 Limits'!$AX$32="C1",$Q36&lt;&gt;""),$Q36*$G36*8.34,IF(AND($Q36&lt;&gt;"",'Outfall 1 Limits'!$AX$32="L"),$Q36,""))</f>
        <v/>
      </c>
      <c r="FL36" s="29" t="str">
        <f>IF(AND($G36&lt;&gt;"",$G36&gt;0,'Outfall 1 Limits'!$AX$36="C1",$S36&lt;&gt;""),$S36*$G36*8.34,IF(AND($S36&lt;&gt;"",'Outfall 1 Limits'!$AX$36="L"),$S36,""))</f>
        <v/>
      </c>
      <c r="FM36" s="29" t="str">
        <f>IF(AND($G36&lt;&gt;"",$G36&gt;0,'Outfall 1 Limits'!$AX$40="C1",$U36&lt;&gt;""),$U36*$G36*8.34,IF(AND($U36&lt;&gt;"",'Outfall 1 Limits'!$AX$40="L"),$U36,""))</f>
        <v/>
      </c>
      <c r="FN36" s="29" t="str">
        <f>IF(AND($G36&lt;&gt;"",$G36&gt;0,'Outfall 1 Limits'!$AX$44="C1",$W36&lt;&gt;""),$W36*$G36*8.34,IF(AND($W36&lt;&gt;"",'Outfall 1 Limits'!$AX$44="L"),$W36,""))</f>
        <v/>
      </c>
      <c r="FO36" s="29" t="str">
        <f>IF(AND($G36&lt;&gt;"",$G36&gt;0,'Outfall 1 Limits'!$AX$48="C1",$Y36&lt;&gt;""),$Y36*$G36*8.34,IF(AND($Y36&lt;&gt;"",'Outfall 1 Limits'!$AX$48="L"),$Y36,""))</f>
        <v/>
      </c>
      <c r="FP36" s="29" t="str">
        <f>IF(AND($G36&lt;&gt;"",$G36&gt;0,'Outfall 1 Limits'!$AX$52="C1",$AA36&lt;&gt;""),$AA36*$G36*8.34,IF(AND($AA36&lt;&gt;"",'Outfall 1 Limits'!$AX$52="L"),$AA36,""))</f>
        <v/>
      </c>
      <c r="FQ36" s="29" t="str">
        <f>IF(AND($G36&lt;&gt;"",$G36&gt;0,'Outfall 1 Limits'!$AX$56="C1",$AC36&lt;&gt;""),$AC36*$G36*8.34,IF(AND($AC36&lt;&gt;"",'Outfall 1 Limits'!$AX$56="L"),$AC36,""))</f>
        <v/>
      </c>
      <c r="FR36" s="29" t="str">
        <f>IF(AND($G36&lt;&gt;"",$G36&gt;0,'Outfall 1 Limits'!$AX$60="C1",$AE36&lt;&gt;""),$AE36*$G36*8.34,IF(AND($AE36&lt;&gt;"",'Outfall 1 Limits'!$AX$60="L"),$AE36,""))</f>
        <v/>
      </c>
      <c r="FS36" s="29" t="str">
        <f>IF(AND($G36&lt;&gt;"",$G36&gt;0,'Outfall 1 Limits'!$AX$64="C1",$AG36&lt;&gt;""),$AG36*$G36*8.34,IF(AND($AG36&lt;&gt;"",'Outfall 1 Limits'!$AX$64="L"),$AG36,""))</f>
        <v/>
      </c>
      <c r="FT36" s="29" t="str">
        <f>IF(AND($G36&lt;&gt;"",$G36&gt;0,'Outfall 1 Limits'!$AX$68="C1",$AI36&lt;&gt;""),$AI36*$G36*8.34,IF(AND($AI36&lt;&gt;"",'Outfall 1 Limits'!$AX$68="L"),$AI36,""))</f>
        <v/>
      </c>
      <c r="GJ36" s="29" t="str">
        <f t="shared" si="29"/>
        <v/>
      </c>
      <c r="GK36" s="77" t="str">
        <f>IF(AND($G36&lt;&gt;"",$G36&gt;0,'Outfall 1 Limits'!$AX$16="C1",CY36&lt;&gt;""),CY36*$G36*8.34,IF(AND(CY36&lt;&gt;"",'Outfall 1 Limits'!$AX$16="L"),CY36,""))</f>
        <v/>
      </c>
      <c r="GL36" s="29" t="str">
        <f>IF(AND($G36&lt;&gt;"",$G36&gt;0,'Outfall 1 Limits'!$AX$20="C1",CZ36&lt;&gt;""),CZ36*$G36*8.34,IF(AND(CZ36&lt;&gt;"",'Outfall 1 Limits'!$AX$20="L"),CZ36,""))</f>
        <v/>
      </c>
      <c r="GM36" s="29" t="str">
        <f>IF(AND($G36&lt;&gt;"",$G36&gt;0,'Outfall 1 Limits'!$AX$24="C1",DA36&lt;&gt;""),DA36*$G36*8.34,IF(AND(DA36&lt;&gt;"",'Outfall 1 Limits'!$AX$24="L"),DA36,""))</f>
        <v/>
      </c>
      <c r="GN36" s="29" t="str">
        <f>IF(AND($G36&lt;&gt;"",$G36&gt;0,'Outfall 1 Limits'!$AX$28="C1",DB36&lt;&gt;""),DB36*$G36*8.34,IF(AND(DB36&lt;&gt;"",'Outfall 1 Limits'!$AX$28="L"),DB36,""))</f>
        <v/>
      </c>
      <c r="GO36" s="29" t="str">
        <f>IF(AND($G36&lt;&gt;"",$G36&gt;0,'Outfall 1 Limits'!$AX$32="C1",DC36&lt;&gt;""),DC36*$G36*8.34,IF(AND(DC36&lt;&gt;"",'Outfall 1 Limits'!$AX$32="L"),DC36,""))</f>
        <v/>
      </c>
      <c r="GP36" s="29" t="str">
        <f>IF(AND($G36&lt;&gt;"",$G36&gt;0,'Outfall 1 Limits'!$AX$36="C1",DD36&lt;&gt;""),DD36*$G36*8.34,IF(AND(DD36&lt;&gt;"",'Outfall 1 Limits'!$AX$36="L"),DD36,""))</f>
        <v/>
      </c>
      <c r="GQ36" s="29" t="str">
        <f>IF(AND($G36&lt;&gt;"",$G36&gt;0,'Outfall 1 Limits'!$AX$40="C1",DE36&lt;&gt;""),DE36*$G36*8.34,IF(AND(DE36&lt;&gt;"",'Outfall 1 Limits'!$AX$40="L"),DE36,""))</f>
        <v/>
      </c>
      <c r="GR36" s="29" t="str">
        <f>IF(AND($G36&lt;&gt;"",$G36&gt;0,'Outfall 1 Limits'!$AX$44="C1",DF36&lt;&gt;""),DF36*$G36*8.34,IF(AND(DF36&lt;&gt;"",'Outfall 1 Limits'!$AX$44="L"),DF36,""))</f>
        <v/>
      </c>
      <c r="GS36" s="29" t="str">
        <f>IF(AND($G36&lt;&gt;"",$G36&gt;0,'Outfall 1 Limits'!$AX$48="C1",DG36&lt;&gt;""),DG36*$G36*8.34,IF(AND(DG36&lt;&gt;"",'Outfall 1 Limits'!$AX$48="L"),DG36,""))</f>
        <v/>
      </c>
      <c r="GT36" s="29" t="str">
        <f>IF(AND($G36&lt;&gt;"",$G36&gt;0,'Outfall 1 Limits'!$AX$52="C1",DH36&lt;&gt;""),DH36*$G36*8.34,IF(AND(DH36&lt;&gt;"",'Outfall 1 Limits'!$AX$52="L"),DH36,""))</f>
        <v/>
      </c>
      <c r="GU36" s="29" t="str">
        <f>IF(AND($G36&lt;&gt;"",$G36&gt;0,'Outfall 1 Limits'!$AX$56="C1",DI36&lt;&gt;""),DI36*$G36*8.34,IF(AND(DI36&lt;&gt;"",'Outfall 1 Limits'!$AX$56="L"),DI36,""))</f>
        <v/>
      </c>
      <c r="GV36" s="29" t="str">
        <f>IF(AND($G36&lt;&gt;"",$G36&gt;0,'Outfall 1 Limits'!$AX$60="C1",DJ36&lt;&gt;""),DJ36*$G36*8.34,IF(AND(DJ36&lt;&gt;"",'Outfall 1 Limits'!$AX$60="L"),DJ36,""))</f>
        <v/>
      </c>
      <c r="GW36" s="29" t="str">
        <f>IF(AND($G36&lt;&gt;"",$G36&gt;0,'Outfall 1 Limits'!$AX$64="C1",DK36&lt;&gt;""),DK36*$G36*8.34,IF(AND(DK36&lt;&gt;"",'Outfall 1 Limits'!$AX$64="L"),DK36,""))</f>
        <v/>
      </c>
      <c r="GX36" s="29" t="str">
        <f>IF(AND($G36&lt;&gt;"",$G36&gt;0,'Outfall 1 Limits'!$AX$68="C1",DL36&lt;&gt;""),DL36*$G36*8.34,IF(AND(DL36&lt;&gt;"",'Outfall 1 Limits'!$AX$68="L"),DL36,""))</f>
        <v/>
      </c>
      <c r="HO36" s="98" t="str">
        <f t="shared" si="30"/>
        <v/>
      </c>
      <c r="HS36" s="68" t="str">
        <f t="shared" si="31"/>
        <v/>
      </c>
      <c r="HT36" s="188" t="str">
        <f t="shared" si="32"/>
        <v/>
      </c>
      <c r="HU36" s="188" t="str">
        <f t="shared" si="33"/>
        <v/>
      </c>
      <c r="HV36" s="188" t="str">
        <f t="shared" si="34"/>
        <v/>
      </c>
      <c r="HW36" s="188" t="str">
        <f t="shared" si="35"/>
        <v/>
      </c>
      <c r="HX36" s="188" t="str">
        <f t="shared" si="36"/>
        <v/>
      </c>
      <c r="HY36" s="188" t="str">
        <f t="shared" si="37"/>
        <v/>
      </c>
      <c r="HZ36" s="188" t="str">
        <f t="shared" si="38"/>
        <v/>
      </c>
      <c r="IA36" s="188" t="str">
        <f t="shared" si="39"/>
        <v/>
      </c>
      <c r="IB36" s="188" t="str">
        <f t="shared" si="40"/>
        <v/>
      </c>
      <c r="IC36" s="188" t="str">
        <f t="shared" si="41"/>
        <v/>
      </c>
      <c r="ID36" s="188" t="str">
        <f t="shared" si="42"/>
        <v/>
      </c>
      <c r="IE36" s="188" t="str">
        <f t="shared" si="43"/>
        <v/>
      </c>
      <c r="IF36" s="188" t="str">
        <f t="shared" si="44"/>
        <v/>
      </c>
      <c r="IX36" s="68" t="str">
        <f t="shared" si="45"/>
        <v/>
      </c>
      <c r="IY36" s="188" t="str">
        <f t="shared" si="46"/>
        <v/>
      </c>
      <c r="IZ36" s="188" t="str">
        <f t="shared" si="47"/>
        <v/>
      </c>
      <c r="JA36" s="188" t="str">
        <f t="shared" si="48"/>
        <v/>
      </c>
      <c r="JB36" s="188" t="str">
        <f t="shared" si="49"/>
        <v/>
      </c>
      <c r="JC36" s="188" t="str">
        <f t="shared" si="50"/>
        <v/>
      </c>
      <c r="JD36" s="188" t="str">
        <f t="shared" si="51"/>
        <v/>
      </c>
      <c r="JE36" s="188" t="str">
        <f t="shared" si="52"/>
        <v/>
      </c>
      <c r="JF36" s="188" t="str">
        <f t="shared" si="53"/>
        <v/>
      </c>
      <c r="JG36" s="188" t="str">
        <f t="shared" si="54"/>
        <v/>
      </c>
      <c r="JH36" s="188" t="str">
        <f t="shared" si="55"/>
        <v/>
      </c>
      <c r="JI36" s="188" t="str">
        <f t="shared" si="56"/>
        <v/>
      </c>
      <c r="JJ36" s="188" t="str">
        <f t="shared" si="57"/>
        <v/>
      </c>
      <c r="JK36" s="188" t="str">
        <f t="shared" si="58"/>
        <v/>
      </c>
      <c r="KA36" s="188"/>
      <c r="KB36" s="2"/>
      <c r="KC36" s="226"/>
      <c r="KD36" s="164" t="str">
        <f t="shared" si="1"/>
        <v/>
      </c>
      <c r="KE36" s="188" t="str">
        <f t="shared" si="2"/>
        <v/>
      </c>
      <c r="KF36" s="188" t="str">
        <f t="shared" si="3"/>
        <v/>
      </c>
      <c r="KG36" s="188" t="str">
        <f t="shared" si="4"/>
        <v/>
      </c>
      <c r="KH36" s="188" t="str">
        <f t="shared" si="5"/>
        <v/>
      </c>
      <c r="KI36" s="188" t="str">
        <f t="shared" si="6"/>
        <v/>
      </c>
      <c r="KJ36" s="188" t="str">
        <f t="shared" si="7"/>
        <v/>
      </c>
      <c r="KK36" s="188" t="str">
        <f t="shared" si="8"/>
        <v/>
      </c>
      <c r="KL36" s="188" t="str">
        <f t="shared" si="9"/>
        <v/>
      </c>
      <c r="KM36" s="188" t="str">
        <f t="shared" si="10"/>
        <v/>
      </c>
      <c r="KN36" s="188" t="str">
        <f t="shared" si="11"/>
        <v/>
      </c>
      <c r="KO36" s="188" t="str">
        <f t="shared" si="12"/>
        <v/>
      </c>
      <c r="KP36" s="188" t="str">
        <f t="shared" si="13"/>
        <v/>
      </c>
      <c r="KQ36" s="188" t="str">
        <f t="shared" si="14"/>
        <v/>
      </c>
    </row>
    <row r="37" spans="1:303" s="18" customFormat="1" ht="11.45" customHeight="1" x14ac:dyDescent="0.2">
      <c r="A37" s="38"/>
      <c r="B37" s="48"/>
      <c r="C37" s="421">
        <f t="shared" si="0"/>
        <v>45311</v>
      </c>
      <c r="D37" s="421"/>
      <c r="E37" s="422">
        <f t="shared" si="59"/>
        <v>45311</v>
      </c>
      <c r="F37" s="423"/>
      <c r="G37" s="31"/>
      <c r="H37" s="45"/>
      <c r="I37" s="44"/>
      <c r="J37" s="45"/>
      <c r="K37" s="44"/>
      <c r="L37" s="45"/>
      <c r="M37" s="44"/>
      <c r="N37" s="45"/>
      <c r="O37" s="44"/>
      <c r="P37" s="45"/>
      <c r="Q37" s="44"/>
      <c r="R37" s="45"/>
      <c r="S37" s="44"/>
      <c r="T37" s="45"/>
      <c r="U37" s="44"/>
      <c r="V37" s="45"/>
      <c r="W37" s="44"/>
      <c r="X37" s="45"/>
      <c r="Y37" s="44"/>
      <c r="Z37" s="45"/>
      <c r="AA37" s="44"/>
      <c r="AB37" s="45"/>
      <c r="AC37" s="44"/>
      <c r="AD37" s="45"/>
      <c r="AE37" s="44"/>
      <c r="AF37" s="45"/>
      <c r="AG37" s="44"/>
      <c r="AH37" s="45"/>
      <c r="AI37" s="127"/>
      <c r="AJ37" s="236"/>
      <c r="BO37" s="188"/>
      <c r="BP37" s="267">
        <v>2056</v>
      </c>
      <c r="BQ37" s="83" t="s">
        <v>12</v>
      </c>
      <c r="BR37" s="188"/>
      <c r="BS37" s="188" t="s">
        <v>1099</v>
      </c>
      <c r="BU37" s="68" t="str">
        <f t="shared" si="15"/>
        <v/>
      </c>
      <c r="BV37" s="188" t="str">
        <f t="shared" si="16"/>
        <v/>
      </c>
      <c r="BW37" s="188" t="str">
        <f t="shared" si="17"/>
        <v/>
      </c>
      <c r="BX37" s="188" t="str">
        <f t="shared" si="18"/>
        <v/>
      </c>
      <c r="BY37" s="188" t="str">
        <f t="shared" si="19"/>
        <v/>
      </c>
      <c r="BZ37" s="188" t="str">
        <f t="shared" si="20"/>
        <v/>
      </c>
      <c r="CA37" s="188" t="str">
        <f t="shared" si="21"/>
        <v/>
      </c>
      <c r="CB37" s="188" t="str">
        <f t="shared" si="22"/>
        <v/>
      </c>
      <c r="CC37" s="188" t="str">
        <f t="shared" si="23"/>
        <v/>
      </c>
      <c r="CD37" s="188" t="str">
        <f t="shared" si="24"/>
        <v/>
      </c>
      <c r="CE37" s="188" t="str">
        <f t="shared" si="25"/>
        <v/>
      </c>
      <c r="CF37" s="188" t="str">
        <f t="shared" si="26"/>
        <v/>
      </c>
      <c r="CG37" s="188" t="str">
        <f t="shared" si="27"/>
        <v/>
      </c>
      <c r="CH37" s="188" t="str">
        <f t="shared" si="28"/>
        <v/>
      </c>
      <c r="CY37" s="77" t="str">
        <f>IF(I37&lt;&gt;"",IF(H37="&lt;",IF(AND('Outfall 1 Limits'!$AM$16="Y",$BU$54&lt;&gt;"Y",I37&lt;='Outfall 1 Limits'!$AL$16),0,(1*I37)),I37),"")</f>
        <v/>
      </c>
      <c r="CZ37" s="29" t="str">
        <f>IF(K37&lt;&gt;"",IF(J37="&lt;",IF(AND('Outfall 1 Limits'!$AM$20="Y",$BV$54&lt;&gt;"Y",K37&lt;='Outfall 1 Limits'!$AL$20),0,(1*K37)),K37),"")</f>
        <v/>
      </c>
      <c r="DA37" s="29" t="str">
        <f>IF(M37&lt;&gt;"",IF(L37="&lt;",IF(AND('Outfall 1 Limits'!$AM$24="Y",$BW$54&lt;&gt;"Y",M37&lt;='Outfall 1 Limits'!$AL$24),0,(1*M37)),M37),"")</f>
        <v/>
      </c>
      <c r="DB37" s="29" t="str">
        <f>IF(O37&lt;&gt;"",IF(N37="&lt;",IF(AND('Outfall 1 Limits'!$AM$28="Y",$BX$54&lt;&gt;"Y",O37&lt;='Outfall 1 Limits'!$AL$28),0,(1*O37)),O37),"")</f>
        <v/>
      </c>
      <c r="DC37" s="29" t="str">
        <f>IF(Q37&lt;&gt;"",IF(P37="&lt;",IF(AND('Outfall 1 Limits'!$AM$32="Y",$BY$54&lt;&gt;"Y",Q37&lt;='Outfall 1 Limits'!$AL$32),0,(1*Q37)),Q37),"")</f>
        <v/>
      </c>
      <c r="DD37" s="29" t="str">
        <f>IF(S37&lt;&gt;"",IF(R37="&lt;",IF(AND('Outfall 1 Limits'!$AM$36="Y",$BZ$54&lt;&gt;"Y",S37&lt;='Outfall 1 Limits'!$AL$36),0,(1*S37)),S37),"")</f>
        <v/>
      </c>
      <c r="DE37" s="29" t="str">
        <f>IF(U37&lt;&gt;"",IF(T37="&lt;",IF(AND('Outfall 1 Limits'!$AM$40="Y",$CA$54&lt;&gt;"Y",U37&lt;='Outfall 1 Limits'!$AL$40),0,(1*U37)),U37),"")</f>
        <v/>
      </c>
      <c r="DF37" s="29" t="str">
        <f>IF(W37&lt;&gt;"",IF(V37="&lt;",IF(AND('Outfall 1 Limits'!$AM$44="Y",$CB$54&lt;&gt;"Y",W37&lt;='Outfall 1 Limits'!$AL$44),0,(1*W37)),W37),"")</f>
        <v/>
      </c>
      <c r="DG37" s="29" t="str">
        <f>IF(Y37&lt;&gt;"",IF(X37="&lt;",IF(AND('Outfall 1 Limits'!$AM$48="Y",$CC$54&lt;&gt;"Y",Y37&lt;='Outfall 1 Limits'!$AL$48),0,(1*Y37)),Y37),"")</f>
        <v/>
      </c>
      <c r="DH37" s="29" t="str">
        <f>IF(AA37&lt;&gt;"",IF(Z37="&lt;",IF(AND('Outfall 1 Limits'!$AM$52="Y",$CD$54&lt;&gt;"Y",AA37&lt;='Outfall 1 Limits'!$AL$52),0,(1*AA37)),AA37),"")</f>
        <v/>
      </c>
      <c r="DI37" s="29" t="str">
        <f>IF(AC37&lt;&gt;"",IF(AB37="&lt;",IF(AND('Outfall 1 Limits'!$AM$56="Y",$CE$54&lt;&gt;"Y",AC37&lt;='Outfall 1 Limits'!$AL$56),0,(1*AC37)),AC37),"")</f>
        <v/>
      </c>
      <c r="DJ37" s="29" t="str">
        <f>IF(AE37&lt;&gt;"",IF(AD37="&lt;",IF(AND('Outfall 1 Limits'!$AM$60="Y",$CF$54&lt;&gt;"Y",AE37&lt;='Outfall 1 Limits'!$AL$60),0,(1*AE37)),AE37),"")</f>
        <v/>
      </c>
      <c r="DK37" s="29" t="str">
        <f>IF(AG37&lt;&gt;"",IF(AF37="&lt;",IF(AND('Outfall 1 Limits'!$AM$64="Y",$CG$54&lt;&gt;"Y",AG37&lt;='Outfall 1 Limits'!$AL$64),0,(1*AG37)),AG37),"")</f>
        <v/>
      </c>
      <c r="DL37" s="29" t="str">
        <f>IF(AI37&lt;&gt;"",IF(AH37="&lt;",IF(AND('Outfall 1 Limits'!$AM$68="Y",$CH$54&lt;&gt;"Y",AI37&lt;='Outfall 1 Limits'!$AL$68),0,(1*AI37)),AI37),"")</f>
        <v/>
      </c>
      <c r="EB37" s="222"/>
      <c r="EC37" s="68" t="str">
        <f>IF(W40&lt;&gt;"",IF(V40="&lt;",1,0.99),"")</f>
        <v/>
      </c>
      <c r="ED37" s="188" t="str">
        <f>IF(X40&lt;&gt;"",IF(W40="&lt;",1,0.99),"")</f>
        <v/>
      </c>
      <c r="EE37" s="188" t="str">
        <f t="shared" ref="EE37" si="74">IF(Y40&lt;&gt;"",IF(X40="&lt;",1,0.99),"")</f>
        <v/>
      </c>
      <c r="EF37" s="188" t="str">
        <f t="shared" ref="EF37" si="75">IF(Z40&lt;&gt;"",IF(Y40="&lt;",1,0.99),"")</f>
        <v/>
      </c>
      <c r="EG37" s="188" t="str">
        <f t="shared" ref="EG37" si="76">IF(AA40&lt;&gt;"",IF(Z40="&lt;",1,0.99),"")</f>
        <v/>
      </c>
      <c r="EH37" s="188" t="str">
        <f t="shared" ref="EH37" si="77">IF(AB40&lt;&gt;"",IF(AA40="&lt;",1,0.99),"")</f>
        <v/>
      </c>
      <c r="EI37" s="188" t="str">
        <f t="shared" ref="EI37" si="78">IF(AC40&lt;&gt;"",IF(AB40="&lt;",1,0.99),"")</f>
        <v/>
      </c>
      <c r="EJ37" s="188" t="str">
        <f t="shared" ref="EJ37" si="79">IF(AD40&lt;&gt;"",IF(AC40="&lt;",1,0.99),"")</f>
        <v/>
      </c>
      <c r="EK37" s="188" t="str">
        <f t="shared" ref="EK37" si="80">IF(AE40&lt;&gt;"",IF(AD40="&lt;",1,0.99),"")</f>
        <v/>
      </c>
      <c r="EL37" s="188" t="str">
        <f t="shared" ref="EL37" si="81">IF(AF40&lt;&gt;"",IF(AE40="&lt;",1,0.99),"")</f>
        <v/>
      </c>
      <c r="EM37" s="188" t="str">
        <f t="shared" ref="EM37" si="82">IF(AG40&lt;&gt;"",IF(AF40="&lt;",1,0.99),"")</f>
        <v/>
      </c>
      <c r="EN37" s="188" t="str">
        <f t="shared" ref="EN37" si="83">IF(AH40&lt;&gt;"",IF(AG40="&lt;",1,0.99),"")</f>
        <v/>
      </c>
      <c r="EO37" s="188" t="str">
        <f t="shared" ref="EO37" si="84">IF(AI40&lt;&gt;"",IF(AH40="&lt;",1,0.99),"")</f>
        <v/>
      </c>
      <c r="EP37" s="188" t="str">
        <f t="shared" ref="EP37" si="85">IF(AJ40&lt;&gt;"",IF(AI40="&lt;",1,0.99),"")</f>
        <v/>
      </c>
      <c r="FG37" s="77" t="str">
        <f>IF(AND($G37&lt;&gt;"",$G37&gt;0,'Outfall 1 Limits'!$AX$16="C1",I37&lt;&gt;""),I37*$G37*8.34,IF(AND($I37&lt;&gt;"",'Outfall 1 Limits'!$AX$16="L"),I37,""))</f>
        <v/>
      </c>
      <c r="FH37" s="29" t="str">
        <f>IF(AND($G37&lt;&gt;"",$G37&gt;0,'Outfall 1 Limits'!$AX$20="C1",$K37&lt;&gt;""),$K37*$G37*8.34,IF(AND($K37&lt;&gt;"",'Outfall 1 Limits'!$AX$20="L"),$K37,""))</f>
        <v/>
      </c>
      <c r="FI37" s="29" t="str">
        <f>IF(AND($G37&lt;&gt;"",$G37&gt;0,'Outfall 1 Limits'!$AX$24="C1",$M37&lt;&gt;""),$M37*$G37*8.34,IF(AND($M37&lt;&gt;"",'Outfall 1 Limits'!$AX$24="L"),$M37,""))</f>
        <v/>
      </c>
      <c r="FJ37" s="29" t="str">
        <f>IF(AND($G37&lt;&gt;"",$G37&gt;0,'Outfall 1 Limits'!$AX$28="C1",$O37&lt;&gt;""),$O37*$G37*8.34,IF(AND($O37&lt;&gt;"",'Outfall 1 Limits'!$AX$28="L"),$O37,""))</f>
        <v/>
      </c>
      <c r="FK37" s="29" t="str">
        <f>IF(AND($G37&lt;&gt;"",$G37&gt;0,'Outfall 1 Limits'!$AX$32="C1",$Q37&lt;&gt;""),$Q37*$G37*8.34,IF(AND($Q37&lt;&gt;"",'Outfall 1 Limits'!$AX$32="L"),$Q37,""))</f>
        <v/>
      </c>
      <c r="FL37" s="29" t="str">
        <f>IF(AND($G37&lt;&gt;"",$G37&gt;0,'Outfall 1 Limits'!$AX$36="C1",$S37&lt;&gt;""),$S37*$G37*8.34,IF(AND($S37&lt;&gt;"",'Outfall 1 Limits'!$AX$36="L"),$S37,""))</f>
        <v/>
      </c>
      <c r="FM37" s="29" t="str">
        <f>IF(AND($G37&lt;&gt;"",$G37&gt;0,'Outfall 1 Limits'!$AX$40="C1",$U37&lt;&gt;""),$U37*$G37*8.34,IF(AND($U37&lt;&gt;"",'Outfall 1 Limits'!$AX$40="L"),$U37,""))</f>
        <v/>
      </c>
      <c r="FN37" s="29" t="str">
        <f>IF(AND($G37&lt;&gt;"",$G37&gt;0,'Outfall 1 Limits'!$AX$44="C1",$W37&lt;&gt;""),$W37*$G37*8.34,IF(AND($W37&lt;&gt;"",'Outfall 1 Limits'!$AX$44="L"),$W37,""))</f>
        <v/>
      </c>
      <c r="FO37" s="29" t="str">
        <f>IF(AND($G37&lt;&gt;"",$G37&gt;0,'Outfall 1 Limits'!$AX$48="C1",$Y37&lt;&gt;""),$Y37*$G37*8.34,IF(AND($Y37&lt;&gt;"",'Outfall 1 Limits'!$AX$48="L"),$Y37,""))</f>
        <v/>
      </c>
      <c r="FP37" s="29" t="str">
        <f>IF(AND($G37&lt;&gt;"",$G37&gt;0,'Outfall 1 Limits'!$AX$52="C1",$AA37&lt;&gt;""),$AA37*$G37*8.34,IF(AND($AA37&lt;&gt;"",'Outfall 1 Limits'!$AX$52="L"),$AA37,""))</f>
        <v/>
      </c>
      <c r="FQ37" s="29" t="str">
        <f>IF(AND($G37&lt;&gt;"",$G37&gt;0,'Outfall 1 Limits'!$AX$56="C1",$AC37&lt;&gt;""),$AC37*$G37*8.34,IF(AND($AC37&lt;&gt;"",'Outfall 1 Limits'!$AX$56="L"),$AC37,""))</f>
        <v/>
      </c>
      <c r="FR37" s="29" t="str">
        <f>IF(AND($G37&lt;&gt;"",$G37&gt;0,'Outfall 1 Limits'!$AX$60="C1",$AE37&lt;&gt;""),$AE37*$G37*8.34,IF(AND($AE37&lt;&gt;"",'Outfall 1 Limits'!$AX$60="L"),$AE37,""))</f>
        <v/>
      </c>
      <c r="FS37" s="29" t="str">
        <f>IF(AND($G37&lt;&gt;"",$G37&gt;0,'Outfall 1 Limits'!$AX$64="C1",$AG37&lt;&gt;""),$AG37*$G37*8.34,IF(AND($AG37&lt;&gt;"",'Outfall 1 Limits'!$AX$64="L"),$AG37,""))</f>
        <v/>
      </c>
      <c r="FT37" s="29" t="str">
        <f>IF(AND($G37&lt;&gt;"",$G37&gt;0,'Outfall 1 Limits'!$AX$68="C1",$AI37&lt;&gt;""),$AI37*$G37*8.34,IF(AND($AI37&lt;&gt;"",'Outfall 1 Limits'!$AX$68="L"),$AI37,""))</f>
        <v/>
      </c>
      <c r="GJ37" s="29" t="str">
        <f t="shared" si="29"/>
        <v/>
      </c>
      <c r="GK37" s="77" t="str">
        <f>IF(AND($G37&lt;&gt;"",$G37&gt;0,'Outfall 1 Limits'!$AX$16="C1",CY37&lt;&gt;""),CY37*$G37*8.34,IF(AND(CY37&lt;&gt;"",'Outfall 1 Limits'!$AX$16="L"),CY37,""))</f>
        <v/>
      </c>
      <c r="GL37" s="29" t="str">
        <f>IF(AND($G37&lt;&gt;"",$G37&gt;0,'Outfall 1 Limits'!$AX$20="C1",CZ37&lt;&gt;""),CZ37*$G37*8.34,IF(AND(CZ37&lt;&gt;"",'Outfall 1 Limits'!$AX$20="L"),CZ37,""))</f>
        <v/>
      </c>
      <c r="GM37" s="29" t="str">
        <f>IF(AND($G37&lt;&gt;"",$G37&gt;0,'Outfall 1 Limits'!$AX$24="C1",DA37&lt;&gt;""),DA37*$G37*8.34,IF(AND(DA37&lt;&gt;"",'Outfall 1 Limits'!$AX$24="L"),DA37,""))</f>
        <v/>
      </c>
      <c r="GN37" s="29" t="str">
        <f>IF(AND($G37&lt;&gt;"",$G37&gt;0,'Outfall 1 Limits'!$AX$28="C1",DB37&lt;&gt;""),DB37*$G37*8.34,IF(AND(DB37&lt;&gt;"",'Outfall 1 Limits'!$AX$28="L"),DB37,""))</f>
        <v/>
      </c>
      <c r="GO37" s="29" t="str">
        <f>IF(AND($G37&lt;&gt;"",$G37&gt;0,'Outfall 1 Limits'!$AX$32="C1",DC37&lt;&gt;""),DC37*$G37*8.34,IF(AND(DC37&lt;&gt;"",'Outfall 1 Limits'!$AX$32="L"),DC37,""))</f>
        <v/>
      </c>
      <c r="GP37" s="29" t="str">
        <f>IF(AND($G37&lt;&gt;"",$G37&gt;0,'Outfall 1 Limits'!$AX$36="C1",DD37&lt;&gt;""),DD37*$G37*8.34,IF(AND(DD37&lt;&gt;"",'Outfall 1 Limits'!$AX$36="L"),DD37,""))</f>
        <v/>
      </c>
      <c r="GQ37" s="29" t="str">
        <f>IF(AND($G37&lt;&gt;"",$G37&gt;0,'Outfall 1 Limits'!$AX$40="C1",DE37&lt;&gt;""),DE37*$G37*8.34,IF(AND(DE37&lt;&gt;"",'Outfall 1 Limits'!$AX$40="L"),DE37,""))</f>
        <v/>
      </c>
      <c r="GR37" s="29" t="str">
        <f>IF(AND($G37&lt;&gt;"",$G37&gt;0,'Outfall 1 Limits'!$AX$44="C1",DF37&lt;&gt;""),DF37*$G37*8.34,IF(AND(DF37&lt;&gt;"",'Outfall 1 Limits'!$AX$44="L"),DF37,""))</f>
        <v/>
      </c>
      <c r="GS37" s="29" t="str">
        <f>IF(AND($G37&lt;&gt;"",$G37&gt;0,'Outfall 1 Limits'!$AX$48="C1",DG37&lt;&gt;""),DG37*$G37*8.34,IF(AND(DG37&lt;&gt;"",'Outfall 1 Limits'!$AX$48="L"),DG37,""))</f>
        <v/>
      </c>
      <c r="GT37" s="29" t="str">
        <f>IF(AND($G37&lt;&gt;"",$G37&gt;0,'Outfall 1 Limits'!$AX$52="C1",DH37&lt;&gt;""),DH37*$G37*8.34,IF(AND(DH37&lt;&gt;"",'Outfall 1 Limits'!$AX$52="L"),DH37,""))</f>
        <v/>
      </c>
      <c r="GU37" s="29" t="str">
        <f>IF(AND($G37&lt;&gt;"",$G37&gt;0,'Outfall 1 Limits'!$AX$56="C1",DI37&lt;&gt;""),DI37*$G37*8.34,IF(AND(DI37&lt;&gt;"",'Outfall 1 Limits'!$AX$56="L"),DI37,""))</f>
        <v/>
      </c>
      <c r="GV37" s="29" t="str">
        <f>IF(AND($G37&lt;&gt;"",$G37&gt;0,'Outfall 1 Limits'!$AX$60="C1",DJ37&lt;&gt;""),DJ37*$G37*8.34,IF(AND(DJ37&lt;&gt;"",'Outfall 1 Limits'!$AX$60="L"),DJ37,""))</f>
        <v/>
      </c>
      <c r="GW37" s="29" t="str">
        <f>IF(AND($G37&lt;&gt;"",$G37&gt;0,'Outfall 1 Limits'!$AX$64="C1",DK37&lt;&gt;""),DK37*$G37*8.34,IF(AND(DK37&lt;&gt;"",'Outfall 1 Limits'!$AX$64="L"),DK37,""))</f>
        <v/>
      </c>
      <c r="GX37" s="29" t="str">
        <f>IF(AND($G37&lt;&gt;"",$G37&gt;0,'Outfall 1 Limits'!$AX$68="C1",DL37&lt;&gt;""),DL37*$G37*8.34,IF(AND(DL37&lt;&gt;"",'Outfall 1 Limits'!$AX$68="L"),DL37,""))</f>
        <v/>
      </c>
      <c r="HO37" s="98" t="str">
        <f t="shared" si="30"/>
        <v/>
      </c>
      <c r="HS37" s="68" t="str">
        <f t="shared" si="31"/>
        <v/>
      </c>
      <c r="HT37" s="188" t="str">
        <f t="shared" si="32"/>
        <v/>
      </c>
      <c r="HU37" s="188" t="str">
        <f t="shared" si="33"/>
        <v/>
      </c>
      <c r="HV37" s="188" t="str">
        <f t="shared" si="34"/>
        <v/>
      </c>
      <c r="HW37" s="188" t="str">
        <f t="shared" si="35"/>
        <v/>
      </c>
      <c r="HX37" s="188" t="str">
        <f t="shared" si="36"/>
        <v/>
      </c>
      <c r="HY37" s="188" t="str">
        <f t="shared" si="37"/>
        <v/>
      </c>
      <c r="HZ37" s="188" t="str">
        <f t="shared" si="38"/>
        <v/>
      </c>
      <c r="IA37" s="188" t="str">
        <f t="shared" si="39"/>
        <v/>
      </c>
      <c r="IB37" s="188" t="str">
        <f t="shared" si="40"/>
        <v/>
      </c>
      <c r="IC37" s="188" t="str">
        <f t="shared" si="41"/>
        <v/>
      </c>
      <c r="ID37" s="188" t="str">
        <f t="shared" si="42"/>
        <v/>
      </c>
      <c r="IE37" s="188" t="str">
        <f t="shared" si="43"/>
        <v/>
      </c>
      <c r="IF37" s="188" t="str">
        <f t="shared" si="44"/>
        <v/>
      </c>
      <c r="IX37" s="68" t="str">
        <f t="shared" si="45"/>
        <v/>
      </c>
      <c r="IY37" s="188" t="str">
        <f t="shared" si="46"/>
        <v/>
      </c>
      <c r="IZ37" s="188" t="str">
        <f t="shared" si="47"/>
        <v/>
      </c>
      <c r="JA37" s="188" t="str">
        <f t="shared" si="48"/>
        <v/>
      </c>
      <c r="JB37" s="188" t="str">
        <f t="shared" si="49"/>
        <v/>
      </c>
      <c r="JC37" s="188" t="str">
        <f t="shared" si="50"/>
        <v/>
      </c>
      <c r="JD37" s="188" t="str">
        <f t="shared" si="51"/>
        <v/>
      </c>
      <c r="JE37" s="188" t="str">
        <f t="shared" si="52"/>
        <v/>
      </c>
      <c r="JF37" s="188" t="str">
        <f t="shared" si="53"/>
        <v/>
      </c>
      <c r="JG37" s="188" t="str">
        <f t="shared" si="54"/>
        <v/>
      </c>
      <c r="JH37" s="188" t="str">
        <f t="shared" si="55"/>
        <v/>
      </c>
      <c r="JI37" s="188" t="str">
        <f t="shared" si="56"/>
        <v/>
      </c>
      <c r="JJ37" s="188" t="str">
        <f t="shared" si="57"/>
        <v/>
      </c>
      <c r="JK37" s="188" t="str">
        <f t="shared" si="58"/>
        <v/>
      </c>
      <c r="KA37" s="188"/>
      <c r="KB37" s="2"/>
      <c r="KC37" s="226"/>
      <c r="KD37" s="164" t="str">
        <f t="shared" si="1"/>
        <v/>
      </c>
      <c r="KE37" s="188" t="str">
        <f t="shared" si="2"/>
        <v/>
      </c>
      <c r="KF37" s="188" t="str">
        <f t="shared" si="3"/>
        <v/>
      </c>
      <c r="KG37" s="188" t="str">
        <f t="shared" si="4"/>
        <v/>
      </c>
      <c r="KH37" s="188" t="str">
        <f t="shared" si="5"/>
        <v/>
      </c>
      <c r="KI37" s="188" t="str">
        <f t="shared" si="6"/>
        <v/>
      </c>
      <c r="KJ37" s="188" t="str">
        <f t="shared" si="7"/>
        <v/>
      </c>
      <c r="KK37" s="188" t="str">
        <f t="shared" si="8"/>
        <v/>
      </c>
      <c r="KL37" s="188" t="str">
        <f t="shared" si="9"/>
        <v/>
      </c>
      <c r="KM37" s="188" t="str">
        <f t="shared" si="10"/>
        <v/>
      </c>
      <c r="KN37" s="188" t="str">
        <f t="shared" si="11"/>
        <v/>
      </c>
      <c r="KO37" s="188" t="str">
        <f t="shared" si="12"/>
        <v/>
      </c>
      <c r="KP37" s="188" t="str">
        <f t="shared" si="13"/>
        <v/>
      </c>
      <c r="KQ37" s="188" t="str">
        <f t="shared" si="14"/>
        <v/>
      </c>
    </row>
    <row r="38" spans="1:303" s="18" customFormat="1" ht="11.45" customHeight="1" x14ac:dyDescent="0.2">
      <c r="A38" s="38"/>
      <c r="B38" s="48">
        <v>4</v>
      </c>
      <c r="C38" s="421">
        <f t="shared" si="0"/>
        <v>45312</v>
      </c>
      <c r="D38" s="421"/>
      <c r="E38" s="422">
        <f t="shared" si="59"/>
        <v>45312</v>
      </c>
      <c r="F38" s="423"/>
      <c r="G38" s="31"/>
      <c r="H38" s="45"/>
      <c r="I38" s="44"/>
      <c r="J38" s="45"/>
      <c r="K38" s="44"/>
      <c r="L38" s="45"/>
      <c r="M38" s="44"/>
      <c r="N38" s="45"/>
      <c r="O38" s="44"/>
      <c r="P38" s="45"/>
      <c r="Q38" s="44"/>
      <c r="R38" s="45"/>
      <c r="S38" s="44"/>
      <c r="T38" s="45"/>
      <c r="U38" s="44"/>
      <c r="V38" s="45"/>
      <c r="W38" s="44"/>
      <c r="X38" s="45"/>
      <c r="Y38" s="44"/>
      <c r="Z38" s="45"/>
      <c r="AA38" s="44"/>
      <c r="AB38" s="45"/>
      <c r="AC38" s="44"/>
      <c r="AD38" s="45"/>
      <c r="AE38" s="44"/>
      <c r="AF38" s="45"/>
      <c r="AG38" s="44"/>
      <c r="AH38" s="45"/>
      <c r="AI38" s="127"/>
      <c r="AJ38" s="236"/>
      <c r="BO38" s="188"/>
      <c r="BP38" s="267">
        <v>2057</v>
      </c>
      <c r="BQ38" s="83" t="s">
        <v>52</v>
      </c>
      <c r="BR38" s="188"/>
      <c r="BS38" s="188" t="s">
        <v>1104</v>
      </c>
      <c r="BU38" s="68" t="str">
        <f t="shared" si="15"/>
        <v/>
      </c>
      <c r="BV38" s="188" t="str">
        <f t="shared" si="16"/>
        <v/>
      </c>
      <c r="BW38" s="188" t="str">
        <f t="shared" si="17"/>
        <v/>
      </c>
      <c r="BX38" s="188" t="str">
        <f t="shared" si="18"/>
        <v/>
      </c>
      <c r="BY38" s="188" t="str">
        <f t="shared" si="19"/>
        <v/>
      </c>
      <c r="BZ38" s="188" t="str">
        <f t="shared" si="20"/>
        <v/>
      </c>
      <c r="CA38" s="188" t="str">
        <f t="shared" si="21"/>
        <v/>
      </c>
      <c r="CB38" s="188" t="str">
        <f t="shared" si="22"/>
        <v/>
      </c>
      <c r="CC38" s="188" t="str">
        <f t="shared" si="23"/>
        <v/>
      </c>
      <c r="CD38" s="188" t="str">
        <f t="shared" si="24"/>
        <v/>
      </c>
      <c r="CE38" s="188" t="str">
        <f t="shared" si="25"/>
        <v/>
      </c>
      <c r="CF38" s="188" t="str">
        <f t="shared" si="26"/>
        <v/>
      </c>
      <c r="CG38" s="188" t="str">
        <f t="shared" si="27"/>
        <v/>
      </c>
      <c r="CH38" s="188" t="str">
        <f t="shared" si="28"/>
        <v/>
      </c>
      <c r="CY38" s="77" t="str">
        <f>IF(I38&lt;&gt;"",IF(H38="&lt;",IF(AND('Outfall 1 Limits'!$AM$16="Y",$BU$54&lt;&gt;"Y",I38&lt;='Outfall 1 Limits'!$AL$16),0,(1*I38)),I38),"")</f>
        <v/>
      </c>
      <c r="CZ38" s="29" t="str">
        <f>IF(K38&lt;&gt;"",IF(J38="&lt;",IF(AND('Outfall 1 Limits'!$AM$20="Y",$BV$54&lt;&gt;"Y",K38&lt;='Outfall 1 Limits'!$AL$20),0,(1*K38)),K38),"")</f>
        <v/>
      </c>
      <c r="DA38" s="29" t="str">
        <f>IF(M38&lt;&gt;"",IF(L38="&lt;",IF(AND('Outfall 1 Limits'!$AM$24="Y",$BW$54&lt;&gt;"Y",M38&lt;='Outfall 1 Limits'!$AL$24),0,(1*M38)),M38),"")</f>
        <v/>
      </c>
      <c r="DB38" s="29" t="str">
        <f>IF(O38&lt;&gt;"",IF(N38="&lt;",IF(AND('Outfall 1 Limits'!$AM$28="Y",$BX$54&lt;&gt;"Y",O38&lt;='Outfall 1 Limits'!$AL$28),0,(1*O38)),O38),"")</f>
        <v/>
      </c>
      <c r="DC38" s="29" t="str">
        <f>IF(Q38&lt;&gt;"",IF(P38="&lt;",IF(AND('Outfall 1 Limits'!$AM$32="Y",$BY$54&lt;&gt;"Y",Q38&lt;='Outfall 1 Limits'!$AL$32),0,(1*Q38)),Q38),"")</f>
        <v/>
      </c>
      <c r="DD38" s="29" t="str">
        <f>IF(S38&lt;&gt;"",IF(R38="&lt;",IF(AND('Outfall 1 Limits'!$AM$36="Y",$BZ$54&lt;&gt;"Y",S38&lt;='Outfall 1 Limits'!$AL$36),0,(1*S38)),S38),"")</f>
        <v/>
      </c>
      <c r="DE38" s="29" t="str">
        <f>IF(U38&lt;&gt;"",IF(T38="&lt;",IF(AND('Outfall 1 Limits'!$AM$40="Y",$CA$54&lt;&gt;"Y",U38&lt;='Outfall 1 Limits'!$AL$40),0,(1*U38)),U38),"")</f>
        <v/>
      </c>
      <c r="DF38" s="29" t="str">
        <f>IF(W38&lt;&gt;"",IF(V38="&lt;",IF(AND('Outfall 1 Limits'!$AM$44="Y",$CB$54&lt;&gt;"Y",W38&lt;='Outfall 1 Limits'!$AL$44),0,(1*W38)),W38),"")</f>
        <v/>
      </c>
      <c r="DG38" s="29" t="str">
        <f>IF(Y38&lt;&gt;"",IF(X38="&lt;",IF(AND('Outfall 1 Limits'!$AM$48="Y",$CC$54&lt;&gt;"Y",Y38&lt;='Outfall 1 Limits'!$AL$48),0,(1*Y38)),Y38),"")</f>
        <v/>
      </c>
      <c r="DH38" s="29" t="str">
        <f>IF(AA38&lt;&gt;"",IF(Z38="&lt;",IF(AND('Outfall 1 Limits'!$AM$52="Y",$CD$54&lt;&gt;"Y",AA38&lt;='Outfall 1 Limits'!$AL$52),0,(1*AA38)),AA38),"")</f>
        <v/>
      </c>
      <c r="DI38" s="29" t="str">
        <f>IF(AC38&lt;&gt;"",IF(AB38="&lt;",IF(AND('Outfall 1 Limits'!$AM$56="Y",$CE$54&lt;&gt;"Y",AC38&lt;='Outfall 1 Limits'!$AL$56),0,(1*AC38)),AC38),"")</f>
        <v/>
      </c>
      <c r="DJ38" s="29" t="str">
        <f>IF(AE38&lt;&gt;"",IF(AD38="&lt;",IF(AND('Outfall 1 Limits'!$AM$60="Y",$CF$54&lt;&gt;"Y",AE38&lt;='Outfall 1 Limits'!$AL$60),0,(1*AE38)),AE38),"")</f>
        <v/>
      </c>
      <c r="DK38" s="29" t="str">
        <f>IF(AG38&lt;&gt;"",IF(AF38="&lt;",IF(AND('Outfall 1 Limits'!$AM$64="Y",$CG$54&lt;&gt;"Y",AG38&lt;='Outfall 1 Limits'!$AL$64),0,(1*AG38)),AG38),"")</f>
        <v/>
      </c>
      <c r="DL38" s="29" t="str">
        <f>IF(AI38&lt;&gt;"",IF(AH38="&lt;",IF(AND('Outfall 1 Limits'!$AM$68="Y",$CH$54&lt;&gt;"Y",AI38&lt;='Outfall 1 Limits'!$AL$68),0,(1*AI38)),AI38),"")</f>
        <v/>
      </c>
      <c r="EB38" s="222" t="s">
        <v>1141</v>
      </c>
      <c r="EC38" s="84" t="str">
        <f>IF(EC31&lt;&gt;"",IF(BU58="Y",EC31-0.1,EC31),"")</f>
        <v/>
      </c>
      <c r="ED38" s="85" t="str">
        <f t="shared" ref="ED38:EP38" si="86">IF(ED31&lt;&gt;"",IF(BV58="Y",ED31-0.1,ED31),"")</f>
        <v/>
      </c>
      <c r="EE38" s="85" t="str">
        <f t="shared" si="86"/>
        <v/>
      </c>
      <c r="EF38" s="85" t="str">
        <f t="shared" si="86"/>
        <v/>
      </c>
      <c r="EG38" s="85" t="str">
        <f t="shared" si="86"/>
        <v/>
      </c>
      <c r="EH38" s="85" t="str">
        <f t="shared" si="86"/>
        <v/>
      </c>
      <c r="EI38" s="85" t="str">
        <f t="shared" si="86"/>
        <v/>
      </c>
      <c r="EJ38" s="85" t="str">
        <f t="shared" si="86"/>
        <v/>
      </c>
      <c r="EK38" s="85" t="str">
        <f t="shared" si="86"/>
        <v/>
      </c>
      <c r="EL38" s="85" t="str">
        <f t="shared" si="86"/>
        <v/>
      </c>
      <c r="EM38" s="85" t="str">
        <f t="shared" si="86"/>
        <v/>
      </c>
      <c r="EN38" s="85" t="str">
        <f t="shared" si="86"/>
        <v/>
      </c>
      <c r="EO38" s="85" t="str">
        <f t="shared" si="86"/>
        <v/>
      </c>
      <c r="EP38" s="85" t="str">
        <f t="shared" si="86"/>
        <v/>
      </c>
      <c r="FG38" s="77" t="str">
        <f>IF(AND($G38&lt;&gt;"",$G38&gt;0,'Outfall 1 Limits'!$AX$16="C1",I38&lt;&gt;""),I38*$G38*8.34,IF(AND($I38&lt;&gt;"",'Outfall 1 Limits'!$AX$16="L"),I38,""))</f>
        <v/>
      </c>
      <c r="FH38" s="29" t="str">
        <f>IF(AND($G38&lt;&gt;"",$G38&gt;0,'Outfall 1 Limits'!$AX$20="C1",$K38&lt;&gt;""),$K38*$G38*8.34,IF(AND($K38&lt;&gt;"",'Outfall 1 Limits'!$AX$20="L"),$K38,""))</f>
        <v/>
      </c>
      <c r="FI38" s="29" t="str">
        <f>IF(AND($G38&lt;&gt;"",$G38&gt;0,'Outfall 1 Limits'!$AX$24="C1",$M38&lt;&gt;""),$M38*$G38*8.34,IF(AND($M38&lt;&gt;"",'Outfall 1 Limits'!$AX$24="L"),$M38,""))</f>
        <v/>
      </c>
      <c r="FJ38" s="29" t="str">
        <f>IF(AND($G38&lt;&gt;"",$G38&gt;0,'Outfall 1 Limits'!$AX$28="C1",$O38&lt;&gt;""),$O38*$G38*8.34,IF(AND($O38&lt;&gt;"",'Outfall 1 Limits'!$AX$28="L"),$O38,""))</f>
        <v/>
      </c>
      <c r="FK38" s="29" t="str">
        <f>IF(AND($G38&lt;&gt;"",$G38&gt;0,'Outfall 1 Limits'!$AX$32="C1",$Q38&lt;&gt;""),$Q38*$G38*8.34,IF(AND($Q38&lt;&gt;"",'Outfall 1 Limits'!$AX$32="L"),$Q38,""))</f>
        <v/>
      </c>
      <c r="FL38" s="29" t="str">
        <f>IF(AND($G38&lt;&gt;"",$G38&gt;0,'Outfall 1 Limits'!$AX$36="C1",$S38&lt;&gt;""),$S38*$G38*8.34,IF(AND($S38&lt;&gt;"",'Outfall 1 Limits'!$AX$36="L"),$S38,""))</f>
        <v/>
      </c>
      <c r="FM38" s="29" t="str">
        <f>IF(AND($G38&lt;&gt;"",$G38&gt;0,'Outfall 1 Limits'!$AX$40="C1",$U38&lt;&gt;""),$U38*$G38*8.34,IF(AND($U38&lt;&gt;"",'Outfall 1 Limits'!$AX$40="L"),$U38,""))</f>
        <v/>
      </c>
      <c r="FN38" s="29" t="str">
        <f>IF(AND($G38&lt;&gt;"",$G38&gt;0,'Outfall 1 Limits'!$AX$44="C1",$W38&lt;&gt;""),$W38*$G38*8.34,IF(AND($W38&lt;&gt;"",'Outfall 1 Limits'!$AX$44="L"),$W38,""))</f>
        <v/>
      </c>
      <c r="FO38" s="29" t="str">
        <f>IF(AND($G38&lt;&gt;"",$G38&gt;0,'Outfall 1 Limits'!$AX$48="C1",$Y38&lt;&gt;""),$Y38*$G38*8.34,IF(AND($Y38&lt;&gt;"",'Outfall 1 Limits'!$AX$48="L"),$Y38,""))</f>
        <v/>
      </c>
      <c r="FP38" s="29" t="str">
        <f>IF(AND($G38&lt;&gt;"",$G38&gt;0,'Outfall 1 Limits'!$AX$52="C1",$AA38&lt;&gt;""),$AA38*$G38*8.34,IF(AND($AA38&lt;&gt;"",'Outfall 1 Limits'!$AX$52="L"),$AA38,""))</f>
        <v/>
      </c>
      <c r="FQ38" s="29" t="str">
        <f>IF(AND($G38&lt;&gt;"",$G38&gt;0,'Outfall 1 Limits'!$AX$56="C1",$AC38&lt;&gt;""),$AC38*$G38*8.34,IF(AND($AC38&lt;&gt;"",'Outfall 1 Limits'!$AX$56="L"),$AC38,""))</f>
        <v/>
      </c>
      <c r="FR38" s="29" t="str">
        <f>IF(AND($G38&lt;&gt;"",$G38&gt;0,'Outfall 1 Limits'!$AX$60="C1",$AE38&lt;&gt;""),$AE38*$G38*8.34,IF(AND($AE38&lt;&gt;"",'Outfall 1 Limits'!$AX$60="L"),$AE38,""))</f>
        <v/>
      </c>
      <c r="FS38" s="29" t="str">
        <f>IF(AND($G38&lt;&gt;"",$G38&gt;0,'Outfall 1 Limits'!$AX$64="C1",$AG38&lt;&gt;""),$AG38*$G38*8.34,IF(AND($AG38&lt;&gt;"",'Outfall 1 Limits'!$AX$64="L"),$AG38,""))</f>
        <v/>
      </c>
      <c r="FT38" s="29" t="str">
        <f>IF(AND($G38&lt;&gt;"",$G38&gt;0,'Outfall 1 Limits'!$AX$68="C1",$AI38&lt;&gt;""),$AI38*$G38*8.34,IF(AND($AI38&lt;&gt;"",'Outfall 1 Limits'!$AX$68="L"),$AI38,""))</f>
        <v/>
      </c>
      <c r="GJ38" s="29" t="str">
        <f t="shared" si="29"/>
        <v/>
      </c>
      <c r="GK38" s="77" t="str">
        <f>IF(AND($G38&lt;&gt;"",$G38&gt;0,'Outfall 1 Limits'!$AX$16="C1",CY38&lt;&gt;""),CY38*$G38*8.34,IF(AND(CY38&lt;&gt;"",'Outfall 1 Limits'!$AX$16="L"),CY38,""))</f>
        <v/>
      </c>
      <c r="GL38" s="29" t="str">
        <f>IF(AND($G38&lt;&gt;"",$G38&gt;0,'Outfall 1 Limits'!$AX$20="C1",CZ38&lt;&gt;""),CZ38*$G38*8.34,IF(AND(CZ38&lt;&gt;"",'Outfall 1 Limits'!$AX$20="L"),CZ38,""))</f>
        <v/>
      </c>
      <c r="GM38" s="29" t="str">
        <f>IF(AND($G38&lt;&gt;"",$G38&gt;0,'Outfall 1 Limits'!$AX$24="C1",DA38&lt;&gt;""),DA38*$G38*8.34,IF(AND(DA38&lt;&gt;"",'Outfall 1 Limits'!$AX$24="L"),DA38,""))</f>
        <v/>
      </c>
      <c r="GN38" s="29" t="str">
        <f>IF(AND($G38&lt;&gt;"",$G38&gt;0,'Outfall 1 Limits'!$AX$28="C1",DB38&lt;&gt;""),DB38*$G38*8.34,IF(AND(DB38&lt;&gt;"",'Outfall 1 Limits'!$AX$28="L"),DB38,""))</f>
        <v/>
      </c>
      <c r="GO38" s="29" t="str">
        <f>IF(AND($G38&lt;&gt;"",$G38&gt;0,'Outfall 1 Limits'!$AX$32="C1",DC38&lt;&gt;""),DC38*$G38*8.34,IF(AND(DC38&lt;&gt;"",'Outfall 1 Limits'!$AX$32="L"),DC38,""))</f>
        <v/>
      </c>
      <c r="GP38" s="29" t="str">
        <f>IF(AND($G38&lt;&gt;"",$G38&gt;0,'Outfall 1 Limits'!$AX$36="C1",DD38&lt;&gt;""),DD38*$G38*8.34,IF(AND(DD38&lt;&gt;"",'Outfall 1 Limits'!$AX$36="L"),DD38,""))</f>
        <v/>
      </c>
      <c r="GQ38" s="29" t="str">
        <f>IF(AND($G38&lt;&gt;"",$G38&gt;0,'Outfall 1 Limits'!$AX$40="C1",DE38&lt;&gt;""),DE38*$G38*8.34,IF(AND(DE38&lt;&gt;"",'Outfall 1 Limits'!$AX$40="L"),DE38,""))</f>
        <v/>
      </c>
      <c r="GR38" s="29" t="str">
        <f>IF(AND($G38&lt;&gt;"",$G38&gt;0,'Outfall 1 Limits'!$AX$44="C1",DF38&lt;&gt;""),DF38*$G38*8.34,IF(AND(DF38&lt;&gt;"",'Outfall 1 Limits'!$AX$44="L"),DF38,""))</f>
        <v/>
      </c>
      <c r="GS38" s="29" t="str">
        <f>IF(AND($G38&lt;&gt;"",$G38&gt;0,'Outfall 1 Limits'!$AX$48="C1",DG38&lt;&gt;""),DG38*$G38*8.34,IF(AND(DG38&lt;&gt;"",'Outfall 1 Limits'!$AX$48="L"),DG38,""))</f>
        <v/>
      </c>
      <c r="GT38" s="29" t="str">
        <f>IF(AND($G38&lt;&gt;"",$G38&gt;0,'Outfall 1 Limits'!$AX$52="C1",DH38&lt;&gt;""),DH38*$G38*8.34,IF(AND(DH38&lt;&gt;"",'Outfall 1 Limits'!$AX$52="L"),DH38,""))</f>
        <v/>
      </c>
      <c r="GU38" s="29" t="str">
        <f>IF(AND($G38&lt;&gt;"",$G38&gt;0,'Outfall 1 Limits'!$AX$56="C1",DI38&lt;&gt;""),DI38*$G38*8.34,IF(AND(DI38&lt;&gt;"",'Outfall 1 Limits'!$AX$56="L"),DI38,""))</f>
        <v/>
      </c>
      <c r="GV38" s="29" t="str">
        <f>IF(AND($G38&lt;&gt;"",$G38&gt;0,'Outfall 1 Limits'!$AX$60="C1",DJ38&lt;&gt;""),DJ38*$G38*8.34,IF(AND(DJ38&lt;&gt;"",'Outfall 1 Limits'!$AX$60="L"),DJ38,""))</f>
        <v/>
      </c>
      <c r="GW38" s="29" t="str">
        <f>IF(AND($G38&lt;&gt;"",$G38&gt;0,'Outfall 1 Limits'!$AX$64="C1",DK38&lt;&gt;""),DK38*$G38*8.34,IF(AND(DK38&lt;&gt;"",'Outfall 1 Limits'!$AX$64="L"),DK38,""))</f>
        <v/>
      </c>
      <c r="GX38" s="29" t="str">
        <f>IF(AND($G38&lt;&gt;"",$G38&gt;0,'Outfall 1 Limits'!$AX$68="C1",DL38&lt;&gt;""),DL38*$G38*8.34,IF(AND(DL38&lt;&gt;"",'Outfall 1 Limits'!$AX$68="L"),DL38,""))</f>
        <v/>
      </c>
      <c r="HO38" s="98" t="str">
        <f t="shared" si="30"/>
        <v/>
      </c>
      <c r="HS38" s="68" t="str">
        <f t="shared" si="31"/>
        <v/>
      </c>
      <c r="HT38" s="188" t="str">
        <f t="shared" si="32"/>
        <v/>
      </c>
      <c r="HU38" s="188" t="str">
        <f t="shared" si="33"/>
        <v/>
      </c>
      <c r="HV38" s="188" t="str">
        <f t="shared" si="34"/>
        <v/>
      </c>
      <c r="HW38" s="188" t="str">
        <f t="shared" si="35"/>
        <v/>
      </c>
      <c r="HX38" s="188" t="str">
        <f t="shared" si="36"/>
        <v/>
      </c>
      <c r="HY38" s="188" t="str">
        <f t="shared" si="37"/>
        <v/>
      </c>
      <c r="HZ38" s="188" t="str">
        <f t="shared" si="38"/>
        <v/>
      </c>
      <c r="IA38" s="188" t="str">
        <f t="shared" si="39"/>
        <v/>
      </c>
      <c r="IB38" s="188" t="str">
        <f t="shared" si="40"/>
        <v/>
      </c>
      <c r="IC38" s="188" t="str">
        <f t="shared" si="41"/>
        <v/>
      </c>
      <c r="ID38" s="188" t="str">
        <f t="shared" si="42"/>
        <v/>
      </c>
      <c r="IE38" s="188" t="str">
        <f t="shared" si="43"/>
        <v/>
      </c>
      <c r="IF38" s="188" t="str">
        <f t="shared" si="44"/>
        <v/>
      </c>
      <c r="IX38" s="68" t="str">
        <f t="shared" si="45"/>
        <v/>
      </c>
      <c r="IY38" s="188" t="str">
        <f t="shared" si="46"/>
        <v/>
      </c>
      <c r="IZ38" s="188" t="str">
        <f t="shared" si="47"/>
        <v/>
      </c>
      <c r="JA38" s="188" t="str">
        <f t="shared" si="48"/>
        <v/>
      </c>
      <c r="JB38" s="188" t="str">
        <f t="shared" si="49"/>
        <v/>
      </c>
      <c r="JC38" s="188" t="str">
        <f t="shared" si="50"/>
        <v/>
      </c>
      <c r="JD38" s="188" t="str">
        <f t="shared" si="51"/>
        <v/>
      </c>
      <c r="JE38" s="188" t="str">
        <f t="shared" si="52"/>
        <v/>
      </c>
      <c r="JF38" s="188" t="str">
        <f t="shared" si="53"/>
        <v/>
      </c>
      <c r="JG38" s="188" t="str">
        <f t="shared" si="54"/>
        <v/>
      </c>
      <c r="JH38" s="188" t="str">
        <f t="shared" si="55"/>
        <v/>
      </c>
      <c r="JI38" s="188" t="str">
        <f t="shared" si="56"/>
        <v/>
      </c>
      <c r="JJ38" s="188" t="str">
        <f t="shared" si="57"/>
        <v/>
      </c>
      <c r="JK38" s="188" t="str">
        <f t="shared" si="58"/>
        <v/>
      </c>
      <c r="KA38" s="188"/>
      <c r="KB38" s="2"/>
      <c r="KC38" s="226"/>
      <c r="KD38" s="164" t="str">
        <f t="shared" si="1"/>
        <v/>
      </c>
      <c r="KE38" s="188" t="str">
        <f t="shared" si="2"/>
        <v/>
      </c>
      <c r="KF38" s="188" t="str">
        <f t="shared" si="3"/>
        <v/>
      </c>
      <c r="KG38" s="188" t="str">
        <f t="shared" si="4"/>
        <v/>
      </c>
      <c r="KH38" s="188" t="str">
        <f t="shared" si="5"/>
        <v/>
      </c>
      <c r="KI38" s="188" t="str">
        <f t="shared" si="6"/>
        <v/>
      </c>
      <c r="KJ38" s="188" t="str">
        <f t="shared" si="7"/>
        <v/>
      </c>
      <c r="KK38" s="188" t="str">
        <f t="shared" si="8"/>
        <v/>
      </c>
      <c r="KL38" s="188" t="str">
        <f t="shared" si="9"/>
        <v/>
      </c>
      <c r="KM38" s="188" t="str">
        <f t="shared" si="10"/>
        <v/>
      </c>
      <c r="KN38" s="188" t="str">
        <f t="shared" si="11"/>
        <v/>
      </c>
      <c r="KO38" s="188" t="str">
        <f t="shared" si="12"/>
        <v/>
      </c>
      <c r="KP38" s="188" t="str">
        <f t="shared" si="13"/>
        <v/>
      </c>
      <c r="KQ38" s="188" t="str">
        <f t="shared" si="14"/>
        <v/>
      </c>
    </row>
    <row r="39" spans="1:303" s="18" customFormat="1" ht="11.45" customHeight="1" x14ac:dyDescent="0.2">
      <c r="A39" s="38"/>
      <c r="B39" s="48"/>
      <c r="C39" s="421">
        <f t="shared" si="0"/>
        <v>45313</v>
      </c>
      <c r="D39" s="421"/>
      <c r="E39" s="422">
        <f t="shared" si="59"/>
        <v>45313</v>
      </c>
      <c r="F39" s="423"/>
      <c r="G39" s="31"/>
      <c r="H39" s="45"/>
      <c r="I39" s="44"/>
      <c r="J39" s="45"/>
      <c r="K39" s="44"/>
      <c r="L39" s="45"/>
      <c r="M39" s="44"/>
      <c r="N39" s="45"/>
      <c r="O39" s="44"/>
      <c r="P39" s="45"/>
      <c r="Q39" s="44"/>
      <c r="R39" s="45"/>
      <c r="S39" s="44"/>
      <c r="T39" s="45"/>
      <c r="U39" s="44"/>
      <c r="V39" s="45"/>
      <c r="W39" s="44"/>
      <c r="X39" s="45"/>
      <c r="Y39" s="44"/>
      <c r="Z39" s="45"/>
      <c r="AA39" s="44"/>
      <c r="AB39" s="45"/>
      <c r="AC39" s="44"/>
      <c r="AD39" s="45"/>
      <c r="AE39" s="44"/>
      <c r="AF39" s="45"/>
      <c r="AG39" s="44"/>
      <c r="AH39" s="45"/>
      <c r="AI39" s="127"/>
      <c r="AJ39" s="236"/>
      <c r="BO39" s="188"/>
      <c r="BP39" s="267">
        <v>2058</v>
      </c>
      <c r="BQ39" s="224" t="s">
        <v>53</v>
      </c>
      <c r="BR39" s="225"/>
      <c r="BS39" s="188" t="s">
        <v>1110</v>
      </c>
      <c r="BU39" s="68" t="str">
        <f t="shared" si="15"/>
        <v/>
      </c>
      <c r="BV39" s="188" t="str">
        <f t="shared" si="16"/>
        <v/>
      </c>
      <c r="BW39" s="188" t="str">
        <f t="shared" si="17"/>
        <v/>
      </c>
      <c r="BX39" s="188" t="str">
        <f t="shared" si="18"/>
        <v/>
      </c>
      <c r="BY39" s="188" t="str">
        <f t="shared" si="19"/>
        <v/>
      </c>
      <c r="BZ39" s="188" t="str">
        <f t="shared" si="20"/>
        <v/>
      </c>
      <c r="CA39" s="188" t="str">
        <f t="shared" si="21"/>
        <v/>
      </c>
      <c r="CB39" s="188" t="str">
        <f t="shared" si="22"/>
        <v/>
      </c>
      <c r="CC39" s="188" t="str">
        <f t="shared" si="23"/>
        <v/>
      </c>
      <c r="CD39" s="188" t="str">
        <f t="shared" si="24"/>
        <v/>
      </c>
      <c r="CE39" s="188" t="str">
        <f t="shared" si="25"/>
        <v/>
      </c>
      <c r="CF39" s="188" t="str">
        <f t="shared" si="26"/>
        <v/>
      </c>
      <c r="CG39" s="188" t="str">
        <f t="shared" si="27"/>
        <v/>
      </c>
      <c r="CH39" s="188" t="str">
        <f t="shared" si="28"/>
        <v/>
      </c>
      <c r="CY39" s="77" t="str">
        <f>IF(I39&lt;&gt;"",IF(H39="&lt;",IF(AND('Outfall 1 Limits'!$AM$16="Y",$BU$54&lt;&gt;"Y",I39&lt;='Outfall 1 Limits'!$AL$16),0,(1*I39)),I39),"")</f>
        <v/>
      </c>
      <c r="CZ39" s="29" t="str">
        <f>IF(K39&lt;&gt;"",IF(J39="&lt;",IF(AND('Outfall 1 Limits'!$AM$20="Y",$BV$54&lt;&gt;"Y",K39&lt;='Outfall 1 Limits'!$AL$20),0,(1*K39)),K39),"")</f>
        <v/>
      </c>
      <c r="DA39" s="29" t="str">
        <f>IF(M39&lt;&gt;"",IF(L39="&lt;",IF(AND('Outfall 1 Limits'!$AM$24="Y",$BW$54&lt;&gt;"Y",M39&lt;='Outfall 1 Limits'!$AL$24),0,(1*M39)),M39),"")</f>
        <v/>
      </c>
      <c r="DB39" s="29" t="str">
        <f>IF(O39&lt;&gt;"",IF(N39="&lt;",IF(AND('Outfall 1 Limits'!$AM$28="Y",$BX$54&lt;&gt;"Y",O39&lt;='Outfall 1 Limits'!$AL$28),0,(1*O39)),O39),"")</f>
        <v/>
      </c>
      <c r="DC39" s="29" t="str">
        <f>IF(Q39&lt;&gt;"",IF(P39="&lt;",IF(AND('Outfall 1 Limits'!$AM$32="Y",$BY$54&lt;&gt;"Y",Q39&lt;='Outfall 1 Limits'!$AL$32),0,(1*Q39)),Q39),"")</f>
        <v/>
      </c>
      <c r="DD39" s="29" t="str">
        <f>IF(S39&lt;&gt;"",IF(R39="&lt;",IF(AND('Outfall 1 Limits'!$AM$36="Y",$BZ$54&lt;&gt;"Y",S39&lt;='Outfall 1 Limits'!$AL$36),0,(1*S39)),S39),"")</f>
        <v/>
      </c>
      <c r="DE39" s="29" t="str">
        <f>IF(U39&lt;&gt;"",IF(T39="&lt;",IF(AND('Outfall 1 Limits'!$AM$40="Y",$CA$54&lt;&gt;"Y",U39&lt;='Outfall 1 Limits'!$AL$40),0,(1*U39)),U39),"")</f>
        <v/>
      </c>
      <c r="DF39" s="29" t="str">
        <f>IF(W39&lt;&gt;"",IF(V39="&lt;",IF(AND('Outfall 1 Limits'!$AM$44="Y",$CB$54&lt;&gt;"Y",W39&lt;='Outfall 1 Limits'!$AL$44),0,(1*W39)),W39),"")</f>
        <v/>
      </c>
      <c r="DG39" s="29" t="str">
        <f>IF(Y39&lt;&gt;"",IF(X39="&lt;",IF(AND('Outfall 1 Limits'!$AM$48="Y",$CC$54&lt;&gt;"Y",Y39&lt;='Outfall 1 Limits'!$AL$48),0,(1*Y39)),Y39),"")</f>
        <v/>
      </c>
      <c r="DH39" s="29" t="str">
        <f>IF(AA39&lt;&gt;"",IF(Z39="&lt;",IF(AND('Outfall 1 Limits'!$AM$52="Y",$CD$54&lt;&gt;"Y",AA39&lt;='Outfall 1 Limits'!$AL$52),0,(1*AA39)),AA39),"")</f>
        <v/>
      </c>
      <c r="DI39" s="29" t="str">
        <f>IF(AC39&lt;&gt;"",IF(AB39="&lt;",IF(AND('Outfall 1 Limits'!$AM$56="Y",$CE$54&lt;&gt;"Y",AC39&lt;='Outfall 1 Limits'!$AL$56),0,(1*AC39)),AC39),"")</f>
        <v/>
      </c>
      <c r="DJ39" s="29" t="str">
        <f>IF(AE39&lt;&gt;"",IF(AD39="&lt;",IF(AND('Outfall 1 Limits'!$AM$60="Y",$CF$54&lt;&gt;"Y",AE39&lt;='Outfall 1 Limits'!$AL$60),0,(1*AE39)),AE39),"")</f>
        <v/>
      </c>
      <c r="DK39" s="29" t="str">
        <f>IF(AG39&lt;&gt;"",IF(AF39="&lt;",IF(AND('Outfall 1 Limits'!$AM$64="Y",$CG$54&lt;&gt;"Y",AG39&lt;='Outfall 1 Limits'!$AL$64),0,(1*AG39)),AG39),"")</f>
        <v/>
      </c>
      <c r="DL39" s="29" t="str">
        <f>IF(AI39&lt;&gt;"",IF(AH39="&lt;",IF(AND('Outfall 1 Limits'!$AM$68="Y",$CH$54&lt;&gt;"Y",AI39&lt;='Outfall 1 Limits'!$AL$68),0,(1*AI39)),AI39),"")</f>
        <v/>
      </c>
      <c r="EB39" s="222" t="s">
        <v>1142</v>
      </c>
      <c r="EC39" s="84" t="str">
        <f>IF(EC32&lt;&gt;"",IF(BU60="Y",EC32-0.1,EC32),"")</f>
        <v/>
      </c>
      <c r="ED39" s="85" t="str">
        <f t="shared" ref="ED39:EP39" si="87">IF(ED32&lt;&gt;"",IF(BV60="Y",ED32-0.1,ED32),"")</f>
        <v/>
      </c>
      <c r="EE39" s="85" t="str">
        <f t="shared" si="87"/>
        <v/>
      </c>
      <c r="EF39" s="85" t="str">
        <f t="shared" si="87"/>
        <v/>
      </c>
      <c r="EG39" s="85" t="str">
        <f t="shared" si="87"/>
        <v/>
      </c>
      <c r="EH39" s="85" t="str">
        <f t="shared" si="87"/>
        <v/>
      </c>
      <c r="EI39" s="85" t="str">
        <f t="shared" si="87"/>
        <v/>
      </c>
      <c r="EJ39" s="85" t="str">
        <f t="shared" si="87"/>
        <v/>
      </c>
      <c r="EK39" s="85" t="str">
        <f t="shared" si="87"/>
        <v/>
      </c>
      <c r="EL39" s="85" t="str">
        <f t="shared" si="87"/>
        <v/>
      </c>
      <c r="EM39" s="85" t="str">
        <f t="shared" si="87"/>
        <v/>
      </c>
      <c r="EN39" s="85" t="str">
        <f t="shared" si="87"/>
        <v/>
      </c>
      <c r="EO39" s="85" t="str">
        <f t="shared" si="87"/>
        <v/>
      </c>
      <c r="EP39" s="85" t="str">
        <f t="shared" si="87"/>
        <v/>
      </c>
      <c r="FG39" s="77" t="str">
        <f>IF(AND($G39&lt;&gt;"",$G39&gt;0,'Outfall 1 Limits'!$AX$16="C1",I39&lt;&gt;""),I39*$G39*8.34,IF(AND($I39&lt;&gt;"",'Outfall 1 Limits'!$AX$16="L"),I39,""))</f>
        <v/>
      </c>
      <c r="FH39" s="29" t="str">
        <f>IF(AND($G39&lt;&gt;"",$G39&gt;0,'Outfall 1 Limits'!$AX$20="C1",$K39&lt;&gt;""),$K39*$G39*8.34,IF(AND($K39&lt;&gt;"",'Outfall 1 Limits'!$AX$20="L"),$K39,""))</f>
        <v/>
      </c>
      <c r="FI39" s="29" t="str">
        <f>IF(AND($G39&lt;&gt;"",$G39&gt;0,'Outfall 1 Limits'!$AX$24="C1",$M39&lt;&gt;""),$M39*$G39*8.34,IF(AND($M39&lt;&gt;"",'Outfall 1 Limits'!$AX$24="L"),$M39,""))</f>
        <v/>
      </c>
      <c r="FJ39" s="29" t="str">
        <f>IF(AND($G39&lt;&gt;"",$G39&gt;0,'Outfall 1 Limits'!$AX$28="C1",$O39&lt;&gt;""),$O39*$G39*8.34,IF(AND($O39&lt;&gt;"",'Outfall 1 Limits'!$AX$28="L"),$O39,""))</f>
        <v/>
      </c>
      <c r="FK39" s="29" t="str">
        <f>IF(AND($G39&lt;&gt;"",$G39&gt;0,'Outfall 1 Limits'!$AX$32="C1",$Q39&lt;&gt;""),$Q39*$G39*8.34,IF(AND($Q39&lt;&gt;"",'Outfall 1 Limits'!$AX$32="L"),$Q39,""))</f>
        <v/>
      </c>
      <c r="FL39" s="29" t="str">
        <f>IF(AND($G39&lt;&gt;"",$G39&gt;0,'Outfall 1 Limits'!$AX$36="C1",$S39&lt;&gt;""),$S39*$G39*8.34,IF(AND($S39&lt;&gt;"",'Outfall 1 Limits'!$AX$36="L"),$S39,""))</f>
        <v/>
      </c>
      <c r="FM39" s="29" t="str">
        <f>IF(AND($G39&lt;&gt;"",$G39&gt;0,'Outfall 1 Limits'!$AX$40="C1",$U39&lt;&gt;""),$U39*$G39*8.34,IF(AND($U39&lt;&gt;"",'Outfall 1 Limits'!$AX$40="L"),$U39,""))</f>
        <v/>
      </c>
      <c r="FN39" s="29" t="str">
        <f>IF(AND($G39&lt;&gt;"",$G39&gt;0,'Outfall 1 Limits'!$AX$44="C1",$W39&lt;&gt;""),$W39*$G39*8.34,IF(AND($W39&lt;&gt;"",'Outfall 1 Limits'!$AX$44="L"),$W39,""))</f>
        <v/>
      </c>
      <c r="FO39" s="29" t="str">
        <f>IF(AND($G39&lt;&gt;"",$G39&gt;0,'Outfall 1 Limits'!$AX$48="C1",$Y39&lt;&gt;""),$Y39*$G39*8.34,IF(AND($Y39&lt;&gt;"",'Outfall 1 Limits'!$AX$48="L"),$Y39,""))</f>
        <v/>
      </c>
      <c r="FP39" s="29" t="str">
        <f>IF(AND($G39&lt;&gt;"",$G39&gt;0,'Outfall 1 Limits'!$AX$52="C1",$AA39&lt;&gt;""),$AA39*$G39*8.34,IF(AND($AA39&lt;&gt;"",'Outfall 1 Limits'!$AX$52="L"),$AA39,""))</f>
        <v/>
      </c>
      <c r="FQ39" s="29" t="str">
        <f>IF(AND($G39&lt;&gt;"",$G39&gt;0,'Outfall 1 Limits'!$AX$56="C1",$AC39&lt;&gt;""),$AC39*$G39*8.34,IF(AND($AC39&lt;&gt;"",'Outfall 1 Limits'!$AX$56="L"),$AC39,""))</f>
        <v/>
      </c>
      <c r="FR39" s="29" t="str">
        <f>IF(AND($G39&lt;&gt;"",$G39&gt;0,'Outfall 1 Limits'!$AX$60="C1",$AE39&lt;&gt;""),$AE39*$G39*8.34,IF(AND($AE39&lt;&gt;"",'Outfall 1 Limits'!$AX$60="L"),$AE39,""))</f>
        <v/>
      </c>
      <c r="FS39" s="29" t="str">
        <f>IF(AND($G39&lt;&gt;"",$G39&gt;0,'Outfall 1 Limits'!$AX$64="C1",$AG39&lt;&gt;""),$AG39*$G39*8.34,IF(AND($AG39&lt;&gt;"",'Outfall 1 Limits'!$AX$64="L"),$AG39,""))</f>
        <v/>
      </c>
      <c r="FT39" s="29" t="str">
        <f>IF(AND($G39&lt;&gt;"",$G39&gt;0,'Outfall 1 Limits'!$AX$68="C1",$AI39&lt;&gt;""),$AI39*$G39*8.34,IF(AND($AI39&lt;&gt;"",'Outfall 1 Limits'!$AX$68="L"),$AI39,""))</f>
        <v/>
      </c>
      <c r="GJ39" s="29" t="str">
        <f t="shared" si="29"/>
        <v/>
      </c>
      <c r="GK39" s="77" t="str">
        <f>IF(AND($G39&lt;&gt;"",$G39&gt;0,'Outfall 1 Limits'!$AX$16="C1",CY39&lt;&gt;""),CY39*$G39*8.34,IF(AND(CY39&lt;&gt;"",'Outfall 1 Limits'!$AX$16="L"),CY39,""))</f>
        <v/>
      </c>
      <c r="GL39" s="29" t="str">
        <f>IF(AND($G39&lt;&gt;"",$G39&gt;0,'Outfall 1 Limits'!$AX$20="C1",CZ39&lt;&gt;""),CZ39*$G39*8.34,IF(AND(CZ39&lt;&gt;"",'Outfall 1 Limits'!$AX$20="L"),CZ39,""))</f>
        <v/>
      </c>
      <c r="GM39" s="29" t="str">
        <f>IF(AND($G39&lt;&gt;"",$G39&gt;0,'Outfall 1 Limits'!$AX$24="C1",DA39&lt;&gt;""),DA39*$G39*8.34,IF(AND(DA39&lt;&gt;"",'Outfall 1 Limits'!$AX$24="L"),DA39,""))</f>
        <v/>
      </c>
      <c r="GN39" s="29" t="str">
        <f>IF(AND($G39&lt;&gt;"",$G39&gt;0,'Outfall 1 Limits'!$AX$28="C1",DB39&lt;&gt;""),DB39*$G39*8.34,IF(AND(DB39&lt;&gt;"",'Outfall 1 Limits'!$AX$28="L"),DB39,""))</f>
        <v/>
      </c>
      <c r="GO39" s="29" t="str">
        <f>IF(AND($G39&lt;&gt;"",$G39&gt;0,'Outfall 1 Limits'!$AX$32="C1",DC39&lt;&gt;""),DC39*$G39*8.34,IF(AND(DC39&lt;&gt;"",'Outfall 1 Limits'!$AX$32="L"),DC39,""))</f>
        <v/>
      </c>
      <c r="GP39" s="29" t="str">
        <f>IF(AND($G39&lt;&gt;"",$G39&gt;0,'Outfall 1 Limits'!$AX$36="C1",DD39&lt;&gt;""),DD39*$G39*8.34,IF(AND(DD39&lt;&gt;"",'Outfall 1 Limits'!$AX$36="L"),DD39,""))</f>
        <v/>
      </c>
      <c r="GQ39" s="29" t="str">
        <f>IF(AND($G39&lt;&gt;"",$G39&gt;0,'Outfall 1 Limits'!$AX$40="C1",DE39&lt;&gt;""),DE39*$G39*8.34,IF(AND(DE39&lt;&gt;"",'Outfall 1 Limits'!$AX$40="L"),DE39,""))</f>
        <v/>
      </c>
      <c r="GR39" s="29" t="str">
        <f>IF(AND($G39&lt;&gt;"",$G39&gt;0,'Outfall 1 Limits'!$AX$44="C1",DF39&lt;&gt;""),DF39*$G39*8.34,IF(AND(DF39&lt;&gt;"",'Outfall 1 Limits'!$AX$44="L"),DF39,""))</f>
        <v/>
      </c>
      <c r="GS39" s="29" t="str">
        <f>IF(AND($G39&lt;&gt;"",$G39&gt;0,'Outfall 1 Limits'!$AX$48="C1",DG39&lt;&gt;""),DG39*$G39*8.34,IF(AND(DG39&lt;&gt;"",'Outfall 1 Limits'!$AX$48="L"),DG39,""))</f>
        <v/>
      </c>
      <c r="GT39" s="29" t="str">
        <f>IF(AND($G39&lt;&gt;"",$G39&gt;0,'Outfall 1 Limits'!$AX$52="C1",DH39&lt;&gt;""),DH39*$G39*8.34,IF(AND(DH39&lt;&gt;"",'Outfall 1 Limits'!$AX$52="L"),DH39,""))</f>
        <v/>
      </c>
      <c r="GU39" s="29" t="str">
        <f>IF(AND($G39&lt;&gt;"",$G39&gt;0,'Outfall 1 Limits'!$AX$56="C1",DI39&lt;&gt;""),DI39*$G39*8.34,IF(AND(DI39&lt;&gt;"",'Outfall 1 Limits'!$AX$56="L"),DI39,""))</f>
        <v/>
      </c>
      <c r="GV39" s="29" t="str">
        <f>IF(AND($G39&lt;&gt;"",$G39&gt;0,'Outfall 1 Limits'!$AX$60="C1",DJ39&lt;&gt;""),DJ39*$G39*8.34,IF(AND(DJ39&lt;&gt;"",'Outfall 1 Limits'!$AX$60="L"),DJ39,""))</f>
        <v/>
      </c>
      <c r="GW39" s="29" t="str">
        <f>IF(AND($G39&lt;&gt;"",$G39&gt;0,'Outfall 1 Limits'!$AX$64="C1",DK39&lt;&gt;""),DK39*$G39*8.34,IF(AND(DK39&lt;&gt;"",'Outfall 1 Limits'!$AX$64="L"),DK39,""))</f>
        <v/>
      </c>
      <c r="GX39" s="29" t="str">
        <f>IF(AND($G39&lt;&gt;"",$G39&gt;0,'Outfall 1 Limits'!$AX$68="C1",DL39&lt;&gt;""),DL39*$G39*8.34,IF(AND(DL39&lt;&gt;"",'Outfall 1 Limits'!$AX$68="L"),DL39,""))</f>
        <v/>
      </c>
      <c r="HO39" s="98" t="str">
        <f t="shared" si="30"/>
        <v/>
      </c>
      <c r="HS39" s="68" t="str">
        <f t="shared" si="31"/>
        <v/>
      </c>
      <c r="HT39" s="188" t="str">
        <f t="shared" si="32"/>
        <v/>
      </c>
      <c r="HU39" s="188" t="str">
        <f t="shared" si="33"/>
        <v/>
      </c>
      <c r="HV39" s="188" t="str">
        <f t="shared" si="34"/>
        <v/>
      </c>
      <c r="HW39" s="188" t="str">
        <f t="shared" si="35"/>
        <v/>
      </c>
      <c r="HX39" s="188" t="str">
        <f t="shared" si="36"/>
        <v/>
      </c>
      <c r="HY39" s="188" t="str">
        <f t="shared" si="37"/>
        <v/>
      </c>
      <c r="HZ39" s="188" t="str">
        <f t="shared" si="38"/>
        <v/>
      </c>
      <c r="IA39" s="188" t="str">
        <f t="shared" si="39"/>
        <v/>
      </c>
      <c r="IB39" s="188" t="str">
        <f t="shared" si="40"/>
        <v/>
      </c>
      <c r="IC39" s="188" t="str">
        <f t="shared" si="41"/>
        <v/>
      </c>
      <c r="ID39" s="188" t="str">
        <f t="shared" si="42"/>
        <v/>
      </c>
      <c r="IE39" s="188" t="str">
        <f t="shared" si="43"/>
        <v/>
      </c>
      <c r="IF39" s="188" t="str">
        <f t="shared" si="44"/>
        <v/>
      </c>
      <c r="IX39" s="68" t="str">
        <f t="shared" si="45"/>
        <v/>
      </c>
      <c r="IY39" s="188" t="str">
        <f t="shared" si="46"/>
        <v/>
      </c>
      <c r="IZ39" s="188" t="str">
        <f t="shared" si="47"/>
        <v/>
      </c>
      <c r="JA39" s="188" t="str">
        <f t="shared" si="48"/>
        <v/>
      </c>
      <c r="JB39" s="188" t="str">
        <f t="shared" si="49"/>
        <v/>
      </c>
      <c r="JC39" s="188" t="str">
        <f t="shared" si="50"/>
        <v/>
      </c>
      <c r="JD39" s="188" t="str">
        <f t="shared" si="51"/>
        <v/>
      </c>
      <c r="JE39" s="188" t="str">
        <f t="shared" si="52"/>
        <v/>
      </c>
      <c r="JF39" s="188" t="str">
        <f t="shared" si="53"/>
        <v/>
      </c>
      <c r="JG39" s="188" t="str">
        <f t="shared" si="54"/>
        <v/>
      </c>
      <c r="JH39" s="188" t="str">
        <f t="shared" si="55"/>
        <v/>
      </c>
      <c r="JI39" s="188" t="str">
        <f t="shared" si="56"/>
        <v/>
      </c>
      <c r="JJ39" s="188" t="str">
        <f t="shared" si="57"/>
        <v/>
      </c>
      <c r="JK39" s="188" t="str">
        <f t="shared" si="58"/>
        <v/>
      </c>
      <c r="KA39" s="188"/>
      <c r="KB39" s="2"/>
      <c r="KC39" s="226"/>
      <c r="KD39" s="164" t="str">
        <f t="shared" si="1"/>
        <v/>
      </c>
      <c r="KE39" s="188" t="str">
        <f t="shared" si="2"/>
        <v/>
      </c>
      <c r="KF39" s="188" t="str">
        <f t="shared" si="3"/>
        <v/>
      </c>
      <c r="KG39" s="188" t="str">
        <f t="shared" si="4"/>
        <v/>
      </c>
      <c r="KH39" s="188" t="str">
        <f t="shared" si="5"/>
        <v/>
      </c>
      <c r="KI39" s="188" t="str">
        <f t="shared" si="6"/>
        <v/>
      </c>
      <c r="KJ39" s="188" t="str">
        <f t="shared" si="7"/>
        <v/>
      </c>
      <c r="KK39" s="188" t="str">
        <f t="shared" si="8"/>
        <v/>
      </c>
      <c r="KL39" s="188" t="str">
        <f t="shared" si="9"/>
        <v/>
      </c>
      <c r="KM39" s="188" t="str">
        <f t="shared" si="10"/>
        <v/>
      </c>
      <c r="KN39" s="188" t="str">
        <f t="shared" si="11"/>
        <v/>
      </c>
      <c r="KO39" s="188" t="str">
        <f t="shared" si="12"/>
        <v/>
      </c>
      <c r="KP39" s="188" t="str">
        <f t="shared" si="13"/>
        <v/>
      </c>
      <c r="KQ39" s="188" t="str">
        <f t="shared" si="14"/>
        <v/>
      </c>
    </row>
    <row r="40" spans="1:303" s="18" customFormat="1" ht="11.45" customHeight="1" x14ac:dyDescent="0.2">
      <c r="A40" s="38"/>
      <c r="B40" s="48"/>
      <c r="C40" s="421">
        <f t="shared" si="0"/>
        <v>45314</v>
      </c>
      <c r="D40" s="421"/>
      <c r="E40" s="422">
        <f t="shared" si="59"/>
        <v>45314</v>
      </c>
      <c r="F40" s="423"/>
      <c r="G40" s="31"/>
      <c r="H40" s="45"/>
      <c r="I40" s="44"/>
      <c r="J40" s="45"/>
      <c r="K40" s="44"/>
      <c r="L40" s="45"/>
      <c r="M40" s="44"/>
      <c r="N40" s="45"/>
      <c r="O40" s="44"/>
      <c r="P40" s="45"/>
      <c r="Q40" s="44"/>
      <c r="R40" s="45"/>
      <c r="S40" s="44"/>
      <c r="T40" s="45"/>
      <c r="U40" s="44"/>
      <c r="V40" s="45"/>
      <c r="W40" s="44"/>
      <c r="X40" s="45"/>
      <c r="Y40" s="44"/>
      <c r="Z40" s="45"/>
      <c r="AA40" s="44"/>
      <c r="AB40" s="45"/>
      <c r="AC40" s="44"/>
      <c r="AD40" s="45"/>
      <c r="AE40" s="44"/>
      <c r="AF40" s="45"/>
      <c r="AG40" s="44"/>
      <c r="AH40" s="45"/>
      <c r="AI40" s="127"/>
      <c r="AJ40" s="236"/>
      <c r="BO40" s="188"/>
      <c r="BP40" s="267">
        <v>2059</v>
      </c>
      <c r="BQ40" s="224" t="s">
        <v>54</v>
      </c>
      <c r="BR40" s="225"/>
      <c r="BS40" s="188" t="s">
        <v>1111</v>
      </c>
      <c r="BU40" s="68" t="str">
        <f t="shared" si="15"/>
        <v/>
      </c>
      <c r="BV40" s="188" t="str">
        <f t="shared" si="16"/>
        <v/>
      </c>
      <c r="BW40" s="188" t="str">
        <f t="shared" si="17"/>
        <v/>
      </c>
      <c r="BX40" s="188" t="str">
        <f t="shared" si="18"/>
        <v/>
      </c>
      <c r="BY40" s="188" t="str">
        <f t="shared" si="19"/>
        <v/>
      </c>
      <c r="BZ40" s="188" t="str">
        <f t="shared" si="20"/>
        <v/>
      </c>
      <c r="CA40" s="188" t="str">
        <f t="shared" si="21"/>
        <v/>
      </c>
      <c r="CB40" s="188" t="str">
        <f t="shared" si="22"/>
        <v/>
      </c>
      <c r="CC40" s="188" t="str">
        <f t="shared" si="23"/>
        <v/>
      </c>
      <c r="CD40" s="188" t="str">
        <f t="shared" si="24"/>
        <v/>
      </c>
      <c r="CE40" s="188" t="str">
        <f t="shared" si="25"/>
        <v/>
      </c>
      <c r="CF40" s="188" t="str">
        <f t="shared" si="26"/>
        <v/>
      </c>
      <c r="CG40" s="188" t="str">
        <f t="shared" si="27"/>
        <v/>
      </c>
      <c r="CH40" s="188" t="str">
        <f t="shared" si="28"/>
        <v/>
      </c>
      <c r="CY40" s="77" t="str">
        <f>IF(I40&lt;&gt;"",IF(H40="&lt;",IF(AND('Outfall 1 Limits'!$AM$16="Y",$BU$54&lt;&gt;"Y",I40&lt;='Outfall 1 Limits'!$AL$16),0,(1*I40)),I40),"")</f>
        <v/>
      </c>
      <c r="CZ40" s="29" t="str">
        <f>IF(K40&lt;&gt;"",IF(J40="&lt;",IF(AND('Outfall 1 Limits'!$AM$20="Y",$BV$54&lt;&gt;"Y",K40&lt;='Outfall 1 Limits'!$AL$20),0,(1*K40)),K40),"")</f>
        <v/>
      </c>
      <c r="DA40" s="29" t="str">
        <f>IF(M40&lt;&gt;"",IF(L40="&lt;",IF(AND('Outfall 1 Limits'!$AM$24="Y",$BW$54&lt;&gt;"Y",M40&lt;='Outfall 1 Limits'!$AL$24),0,(1*M40)),M40),"")</f>
        <v/>
      </c>
      <c r="DB40" s="29" t="str">
        <f>IF(O40&lt;&gt;"",IF(N40="&lt;",IF(AND('Outfall 1 Limits'!$AM$28="Y",$BX$54&lt;&gt;"Y",O40&lt;='Outfall 1 Limits'!$AL$28),0,(1*O40)),O40),"")</f>
        <v/>
      </c>
      <c r="DC40" s="29" t="str">
        <f>IF(Q40&lt;&gt;"",IF(P40="&lt;",IF(AND('Outfall 1 Limits'!$AM$32="Y",$BY$54&lt;&gt;"Y",Q40&lt;='Outfall 1 Limits'!$AL$32),0,(1*Q40)),Q40),"")</f>
        <v/>
      </c>
      <c r="DD40" s="29" t="str">
        <f>IF(S40&lt;&gt;"",IF(R40="&lt;",IF(AND('Outfall 1 Limits'!$AM$36="Y",$BZ$54&lt;&gt;"Y",S40&lt;='Outfall 1 Limits'!$AL$36),0,(1*S40)),S40),"")</f>
        <v/>
      </c>
      <c r="DE40" s="29" t="str">
        <f>IF(U40&lt;&gt;"",IF(T40="&lt;",IF(AND('Outfall 1 Limits'!$AM$40="Y",$CA$54&lt;&gt;"Y",U40&lt;='Outfall 1 Limits'!$AL$40),0,(1*U40)),U40),"")</f>
        <v/>
      </c>
      <c r="DF40" s="29" t="str">
        <f>IF(W40&lt;&gt;"",IF(V40="&lt;",IF(AND('Outfall 1 Limits'!$AM$44="Y",$CB$54&lt;&gt;"Y",W40&lt;='Outfall 1 Limits'!$AL$44),0,(1*W40)),W40),"")</f>
        <v/>
      </c>
      <c r="DG40" s="29" t="str">
        <f>IF(Y40&lt;&gt;"",IF(X40="&lt;",IF(AND('Outfall 1 Limits'!$AM$48="Y",$CC$54&lt;&gt;"Y",Y40&lt;='Outfall 1 Limits'!$AL$48),0,(1*Y40)),Y40),"")</f>
        <v/>
      </c>
      <c r="DH40" s="29" t="str">
        <f>IF(AA40&lt;&gt;"",IF(Z40="&lt;",IF(AND('Outfall 1 Limits'!$AM$52="Y",$CD$54&lt;&gt;"Y",AA40&lt;='Outfall 1 Limits'!$AL$52),0,(1*AA40)),AA40),"")</f>
        <v/>
      </c>
      <c r="DI40" s="29" t="str">
        <f>IF(AC40&lt;&gt;"",IF(AB40="&lt;",IF(AND('Outfall 1 Limits'!$AM$56="Y",$CE$54&lt;&gt;"Y",AC40&lt;='Outfall 1 Limits'!$AL$56),0,(1*AC40)),AC40),"")</f>
        <v/>
      </c>
      <c r="DJ40" s="29" t="str">
        <f>IF(AE40&lt;&gt;"",IF(AD40="&lt;",IF(AND('Outfall 1 Limits'!$AM$60="Y",$CF$54&lt;&gt;"Y",AE40&lt;='Outfall 1 Limits'!$AL$60),0,(1*AE40)),AE40),"")</f>
        <v/>
      </c>
      <c r="DK40" s="29" t="str">
        <f>IF(AG40&lt;&gt;"",IF(AF40="&lt;",IF(AND('Outfall 1 Limits'!$AM$64="Y",$CG$54&lt;&gt;"Y",AG40&lt;='Outfall 1 Limits'!$AL$64),0,(1*AG40)),AG40),"")</f>
        <v/>
      </c>
      <c r="DL40" s="29" t="str">
        <f>IF(AI40&lt;&gt;"",IF(AH40="&lt;",IF(AND('Outfall 1 Limits'!$AM$68="Y",$CH$54&lt;&gt;"Y",AI40&lt;='Outfall 1 Limits'!$AL$68),0,(1*AI40)),AI40),"")</f>
        <v/>
      </c>
      <c r="EB40" s="222" t="s">
        <v>1143</v>
      </c>
      <c r="EC40" s="84" t="str">
        <f>IF(EC33&lt;&gt;"",IF(BU62="Y",EC33-0.1,EC33),"")</f>
        <v/>
      </c>
      <c r="ED40" s="85" t="str">
        <f t="shared" ref="ED40:EP40" si="88">IF(ED33&lt;&gt;"",IF(BV62="Y",ED33-0.1,ED33),"")</f>
        <v/>
      </c>
      <c r="EE40" s="85" t="str">
        <f t="shared" si="88"/>
        <v/>
      </c>
      <c r="EF40" s="85" t="str">
        <f t="shared" si="88"/>
        <v/>
      </c>
      <c r="EG40" s="85" t="str">
        <f t="shared" si="88"/>
        <v/>
      </c>
      <c r="EH40" s="85" t="str">
        <f t="shared" si="88"/>
        <v/>
      </c>
      <c r="EI40" s="85" t="str">
        <f t="shared" si="88"/>
        <v/>
      </c>
      <c r="EJ40" s="85" t="str">
        <f t="shared" si="88"/>
        <v/>
      </c>
      <c r="EK40" s="85" t="str">
        <f t="shared" si="88"/>
        <v/>
      </c>
      <c r="EL40" s="85" t="str">
        <f t="shared" si="88"/>
        <v/>
      </c>
      <c r="EM40" s="85" t="str">
        <f t="shared" si="88"/>
        <v/>
      </c>
      <c r="EN40" s="85" t="str">
        <f t="shared" si="88"/>
        <v/>
      </c>
      <c r="EO40" s="85" t="str">
        <f t="shared" si="88"/>
        <v/>
      </c>
      <c r="EP40" s="85" t="str">
        <f t="shared" si="88"/>
        <v/>
      </c>
      <c r="FG40" s="77" t="str">
        <f>IF(AND($G40&lt;&gt;"",$G40&gt;0,'Outfall 1 Limits'!$AX$16="C1",I40&lt;&gt;""),I40*$G40*8.34,IF(AND($I40&lt;&gt;"",'Outfall 1 Limits'!$AX$16="L"),I40,""))</f>
        <v/>
      </c>
      <c r="FH40" s="29" t="str">
        <f>IF(AND($G40&lt;&gt;"",$G40&gt;0,'Outfall 1 Limits'!$AX$20="C1",$K40&lt;&gt;""),$K40*$G40*8.34,IF(AND($K40&lt;&gt;"",'Outfall 1 Limits'!$AX$20="L"),$K40,""))</f>
        <v/>
      </c>
      <c r="FI40" s="29" t="str">
        <f>IF(AND($G40&lt;&gt;"",$G40&gt;0,'Outfall 1 Limits'!$AX$24="C1",$M40&lt;&gt;""),$M40*$G40*8.34,IF(AND($M40&lt;&gt;"",'Outfall 1 Limits'!$AX$24="L"),$M40,""))</f>
        <v/>
      </c>
      <c r="FJ40" s="29" t="str">
        <f>IF(AND($G40&lt;&gt;"",$G40&gt;0,'Outfall 1 Limits'!$AX$28="C1",$O40&lt;&gt;""),$O40*$G40*8.34,IF(AND($O40&lt;&gt;"",'Outfall 1 Limits'!$AX$28="L"),$O40,""))</f>
        <v/>
      </c>
      <c r="FK40" s="29" t="str">
        <f>IF(AND($G40&lt;&gt;"",$G40&gt;0,'Outfall 1 Limits'!$AX$32="C1",$Q40&lt;&gt;""),$Q40*$G40*8.34,IF(AND($Q40&lt;&gt;"",'Outfall 1 Limits'!$AX$32="L"),$Q40,""))</f>
        <v/>
      </c>
      <c r="FL40" s="29" t="str">
        <f>IF(AND($G40&lt;&gt;"",$G40&gt;0,'Outfall 1 Limits'!$AX$36="C1",$S40&lt;&gt;""),$S40*$G40*8.34,IF(AND($S40&lt;&gt;"",'Outfall 1 Limits'!$AX$36="L"),$S40,""))</f>
        <v/>
      </c>
      <c r="FM40" s="29" t="str">
        <f>IF(AND($G40&lt;&gt;"",$G40&gt;0,'Outfall 1 Limits'!$AX$40="C1",$U40&lt;&gt;""),$U40*$G40*8.34,IF(AND($U40&lt;&gt;"",'Outfall 1 Limits'!$AX$40="L"),$U40,""))</f>
        <v/>
      </c>
      <c r="FN40" s="29" t="str">
        <f>IF(AND($G40&lt;&gt;"",$G40&gt;0,'Outfall 1 Limits'!$AX$44="C1",$W40&lt;&gt;""),$W40*$G40*8.34,IF(AND($W40&lt;&gt;"",'Outfall 1 Limits'!$AX$44="L"),$W40,""))</f>
        <v/>
      </c>
      <c r="FO40" s="29" t="str">
        <f>IF(AND($G40&lt;&gt;"",$G40&gt;0,'Outfall 1 Limits'!$AX$48="C1",$Y40&lt;&gt;""),$Y40*$G40*8.34,IF(AND($Y40&lt;&gt;"",'Outfall 1 Limits'!$AX$48="L"),$Y40,""))</f>
        <v/>
      </c>
      <c r="FP40" s="29" t="str">
        <f>IF(AND($G40&lt;&gt;"",$G40&gt;0,'Outfall 1 Limits'!$AX$52="C1",$AA40&lt;&gt;""),$AA40*$G40*8.34,IF(AND($AA40&lt;&gt;"",'Outfall 1 Limits'!$AX$52="L"),$AA40,""))</f>
        <v/>
      </c>
      <c r="FQ40" s="29" t="str">
        <f>IF(AND($G40&lt;&gt;"",$G40&gt;0,'Outfall 1 Limits'!$AX$56="C1",$AC40&lt;&gt;""),$AC40*$G40*8.34,IF(AND($AC40&lt;&gt;"",'Outfall 1 Limits'!$AX$56="L"),$AC40,""))</f>
        <v/>
      </c>
      <c r="FR40" s="29" t="str">
        <f>IF(AND($G40&lt;&gt;"",$G40&gt;0,'Outfall 1 Limits'!$AX$60="C1",$AE40&lt;&gt;""),$AE40*$G40*8.34,IF(AND($AE40&lt;&gt;"",'Outfall 1 Limits'!$AX$60="L"),$AE40,""))</f>
        <v/>
      </c>
      <c r="FS40" s="29" t="str">
        <f>IF(AND($G40&lt;&gt;"",$G40&gt;0,'Outfall 1 Limits'!$AX$64="C1",$AG40&lt;&gt;""),$AG40*$G40*8.34,IF(AND($AG40&lt;&gt;"",'Outfall 1 Limits'!$AX$64="L"),$AG40,""))</f>
        <v/>
      </c>
      <c r="FT40" s="29" t="str">
        <f>IF(AND($G40&lt;&gt;"",$G40&gt;0,'Outfall 1 Limits'!$AX$68="C1",$AI40&lt;&gt;""),$AI40*$G40*8.34,IF(AND($AI40&lt;&gt;"",'Outfall 1 Limits'!$AX$68="L"),$AI40,""))</f>
        <v/>
      </c>
      <c r="GJ40" s="29" t="str">
        <f t="shared" si="29"/>
        <v/>
      </c>
      <c r="GK40" s="77" t="str">
        <f>IF(AND($G40&lt;&gt;"",$G40&gt;0,'Outfall 1 Limits'!$AX$16="C1",CY40&lt;&gt;""),CY40*$G40*8.34,IF(AND(CY40&lt;&gt;"",'Outfall 1 Limits'!$AX$16="L"),CY40,""))</f>
        <v/>
      </c>
      <c r="GL40" s="29" t="str">
        <f>IF(AND($G40&lt;&gt;"",$G40&gt;0,'Outfall 1 Limits'!$AX$20="C1",CZ40&lt;&gt;""),CZ40*$G40*8.34,IF(AND(CZ40&lt;&gt;"",'Outfall 1 Limits'!$AX$20="L"),CZ40,""))</f>
        <v/>
      </c>
      <c r="GM40" s="29" t="str">
        <f>IF(AND($G40&lt;&gt;"",$G40&gt;0,'Outfall 1 Limits'!$AX$24="C1",DA40&lt;&gt;""),DA40*$G40*8.34,IF(AND(DA40&lt;&gt;"",'Outfall 1 Limits'!$AX$24="L"),DA40,""))</f>
        <v/>
      </c>
      <c r="GN40" s="29" t="str">
        <f>IF(AND($G40&lt;&gt;"",$G40&gt;0,'Outfall 1 Limits'!$AX$28="C1",DB40&lt;&gt;""),DB40*$G40*8.34,IF(AND(DB40&lt;&gt;"",'Outfall 1 Limits'!$AX$28="L"),DB40,""))</f>
        <v/>
      </c>
      <c r="GO40" s="29" t="str">
        <f>IF(AND($G40&lt;&gt;"",$G40&gt;0,'Outfall 1 Limits'!$AX$32="C1",DC40&lt;&gt;""),DC40*$G40*8.34,IF(AND(DC40&lt;&gt;"",'Outfall 1 Limits'!$AX$32="L"),DC40,""))</f>
        <v/>
      </c>
      <c r="GP40" s="29" t="str">
        <f>IF(AND($G40&lt;&gt;"",$G40&gt;0,'Outfall 1 Limits'!$AX$36="C1",DD40&lt;&gt;""),DD40*$G40*8.34,IF(AND(DD40&lt;&gt;"",'Outfall 1 Limits'!$AX$36="L"),DD40,""))</f>
        <v/>
      </c>
      <c r="GQ40" s="29" t="str">
        <f>IF(AND($G40&lt;&gt;"",$G40&gt;0,'Outfall 1 Limits'!$AX$40="C1",DE40&lt;&gt;""),DE40*$G40*8.34,IF(AND(DE40&lt;&gt;"",'Outfall 1 Limits'!$AX$40="L"),DE40,""))</f>
        <v/>
      </c>
      <c r="GR40" s="29" t="str">
        <f>IF(AND($G40&lt;&gt;"",$G40&gt;0,'Outfall 1 Limits'!$AX$44="C1",DF40&lt;&gt;""),DF40*$G40*8.34,IF(AND(DF40&lt;&gt;"",'Outfall 1 Limits'!$AX$44="L"),DF40,""))</f>
        <v/>
      </c>
      <c r="GS40" s="29" t="str">
        <f>IF(AND($G40&lt;&gt;"",$G40&gt;0,'Outfall 1 Limits'!$AX$48="C1",DG40&lt;&gt;""),DG40*$G40*8.34,IF(AND(DG40&lt;&gt;"",'Outfall 1 Limits'!$AX$48="L"),DG40,""))</f>
        <v/>
      </c>
      <c r="GT40" s="29" t="str">
        <f>IF(AND($G40&lt;&gt;"",$G40&gt;0,'Outfall 1 Limits'!$AX$52="C1",DH40&lt;&gt;""),DH40*$G40*8.34,IF(AND(DH40&lt;&gt;"",'Outfall 1 Limits'!$AX$52="L"),DH40,""))</f>
        <v/>
      </c>
      <c r="GU40" s="29" t="str">
        <f>IF(AND($G40&lt;&gt;"",$G40&gt;0,'Outfall 1 Limits'!$AX$56="C1",DI40&lt;&gt;""),DI40*$G40*8.34,IF(AND(DI40&lt;&gt;"",'Outfall 1 Limits'!$AX$56="L"),DI40,""))</f>
        <v/>
      </c>
      <c r="GV40" s="29" t="str">
        <f>IF(AND($G40&lt;&gt;"",$G40&gt;0,'Outfall 1 Limits'!$AX$60="C1",DJ40&lt;&gt;""),DJ40*$G40*8.34,IF(AND(DJ40&lt;&gt;"",'Outfall 1 Limits'!$AX$60="L"),DJ40,""))</f>
        <v/>
      </c>
      <c r="GW40" s="29" t="str">
        <f>IF(AND($G40&lt;&gt;"",$G40&gt;0,'Outfall 1 Limits'!$AX$64="C1",DK40&lt;&gt;""),DK40*$G40*8.34,IF(AND(DK40&lt;&gt;"",'Outfall 1 Limits'!$AX$64="L"),DK40,""))</f>
        <v/>
      </c>
      <c r="GX40" s="29" t="str">
        <f>IF(AND($G40&lt;&gt;"",$G40&gt;0,'Outfall 1 Limits'!$AX$68="C1",DL40&lt;&gt;""),DL40*$G40*8.34,IF(AND(DL40&lt;&gt;"",'Outfall 1 Limits'!$AX$68="L"),DL40,""))</f>
        <v/>
      </c>
      <c r="HO40" s="98" t="str">
        <f t="shared" si="30"/>
        <v/>
      </c>
      <c r="HS40" s="68" t="str">
        <f t="shared" si="31"/>
        <v/>
      </c>
      <c r="HT40" s="188" t="str">
        <f t="shared" si="32"/>
        <v/>
      </c>
      <c r="HU40" s="188" t="str">
        <f t="shared" si="33"/>
        <v/>
      </c>
      <c r="HV40" s="188" t="str">
        <f t="shared" si="34"/>
        <v/>
      </c>
      <c r="HW40" s="188" t="str">
        <f t="shared" si="35"/>
        <v/>
      </c>
      <c r="HX40" s="188" t="str">
        <f t="shared" si="36"/>
        <v/>
      </c>
      <c r="HY40" s="188" t="str">
        <f t="shared" si="37"/>
        <v/>
      </c>
      <c r="HZ40" s="188" t="str">
        <f t="shared" si="38"/>
        <v/>
      </c>
      <c r="IA40" s="188" t="str">
        <f t="shared" si="39"/>
        <v/>
      </c>
      <c r="IB40" s="188" t="str">
        <f t="shared" si="40"/>
        <v/>
      </c>
      <c r="IC40" s="188" t="str">
        <f t="shared" si="41"/>
        <v/>
      </c>
      <c r="ID40" s="188" t="str">
        <f t="shared" si="42"/>
        <v/>
      </c>
      <c r="IE40" s="188" t="str">
        <f t="shared" si="43"/>
        <v/>
      </c>
      <c r="IF40" s="188" t="str">
        <f t="shared" si="44"/>
        <v/>
      </c>
      <c r="IX40" s="68" t="str">
        <f t="shared" si="45"/>
        <v/>
      </c>
      <c r="IY40" s="188" t="str">
        <f t="shared" si="46"/>
        <v/>
      </c>
      <c r="IZ40" s="188" t="str">
        <f t="shared" si="47"/>
        <v/>
      </c>
      <c r="JA40" s="188" t="str">
        <f t="shared" si="48"/>
        <v/>
      </c>
      <c r="JB40" s="188" t="str">
        <f t="shared" si="49"/>
        <v/>
      </c>
      <c r="JC40" s="188" t="str">
        <f t="shared" si="50"/>
        <v/>
      </c>
      <c r="JD40" s="188" t="str">
        <f t="shared" si="51"/>
        <v/>
      </c>
      <c r="JE40" s="188" t="str">
        <f t="shared" si="52"/>
        <v/>
      </c>
      <c r="JF40" s="188" t="str">
        <f t="shared" si="53"/>
        <v/>
      </c>
      <c r="JG40" s="188" t="str">
        <f t="shared" si="54"/>
        <v/>
      </c>
      <c r="JH40" s="188" t="str">
        <f t="shared" si="55"/>
        <v/>
      </c>
      <c r="JI40" s="188" t="str">
        <f t="shared" si="56"/>
        <v/>
      </c>
      <c r="JJ40" s="188" t="str">
        <f t="shared" si="57"/>
        <v/>
      </c>
      <c r="JK40" s="188" t="str">
        <f t="shared" si="58"/>
        <v/>
      </c>
      <c r="KA40" s="188"/>
      <c r="KB40" s="2"/>
      <c r="KC40" s="226"/>
      <c r="KD40" s="164" t="str">
        <f t="shared" si="1"/>
        <v/>
      </c>
      <c r="KE40" s="188" t="str">
        <f t="shared" si="2"/>
        <v/>
      </c>
      <c r="KF40" s="188" t="str">
        <f t="shared" si="3"/>
        <v/>
      </c>
      <c r="KG40" s="188" t="str">
        <f t="shared" si="4"/>
        <v/>
      </c>
      <c r="KH40" s="188" t="str">
        <f t="shared" si="5"/>
        <v/>
      </c>
      <c r="KI40" s="188" t="str">
        <f t="shared" si="6"/>
        <v/>
      </c>
      <c r="KJ40" s="188" t="str">
        <f t="shared" si="7"/>
        <v/>
      </c>
      <c r="KK40" s="188" t="str">
        <f t="shared" si="8"/>
        <v/>
      </c>
      <c r="KL40" s="188" t="str">
        <f t="shared" si="9"/>
        <v/>
      </c>
      <c r="KM40" s="188" t="str">
        <f t="shared" si="10"/>
        <v/>
      </c>
      <c r="KN40" s="188" t="str">
        <f t="shared" si="11"/>
        <v/>
      </c>
      <c r="KO40" s="188" t="str">
        <f t="shared" si="12"/>
        <v/>
      </c>
      <c r="KP40" s="188" t="str">
        <f t="shared" si="13"/>
        <v/>
      </c>
      <c r="KQ40" s="188" t="str">
        <f t="shared" si="14"/>
        <v/>
      </c>
    </row>
    <row r="41" spans="1:303" s="18" customFormat="1" ht="11.45" customHeight="1" x14ac:dyDescent="0.2">
      <c r="A41" s="38"/>
      <c r="B41" s="48"/>
      <c r="C41" s="421">
        <f t="shared" si="0"/>
        <v>45315</v>
      </c>
      <c r="D41" s="421"/>
      <c r="E41" s="422">
        <f t="shared" si="59"/>
        <v>45315</v>
      </c>
      <c r="F41" s="423"/>
      <c r="G41" s="31"/>
      <c r="H41" s="45"/>
      <c r="I41" s="44"/>
      <c r="J41" s="45"/>
      <c r="K41" s="44"/>
      <c r="L41" s="45"/>
      <c r="M41" s="44"/>
      <c r="N41" s="45"/>
      <c r="O41" s="44"/>
      <c r="P41" s="45"/>
      <c r="Q41" s="44"/>
      <c r="R41" s="45"/>
      <c r="S41" s="44"/>
      <c r="T41" s="45"/>
      <c r="U41" s="44"/>
      <c r="V41" s="45"/>
      <c r="W41" s="44"/>
      <c r="X41" s="45"/>
      <c r="Y41" s="44"/>
      <c r="Z41" s="45"/>
      <c r="AA41" s="44"/>
      <c r="AB41" s="45"/>
      <c r="AC41" s="44"/>
      <c r="AD41" s="45"/>
      <c r="AE41" s="44"/>
      <c r="AF41" s="45"/>
      <c r="AG41" s="44"/>
      <c r="AH41" s="45"/>
      <c r="AI41" s="127"/>
      <c r="AJ41" s="236"/>
      <c r="BO41" s="188"/>
      <c r="BP41" s="267">
        <v>2060</v>
      </c>
      <c r="BQ41" s="224" t="s">
        <v>55</v>
      </c>
      <c r="BR41" s="225"/>
      <c r="BS41" s="188" t="s">
        <v>1115</v>
      </c>
      <c r="BU41" s="68" t="str">
        <f t="shared" si="15"/>
        <v/>
      </c>
      <c r="BV41" s="188" t="str">
        <f t="shared" si="16"/>
        <v/>
      </c>
      <c r="BW41" s="188" t="str">
        <f t="shared" si="17"/>
        <v/>
      </c>
      <c r="BX41" s="188" t="str">
        <f t="shared" si="18"/>
        <v/>
      </c>
      <c r="BY41" s="188" t="str">
        <f t="shared" si="19"/>
        <v/>
      </c>
      <c r="BZ41" s="188" t="str">
        <f t="shared" si="20"/>
        <v/>
      </c>
      <c r="CA41" s="188" t="str">
        <f t="shared" si="21"/>
        <v/>
      </c>
      <c r="CB41" s="188" t="str">
        <f t="shared" si="22"/>
        <v/>
      </c>
      <c r="CC41" s="188" t="str">
        <f t="shared" si="23"/>
        <v/>
      </c>
      <c r="CD41" s="188" t="str">
        <f t="shared" si="24"/>
        <v/>
      </c>
      <c r="CE41" s="188" t="str">
        <f t="shared" si="25"/>
        <v/>
      </c>
      <c r="CF41" s="188" t="str">
        <f t="shared" si="26"/>
        <v/>
      </c>
      <c r="CG41" s="188" t="str">
        <f t="shared" si="27"/>
        <v/>
      </c>
      <c r="CH41" s="188" t="str">
        <f t="shared" si="28"/>
        <v/>
      </c>
      <c r="CY41" s="77" t="str">
        <f>IF(I41&lt;&gt;"",IF(H41="&lt;",IF(AND('Outfall 1 Limits'!$AM$16="Y",$BU$54&lt;&gt;"Y",I41&lt;='Outfall 1 Limits'!$AL$16),0,(1*I41)),I41),"")</f>
        <v/>
      </c>
      <c r="CZ41" s="29" t="str">
        <f>IF(K41&lt;&gt;"",IF(J41="&lt;",IF(AND('Outfall 1 Limits'!$AM$20="Y",$BV$54&lt;&gt;"Y",K41&lt;='Outfall 1 Limits'!$AL$20),0,(1*K41)),K41),"")</f>
        <v/>
      </c>
      <c r="DA41" s="29" t="str">
        <f>IF(M41&lt;&gt;"",IF(L41="&lt;",IF(AND('Outfall 1 Limits'!$AM$24="Y",$BW$54&lt;&gt;"Y",M41&lt;='Outfall 1 Limits'!$AL$24),0,(1*M41)),M41),"")</f>
        <v/>
      </c>
      <c r="DB41" s="29" t="str">
        <f>IF(O41&lt;&gt;"",IF(N41="&lt;",IF(AND('Outfall 1 Limits'!$AM$28="Y",$BX$54&lt;&gt;"Y",O41&lt;='Outfall 1 Limits'!$AL$28),0,(1*O41)),O41),"")</f>
        <v/>
      </c>
      <c r="DC41" s="29" t="str">
        <f>IF(Q41&lt;&gt;"",IF(P41="&lt;",IF(AND('Outfall 1 Limits'!$AM$32="Y",$BY$54&lt;&gt;"Y",Q41&lt;='Outfall 1 Limits'!$AL$32),0,(1*Q41)),Q41),"")</f>
        <v/>
      </c>
      <c r="DD41" s="29" t="str">
        <f>IF(S41&lt;&gt;"",IF(R41="&lt;",IF(AND('Outfall 1 Limits'!$AM$36="Y",$BZ$54&lt;&gt;"Y",S41&lt;='Outfall 1 Limits'!$AL$36),0,(1*S41)),S41),"")</f>
        <v/>
      </c>
      <c r="DE41" s="29" t="str">
        <f>IF(U41&lt;&gt;"",IF(T41="&lt;",IF(AND('Outfall 1 Limits'!$AM$40="Y",$CA$54&lt;&gt;"Y",U41&lt;='Outfall 1 Limits'!$AL$40),0,(1*U41)),U41),"")</f>
        <v/>
      </c>
      <c r="DF41" s="29" t="str">
        <f>IF(W41&lt;&gt;"",IF(V41="&lt;",IF(AND('Outfall 1 Limits'!$AM$44="Y",$CB$54&lt;&gt;"Y",W41&lt;='Outfall 1 Limits'!$AL$44),0,(1*W41)),W41),"")</f>
        <v/>
      </c>
      <c r="DG41" s="29" t="str">
        <f>IF(Y41&lt;&gt;"",IF(X41="&lt;",IF(AND('Outfall 1 Limits'!$AM$48="Y",$CC$54&lt;&gt;"Y",Y41&lt;='Outfall 1 Limits'!$AL$48),0,(1*Y41)),Y41),"")</f>
        <v/>
      </c>
      <c r="DH41" s="29" t="str">
        <f>IF(AA41&lt;&gt;"",IF(Z41="&lt;",IF(AND('Outfall 1 Limits'!$AM$52="Y",$CD$54&lt;&gt;"Y",AA41&lt;='Outfall 1 Limits'!$AL$52),0,(1*AA41)),AA41),"")</f>
        <v/>
      </c>
      <c r="DI41" s="29" t="str">
        <f>IF(AC41&lt;&gt;"",IF(AB41="&lt;",IF(AND('Outfall 1 Limits'!$AM$56="Y",$CE$54&lt;&gt;"Y",AC41&lt;='Outfall 1 Limits'!$AL$56),0,(1*AC41)),AC41),"")</f>
        <v/>
      </c>
      <c r="DJ41" s="29" t="str">
        <f>IF(AE41&lt;&gt;"",IF(AD41="&lt;",IF(AND('Outfall 1 Limits'!$AM$60="Y",$CF$54&lt;&gt;"Y",AE41&lt;='Outfall 1 Limits'!$AL$60),0,(1*AE41)),AE41),"")</f>
        <v/>
      </c>
      <c r="DK41" s="29" t="str">
        <f>IF(AG41&lt;&gt;"",IF(AF41="&lt;",IF(AND('Outfall 1 Limits'!$AM$64="Y",$CG$54&lt;&gt;"Y",AG41&lt;='Outfall 1 Limits'!$AL$64),0,(1*AG41)),AG41),"")</f>
        <v/>
      </c>
      <c r="DL41" s="29" t="str">
        <f>IF(AI41&lt;&gt;"",IF(AH41="&lt;",IF(AND('Outfall 1 Limits'!$AM$68="Y",$CH$54&lt;&gt;"Y",AI41&lt;='Outfall 1 Limits'!$AL$68),0,(1*AI41)),AI41),"")</f>
        <v/>
      </c>
      <c r="EB41" s="222" t="s">
        <v>1144</v>
      </c>
      <c r="EC41" s="84" t="str">
        <f>IF(EC34&lt;&gt;"",IF(BU64="Y",EC34-0.1,EC34),"")</f>
        <v/>
      </c>
      <c r="ED41" s="85" t="str">
        <f t="shared" ref="ED41:EP41" si="89">IF(ED34&lt;&gt;"",IF(BV64="Y",ED34-0.1,ED34),"")</f>
        <v/>
      </c>
      <c r="EE41" s="85" t="str">
        <f t="shared" si="89"/>
        <v/>
      </c>
      <c r="EF41" s="85" t="str">
        <f t="shared" si="89"/>
        <v/>
      </c>
      <c r="EG41" s="85" t="str">
        <f t="shared" si="89"/>
        <v/>
      </c>
      <c r="EH41" s="85" t="str">
        <f t="shared" si="89"/>
        <v/>
      </c>
      <c r="EI41" s="85" t="str">
        <f t="shared" si="89"/>
        <v/>
      </c>
      <c r="EJ41" s="85" t="str">
        <f t="shared" si="89"/>
        <v/>
      </c>
      <c r="EK41" s="85" t="str">
        <f t="shared" si="89"/>
        <v/>
      </c>
      <c r="EL41" s="85" t="str">
        <f t="shared" si="89"/>
        <v/>
      </c>
      <c r="EM41" s="85" t="str">
        <f t="shared" si="89"/>
        <v/>
      </c>
      <c r="EN41" s="85" t="str">
        <f t="shared" si="89"/>
        <v/>
      </c>
      <c r="EO41" s="85" t="str">
        <f t="shared" si="89"/>
        <v/>
      </c>
      <c r="EP41" s="85" t="str">
        <f t="shared" si="89"/>
        <v/>
      </c>
      <c r="FG41" s="77" t="str">
        <f>IF(AND($G41&lt;&gt;"",$G41&gt;0,'Outfall 1 Limits'!$AX$16="C1",I41&lt;&gt;""),I41*$G41*8.34,IF(AND($I41&lt;&gt;"",'Outfall 1 Limits'!$AX$16="L"),I41,""))</f>
        <v/>
      </c>
      <c r="FH41" s="29" t="str">
        <f>IF(AND($G41&lt;&gt;"",$G41&gt;0,'Outfall 1 Limits'!$AX$20="C1",$K41&lt;&gt;""),$K41*$G41*8.34,IF(AND($K41&lt;&gt;"",'Outfall 1 Limits'!$AX$20="L"),$K41,""))</f>
        <v/>
      </c>
      <c r="FI41" s="29" t="str">
        <f>IF(AND($G41&lt;&gt;"",$G41&gt;0,'Outfall 1 Limits'!$AX$24="C1",$M41&lt;&gt;""),$M41*$G41*8.34,IF(AND($M41&lt;&gt;"",'Outfall 1 Limits'!$AX$24="L"),$M41,""))</f>
        <v/>
      </c>
      <c r="FJ41" s="29" t="str">
        <f>IF(AND($G41&lt;&gt;"",$G41&gt;0,'Outfall 1 Limits'!$AX$28="C1",$O41&lt;&gt;""),$O41*$G41*8.34,IF(AND($O41&lt;&gt;"",'Outfall 1 Limits'!$AX$28="L"),$O41,""))</f>
        <v/>
      </c>
      <c r="FK41" s="29" t="str">
        <f>IF(AND($G41&lt;&gt;"",$G41&gt;0,'Outfall 1 Limits'!$AX$32="C1",$Q41&lt;&gt;""),$Q41*$G41*8.34,IF(AND($Q41&lt;&gt;"",'Outfall 1 Limits'!$AX$32="L"),$Q41,""))</f>
        <v/>
      </c>
      <c r="FL41" s="29" t="str">
        <f>IF(AND($G41&lt;&gt;"",$G41&gt;0,'Outfall 1 Limits'!$AX$36="C1",$S41&lt;&gt;""),$S41*$G41*8.34,IF(AND($S41&lt;&gt;"",'Outfall 1 Limits'!$AX$36="L"),$S41,""))</f>
        <v/>
      </c>
      <c r="FM41" s="29" t="str">
        <f>IF(AND($G41&lt;&gt;"",$G41&gt;0,'Outfall 1 Limits'!$AX$40="C1",$U41&lt;&gt;""),$U41*$G41*8.34,IF(AND($U41&lt;&gt;"",'Outfall 1 Limits'!$AX$40="L"),$U41,""))</f>
        <v/>
      </c>
      <c r="FN41" s="29" t="str">
        <f>IF(AND($G41&lt;&gt;"",$G41&gt;0,'Outfall 1 Limits'!$AX$44="C1",$W41&lt;&gt;""),$W41*$G41*8.34,IF(AND($W41&lt;&gt;"",'Outfall 1 Limits'!$AX$44="L"),$W41,""))</f>
        <v/>
      </c>
      <c r="FO41" s="29" t="str">
        <f>IF(AND($G41&lt;&gt;"",$G41&gt;0,'Outfall 1 Limits'!$AX$48="C1",$Y41&lt;&gt;""),$Y41*$G41*8.34,IF(AND($Y41&lt;&gt;"",'Outfall 1 Limits'!$AX$48="L"),$Y41,""))</f>
        <v/>
      </c>
      <c r="FP41" s="29" t="str">
        <f>IF(AND($G41&lt;&gt;"",$G41&gt;0,'Outfall 1 Limits'!$AX$52="C1",$AA41&lt;&gt;""),$AA41*$G41*8.34,IF(AND($AA41&lt;&gt;"",'Outfall 1 Limits'!$AX$52="L"),$AA41,""))</f>
        <v/>
      </c>
      <c r="FQ41" s="29" t="str">
        <f>IF(AND($G41&lt;&gt;"",$G41&gt;0,'Outfall 1 Limits'!$AX$56="C1",$AC41&lt;&gt;""),$AC41*$G41*8.34,IF(AND($AC41&lt;&gt;"",'Outfall 1 Limits'!$AX$56="L"),$AC41,""))</f>
        <v/>
      </c>
      <c r="FR41" s="29" t="str">
        <f>IF(AND($G41&lt;&gt;"",$G41&gt;0,'Outfall 1 Limits'!$AX$60="C1",$AE41&lt;&gt;""),$AE41*$G41*8.34,IF(AND($AE41&lt;&gt;"",'Outfall 1 Limits'!$AX$60="L"),$AE41,""))</f>
        <v/>
      </c>
      <c r="FS41" s="29" t="str">
        <f>IF(AND($G41&lt;&gt;"",$G41&gt;0,'Outfall 1 Limits'!$AX$64="C1",$AG41&lt;&gt;""),$AG41*$G41*8.34,IF(AND($AG41&lt;&gt;"",'Outfall 1 Limits'!$AX$64="L"),$AG41,""))</f>
        <v/>
      </c>
      <c r="FT41" s="29" t="str">
        <f>IF(AND($G41&lt;&gt;"",$G41&gt;0,'Outfall 1 Limits'!$AX$68="C1",$AI41&lt;&gt;""),$AI41*$G41*8.34,IF(AND($AI41&lt;&gt;"",'Outfall 1 Limits'!$AX$68="L"),$AI41,""))</f>
        <v/>
      </c>
      <c r="GJ41" s="29" t="str">
        <f t="shared" si="29"/>
        <v/>
      </c>
      <c r="GK41" s="77" t="str">
        <f>IF(AND($G41&lt;&gt;"",$G41&gt;0,'Outfall 1 Limits'!$AX$16="C1",CY41&lt;&gt;""),CY41*$G41*8.34,IF(AND(CY41&lt;&gt;"",'Outfall 1 Limits'!$AX$16="L"),CY41,""))</f>
        <v/>
      </c>
      <c r="GL41" s="29" t="str">
        <f>IF(AND($G41&lt;&gt;"",$G41&gt;0,'Outfall 1 Limits'!$AX$20="C1",CZ41&lt;&gt;""),CZ41*$G41*8.34,IF(AND(CZ41&lt;&gt;"",'Outfall 1 Limits'!$AX$20="L"),CZ41,""))</f>
        <v/>
      </c>
      <c r="GM41" s="29" t="str">
        <f>IF(AND($G41&lt;&gt;"",$G41&gt;0,'Outfall 1 Limits'!$AX$24="C1",DA41&lt;&gt;""),DA41*$G41*8.34,IF(AND(DA41&lt;&gt;"",'Outfall 1 Limits'!$AX$24="L"),DA41,""))</f>
        <v/>
      </c>
      <c r="GN41" s="29" t="str">
        <f>IF(AND($G41&lt;&gt;"",$G41&gt;0,'Outfall 1 Limits'!$AX$28="C1",DB41&lt;&gt;""),DB41*$G41*8.34,IF(AND(DB41&lt;&gt;"",'Outfall 1 Limits'!$AX$28="L"),DB41,""))</f>
        <v/>
      </c>
      <c r="GO41" s="29" t="str">
        <f>IF(AND($G41&lt;&gt;"",$G41&gt;0,'Outfall 1 Limits'!$AX$32="C1",DC41&lt;&gt;""),DC41*$G41*8.34,IF(AND(DC41&lt;&gt;"",'Outfall 1 Limits'!$AX$32="L"),DC41,""))</f>
        <v/>
      </c>
      <c r="GP41" s="29" t="str">
        <f>IF(AND($G41&lt;&gt;"",$G41&gt;0,'Outfall 1 Limits'!$AX$36="C1",DD41&lt;&gt;""),DD41*$G41*8.34,IF(AND(DD41&lt;&gt;"",'Outfall 1 Limits'!$AX$36="L"),DD41,""))</f>
        <v/>
      </c>
      <c r="GQ41" s="29" t="str">
        <f>IF(AND($G41&lt;&gt;"",$G41&gt;0,'Outfall 1 Limits'!$AX$40="C1",DE41&lt;&gt;""),DE41*$G41*8.34,IF(AND(DE41&lt;&gt;"",'Outfall 1 Limits'!$AX$40="L"),DE41,""))</f>
        <v/>
      </c>
      <c r="GR41" s="29" t="str">
        <f>IF(AND($G41&lt;&gt;"",$G41&gt;0,'Outfall 1 Limits'!$AX$44="C1",DF41&lt;&gt;""),DF41*$G41*8.34,IF(AND(DF41&lt;&gt;"",'Outfall 1 Limits'!$AX$44="L"),DF41,""))</f>
        <v/>
      </c>
      <c r="GS41" s="29" t="str">
        <f>IF(AND($G41&lt;&gt;"",$G41&gt;0,'Outfall 1 Limits'!$AX$48="C1",DG41&lt;&gt;""),DG41*$G41*8.34,IF(AND(DG41&lt;&gt;"",'Outfall 1 Limits'!$AX$48="L"),DG41,""))</f>
        <v/>
      </c>
      <c r="GT41" s="29" t="str">
        <f>IF(AND($G41&lt;&gt;"",$G41&gt;0,'Outfall 1 Limits'!$AX$52="C1",DH41&lt;&gt;""),DH41*$G41*8.34,IF(AND(DH41&lt;&gt;"",'Outfall 1 Limits'!$AX$52="L"),DH41,""))</f>
        <v/>
      </c>
      <c r="GU41" s="29" t="str">
        <f>IF(AND($G41&lt;&gt;"",$G41&gt;0,'Outfall 1 Limits'!$AX$56="C1",DI41&lt;&gt;""),DI41*$G41*8.34,IF(AND(DI41&lt;&gt;"",'Outfall 1 Limits'!$AX$56="L"),DI41,""))</f>
        <v/>
      </c>
      <c r="GV41" s="29" t="str">
        <f>IF(AND($G41&lt;&gt;"",$G41&gt;0,'Outfall 1 Limits'!$AX$60="C1",DJ41&lt;&gt;""),DJ41*$G41*8.34,IF(AND(DJ41&lt;&gt;"",'Outfall 1 Limits'!$AX$60="L"),DJ41,""))</f>
        <v/>
      </c>
      <c r="GW41" s="29" t="str">
        <f>IF(AND($G41&lt;&gt;"",$G41&gt;0,'Outfall 1 Limits'!$AX$64="C1",DK41&lt;&gt;""),DK41*$G41*8.34,IF(AND(DK41&lt;&gt;"",'Outfall 1 Limits'!$AX$64="L"),DK41,""))</f>
        <v/>
      </c>
      <c r="GX41" s="29" t="str">
        <f>IF(AND($G41&lt;&gt;"",$G41&gt;0,'Outfall 1 Limits'!$AX$68="C1",DL41&lt;&gt;""),DL41*$G41*8.34,IF(AND(DL41&lt;&gt;"",'Outfall 1 Limits'!$AX$68="L"),DL41,""))</f>
        <v/>
      </c>
      <c r="HO41" s="98" t="str">
        <f t="shared" si="30"/>
        <v/>
      </c>
      <c r="HS41" s="68" t="str">
        <f t="shared" si="31"/>
        <v/>
      </c>
      <c r="HT41" s="188" t="str">
        <f t="shared" si="32"/>
        <v/>
      </c>
      <c r="HU41" s="188" t="str">
        <f t="shared" si="33"/>
        <v/>
      </c>
      <c r="HV41" s="188" t="str">
        <f t="shared" si="34"/>
        <v/>
      </c>
      <c r="HW41" s="188" t="str">
        <f t="shared" si="35"/>
        <v/>
      </c>
      <c r="HX41" s="188" t="str">
        <f t="shared" si="36"/>
        <v/>
      </c>
      <c r="HY41" s="188" t="str">
        <f t="shared" si="37"/>
        <v/>
      </c>
      <c r="HZ41" s="188" t="str">
        <f t="shared" si="38"/>
        <v/>
      </c>
      <c r="IA41" s="188" t="str">
        <f t="shared" si="39"/>
        <v/>
      </c>
      <c r="IB41" s="188" t="str">
        <f t="shared" si="40"/>
        <v/>
      </c>
      <c r="IC41" s="188" t="str">
        <f t="shared" si="41"/>
        <v/>
      </c>
      <c r="ID41" s="188" t="str">
        <f t="shared" si="42"/>
        <v/>
      </c>
      <c r="IE41" s="188" t="str">
        <f t="shared" si="43"/>
        <v/>
      </c>
      <c r="IF41" s="188" t="str">
        <f t="shared" si="44"/>
        <v/>
      </c>
      <c r="IX41" s="68" t="str">
        <f t="shared" si="45"/>
        <v/>
      </c>
      <c r="IY41" s="188" t="str">
        <f t="shared" si="46"/>
        <v/>
      </c>
      <c r="IZ41" s="188" t="str">
        <f t="shared" si="47"/>
        <v/>
      </c>
      <c r="JA41" s="188" t="str">
        <f t="shared" si="48"/>
        <v/>
      </c>
      <c r="JB41" s="188" t="str">
        <f t="shared" si="49"/>
        <v/>
      </c>
      <c r="JC41" s="188" t="str">
        <f t="shared" si="50"/>
        <v/>
      </c>
      <c r="JD41" s="188" t="str">
        <f t="shared" si="51"/>
        <v/>
      </c>
      <c r="JE41" s="188" t="str">
        <f t="shared" si="52"/>
        <v/>
      </c>
      <c r="JF41" s="188" t="str">
        <f t="shared" si="53"/>
        <v/>
      </c>
      <c r="JG41" s="188" t="str">
        <f t="shared" si="54"/>
        <v/>
      </c>
      <c r="JH41" s="188" t="str">
        <f t="shared" si="55"/>
        <v/>
      </c>
      <c r="JI41" s="188" t="str">
        <f t="shared" si="56"/>
        <v/>
      </c>
      <c r="JJ41" s="188" t="str">
        <f t="shared" si="57"/>
        <v/>
      </c>
      <c r="JK41" s="188" t="str">
        <f t="shared" si="58"/>
        <v/>
      </c>
      <c r="KA41" s="188"/>
      <c r="KB41" s="2"/>
      <c r="KC41" s="226"/>
      <c r="KD41" s="164" t="str">
        <f t="shared" si="1"/>
        <v/>
      </c>
      <c r="KE41" s="188" t="str">
        <f t="shared" si="2"/>
        <v/>
      </c>
      <c r="KF41" s="188" t="str">
        <f t="shared" si="3"/>
        <v/>
      </c>
      <c r="KG41" s="188" t="str">
        <f t="shared" si="4"/>
        <v/>
      </c>
      <c r="KH41" s="188" t="str">
        <f t="shared" si="5"/>
        <v/>
      </c>
      <c r="KI41" s="188" t="str">
        <f t="shared" si="6"/>
        <v/>
      </c>
      <c r="KJ41" s="188" t="str">
        <f t="shared" si="7"/>
        <v/>
      </c>
      <c r="KK41" s="188" t="str">
        <f t="shared" si="8"/>
        <v/>
      </c>
      <c r="KL41" s="188" t="str">
        <f t="shared" si="9"/>
        <v/>
      </c>
      <c r="KM41" s="188" t="str">
        <f t="shared" si="10"/>
        <v/>
      </c>
      <c r="KN41" s="188" t="str">
        <f t="shared" si="11"/>
        <v/>
      </c>
      <c r="KO41" s="188" t="str">
        <f t="shared" si="12"/>
        <v/>
      </c>
      <c r="KP41" s="188" t="str">
        <f t="shared" si="13"/>
        <v/>
      </c>
      <c r="KQ41" s="188" t="str">
        <f t="shared" si="14"/>
        <v/>
      </c>
    </row>
    <row r="42" spans="1:303" s="18" customFormat="1" ht="11.45" customHeight="1" x14ac:dyDescent="0.2">
      <c r="A42" s="38"/>
      <c r="B42" s="48"/>
      <c r="C42" s="421">
        <f t="shared" si="0"/>
        <v>45316</v>
      </c>
      <c r="D42" s="421"/>
      <c r="E42" s="422">
        <f t="shared" si="59"/>
        <v>45316</v>
      </c>
      <c r="F42" s="423"/>
      <c r="G42" s="31"/>
      <c r="H42" s="45"/>
      <c r="I42" s="44"/>
      <c r="J42" s="45"/>
      <c r="K42" s="44"/>
      <c r="L42" s="45"/>
      <c r="M42" s="44"/>
      <c r="N42" s="45"/>
      <c r="O42" s="44"/>
      <c r="P42" s="45"/>
      <c r="Q42" s="44"/>
      <c r="R42" s="45"/>
      <c r="S42" s="44"/>
      <c r="T42" s="45"/>
      <c r="U42" s="44"/>
      <c r="V42" s="45"/>
      <c r="W42" s="44"/>
      <c r="X42" s="45"/>
      <c r="Y42" s="44"/>
      <c r="Z42" s="45"/>
      <c r="AA42" s="44"/>
      <c r="AB42" s="45"/>
      <c r="AC42" s="44"/>
      <c r="AD42" s="45"/>
      <c r="AE42" s="44"/>
      <c r="AF42" s="45"/>
      <c r="AG42" s="44"/>
      <c r="AH42" s="45"/>
      <c r="AI42" s="127"/>
      <c r="AJ42" s="236"/>
      <c r="BO42" s="188"/>
      <c r="BP42" s="267">
        <v>2061</v>
      </c>
      <c r="BQ42" s="224" t="s">
        <v>59</v>
      </c>
      <c r="BR42" s="225"/>
      <c r="BS42" s="188" t="s">
        <v>1116</v>
      </c>
      <c r="BU42" s="68" t="str">
        <f t="shared" si="15"/>
        <v/>
      </c>
      <c r="BV42" s="188" t="str">
        <f t="shared" si="16"/>
        <v/>
      </c>
      <c r="BW42" s="188" t="str">
        <f t="shared" si="17"/>
        <v/>
      </c>
      <c r="BX42" s="188" t="str">
        <f t="shared" si="18"/>
        <v/>
      </c>
      <c r="BY42" s="188" t="str">
        <f t="shared" si="19"/>
        <v/>
      </c>
      <c r="BZ42" s="188" t="str">
        <f t="shared" si="20"/>
        <v/>
      </c>
      <c r="CA42" s="188" t="str">
        <f t="shared" si="21"/>
        <v/>
      </c>
      <c r="CB42" s="188" t="str">
        <f t="shared" si="22"/>
        <v/>
      </c>
      <c r="CC42" s="188" t="str">
        <f t="shared" si="23"/>
        <v/>
      </c>
      <c r="CD42" s="188" t="str">
        <f t="shared" si="24"/>
        <v/>
      </c>
      <c r="CE42" s="188" t="str">
        <f t="shared" si="25"/>
        <v/>
      </c>
      <c r="CF42" s="188" t="str">
        <f t="shared" si="26"/>
        <v/>
      </c>
      <c r="CG42" s="188" t="str">
        <f t="shared" si="27"/>
        <v/>
      </c>
      <c r="CH42" s="188" t="str">
        <f t="shared" si="28"/>
        <v/>
      </c>
      <c r="CY42" s="77" t="str">
        <f>IF(I42&lt;&gt;"",IF(H42="&lt;",IF(AND('Outfall 1 Limits'!$AM$16="Y",$BU$54&lt;&gt;"Y",I42&lt;='Outfall 1 Limits'!$AL$16),0,(1*I42)),I42),"")</f>
        <v/>
      </c>
      <c r="CZ42" s="29" t="str">
        <f>IF(K42&lt;&gt;"",IF(J42="&lt;",IF(AND('Outfall 1 Limits'!$AM$20="Y",$BV$54&lt;&gt;"Y",K42&lt;='Outfall 1 Limits'!$AL$20),0,(1*K42)),K42),"")</f>
        <v/>
      </c>
      <c r="DA42" s="29" t="str">
        <f>IF(M42&lt;&gt;"",IF(L42="&lt;",IF(AND('Outfall 1 Limits'!$AM$24="Y",$BW$54&lt;&gt;"Y",M42&lt;='Outfall 1 Limits'!$AL$24),0,(1*M42)),M42),"")</f>
        <v/>
      </c>
      <c r="DB42" s="29" t="str">
        <f>IF(O42&lt;&gt;"",IF(N42="&lt;",IF(AND('Outfall 1 Limits'!$AM$28="Y",$BX$54&lt;&gt;"Y",O42&lt;='Outfall 1 Limits'!$AL$28),0,(1*O42)),O42),"")</f>
        <v/>
      </c>
      <c r="DC42" s="29" t="str">
        <f>IF(Q42&lt;&gt;"",IF(P42="&lt;",IF(AND('Outfall 1 Limits'!$AM$32="Y",$BY$54&lt;&gt;"Y",Q42&lt;='Outfall 1 Limits'!$AL$32),0,(1*Q42)),Q42),"")</f>
        <v/>
      </c>
      <c r="DD42" s="29" t="str">
        <f>IF(S42&lt;&gt;"",IF(R42="&lt;",IF(AND('Outfall 1 Limits'!$AM$36="Y",$BZ$54&lt;&gt;"Y",S42&lt;='Outfall 1 Limits'!$AL$36),0,(1*S42)),S42),"")</f>
        <v/>
      </c>
      <c r="DE42" s="29" t="str">
        <f>IF(U42&lt;&gt;"",IF(T42="&lt;",IF(AND('Outfall 1 Limits'!$AM$40="Y",$CA$54&lt;&gt;"Y",U42&lt;='Outfall 1 Limits'!$AL$40),0,(1*U42)),U42),"")</f>
        <v/>
      </c>
      <c r="DF42" s="29" t="str">
        <f>IF(W42&lt;&gt;"",IF(V42="&lt;",IF(AND('Outfall 1 Limits'!$AM$44="Y",$CB$54&lt;&gt;"Y",W42&lt;='Outfall 1 Limits'!$AL$44),0,(1*W42)),W42),"")</f>
        <v/>
      </c>
      <c r="DG42" s="29" t="str">
        <f>IF(Y42&lt;&gt;"",IF(X42="&lt;",IF(AND('Outfall 1 Limits'!$AM$48="Y",$CC$54&lt;&gt;"Y",Y42&lt;='Outfall 1 Limits'!$AL$48),0,(1*Y42)),Y42),"")</f>
        <v/>
      </c>
      <c r="DH42" s="29" t="str">
        <f>IF(AA42&lt;&gt;"",IF(Z42="&lt;",IF(AND('Outfall 1 Limits'!$AM$52="Y",$CD$54&lt;&gt;"Y",AA42&lt;='Outfall 1 Limits'!$AL$52),0,(1*AA42)),AA42),"")</f>
        <v/>
      </c>
      <c r="DI42" s="29" t="str">
        <f>IF(AC42&lt;&gt;"",IF(AB42="&lt;",IF(AND('Outfall 1 Limits'!$AM$56="Y",$CE$54&lt;&gt;"Y",AC42&lt;='Outfall 1 Limits'!$AL$56),0,(1*AC42)),AC42),"")</f>
        <v/>
      </c>
      <c r="DJ42" s="29" t="str">
        <f>IF(AE42&lt;&gt;"",IF(AD42="&lt;",IF(AND('Outfall 1 Limits'!$AM$60="Y",$CF$54&lt;&gt;"Y",AE42&lt;='Outfall 1 Limits'!$AL$60),0,(1*AE42)),AE42),"")</f>
        <v/>
      </c>
      <c r="DK42" s="29" t="str">
        <f>IF(AG42&lt;&gt;"",IF(AF42="&lt;",IF(AND('Outfall 1 Limits'!$AM$64="Y",$CG$54&lt;&gt;"Y",AG42&lt;='Outfall 1 Limits'!$AL$64),0,(1*AG42)),AG42),"")</f>
        <v/>
      </c>
      <c r="DL42" s="29" t="str">
        <f>IF(AI42&lt;&gt;"",IF(AH42="&lt;",IF(AND('Outfall 1 Limits'!$AM$68="Y",$CH$54&lt;&gt;"Y",AI42&lt;='Outfall 1 Limits'!$AL$68),0,(1*AI42)),AI42),"")</f>
        <v/>
      </c>
      <c r="EB42" s="222" t="s">
        <v>1145</v>
      </c>
      <c r="EC42" s="84" t="str">
        <f>IF(EC35&lt;&gt;"",IF(BU66="Y",EC35-0.1,EC35),"")</f>
        <v/>
      </c>
      <c r="ED42" s="85" t="str">
        <f t="shared" ref="ED42:EP42" si="90">IF(ED35&lt;&gt;"",IF(BV66="Y",ED35-0.1,ED35),"")</f>
        <v/>
      </c>
      <c r="EE42" s="85" t="str">
        <f t="shared" si="90"/>
        <v/>
      </c>
      <c r="EF42" s="85" t="str">
        <f t="shared" si="90"/>
        <v/>
      </c>
      <c r="EG42" s="85" t="str">
        <f t="shared" si="90"/>
        <v/>
      </c>
      <c r="EH42" s="85" t="str">
        <f t="shared" si="90"/>
        <v/>
      </c>
      <c r="EI42" s="85" t="str">
        <f t="shared" si="90"/>
        <v/>
      </c>
      <c r="EJ42" s="85" t="str">
        <f t="shared" si="90"/>
        <v/>
      </c>
      <c r="EK42" s="85" t="str">
        <f t="shared" si="90"/>
        <v/>
      </c>
      <c r="EL42" s="85" t="str">
        <f t="shared" si="90"/>
        <v/>
      </c>
      <c r="EM42" s="85" t="str">
        <f t="shared" si="90"/>
        <v/>
      </c>
      <c r="EN42" s="85" t="str">
        <f t="shared" si="90"/>
        <v/>
      </c>
      <c r="EO42" s="85" t="str">
        <f t="shared" si="90"/>
        <v/>
      </c>
      <c r="EP42" s="85" t="str">
        <f t="shared" si="90"/>
        <v/>
      </c>
      <c r="FG42" s="77" t="str">
        <f>IF(AND($G42&lt;&gt;"",$G42&gt;0,'Outfall 1 Limits'!$AX$16="C1",I42&lt;&gt;""),I42*$G42*8.34,IF(AND($I42&lt;&gt;"",'Outfall 1 Limits'!$AX$16="L"),I42,""))</f>
        <v/>
      </c>
      <c r="FH42" s="29" t="str">
        <f>IF(AND($G42&lt;&gt;"",$G42&gt;0,'Outfall 1 Limits'!$AX$20="C1",$K42&lt;&gt;""),$K42*$G42*8.34,IF(AND($K42&lt;&gt;"",'Outfall 1 Limits'!$AX$20="L"),$K42,""))</f>
        <v/>
      </c>
      <c r="FI42" s="29" t="str">
        <f>IF(AND($G42&lt;&gt;"",$G42&gt;0,'Outfall 1 Limits'!$AX$24="C1",$M42&lt;&gt;""),$M42*$G42*8.34,IF(AND($M42&lt;&gt;"",'Outfall 1 Limits'!$AX$24="L"),$M42,""))</f>
        <v/>
      </c>
      <c r="FJ42" s="29" t="str">
        <f>IF(AND($G42&lt;&gt;"",$G42&gt;0,'Outfall 1 Limits'!$AX$28="C1",$O42&lt;&gt;""),$O42*$G42*8.34,IF(AND($O42&lt;&gt;"",'Outfall 1 Limits'!$AX$28="L"),$O42,""))</f>
        <v/>
      </c>
      <c r="FK42" s="29" t="str">
        <f>IF(AND($G42&lt;&gt;"",$G42&gt;0,'Outfall 1 Limits'!$AX$32="C1",$Q42&lt;&gt;""),$Q42*$G42*8.34,IF(AND($Q42&lt;&gt;"",'Outfall 1 Limits'!$AX$32="L"),$Q42,""))</f>
        <v/>
      </c>
      <c r="FL42" s="29" t="str">
        <f>IF(AND($G42&lt;&gt;"",$G42&gt;0,'Outfall 1 Limits'!$AX$36="C1",$S42&lt;&gt;""),$S42*$G42*8.34,IF(AND($S42&lt;&gt;"",'Outfall 1 Limits'!$AX$36="L"),$S42,""))</f>
        <v/>
      </c>
      <c r="FM42" s="29" t="str">
        <f>IF(AND($G42&lt;&gt;"",$G42&gt;0,'Outfall 1 Limits'!$AX$40="C1",$U42&lt;&gt;""),$U42*$G42*8.34,IF(AND($U42&lt;&gt;"",'Outfall 1 Limits'!$AX$40="L"),$U42,""))</f>
        <v/>
      </c>
      <c r="FN42" s="29" t="str">
        <f>IF(AND($G42&lt;&gt;"",$G42&gt;0,'Outfall 1 Limits'!$AX$44="C1",$W42&lt;&gt;""),$W42*$G42*8.34,IF(AND($W42&lt;&gt;"",'Outfall 1 Limits'!$AX$44="L"),$W42,""))</f>
        <v/>
      </c>
      <c r="FO42" s="29" t="str">
        <f>IF(AND($G42&lt;&gt;"",$G42&gt;0,'Outfall 1 Limits'!$AX$48="C1",$Y42&lt;&gt;""),$Y42*$G42*8.34,IF(AND($Y42&lt;&gt;"",'Outfall 1 Limits'!$AX$48="L"),$Y42,""))</f>
        <v/>
      </c>
      <c r="FP42" s="29" t="str">
        <f>IF(AND($G42&lt;&gt;"",$G42&gt;0,'Outfall 1 Limits'!$AX$52="C1",$AA42&lt;&gt;""),$AA42*$G42*8.34,IF(AND($AA42&lt;&gt;"",'Outfall 1 Limits'!$AX$52="L"),$AA42,""))</f>
        <v/>
      </c>
      <c r="FQ42" s="29" t="str">
        <f>IF(AND($G42&lt;&gt;"",$G42&gt;0,'Outfall 1 Limits'!$AX$56="C1",$AC42&lt;&gt;""),$AC42*$G42*8.34,IF(AND($AC42&lt;&gt;"",'Outfall 1 Limits'!$AX$56="L"),$AC42,""))</f>
        <v/>
      </c>
      <c r="FR42" s="29" t="str">
        <f>IF(AND($G42&lt;&gt;"",$G42&gt;0,'Outfall 1 Limits'!$AX$60="C1",$AE42&lt;&gt;""),$AE42*$G42*8.34,IF(AND($AE42&lt;&gt;"",'Outfall 1 Limits'!$AX$60="L"),$AE42,""))</f>
        <v/>
      </c>
      <c r="FS42" s="29" t="str">
        <f>IF(AND($G42&lt;&gt;"",$G42&gt;0,'Outfall 1 Limits'!$AX$64="C1",$AG42&lt;&gt;""),$AG42*$G42*8.34,IF(AND($AG42&lt;&gt;"",'Outfall 1 Limits'!$AX$64="L"),$AG42,""))</f>
        <v/>
      </c>
      <c r="FT42" s="29" t="str">
        <f>IF(AND($G42&lt;&gt;"",$G42&gt;0,'Outfall 1 Limits'!$AX$68="C1",$AI42&lt;&gt;""),$AI42*$G42*8.34,IF(AND($AI42&lt;&gt;"",'Outfall 1 Limits'!$AX$68="L"),$AI42,""))</f>
        <v/>
      </c>
      <c r="GJ42" s="29" t="str">
        <f t="shared" si="29"/>
        <v/>
      </c>
      <c r="GK42" s="77" t="str">
        <f>IF(AND($G42&lt;&gt;"",$G42&gt;0,'Outfall 1 Limits'!$AX$16="C1",CY42&lt;&gt;""),CY42*$G42*8.34,IF(AND(CY42&lt;&gt;"",'Outfall 1 Limits'!$AX$16="L"),CY42,""))</f>
        <v/>
      </c>
      <c r="GL42" s="29" t="str">
        <f>IF(AND($G42&lt;&gt;"",$G42&gt;0,'Outfall 1 Limits'!$AX$20="C1",CZ42&lt;&gt;""),CZ42*$G42*8.34,IF(AND(CZ42&lt;&gt;"",'Outfall 1 Limits'!$AX$20="L"),CZ42,""))</f>
        <v/>
      </c>
      <c r="GM42" s="29" t="str">
        <f>IF(AND($G42&lt;&gt;"",$G42&gt;0,'Outfall 1 Limits'!$AX$24="C1",DA42&lt;&gt;""),DA42*$G42*8.34,IF(AND(DA42&lt;&gt;"",'Outfall 1 Limits'!$AX$24="L"),DA42,""))</f>
        <v/>
      </c>
      <c r="GN42" s="29" t="str">
        <f>IF(AND($G42&lt;&gt;"",$G42&gt;0,'Outfall 1 Limits'!$AX$28="C1",DB42&lt;&gt;""),DB42*$G42*8.34,IF(AND(DB42&lt;&gt;"",'Outfall 1 Limits'!$AX$28="L"),DB42,""))</f>
        <v/>
      </c>
      <c r="GO42" s="29" t="str">
        <f>IF(AND($G42&lt;&gt;"",$G42&gt;0,'Outfall 1 Limits'!$AX$32="C1",DC42&lt;&gt;""),DC42*$G42*8.34,IF(AND(DC42&lt;&gt;"",'Outfall 1 Limits'!$AX$32="L"),DC42,""))</f>
        <v/>
      </c>
      <c r="GP42" s="29" t="str">
        <f>IF(AND($G42&lt;&gt;"",$G42&gt;0,'Outfall 1 Limits'!$AX$36="C1",DD42&lt;&gt;""),DD42*$G42*8.34,IF(AND(DD42&lt;&gt;"",'Outfall 1 Limits'!$AX$36="L"),DD42,""))</f>
        <v/>
      </c>
      <c r="GQ42" s="29" t="str">
        <f>IF(AND($G42&lt;&gt;"",$G42&gt;0,'Outfall 1 Limits'!$AX$40="C1",DE42&lt;&gt;""),DE42*$G42*8.34,IF(AND(DE42&lt;&gt;"",'Outfall 1 Limits'!$AX$40="L"),DE42,""))</f>
        <v/>
      </c>
      <c r="GR42" s="29" t="str">
        <f>IF(AND($G42&lt;&gt;"",$G42&gt;0,'Outfall 1 Limits'!$AX$44="C1",DF42&lt;&gt;""),DF42*$G42*8.34,IF(AND(DF42&lt;&gt;"",'Outfall 1 Limits'!$AX$44="L"),DF42,""))</f>
        <v/>
      </c>
      <c r="GS42" s="29" t="str">
        <f>IF(AND($G42&lt;&gt;"",$G42&gt;0,'Outfall 1 Limits'!$AX$48="C1",DG42&lt;&gt;""),DG42*$G42*8.34,IF(AND(DG42&lt;&gt;"",'Outfall 1 Limits'!$AX$48="L"),DG42,""))</f>
        <v/>
      </c>
      <c r="GT42" s="29" t="str">
        <f>IF(AND($G42&lt;&gt;"",$G42&gt;0,'Outfall 1 Limits'!$AX$52="C1",DH42&lt;&gt;""),DH42*$G42*8.34,IF(AND(DH42&lt;&gt;"",'Outfall 1 Limits'!$AX$52="L"),DH42,""))</f>
        <v/>
      </c>
      <c r="GU42" s="29" t="str">
        <f>IF(AND($G42&lt;&gt;"",$G42&gt;0,'Outfall 1 Limits'!$AX$56="C1",DI42&lt;&gt;""),DI42*$G42*8.34,IF(AND(DI42&lt;&gt;"",'Outfall 1 Limits'!$AX$56="L"),DI42,""))</f>
        <v/>
      </c>
      <c r="GV42" s="29" t="str">
        <f>IF(AND($G42&lt;&gt;"",$G42&gt;0,'Outfall 1 Limits'!$AX$60="C1",DJ42&lt;&gt;""),DJ42*$G42*8.34,IF(AND(DJ42&lt;&gt;"",'Outfall 1 Limits'!$AX$60="L"),DJ42,""))</f>
        <v/>
      </c>
      <c r="GW42" s="29" t="str">
        <f>IF(AND($G42&lt;&gt;"",$G42&gt;0,'Outfall 1 Limits'!$AX$64="C1",DK42&lt;&gt;""),DK42*$G42*8.34,IF(AND(DK42&lt;&gt;"",'Outfall 1 Limits'!$AX$64="L"),DK42,""))</f>
        <v/>
      </c>
      <c r="GX42" s="29" t="str">
        <f>IF(AND($G42&lt;&gt;"",$G42&gt;0,'Outfall 1 Limits'!$AX$68="C1",DL42&lt;&gt;""),DL42*$G42*8.34,IF(AND(DL42&lt;&gt;"",'Outfall 1 Limits'!$AX$68="L"),DL42,""))</f>
        <v/>
      </c>
      <c r="HO42" s="98" t="str">
        <f t="shared" si="30"/>
        <v/>
      </c>
      <c r="HS42" s="68" t="str">
        <f t="shared" si="31"/>
        <v/>
      </c>
      <c r="HT42" s="188" t="str">
        <f t="shared" si="32"/>
        <v/>
      </c>
      <c r="HU42" s="188" t="str">
        <f t="shared" si="33"/>
        <v/>
      </c>
      <c r="HV42" s="188" t="str">
        <f t="shared" si="34"/>
        <v/>
      </c>
      <c r="HW42" s="188" t="str">
        <f t="shared" si="35"/>
        <v/>
      </c>
      <c r="HX42" s="188" t="str">
        <f t="shared" si="36"/>
        <v/>
      </c>
      <c r="HY42" s="188" t="str">
        <f t="shared" si="37"/>
        <v/>
      </c>
      <c r="HZ42" s="188" t="str">
        <f t="shared" si="38"/>
        <v/>
      </c>
      <c r="IA42" s="188" t="str">
        <f t="shared" si="39"/>
        <v/>
      </c>
      <c r="IB42" s="188" t="str">
        <f t="shared" si="40"/>
        <v/>
      </c>
      <c r="IC42" s="188" t="str">
        <f t="shared" si="41"/>
        <v/>
      </c>
      <c r="ID42" s="188" t="str">
        <f t="shared" si="42"/>
        <v/>
      </c>
      <c r="IE42" s="188" t="str">
        <f t="shared" si="43"/>
        <v/>
      </c>
      <c r="IF42" s="188" t="str">
        <f t="shared" si="44"/>
        <v/>
      </c>
      <c r="IX42" s="68" t="str">
        <f t="shared" si="45"/>
        <v/>
      </c>
      <c r="IY42" s="188" t="str">
        <f t="shared" si="46"/>
        <v/>
      </c>
      <c r="IZ42" s="188" t="str">
        <f t="shared" si="47"/>
        <v/>
      </c>
      <c r="JA42" s="188" t="str">
        <f t="shared" si="48"/>
        <v/>
      </c>
      <c r="JB42" s="188" t="str">
        <f t="shared" si="49"/>
        <v/>
      </c>
      <c r="JC42" s="188" t="str">
        <f t="shared" si="50"/>
        <v/>
      </c>
      <c r="JD42" s="188" t="str">
        <f t="shared" si="51"/>
        <v/>
      </c>
      <c r="JE42" s="188" t="str">
        <f t="shared" si="52"/>
        <v/>
      </c>
      <c r="JF42" s="188" t="str">
        <f t="shared" si="53"/>
        <v/>
      </c>
      <c r="JG42" s="188" t="str">
        <f t="shared" si="54"/>
        <v/>
      </c>
      <c r="JH42" s="188" t="str">
        <f t="shared" si="55"/>
        <v/>
      </c>
      <c r="JI42" s="188" t="str">
        <f t="shared" si="56"/>
        <v/>
      </c>
      <c r="JJ42" s="188" t="str">
        <f t="shared" si="57"/>
        <v/>
      </c>
      <c r="JK42" s="188" t="str">
        <f t="shared" si="58"/>
        <v/>
      </c>
      <c r="KA42" s="188"/>
      <c r="KB42" s="2"/>
      <c r="KC42" s="226"/>
      <c r="KD42" s="164" t="str">
        <f t="shared" si="1"/>
        <v/>
      </c>
      <c r="KE42" s="188" t="str">
        <f t="shared" si="2"/>
        <v/>
      </c>
      <c r="KF42" s="188" t="str">
        <f t="shared" si="3"/>
        <v/>
      </c>
      <c r="KG42" s="188" t="str">
        <f t="shared" si="4"/>
        <v/>
      </c>
      <c r="KH42" s="188" t="str">
        <f t="shared" si="5"/>
        <v/>
      </c>
      <c r="KI42" s="188" t="str">
        <f t="shared" si="6"/>
        <v/>
      </c>
      <c r="KJ42" s="188" t="str">
        <f t="shared" si="7"/>
        <v/>
      </c>
      <c r="KK42" s="188" t="str">
        <f t="shared" si="8"/>
        <v/>
      </c>
      <c r="KL42" s="188" t="str">
        <f t="shared" si="9"/>
        <v/>
      </c>
      <c r="KM42" s="188" t="str">
        <f t="shared" si="10"/>
        <v/>
      </c>
      <c r="KN42" s="188" t="str">
        <f t="shared" si="11"/>
        <v/>
      </c>
      <c r="KO42" s="188" t="str">
        <f t="shared" si="12"/>
        <v/>
      </c>
      <c r="KP42" s="188" t="str">
        <f t="shared" si="13"/>
        <v/>
      </c>
      <c r="KQ42" s="188" t="str">
        <f t="shared" si="14"/>
        <v/>
      </c>
    </row>
    <row r="43" spans="1:303" s="18" customFormat="1" ht="11.45" customHeight="1" x14ac:dyDescent="0.2">
      <c r="A43" s="38"/>
      <c r="B43" s="48"/>
      <c r="C43" s="421">
        <f t="shared" si="0"/>
        <v>45317</v>
      </c>
      <c r="D43" s="421"/>
      <c r="E43" s="422">
        <f t="shared" si="59"/>
        <v>45317</v>
      </c>
      <c r="F43" s="423"/>
      <c r="G43" s="31"/>
      <c r="H43" s="45"/>
      <c r="I43" s="44"/>
      <c r="J43" s="45"/>
      <c r="K43" s="44"/>
      <c r="L43" s="45"/>
      <c r="M43" s="44"/>
      <c r="N43" s="45"/>
      <c r="O43" s="44"/>
      <c r="P43" s="45"/>
      <c r="Q43" s="44"/>
      <c r="R43" s="45"/>
      <c r="S43" s="44"/>
      <c r="T43" s="45"/>
      <c r="U43" s="44"/>
      <c r="V43" s="45"/>
      <c r="W43" s="44"/>
      <c r="X43" s="45"/>
      <c r="Y43" s="44"/>
      <c r="Z43" s="45"/>
      <c r="AA43" s="44"/>
      <c r="AB43" s="45"/>
      <c r="AC43" s="44"/>
      <c r="AD43" s="45"/>
      <c r="AE43" s="44"/>
      <c r="AF43" s="45"/>
      <c r="AG43" s="44"/>
      <c r="AH43" s="45"/>
      <c r="AI43" s="127"/>
      <c r="AJ43" s="236"/>
      <c r="BO43" s="188"/>
      <c r="BP43" s="267">
        <v>2062</v>
      </c>
      <c r="BQ43" s="224" t="s">
        <v>60</v>
      </c>
      <c r="BR43" s="225"/>
      <c r="BS43" s="188" t="s">
        <v>5</v>
      </c>
      <c r="BU43" s="68" t="str">
        <f t="shared" si="15"/>
        <v/>
      </c>
      <c r="BV43" s="188" t="str">
        <f t="shared" si="16"/>
        <v/>
      </c>
      <c r="BW43" s="188" t="str">
        <f t="shared" si="17"/>
        <v/>
      </c>
      <c r="BX43" s="188" t="str">
        <f t="shared" si="18"/>
        <v/>
      </c>
      <c r="BY43" s="188" t="str">
        <f t="shared" si="19"/>
        <v/>
      </c>
      <c r="BZ43" s="188" t="str">
        <f t="shared" si="20"/>
        <v/>
      </c>
      <c r="CA43" s="188" t="str">
        <f t="shared" si="21"/>
        <v/>
      </c>
      <c r="CB43" s="188" t="str">
        <f t="shared" si="22"/>
        <v/>
      </c>
      <c r="CC43" s="188" t="str">
        <f t="shared" si="23"/>
        <v/>
      </c>
      <c r="CD43" s="188" t="str">
        <f t="shared" si="24"/>
        <v/>
      </c>
      <c r="CE43" s="188" t="str">
        <f t="shared" si="25"/>
        <v/>
      </c>
      <c r="CF43" s="188" t="str">
        <f t="shared" si="26"/>
        <v/>
      </c>
      <c r="CG43" s="188" t="str">
        <f t="shared" si="27"/>
        <v/>
      </c>
      <c r="CH43" s="188" t="str">
        <f t="shared" si="28"/>
        <v/>
      </c>
      <c r="CY43" s="77" t="str">
        <f>IF(I43&lt;&gt;"",IF(H43="&lt;",IF(AND('Outfall 1 Limits'!$AM$16="Y",$BU$54&lt;&gt;"Y",I43&lt;='Outfall 1 Limits'!$AL$16),0,(1*I43)),I43),"")</f>
        <v/>
      </c>
      <c r="CZ43" s="29" t="str">
        <f>IF(K43&lt;&gt;"",IF(J43="&lt;",IF(AND('Outfall 1 Limits'!$AM$20="Y",$BV$54&lt;&gt;"Y",K43&lt;='Outfall 1 Limits'!$AL$20),0,(1*K43)),K43),"")</f>
        <v/>
      </c>
      <c r="DA43" s="29" t="str">
        <f>IF(M43&lt;&gt;"",IF(L43="&lt;",IF(AND('Outfall 1 Limits'!$AM$24="Y",$BW$54&lt;&gt;"Y",M43&lt;='Outfall 1 Limits'!$AL$24),0,(1*M43)),M43),"")</f>
        <v/>
      </c>
      <c r="DB43" s="29" t="str">
        <f>IF(O43&lt;&gt;"",IF(N43="&lt;",IF(AND('Outfall 1 Limits'!$AM$28="Y",$BX$54&lt;&gt;"Y",O43&lt;='Outfall 1 Limits'!$AL$28),0,(1*O43)),O43),"")</f>
        <v/>
      </c>
      <c r="DC43" s="29" t="str">
        <f>IF(Q43&lt;&gt;"",IF(P43="&lt;",IF(AND('Outfall 1 Limits'!$AM$32="Y",$BY$54&lt;&gt;"Y",Q43&lt;='Outfall 1 Limits'!$AL$32),0,(1*Q43)),Q43),"")</f>
        <v/>
      </c>
      <c r="DD43" s="29" t="str">
        <f>IF(S43&lt;&gt;"",IF(R43="&lt;",IF(AND('Outfall 1 Limits'!$AM$36="Y",$BZ$54&lt;&gt;"Y",S43&lt;='Outfall 1 Limits'!$AL$36),0,(1*S43)),S43),"")</f>
        <v/>
      </c>
      <c r="DE43" s="29" t="str">
        <f>IF(U43&lt;&gt;"",IF(T43="&lt;",IF(AND('Outfall 1 Limits'!$AM$40="Y",$CA$54&lt;&gt;"Y",U43&lt;='Outfall 1 Limits'!$AL$40),0,(1*U43)),U43),"")</f>
        <v/>
      </c>
      <c r="DF43" s="29" t="str">
        <f>IF(W43&lt;&gt;"",IF(V43="&lt;",IF(AND('Outfall 1 Limits'!$AM$44="Y",$CB$54&lt;&gt;"Y",W43&lt;='Outfall 1 Limits'!$AL$44),0,(1*W43)),W43),"")</f>
        <v/>
      </c>
      <c r="DG43" s="29" t="str">
        <f>IF(Y43&lt;&gt;"",IF(X43="&lt;",IF(AND('Outfall 1 Limits'!$AM$48="Y",$CC$54&lt;&gt;"Y",Y43&lt;='Outfall 1 Limits'!$AL$48),0,(1*Y43)),Y43),"")</f>
        <v/>
      </c>
      <c r="DH43" s="29" t="str">
        <f>IF(AA43&lt;&gt;"",IF(Z43="&lt;",IF(AND('Outfall 1 Limits'!$AM$52="Y",$CD$54&lt;&gt;"Y",AA43&lt;='Outfall 1 Limits'!$AL$52),0,(1*AA43)),AA43),"")</f>
        <v/>
      </c>
      <c r="DI43" s="29" t="str">
        <f>IF(AC43&lt;&gt;"",IF(AB43="&lt;",IF(AND('Outfall 1 Limits'!$AM$56="Y",$CE$54&lt;&gt;"Y",AC43&lt;='Outfall 1 Limits'!$AL$56),0,(1*AC43)),AC43),"")</f>
        <v/>
      </c>
      <c r="DJ43" s="29" t="str">
        <f>IF(AE43&lt;&gt;"",IF(AD43="&lt;",IF(AND('Outfall 1 Limits'!$AM$60="Y",$CF$54&lt;&gt;"Y",AE43&lt;='Outfall 1 Limits'!$AL$60),0,(1*AE43)),AE43),"")</f>
        <v/>
      </c>
      <c r="DK43" s="29" t="str">
        <f>IF(AG43&lt;&gt;"",IF(AF43="&lt;",IF(AND('Outfall 1 Limits'!$AM$64="Y",$CG$54&lt;&gt;"Y",AG43&lt;='Outfall 1 Limits'!$AL$64),0,(1*AG43)),AG43),"")</f>
        <v/>
      </c>
      <c r="DL43" s="29" t="str">
        <f>IF(AI43&lt;&gt;"",IF(AH43="&lt;",IF(AND('Outfall 1 Limits'!$AM$68="Y",$CH$54&lt;&gt;"Y",AI43&lt;='Outfall 1 Limits'!$AL$68),0,(1*AI43)),AI43),"")</f>
        <v/>
      </c>
      <c r="EB43" s="222" t="s">
        <v>382</v>
      </c>
      <c r="EC43" s="84" t="str">
        <f>IF(SUM(EC31:EC35)&gt;0,MAX(EC38:EC42),"")</f>
        <v/>
      </c>
      <c r="ED43" s="85" t="str">
        <f t="shared" ref="ED43:EP43" si="91">IF(SUM(ED31:ED35)&gt;0,MAX(ED38:ED42),"")</f>
        <v/>
      </c>
      <c r="EE43" s="85" t="str">
        <f t="shared" si="91"/>
        <v/>
      </c>
      <c r="EF43" s="85" t="str">
        <f t="shared" si="91"/>
        <v/>
      </c>
      <c r="EG43" s="85" t="str">
        <f t="shared" si="91"/>
        <v/>
      </c>
      <c r="EH43" s="85" t="str">
        <f t="shared" si="91"/>
        <v/>
      </c>
      <c r="EI43" s="85" t="str">
        <f t="shared" si="91"/>
        <v/>
      </c>
      <c r="EJ43" s="85" t="str">
        <f t="shared" si="91"/>
        <v/>
      </c>
      <c r="EK43" s="85" t="str">
        <f t="shared" si="91"/>
        <v/>
      </c>
      <c r="EL43" s="85" t="str">
        <f t="shared" si="91"/>
        <v/>
      </c>
      <c r="EM43" s="85" t="str">
        <f t="shared" si="91"/>
        <v/>
      </c>
      <c r="EN43" s="85" t="str">
        <f t="shared" si="91"/>
        <v/>
      </c>
      <c r="EO43" s="85" t="str">
        <f t="shared" si="91"/>
        <v/>
      </c>
      <c r="EP43" s="85" t="str">
        <f t="shared" si="91"/>
        <v/>
      </c>
      <c r="FG43" s="77" t="str">
        <f>IF(AND($G43&lt;&gt;"",$G43&gt;0,'Outfall 1 Limits'!$AX$16="C1",I43&lt;&gt;""),I43*$G43*8.34,IF(AND($I43&lt;&gt;"",'Outfall 1 Limits'!$AX$16="L"),I43,""))</f>
        <v/>
      </c>
      <c r="FH43" s="29" t="str">
        <f>IF(AND($G43&lt;&gt;"",$G43&gt;0,'Outfall 1 Limits'!$AX$20="C1",$K43&lt;&gt;""),$K43*$G43*8.34,IF(AND($K43&lt;&gt;"",'Outfall 1 Limits'!$AX$20="L"),$K43,""))</f>
        <v/>
      </c>
      <c r="FI43" s="29" t="str">
        <f>IF(AND($G43&lt;&gt;"",$G43&gt;0,'Outfall 1 Limits'!$AX$24="C1",$M43&lt;&gt;""),$M43*$G43*8.34,IF(AND($M43&lt;&gt;"",'Outfall 1 Limits'!$AX$24="L"),$M43,""))</f>
        <v/>
      </c>
      <c r="FJ43" s="29" t="str">
        <f>IF(AND($G43&lt;&gt;"",$G43&gt;0,'Outfall 1 Limits'!$AX$28="C1",$O43&lt;&gt;""),$O43*$G43*8.34,IF(AND($O43&lt;&gt;"",'Outfall 1 Limits'!$AX$28="L"),$O43,""))</f>
        <v/>
      </c>
      <c r="FK43" s="29" t="str">
        <f>IF(AND($G43&lt;&gt;"",$G43&gt;0,'Outfall 1 Limits'!$AX$32="C1",$Q43&lt;&gt;""),$Q43*$G43*8.34,IF(AND($Q43&lt;&gt;"",'Outfall 1 Limits'!$AX$32="L"),$Q43,""))</f>
        <v/>
      </c>
      <c r="FL43" s="29" t="str">
        <f>IF(AND($G43&lt;&gt;"",$G43&gt;0,'Outfall 1 Limits'!$AX$36="C1",$S43&lt;&gt;""),$S43*$G43*8.34,IF(AND($S43&lt;&gt;"",'Outfall 1 Limits'!$AX$36="L"),$S43,""))</f>
        <v/>
      </c>
      <c r="FM43" s="29" t="str">
        <f>IF(AND($G43&lt;&gt;"",$G43&gt;0,'Outfall 1 Limits'!$AX$40="C1",$U43&lt;&gt;""),$U43*$G43*8.34,IF(AND($U43&lt;&gt;"",'Outfall 1 Limits'!$AX$40="L"),$U43,""))</f>
        <v/>
      </c>
      <c r="FN43" s="29" t="str">
        <f>IF(AND($G43&lt;&gt;"",$G43&gt;0,'Outfall 1 Limits'!$AX$44="C1",$W43&lt;&gt;""),$W43*$G43*8.34,IF(AND($W43&lt;&gt;"",'Outfall 1 Limits'!$AX$44="L"),$W43,""))</f>
        <v/>
      </c>
      <c r="FO43" s="29" t="str">
        <f>IF(AND($G43&lt;&gt;"",$G43&gt;0,'Outfall 1 Limits'!$AX$48="C1",$Y43&lt;&gt;""),$Y43*$G43*8.34,IF(AND($Y43&lt;&gt;"",'Outfall 1 Limits'!$AX$48="L"),$Y43,""))</f>
        <v/>
      </c>
      <c r="FP43" s="29" t="str">
        <f>IF(AND($G43&lt;&gt;"",$G43&gt;0,'Outfall 1 Limits'!$AX$52="C1",$AA43&lt;&gt;""),$AA43*$G43*8.34,IF(AND($AA43&lt;&gt;"",'Outfall 1 Limits'!$AX$52="L"),$AA43,""))</f>
        <v/>
      </c>
      <c r="FQ43" s="29" t="str">
        <f>IF(AND($G43&lt;&gt;"",$G43&gt;0,'Outfall 1 Limits'!$AX$56="C1",$AC43&lt;&gt;""),$AC43*$G43*8.34,IF(AND($AC43&lt;&gt;"",'Outfall 1 Limits'!$AX$56="L"),$AC43,""))</f>
        <v/>
      </c>
      <c r="FR43" s="29" t="str">
        <f>IF(AND($G43&lt;&gt;"",$G43&gt;0,'Outfall 1 Limits'!$AX$60="C1",$AE43&lt;&gt;""),$AE43*$G43*8.34,IF(AND($AE43&lt;&gt;"",'Outfall 1 Limits'!$AX$60="L"),$AE43,""))</f>
        <v/>
      </c>
      <c r="FS43" s="29" t="str">
        <f>IF(AND($G43&lt;&gt;"",$G43&gt;0,'Outfall 1 Limits'!$AX$64="C1",$AG43&lt;&gt;""),$AG43*$G43*8.34,IF(AND($AG43&lt;&gt;"",'Outfall 1 Limits'!$AX$64="L"),$AG43,""))</f>
        <v/>
      </c>
      <c r="FT43" s="29" t="str">
        <f>IF(AND($G43&lt;&gt;"",$G43&gt;0,'Outfall 1 Limits'!$AX$68="C1",$AI43&lt;&gt;""),$AI43*$G43*8.34,IF(AND($AI43&lt;&gt;"",'Outfall 1 Limits'!$AX$68="L"),$AI43,""))</f>
        <v/>
      </c>
      <c r="GJ43" s="29" t="str">
        <f t="shared" si="29"/>
        <v/>
      </c>
      <c r="GK43" s="77" t="str">
        <f>IF(AND($G43&lt;&gt;"",$G43&gt;0,'Outfall 1 Limits'!$AX$16="C1",CY43&lt;&gt;""),CY43*$G43*8.34,IF(AND(CY43&lt;&gt;"",'Outfall 1 Limits'!$AX$16="L"),CY43,""))</f>
        <v/>
      </c>
      <c r="GL43" s="29" t="str">
        <f>IF(AND($G43&lt;&gt;"",$G43&gt;0,'Outfall 1 Limits'!$AX$20="C1",CZ43&lt;&gt;""),CZ43*$G43*8.34,IF(AND(CZ43&lt;&gt;"",'Outfall 1 Limits'!$AX$20="L"),CZ43,""))</f>
        <v/>
      </c>
      <c r="GM43" s="29" t="str">
        <f>IF(AND($G43&lt;&gt;"",$G43&gt;0,'Outfall 1 Limits'!$AX$24="C1",DA43&lt;&gt;""),DA43*$G43*8.34,IF(AND(DA43&lt;&gt;"",'Outfall 1 Limits'!$AX$24="L"),DA43,""))</f>
        <v/>
      </c>
      <c r="GN43" s="29" t="str">
        <f>IF(AND($G43&lt;&gt;"",$G43&gt;0,'Outfall 1 Limits'!$AX$28="C1",DB43&lt;&gt;""),DB43*$G43*8.34,IF(AND(DB43&lt;&gt;"",'Outfall 1 Limits'!$AX$28="L"),DB43,""))</f>
        <v/>
      </c>
      <c r="GO43" s="29" t="str">
        <f>IF(AND($G43&lt;&gt;"",$G43&gt;0,'Outfall 1 Limits'!$AX$32="C1",DC43&lt;&gt;""),DC43*$G43*8.34,IF(AND(DC43&lt;&gt;"",'Outfall 1 Limits'!$AX$32="L"),DC43,""))</f>
        <v/>
      </c>
      <c r="GP43" s="29" t="str">
        <f>IF(AND($G43&lt;&gt;"",$G43&gt;0,'Outfall 1 Limits'!$AX$36="C1",DD43&lt;&gt;""),DD43*$G43*8.34,IF(AND(DD43&lt;&gt;"",'Outfall 1 Limits'!$AX$36="L"),DD43,""))</f>
        <v/>
      </c>
      <c r="GQ43" s="29" t="str">
        <f>IF(AND($G43&lt;&gt;"",$G43&gt;0,'Outfall 1 Limits'!$AX$40="C1",DE43&lt;&gt;""),DE43*$G43*8.34,IF(AND(DE43&lt;&gt;"",'Outfall 1 Limits'!$AX$40="L"),DE43,""))</f>
        <v/>
      </c>
      <c r="GR43" s="29" t="str">
        <f>IF(AND($G43&lt;&gt;"",$G43&gt;0,'Outfall 1 Limits'!$AX$44="C1",DF43&lt;&gt;""),DF43*$G43*8.34,IF(AND(DF43&lt;&gt;"",'Outfall 1 Limits'!$AX$44="L"),DF43,""))</f>
        <v/>
      </c>
      <c r="GS43" s="29" t="str">
        <f>IF(AND($G43&lt;&gt;"",$G43&gt;0,'Outfall 1 Limits'!$AX$48="C1",DG43&lt;&gt;""),DG43*$G43*8.34,IF(AND(DG43&lt;&gt;"",'Outfall 1 Limits'!$AX$48="L"),DG43,""))</f>
        <v/>
      </c>
      <c r="GT43" s="29" t="str">
        <f>IF(AND($G43&lt;&gt;"",$G43&gt;0,'Outfall 1 Limits'!$AX$52="C1",DH43&lt;&gt;""),DH43*$G43*8.34,IF(AND(DH43&lt;&gt;"",'Outfall 1 Limits'!$AX$52="L"),DH43,""))</f>
        <v/>
      </c>
      <c r="GU43" s="29" t="str">
        <f>IF(AND($G43&lt;&gt;"",$G43&gt;0,'Outfall 1 Limits'!$AX$56="C1",DI43&lt;&gt;""),DI43*$G43*8.34,IF(AND(DI43&lt;&gt;"",'Outfall 1 Limits'!$AX$56="L"),DI43,""))</f>
        <v/>
      </c>
      <c r="GV43" s="29" t="str">
        <f>IF(AND($G43&lt;&gt;"",$G43&gt;0,'Outfall 1 Limits'!$AX$60="C1",DJ43&lt;&gt;""),DJ43*$G43*8.34,IF(AND(DJ43&lt;&gt;"",'Outfall 1 Limits'!$AX$60="L"),DJ43,""))</f>
        <v/>
      </c>
      <c r="GW43" s="29" t="str">
        <f>IF(AND($G43&lt;&gt;"",$G43&gt;0,'Outfall 1 Limits'!$AX$64="C1",DK43&lt;&gt;""),DK43*$G43*8.34,IF(AND(DK43&lt;&gt;"",'Outfall 1 Limits'!$AX$64="L"),DK43,""))</f>
        <v/>
      </c>
      <c r="GX43" s="29" t="str">
        <f>IF(AND($G43&lt;&gt;"",$G43&gt;0,'Outfall 1 Limits'!$AX$68="C1",DL43&lt;&gt;""),DL43*$G43*8.34,IF(AND(DL43&lt;&gt;"",'Outfall 1 Limits'!$AX$68="L"),DL43,""))</f>
        <v/>
      </c>
      <c r="HO43" s="98" t="str">
        <f t="shared" si="30"/>
        <v/>
      </c>
      <c r="HS43" s="68" t="str">
        <f t="shared" si="31"/>
        <v/>
      </c>
      <c r="HT43" s="188" t="str">
        <f t="shared" si="32"/>
        <v/>
      </c>
      <c r="HU43" s="188" t="str">
        <f t="shared" si="33"/>
        <v/>
      </c>
      <c r="HV43" s="188" t="str">
        <f t="shared" si="34"/>
        <v/>
      </c>
      <c r="HW43" s="188" t="str">
        <f t="shared" si="35"/>
        <v/>
      </c>
      <c r="HX43" s="188" t="str">
        <f t="shared" si="36"/>
        <v/>
      </c>
      <c r="HY43" s="188" t="str">
        <f t="shared" si="37"/>
        <v/>
      </c>
      <c r="HZ43" s="188" t="str">
        <f t="shared" si="38"/>
        <v/>
      </c>
      <c r="IA43" s="188" t="str">
        <f t="shared" si="39"/>
        <v/>
      </c>
      <c r="IB43" s="188" t="str">
        <f t="shared" si="40"/>
        <v/>
      </c>
      <c r="IC43" s="188" t="str">
        <f t="shared" si="41"/>
        <v/>
      </c>
      <c r="ID43" s="188" t="str">
        <f t="shared" si="42"/>
        <v/>
      </c>
      <c r="IE43" s="188" t="str">
        <f t="shared" si="43"/>
        <v/>
      </c>
      <c r="IF43" s="188" t="str">
        <f t="shared" si="44"/>
        <v/>
      </c>
      <c r="IX43" s="68" t="str">
        <f t="shared" si="45"/>
        <v/>
      </c>
      <c r="IY43" s="188" t="str">
        <f t="shared" si="46"/>
        <v/>
      </c>
      <c r="IZ43" s="188" t="str">
        <f t="shared" si="47"/>
        <v/>
      </c>
      <c r="JA43" s="188" t="str">
        <f t="shared" si="48"/>
        <v/>
      </c>
      <c r="JB43" s="188" t="str">
        <f t="shared" si="49"/>
        <v/>
      </c>
      <c r="JC43" s="188" t="str">
        <f t="shared" si="50"/>
        <v/>
      </c>
      <c r="JD43" s="188" t="str">
        <f t="shared" si="51"/>
        <v/>
      </c>
      <c r="JE43" s="188" t="str">
        <f t="shared" si="52"/>
        <v/>
      </c>
      <c r="JF43" s="188" t="str">
        <f t="shared" si="53"/>
        <v/>
      </c>
      <c r="JG43" s="188" t="str">
        <f t="shared" si="54"/>
        <v/>
      </c>
      <c r="JH43" s="188" t="str">
        <f t="shared" si="55"/>
        <v/>
      </c>
      <c r="JI43" s="188" t="str">
        <f t="shared" si="56"/>
        <v/>
      </c>
      <c r="JJ43" s="188" t="str">
        <f t="shared" si="57"/>
        <v/>
      </c>
      <c r="JK43" s="188" t="str">
        <f t="shared" si="58"/>
        <v/>
      </c>
      <c r="KA43" s="188"/>
      <c r="KB43" s="2"/>
      <c r="KC43" s="226"/>
      <c r="KD43" s="164" t="str">
        <f t="shared" si="1"/>
        <v/>
      </c>
      <c r="KE43" s="188" t="str">
        <f t="shared" si="2"/>
        <v/>
      </c>
      <c r="KF43" s="188" t="str">
        <f t="shared" si="3"/>
        <v/>
      </c>
      <c r="KG43" s="188" t="str">
        <f t="shared" si="4"/>
        <v/>
      </c>
      <c r="KH43" s="188" t="str">
        <f t="shared" si="5"/>
        <v/>
      </c>
      <c r="KI43" s="188" t="str">
        <f t="shared" si="6"/>
        <v/>
      </c>
      <c r="KJ43" s="188" t="str">
        <f t="shared" si="7"/>
        <v/>
      </c>
      <c r="KK43" s="188" t="str">
        <f t="shared" si="8"/>
        <v/>
      </c>
      <c r="KL43" s="188" t="str">
        <f t="shared" si="9"/>
        <v/>
      </c>
      <c r="KM43" s="188" t="str">
        <f t="shared" si="10"/>
        <v/>
      </c>
      <c r="KN43" s="188" t="str">
        <f t="shared" si="11"/>
        <v/>
      </c>
      <c r="KO43" s="188" t="str">
        <f t="shared" si="12"/>
        <v/>
      </c>
      <c r="KP43" s="188" t="str">
        <f t="shared" si="13"/>
        <v/>
      </c>
      <c r="KQ43" s="188" t="str">
        <f t="shared" si="14"/>
        <v/>
      </c>
    </row>
    <row r="44" spans="1:303" s="18" customFormat="1" ht="11.45" customHeight="1" x14ac:dyDescent="0.2">
      <c r="A44" s="38"/>
      <c r="B44" s="48"/>
      <c r="C44" s="421">
        <f t="shared" si="0"/>
        <v>45318</v>
      </c>
      <c r="D44" s="421"/>
      <c r="E44" s="422">
        <f t="shared" si="59"/>
        <v>45318</v>
      </c>
      <c r="F44" s="423"/>
      <c r="G44" s="31"/>
      <c r="H44" s="45"/>
      <c r="I44" s="44"/>
      <c r="J44" s="45"/>
      <c r="K44" s="44"/>
      <c r="L44" s="45"/>
      <c r="M44" s="44"/>
      <c r="N44" s="45"/>
      <c r="O44" s="44"/>
      <c r="P44" s="45"/>
      <c r="Q44" s="44"/>
      <c r="R44" s="45"/>
      <c r="S44" s="44"/>
      <c r="T44" s="45"/>
      <c r="U44" s="44"/>
      <c r="V44" s="45"/>
      <c r="W44" s="44"/>
      <c r="X44" s="45"/>
      <c r="Y44" s="44"/>
      <c r="Z44" s="45"/>
      <c r="AA44" s="44"/>
      <c r="AB44" s="45"/>
      <c r="AC44" s="44"/>
      <c r="AD44" s="45"/>
      <c r="AE44" s="44"/>
      <c r="AF44" s="45"/>
      <c r="AG44" s="44"/>
      <c r="AH44" s="45"/>
      <c r="AI44" s="127"/>
      <c r="AJ44" s="236"/>
      <c r="BO44" s="188"/>
      <c r="BP44" s="267">
        <v>2063</v>
      </c>
      <c r="BQ44" s="83" t="s">
        <v>61</v>
      </c>
      <c r="BR44" s="188"/>
      <c r="BS44" s="188"/>
      <c r="BU44" s="68" t="str">
        <f t="shared" si="15"/>
        <v/>
      </c>
      <c r="BV44" s="188" t="str">
        <f t="shared" si="16"/>
        <v/>
      </c>
      <c r="BW44" s="188" t="str">
        <f t="shared" si="17"/>
        <v/>
      </c>
      <c r="BX44" s="188" t="str">
        <f t="shared" si="18"/>
        <v/>
      </c>
      <c r="BY44" s="188" t="str">
        <f t="shared" si="19"/>
        <v/>
      </c>
      <c r="BZ44" s="188" t="str">
        <f t="shared" si="20"/>
        <v/>
      </c>
      <c r="CA44" s="188" t="str">
        <f t="shared" si="21"/>
        <v/>
      </c>
      <c r="CB44" s="188" t="str">
        <f t="shared" si="22"/>
        <v/>
      </c>
      <c r="CC44" s="188" t="str">
        <f t="shared" si="23"/>
        <v/>
      </c>
      <c r="CD44" s="188" t="str">
        <f t="shared" si="24"/>
        <v/>
      </c>
      <c r="CE44" s="188" t="str">
        <f t="shared" si="25"/>
        <v/>
      </c>
      <c r="CF44" s="188" t="str">
        <f t="shared" si="26"/>
        <v/>
      </c>
      <c r="CG44" s="188" t="str">
        <f t="shared" si="27"/>
        <v/>
      </c>
      <c r="CH44" s="188" t="str">
        <f t="shared" si="28"/>
        <v/>
      </c>
      <c r="CY44" s="77" t="str">
        <f>IF(I44&lt;&gt;"",IF(H44="&lt;",IF(AND('Outfall 1 Limits'!$AM$16="Y",$BU$54&lt;&gt;"Y",I44&lt;='Outfall 1 Limits'!$AL$16),0,(1*I44)),I44),"")</f>
        <v/>
      </c>
      <c r="CZ44" s="29" t="str">
        <f>IF(K44&lt;&gt;"",IF(J44="&lt;",IF(AND('Outfall 1 Limits'!$AM$20="Y",$BV$54&lt;&gt;"Y",K44&lt;='Outfall 1 Limits'!$AL$20),0,(1*K44)),K44),"")</f>
        <v/>
      </c>
      <c r="DA44" s="29" t="str">
        <f>IF(M44&lt;&gt;"",IF(L44="&lt;",IF(AND('Outfall 1 Limits'!$AM$24="Y",$BW$54&lt;&gt;"Y",M44&lt;='Outfall 1 Limits'!$AL$24),0,(1*M44)),M44),"")</f>
        <v/>
      </c>
      <c r="DB44" s="29" t="str">
        <f>IF(O44&lt;&gt;"",IF(N44="&lt;",IF(AND('Outfall 1 Limits'!$AM$28="Y",$BX$54&lt;&gt;"Y",O44&lt;='Outfall 1 Limits'!$AL$28),0,(1*O44)),O44),"")</f>
        <v/>
      </c>
      <c r="DC44" s="29" t="str">
        <f>IF(Q44&lt;&gt;"",IF(P44="&lt;",IF(AND('Outfall 1 Limits'!$AM$32="Y",$BY$54&lt;&gt;"Y",Q44&lt;='Outfall 1 Limits'!$AL$32),0,(1*Q44)),Q44),"")</f>
        <v/>
      </c>
      <c r="DD44" s="29" t="str">
        <f>IF(S44&lt;&gt;"",IF(R44="&lt;",IF(AND('Outfall 1 Limits'!$AM$36="Y",$BZ$54&lt;&gt;"Y",S44&lt;='Outfall 1 Limits'!$AL$36),0,(1*S44)),S44),"")</f>
        <v/>
      </c>
      <c r="DE44" s="29" t="str">
        <f>IF(U44&lt;&gt;"",IF(T44="&lt;",IF(AND('Outfall 1 Limits'!$AM$40="Y",$CA$54&lt;&gt;"Y",U44&lt;='Outfall 1 Limits'!$AL$40),0,(1*U44)),U44),"")</f>
        <v/>
      </c>
      <c r="DF44" s="29" t="str">
        <f>IF(W44&lt;&gt;"",IF(V44="&lt;",IF(AND('Outfall 1 Limits'!$AM$44="Y",$CB$54&lt;&gt;"Y",W44&lt;='Outfall 1 Limits'!$AL$44),0,(1*W44)),W44),"")</f>
        <v/>
      </c>
      <c r="DG44" s="29" t="str">
        <f>IF(Y44&lt;&gt;"",IF(X44="&lt;",IF(AND('Outfall 1 Limits'!$AM$48="Y",$CC$54&lt;&gt;"Y",Y44&lt;='Outfall 1 Limits'!$AL$48),0,(1*Y44)),Y44),"")</f>
        <v/>
      </c>
      <c r="DH44" s="29" t="str">
        <f>IF(AA44&lt;&gt;"",IF(Z44="&lt;",IF(AND('Outfall 1 Limits'!$AM$52="Y",$CD$54&lt;&gt;"Y",AA44&lt;='Outfall 1 Limits'!$AL$52),0,(1*AA44)),AA44),"")</f>
        <v/>
      </c>
      <c r="DI44" s="29" t="str">
        <f>IF(AC44&lt;&gt;"",IF(AB44="&lt;",IF(AND('Outfall 1 Limits'!$AM$56="Y",$CE$54&lt;&gt;"Y",AC44&lt;='Outfall 1 Limits'!$AL$56),0,(1*AC44)),AC44),"")</f>
        <v/>
      </c>
      <c r="DJ44" s="29" t="str">
        <f>IF(AE44&lt;&gt;"",IF(AD44="&lt;",IF(AND('Outfall 1 Limits'!$AM$60="Y",$CF$54&lt;&gt;"Y",AE44&lt;='Outfall 1 Limits'!$AL$60),0,(1*AE44)),AE44),"")</f>
        <v/>
      </c>
      <c r="DK44" s="29" t="str">
        <f>IF(AG44&lt;&gt;"",IF(AF44="&lt;",IF(AND('Outfall 1 Limits'!$AM$64="Y",$CG$54&lt;&gt;"Y",AG44&lt;='Outfall 1 Limits'!$AL$64),0,(1*AG44)),AG44),"")</f>
        <v/>
      </c>
      <c r="DL44" s="29" t="str">
        <f>IF(AI44&lt;&gt;"",IF(AH44="&lt;",IF(AND('Outfall 1 Limits'!$AM$68="Y",$CH$54&lt;&gt;"Y",AI44&lt;='Outfall 1 Limits'!$AL$68),0,(1*AI44)),AI44),"")</f>
        <v/>
      </c>
      <c r="EB44" s="222" t="s">
        <v>1152</v>
      </c>
      <c r="EC44" s="82" t="str">
        <f>IF(EC36&lt;&gt;"",IF(OR('Outfall 1 Limits'!$AX$16="C1",'Outfall 1 Limits'!$AX$16="L"),IF(EC36&gt;=1,IF('Outfall 1 Limits'!$AO$16=0,ROUND(EC36,0),TEXT(EC36,"0."&amp;REPT("0",LEN('Outfall 1 Limits'!$O16)-FIND(".",'Outfall 1 Limits'!$O16)))),ROUND(EC36,1-(1+INT(LOG10(ABS(EC36)))))),ROUND(EC36,$I126)),"")</f>
        <v/>
      </c>
      <c r="ED44" s="83" t="str">
        <f>IF(ED36&lt;&gt;"",IF(OR('Outfall 1 Limits'!$AX$20="C1",'Outfall 1 Limits'!$AX$20="L"),IF(ED36&gt;=1,IF('Outfall 1 Limits'!$AO$20=0,ROUND(ED36,0),TEXT(ED36,"0."&amp;REPT("0",LEN('Outfall 1 Limits'!$O20)-FIND(".",'Outfall 1 Limits'!$O20)))),ROUND(ED36,1-(1+INT(LOG10(ABS(ED36)))))),ROUND(ED36,$K126)),"")</f>
        <v/>
      </c>
      <c r="EE44" s="83" t="str">
        <f>IF(EE36&lt;&gt;"",IF(OR('Outfall 1 Limits'!$AX$24="C1",'Outfall 1 Limits'!$AX$24="L"),IF(EE36&gt;=1,IF('Outfall 1 Limits'!$AO$24=0,ROUND(EE36,0),TEXT(EE36,"0."&amp;REPT("0",LEN('Outfall 1 Limits'!$O24)-FIND(".",'Outfall 1 Limits'!$O24)))),ROUND(EE36,1-(1+INT(LOG10(ABS(EE36)))))),ROUND(EE36,$M126)),"")</f>
        <v/>
      </c>
      <c r="EF44" s="83" t="str">
        <f>IF(EF36&lt;&gt;"",IF(OR('Outfall 1 Limits'!$AX$28="C1",'Outfall 1 Limits'!$AX$28="L"),IF(EF36&gt;=1,IF('Outfall 1 Limits'!$AO$28=0,ROUND(EF36,0),TEXT(EF36,"0."&amp;REPT("0",LEN('Outfall 1 Limits'!$O28)-FIND(".",'Outfall 1 Limits'!$O28)))),ROUND(EF36,1-(1+INT(LOG10(ABS(EF36)))))),ROUND(EF36,$O126)),"")</f>
        <v/>
      </c>
      <c r="EG44" s="83" t="str">
        <f>IF(EG36&lt;&gt;"",IF(OR('Outfall 1 Limits'!$AX$32="C1",'Outfall 1 Limits'!$AX$32="L"),IF(EG36&gt;=1,IF('Outfall 1 Limits'!$AO$32=0,ROUND(EG36,0),TEXT(EG36,"0."&amp;REPT("0",LEN('Outfall 1 Limits'!$O32)-FIND(".",'Outfall 1 Limits'!$O32)))),ROUND(EG36,1-(1+INT(LOG10(ABS(EG36)))))),ROUND(EG36,$Q126)),"")</f>
        <v/>
      </c>
      <c r="EH44" s="83" t="str">
        <f>IF(EH36&lt;&gt;"",IF(OR('Outfall 1 Limits'!$AX$36="C1",'Outfall 1 Limits'!$AX$36="L"),IF(EH36&gt;=1,IF('Outfall 1 Limits'!$AO$36=0,ROUND(EH36,0),TEXT(EH36,"0."&amp;REPT("0",LEN('Outfall 1 Limits'!$O36)-FIND(".",'Outfall 1 Limits'!$O36)))),ROUND(EH36,1-(1+INT(LOG10(ABS(EH36)))))),ROUND(EH36,$S126)),"")</f>
        <v/>
      </c>
      <c r="EI44" s="83" t="str">
        <f>IF(EI36&lt;&gt;"",IF(OR('Outfall 1 Limits'!$AX$40="C1",'Outfall 1 Limits'!$AX$40="L"),IF(EI36&gt;=1,IF('Outfall 1 Limits'!$AO$40=0,ROUND(EI36,0),TEXT(EI36,"0."&amp;REPT("0",LEN('Outfall 1 Limits'!$O40)-FIND(".",'Outfall 1 Limits'!$O40)))),ROUND(EI36,1-(1+INT(LOG10(ABS(EI36)))))),ROUND(EI36,$U126)),"")</f>
        <v/>
      </c>
      <c r="EJ44" s="83" t="str">
        <f>IF(EJ36&lt;&gt;"",IF(OR('Outfall 1 Limits'!$AX$44="C1",'Outfall 1 Limits'!$AX$44="L"),IF(EJ36&gt;=1,IF('Outfall 1 Limits'!$AO$44=0,ROUND(EJ36,0),TEXT(EJ36,"0."&amp;REPT("0",LEN('Outfall 1 Limits'!$O44)-FIND(".",'Outfall 1 Limits'!$O44)))),ROUND(EJ36,1-(1+INT(LOG10(ABS(EJ36)))))),ROUND(EJ36,$W126)),"")</f>
        <v/>
      </c>
      <c r="EK44" s="83" t="str">
        <f>IF(EK36&lt;&gt;"",IF(OR('Outfall 1 Limits'!$AX$48="C1",'Outfall 1 Limits'!$AX$48="L"),IF(EK36&gt;=1,IF('Outfall 1 Limits'!$AO$48=0,ROUND(EK36,0),TEXT(EK36,"0."&amp;REPT("0",LEN('Outfall 1 Limits'!$O48)-FIND(".",'Outfall 1 Limits'!$O48)))),ROUND(EK36,1-(1+INT(LOG10(ABS(EK36)))))),ROUND(EK36,$Y126)),"")</f>
        <v/>
      </c>
      <c r="EL44" s="83" t="str">
        <f>IF(EL36&lt;&gt;"",IF(OR('Outfall 1 Limits'!$AX$52="C1",'Outfall 1 Limits'!$AX$52="L"),IF(EL36&gt;=1,IF('Outfall 1 Limits'!$AO$52=0,ROUND(EL36,0),TEXT(EL36,"0."&amp;REPT("0",LEN('Outfall 1 Limits'!$O52)-FIND(".",'Outfall 1 Limits'!$O52)))),ROUND(EL36,1-(1+INT(LOG10(ABS(EL36)))))),ROUND(EL36,$AA126)),"")</f>
        <v/>
      </c>
      <c r="EM44" s="83" t="str">
        <f>IF(EM36&lt;&gt;"",IF(OR('Outfall 1 Limits'!$AX$56="C1",'Outfall 1 Limits'!$AX$56="L"),IF(EM36&gt;=1,IF('Outfall 1 Limits'!$AO$56=0,ROUND(EM36,0),TEXT(EM36,"0."&amp;REPT("0",LEN('Outfall 1 Limits'!$O56)-FIND(".",'Outfall 1 Limits'!$O56)))),ROUND(EM36,1-(1+INT(LOG10(ABS(EM36)))))),ROUND(EM36,$AC126)),"")</f>
        <v/>
      </c>
      <c r="EN44" s="83" t="str">
        <f>IF(EN36&lt;&gt;"",IF(OR('Outfall 1 Limits'!$AX$60="C1",'Outfall 1 Limits'!$AX$60="L"),IF(EN36&gt;=1,IF('Outfall 1 Limits'!$AO$60=0,ROUND(EN36,0),TEXT(EN36,"0."&amp;REPT("0",LEN('Outfall 1 Limits'!$O60)-FIND(".",'Outfall 1 Limits'!$O60)))),ROUND(EN36,1-(1+INT(LOG10(ABS(EN36)))))),ROUND(EN36,$AE126)),"")</f>
        <v/>
      </c>
      <c r="EO44" s="83" t="str">
        <f>IF(EO36&lt;&gt;"",IF(OR('Outfall 1 Limits'!$AX$64="C1",'Outfall 1 Limits'!$AX$64="L"),IF(EO36&gt;=1,IF('Outfall 1 Limits'!$AO$64=0,ROUND(EO36,0),TEXT(EO36,"0."&amp;REPT("0",LEN('Outfall 1 Limits'!$O64)-FIND(".",'Outfall 1 Limits'!$O64)))),ROUND(EO36,1-(1+INT(LOG10(ABS(EO36)))))),ROUND(EO36,$AG126)),"")</f>
        <v/>
      </c>
      <c r="EP44" s="83" t="str">
        <f>IF(EP36&lt;&gt;"",IF(OR('Outfall 1 Limits'!$AX$68="C1",'Outfall 1 Limits'!$AX$68="L"),IF(EP36&gt;=1,IF('Outfall 1 Limits'!$AO$68=0,ROUND(EP36,0),TEXT(EP36,"0."&amp;REPT("0",LEN('Outfall 1 Limits'!$O68)-FIND(".",'Outfall 1 Limits'!$O68)))),ROUND(EP36,1-(1+INT(LOG10(ABS(EP36)))))),ROUND(EP36,$AI126)),"")</f>
        <v/>
      </c>
      <c r="FG44" s="77" t="str">
        <f>IF(AND($G44&lt;&gt;"",$G44&gt;0,'Outfall 1 Limits'!$AX$16="C1",I44&lt;&gt;""),I44*$G44*8.34,IF(AND($I44&lt;&gt;"",'Outfall 1 Limits'!$AX$16="L"),I44,""))</f>
        <v/>
      </c>
      <c r="FH44" s="29" t="str">
        <f>IF(AND($G44&lt;&gt;"",$G44&gt;0,'Outfall 1 Limits'!$AX$20="C1",$K44&lt;&gt;""),$K44*$G44*8.34,IF(AND($K44&lt;&gt;"",'Outfall 1 Limits'!$AX$20="L"),$K44,""))</f>
        <v/>
      </c>
      <c r="FI44" s="29" t="str">
        <f>IF(AND($G44&lt;&gt;"",$G44&gt;0,'Outfall 1 Limits'!$AX$24="C1",$M44&lt;&gt;""),$M44*$G44*8.34,IF(AND($M44&lt;&gt;"",'Outfall 1 Limits'!$AX$24="L"),$M44,""))</f>
        <v/>
      </c>
      <c r="FJ44" s="29" t="str">
        <f>IF(AND($G44&lt;&gt;"",$G44&gt;0,'Outfall 1 Limits'!$AX$28="C1",$O44&lt;&gt;""),$O44*$G44*8.34,IF(AND($O44&lt;&gt;"",'Outfall 1 Limits'!$AX$28="L"),$O44,""))</f>
        <v/>
      </c>
      <c r="FK44" s="29" t="str">
        <f>IF(AND($G44&lt;&gt;"",$G44&gt;0,'Outfall 1 Limits'!$AX$32="C1",$Q44&lt;&gt;""),$Q44*$G44*8.34,IF(AND($Q44&lt;&gt;"",'Outfall 1 Limits'!$AX$32="L"),$Q44,""))</f>
        <v/>
      </c>
      <c r="FL44" s="29" t="str">
        <f>IF(AND($G44&lt;&gt;"",$G44&gt;0,'Outfall 1 Limits'!$AX$36="C1",$S44&lt;&gt;""),$S44*$G44*8.34,IF(AND($S44&lt;&gt;"",'Outfall 1 Limits'!$AX$36="L"),$S44,""))</f>
        <v/>
      </c>
      <c r="FM44" s="29" t="str">
        <f>IF(AND($G44&lt;&gt;"",$G44&gt;0,'Outfall 1 Limits'!$AX$40="C1",$U44&lt;&gt;""),$U44*$G44*8.34,IF(AND($U44&lt;&gt;"",'Outfall 1 Limits'!$AX$40="L"),$U44,""))</f>
        <v/>
      </c>
      <c r="FN44" s="29" t="str">
        <f>IF(AND($G44&lt;&gt;"",$G44&gt;0,'Outfall 1 Limits'!$AX$44="C1",$W44&lt;&gt;""),$W44*$G44*8.34,IF(AND($W44&lt;&gt;"",'Outfall 1 Limits'!$AX$44="L"),$W44,""))</f>
        <v/>
      </c>
      <c r="FO44" s="29" t="str">
        <f>IF(AND($G44&lt;&gt;"",$G44&gt;0,'Outfall 1 Limits'!$AX$48="C1",$Y44&lt;&gt;""),$Y44*$G44*8.34,IF(AND($Y44&lt;&gt;"",'Outfall 1 Limits'!$AX$48="L"),$Y44,""))</f>
        <v/>
      </c>
      <c r="FP44" s="29" t="str">
        <f>IF(AND($G44&lt;&gt;"",$G44&gt;0,'Outfall 1 Limits'!$AX$52="C1",$AA44&lt;&gt;""),$AA44*$G44*8.34,IF(AND($AA44&lt;&gt;"",'Outfall 1 Limits'!$AX$52="L"),$AA44,""))</f>
        <v/>
      </c>
      <c r="FQ44" s="29" t="str">
        <f>IF(AND($G44&lt;&gt;"",$G44&gt;0,'Outfall 1 Limits'!$AX$56="C1",$AC44&lt;&gt;""),$AC44*$G44*8.34,IF(AND($AC44&lt;&gt;"",'Outfall 1 Limits'!$AX$56="L"),$AC44,""))</f>
        <v/>
      </c>
      <c r="FR44" s="29" t="str">
        <f>IF(AND($G44&lt;&gt;"",$G44&gt;0,'Outfall 1 Limits'!$AX$60="C1",$AE44&lt;&gt;""),$AE44*$G44*8.34,IF(AND($AE44&lt;&gt;"",'Outfall 1 Limits'!$AX$60="L"),$AE44,""))</f>
        <v/>
      </c>
      <c r="FS44" s="29" t="str">
        <f>IF(AND($G44&lt;&gt;"",$G44&gt;0,'Outfall 1 Limits'!$AX$64="C1",$AG44&lt;&gt;""),$AG44*$G44*8.34,IF(AND($AG44&lt;&gt;"",'Outfall 1 Limits'!$AX$64="L"),$AG44,""))</f>
        <v/>
      </c>
      <c r="FT44" s="29" t="str">
        <f>IF(AND($G44&lt;&gt;"",$G44&gt;0,'Outfall 1 Limits'!$AX$68="C1",$AI44&lt;&gt;""),$AI44*$G44*8.34,IF(AND($AI44&lt;&gt;"",'Outfall 1 Limits'!$AX$68="L"),$AI44,""))</f>
        <v/>
      </c>
      <c r="GJ44" s="29" t="str">
        <f t="shared" si="29"/>
        <v/>
      </c>
      <c r="GK44" s="77" t="str">
        <f>IF(AND($G44&lt;&gt;"",$G44&gt;0,'Outfall 1 Limits'!$AX$16="C1",CY44&lt;&gt;""),CY44*$G44*8.34,IF(AND(CY44&lt;&gt;"",'Outfall 1 Limits'!$AX$16="L"),CY44,""))</f>
        <v/>
      </c>
      <c r="GL44" s="29" t="str">
        <f>IF(AND($G44&lt;&gt;"",$G44&gt;0,'Outfall 1 Limits'!$AX$20="C1",CZ44&lt;&gt;""),CZ44*$G44*8.34,IF(AND(CZ44&lt;&gt;"",'Outfall 1 Limits'!$AX$20="L"),CZ44,""))</f>
        <v/>
      </c>
      <c r="GM44" s="29" t="str">
        <f>IF(AND($G44&lt;&gt;"",$G44&gt;0,'Outfall 1 Limits'!$AX$24="C1",DA44&lt;&gt;""),DA44*$G44*8.34,IF(AND(DA44&lt;&gt;"",'Outfall 1 Limits'!$AX$24="L"),DA44,""))</f>
        <v/>
      </c>
      <c r="GN44" s="29" t="str">
        <f>IF(AND($G44&lt;&gt;"",$G44&gt;0,'Outfall 1 Limits'!$AX$28="C1",DB44&lt;&gt;""),DB44*$G44*8.34,IF(AND(DB44&lt;&gt;"",'Outfall 1 Limits'!$AX$28="L"),DB44,""))</f>
        <v/>
      </c>
      <c r="GO44" s="29" t="str">
        <f>IF(AND($G44&lt;&gt;"",$G44&gt;0,'Outfall 1 Limits'!$AX$32="C1",DC44&lt;&gt;""),DC44*$G44*8.34,IF(AND(DC44&lt;&gt;"",'Outfall 1 Limits'!$AX$32="L"),DC44,""))</f>
        <v/>
      </c>
      <c r="GP44" s="29" t="str">
        <f>IF(AND($G44&lt;&gt;"",$G44&gt;0,'Outfall 1 Limits'!$AX$36="C1",DD44&lt;&gt;""),DD44*$G44*8.34,IF(AND(DD44&lt;&gt;"",'Outfall 1 Limits'!$AX$36="L"),DD44,""))</f>
        <v/>
      </c>
      <c r="GQ44" s="29" t="str">
        <f>IF(AND($G44&lt;&gt;"",$G44&gt;0,'Outfall 1 Limits'!$AX$40="C1",DE44&lt;&gt;""),DE44*$G44*8.34,IF(AND(DE44&lt;&gt;"",'Outfall 1 Limits'!$AX$40="L"),DE44,""))</f>
        <v/>
      </c>
      <c r="GR44" s="29" t="str">
        <f>IF(AND($G44&lt;&gt;"",$G44&gt;0,'Outfall 1 Limits'!$AX$44="C1",DF44&lt;&gt;""),DF44*$G44*8.34,IF(AND(DF44&lt;&gt;"",'Outfall 1 Limits'!$AX$44="L"),DF44,""))</f>
        <v/>
      </c>
      <c r="GS44" s="29" t="str">
        <f>IF(AND($G44&lt;&gt;"",$G44&gt;0,'Outfall 1 Limits'!$AX$48="C1",DG44&lt;&gt;""),DG44*$G44*8.34,IF(AND(DG44&lt;&gt;"",'Outfall 1 Limits'!$AX$48="L"),DG44,""))</f>
        <v/>
      </c>
      <c r="GT44" s="29" t="str">
        <f>IF(AND($G44&lt;&gt;"",$G44&gt;0,'Outfall 1 Limits'!$AX$52="C1",DH44&lt;&gt;""),DH44*$G44*8.34,IF(AND(DH44&lt;&gt;"",'Outfall 1 Limits'!$AX$52="L"),DH44,""))</f>
        <v/>
      </c>
      <c r="GU44" s="29" t="str">
        <f>IF(AND($G44&lt;&gt;"",$G44&gt;0,'Outfall 1 Limits'!$AX$56="C1",DI44&lt;&gt;""),DI44*$G44*8.34,IF(AND(DI44&lt;&gt;"",'Outfall 1 Limits'!$AX$56="L"),DI44,""))</f>
        <v/>
      </c>
      <c r="GV44" s="29" t="str">
        <f>IF(AND($G44&lt;&gt;"",$G44&gt;0,'Outfall 1 Limits'!$AX$60="C1",DJ44&lt;&gt;""),DJ44*$G44*8.34,IF(AND(DJ44&lt;&gt;"",'Outfall 1 Limits'!$AX$60="L"),DJ44,""))</f>
        <v/>
      </c>
      <c r="GW44" s="29" t="str">
        <f>IF(AND($G44&lt;&gt;"",$G44&gt;0,'Outfall 1 Limits'!$AX$64="C1",DK44&lt;&gt;""),DK44*$G44*8.34,IF(AND(DK44&lt;&gt;"",'Outfall 1 Limits'!$AX$64="L"),DK44,""))</f>
        <v/>
      </c>
      <c r="GX44" s="29" t="str">
        <f>IF(AND($G44&lt;&gt;"",$G44&gt;0,'Outfall 1 Limits'!$AX$68="C1",DL44&lt;&gt;""),DL44*$G44*8.34,IF(AND(DL44&lt;&gt;"",'Outfall 1 Limits'!$AX$68="L"),DL44,""))</f>
        <v/>
      </c>
      <c r="HO44" s="98" t="str">
        <f t="shared" si="30"/>
        <v/>
      </c>
      <c r="HS44" s="68" t="str">
        <f t="shared" si="31"/>
        <v/>
      </c>
      <c r="HT44" s="188" t="str">
        <f t="shared" si="32"/>
        <v/>
      </c>
      <c r="HU44" s="188" t="str">
        <f t="shared" si="33"/>
        <v/>
      </c>
      <c r="HV44" s="188" t="str">
        <f t="shared" si="34"/>
        <v/>
      </c>
      <c r="HW44" s="188" t="str">
        <f t="shared" si="35"/>
        <v/>
      </c>
      <c r="HX44" s="188" t="str">
        <f t="shared" si="36"/>
        <v/>
      </c>
      <c r="HY44" s="188" t="str">
        <f t="shared" si="37"/>
        <v/>
      </c>
      <c r="HZ44" s="188" t="str">
        <f t="shared" si="38"/>
        <v/>
      </c>
      <c r="IA44" s="188" t="str">
        <f t="shared" si="39"/>
        <v/>
      </c>
      <c r="IB44" s="188" t="str">
        <f t="shared" si="40"/>
        <v/>
      </c>
      <c r="IC44" s="188" t="str">
        <f t="shared" si="41"/>
        <v/>
      </c>
      <c r="ID44" s="188" t="str">
        <f t="shared" si="42"/>
        <v/>
      </c>
      <c r="IE44" s="188" t="str">
        <f t="shared" si="43"/>
        <v/>
      </c>
      <c r="IF44" s="188" t="str">
        <f t="shared" si="44"/>
        <v/>
      </c>
      <c r="IX44" s="68" t="str">
        <f t="shared" si="45"/>
        <v/>
      </c>
      <c r="IY44" s="188" t="str">
        <f t="shared" si="46"/>
        <v/>
      </c>
      <c r="IZ44" s="188" t="str">
        <f t="shared" si="47"/>
        <v/>
      </c>
      <c r="JA44" s="188" t="str">
        <f t="shared" si="48"/>
        <v/>
      </c>
      <c r="JB44" s="188" t="str">
        <f t="shared" si="49"/>
        <v/>
      </c>
      <c r="JC44" s="188" t="str">
        <f t="shared" si="50"/>
        <v/>
      </c>
      <c r="JD44" s="188" t="str">
        <f t="shared" si="51"/>
        <v/>
      </c>
      <c r="JE44" s="188" t="str">
        <f t="shared" si="52"/>
        <v/>
      </c>
      <c r="JF44" s="188" t="str">
        <f t="shared" si="53"/>
        <v/>
      </c>
      <c r="JG44" s="188" t="str">
        <f t="shared" si="54"/>
        <v/>
      </c>
      <c r="JH44" s="188" t="str">
        <f t="shared" si="55"/>
        <v/>
      </c>
      <c r="JI44" s="188" t="str">
        <f t="shared" si="56"/>
        <v/>
      </c>
      <c r="JJ44" s="188" t="str">
        <f t="shared" si="57"/>
        <v/>
      </c>
      <c r="JK44" s="188" t="str">
        <f t="shared" si="58"/>
        <v/>
      </c>
      <c r="KA44" s="188"/>
      <c r="KB44" s="2"/>
      <c r="KC44" s="226"/>
      <c r="KD44" s="164" t="str">
        <f t="shared" si="1"/>
        <v/>
      </c>
      <c r="KE44" s="188" t="str">
        <f t="shared" si="2"/>
        <v/>
      </c>
      <c r="KF44" s="188" t="str">
        <f t="shared" si="3"/>
        <v/>
      </c>
      <c r="KG44" s="188" t="str">
        <f t="shared" si="4"/>
        <v/>
      </c>
      <c r="KH44" s="188" t="str">
        <f t="shared" si="5"/>
        <v/>
      </c>
      <c r="KI44" s="188" t="str">
        <f t="shared" si="6"/>
        <v/>
      </c>
      <c r="KJ44" s="188" t="str">
        <f t="shared" si="7"/>
        <v/>
      </c>
      <c r="KK44" s="188" t="str">
        <f t="shared" si="8"/>
        <v/>
      </c>
      <c r="KL44" s="188" t="str">
        <f t="shared" si="9"/>
        <v/>
      </c>
      <c r="KM44" s="188" t="str">
        <f t="shared" si="10"/>
        <v/>
      </c>
      <c r="KN44" s="188" t="str">
        <f t="shared" si="11"/>
        <v/>
      </c>
      <c r="KO44" s="188" t="str">
        <f t="shared" si="12"/>
        <v/>
      </c>
      <c r="KP44" s="188" t="str">
        <f t="shared" si="13"/>
        <v/>
      </c>
      <c r="KQ44" s="188" t="str">
        <f t="shared" si="14"/>
        <v/>
      </c>
    </row>
    <row r="45" spans="1:303" s="18" customFormat="1" ht="11.45" customHeight="1" thickBot="1" x14ac:dyDescent="0.25">
      <c r="A45" s="38"/>
      <c r="B45" s="48">
        <v>5</v>
      </c>
      <c r="C45" s="421">
        <f t="shared" si="0"/>
        <v>45319</v>
      </c>
      <c r="D45" s="421"/>
      <c r="E45" s="422">
        <f t="shared" si="59"/>
        <v>45319</v>
      </c>
      <c r="F45" s="423"/>
      <c r="G45" s="31"/>
      <c r="H45" s="45"/>
      <c r="I45" s="44"/>
      <c r="J45" s="45"/>
      <c r="K45" s="44"/>
      <c r="L45" s="45"/>
      <c r="M45" s="44"/>
      <c r="N45" s="45"/>
      <c r="O45" s="44"/>
      <c r="P45" s="45"/>
      <c r="Q45" s="44"/>
      <c r="R45" s="45"/>
      <c r="S45" s="44"/>
      <c r="T45" s="45"/>
      <c r="U45" s="44"/>
      <c r="V45" s="45"/>
      <c r="W45" s="44"/>
      <c r="X45" s="45"/>
      <c r="Y45" s="44"/>
      <c r="Z45" s="45"/>
      <c r="AA45" s="44"/>
      <c r="AB45" s="45"/>
      <c r="AC45" s="44"/>
      <c r="AD45" s="45"/>
      <c r="AE45" s="44"/>
      <c r="AF45" s="45"/>
      <c r="AG45" s="44"/>
      <c r="AH45" s="45"/>
      <c r="AI45" s="127"/>
      <c r="AJ45" s="236"/>
      <c r="BO45" s="188"/>
      <c r="BP45" s="267">
        <v>2064</v>
      </c>
      <c r="BQ45" s="83" t="s">
        <v>62</v>
      </c>
      <c r="BR45" s="188"/>
      <c r="BS45" s="188"/>
      <c r="BU45" s="68" t="str">
        <f t="shared" si="15"/>
        <v/>
      </c>
      <c r="BV45" s="188" t="str">
        <f t="shared" si="16"/>
        <v/>
      </c>
      <c r="BW45" s="188" t="str">
        <f t="shared" si="17"/>
        <v/>
      </c>
      <c r="BX45" s="188" t="str">
        <f t="shared" si="18"/>
        <v/>
      </c>
      <c r="BY45" s="188" t="str">
        <f t="shared" si="19"/>
        <v/>
      </c>
      <c r="BZ45" s="188" t="str">
        <f t="shared" si="20"/>
        <v/>
      </c>
      <c r="CA45" s="188" t="str">
        <f t="shared" si="21"/>
        <v/>
      </c>
      <c r="CB45" s="188" t="str">
        <f t="shared" si="22"/>
        <v/>
      </c>
      <c r="CC45" s="188" t="str">
        <f t="shared" si="23"/>
        <v/>
      </c>
      <c r="CD45" s="188" t="str">
        <f t="shared" si="24"/>
        <v/>
      </c>
      <c r="CE45" s="188" t="str">
        <f t="shared" si="25"/>
        <v/>
      </c>
      <c r="CF45" s="188" t="str">
        <f t="shared" si="26"/>
        <v/>
      </c>
      <c r="CG45" s="188" t="str">
        <f t="shared" si="27"/>
        <v/>
      </c>
      <c r="CH45" s="188" t="str">
        <f t="shared" si="28"/>
        <v/>
      </c>
      <c r="CY45" s="77" t="str">
        <f>IF(I45&lt;&gt;"",IF(H45="&lt;",IF(AND('Outfall 1 Limits'!$AM$16="Y",$BU$54&lt;&gt;"Y",I45&lt;='Outfall 1 Limits'!$AL$16),0,(1*I45)),I45),"")</f>
        <v/>
      </c>
      <c r="CZ45" s="29" t="str">
        <f>IF(K45&lt;&gt;"",IF(J45="&lt;",IF(AND('Outfall 1 Limits'!$AM$20="Y",$BV$54&lt;&gt;"Y",K45&lt;='Outfall 1 Limits'!$AL$20),0,(1*K45)),K45),"")</f>
        <v/>
      </c>
      <c r="DA45" s="29" t="str">
        <f>IF(M45&lt;&gt;"",IF(L45="&lt;",IF(AND('Outfall 1 Limits'!$AM$24="Y",$BW$54&lt;&gt;"Y",M45&lt;='Outfall 1 Limits'!$AL$24),0,(1*M45)),M45),"")</f>
        <v/>
      </c>
      <c r="DB45" s="29" t="str">
        <f>IF(O45&lt;&gt;"",IF(N45="&lt;",IF(AND('Outfall 1 Limits'!$AM$28="Y",$BX$54&lt;&gt;"Y",O45&lt;='Outfall 1 Limits'!$AL$28),0,(1*O45)),O45),"")</f>
        <v/>
      </c>
      <c r="DC45" s="29" t="str">
        <f>IF(Q45&lt;&gt;"",IF(P45="&lt;",IF(AND('Outfall 1 Limits'!$AM$32="Y",$BY$54&lt;&gt;"Y",Q45&lt;='Outfall 1 Limits'!$AL$32),0,(1*Q45)),Q45),"")</f>
        <v/>
      </c>
      <c r="DD45" s="29" t="str">
        <f>IF(S45&lt;&gt;"",IF(R45="&lt;",IF(AND('Outfall 1 Limits'!$AM$36="Y",$BZ$54&lt;&gt;"Y",S45&lt;='Outfall 1 Limits'!$AL$36),0,(1*S45)),S45),"")</f>
        <v/>
      </c>
      <c r="DE45" s="29" t="str">
        <f>IF(U45&lt;&gt;"",IF(T45="&lt;",IF(AND('Outfall 1 Limits'!$AM$40="Y",$CA$54&lt;&gt;"Y",U45&lt;='Outfall 1 Limits'!$AL$40),0,(1*U45)),U45),"")</f>
        <v/>
      </c>
      <c r="DF45" s="29" t="str">
        <f>IF(W45&lt;&gt;"",IF(V45="&lt;",IF(AND('Outfall 1 Limits'!$AM$44="Y",$CB$54&lt;&gt;"Y",W45&lt;='Outfall 1 Limits'!$AL$44),0,(1*W45)),W45),"")</f>
        <v/>
      </c>
      <c r="DG45" s="29" t="str">
        <f>IF(Y45&lt;&gt;"",IF(X45="&lt;",IF(AND('Outfall 1 Limits'!$AM$48="Y",$CC$54&lt;&gt;"Y",Y45&lt;='Outfall 1 Limits'!$AL$48),0,(1*Y45)),Y45),"")</f>
        <v/>
      </c>
      <c r="DH45" s="29" t="str">
        <f>IF(AA45&lt;&gt;"",IF(Z45="&lt;",IF(AND('Outfall 1 Limits'!$AM$52="Y",$CD$54&lt;&gt;"Y",AA45&lt;='Outfall 1 Limits'!$AL$52),0,(1*AA45)),AA45),"")</f>
        <v/>
      </c>
      <c r="DI45" s="29" t="str">
        <f>IF(AC45&lt;&gt;"",IF(AB45="&lt;",IF(AND('Outfall 1 Limits'!$AM$56="Y",$CE$54&lt;&gt;"Y",AC45&lt;='Outfall 1 Limits'!$AL$56),0,(1*AC45)),AC45),"")</f>
        <v/>
      </c>
      <c r="DJ45" s="29" t="str">
        <f>IF(AE45&lt;&gt;"",IF(AD45="&lt;",IF(AND('Outfall 1 Limits'!$AM$60="Y",$CF$54&lt;&gt;"Y",AE45&lt;='Outfall 1 Limits'!$AL$60),0,(1*AE45)),AE45),"")</f>
        <v/>
      </c>
      <c r="DK45" s="29" t="str">
        <f>IF(AG45&lt;&gt;"",IF(AF45="&lt;",IF(AND('Outfall 1 Limits'!$AM$64="Y",$CG$54&lt;&gt;"Y",AG45&lt;='Outfall 1 Limits'!$AL$64),0,(1*AG45)),AG45),"")</f>
        <v/>
      </c>
      <c r="DL45" s="29" t="str">
        <f>IF(AI45&lt;&gt;"",IF(AH45="&lt;",IF(AND('Outfall 1 Limits'!$AM$68="Y",$CH$54&lt;&gt;"Y",AI45&lt;='Outfall 1 Limits'!$AL$68),0,(1*AI45)),AI45),"")</f>
        <v/>
      </c>
      <c r="EB45" s="222" t="s">
        <v>383</v>
      </c>
      <c r="EC45" s="88" t="str">
        <f>IF(SUM(EC31:EC35)&gt;0,IF(EC43=EC36,"N","Y"),"")</f>
        <v/>
      </c>
      <c r="ED45" s="89" t="str">
        <f>IF(SUM(ED31:ED35)&gt;0,IF(ED43=ED36,"N","Y"),"")</f>
        <v/>
      </c>
      <c r="EE45" s="89" t="str">
        <f>IF(SUM(EE31:EE35)&gt;0,IF(EE43=EE36,"N","Y"),"")</f>
        <v/>
      </c>
      <c r="EF45" s="89" t="str">
        <f>IF(SUM(EF31:EF35)&gt;0,IF(EF43=EF36,"N","Y"),"")</f>
        <v/>
      </c>
      <c r="EG45" s="89" t="str">
        <f t="shared" ref="EG45:EP45" si="92">IF(SUM(EG31:EG35)&gt;0,IF(EG43=EG36,"N","Y"),"")</f>
        <v/>
      </c>
      <c r="EH45" s="89" t="str">
        <f t="shared" si="92"/>
        <v/>
      </c>
      <c r="EI45" s="89" t="str">
        <f t="shared" si="92"/>
        <v/>
      </c>
      <c r="EJ45" s="89" t="str">
        <f t="shared" si="92"/>
        <v/>
      </c>
      <c r="EK45" s="89" t="str">
        <f t="shared" si="92"/>
        <v/>
      </c>
      <c r="EL45" s="89" t="str">
        <f t="shared" si="92"/>
        <v/>
      </c>
      <c r="EM45" s="89" t="str">
        <f t="shared" si="92"/>
        <v/>
      </c>
      <c r="EN45" s="89" t="str">
        <f t="shared" si="92"/>
        <v/>
      </c>
      <c r="EO45" s="89" t="str">
        <f t="shared" si="92"/>
        <v/>
      </c>
      <c r="EP45" s="89" t="str">
        <f t="shared" si="92"/>
        <v/>
      </c>
      <c r="FG45" s="77" t="str">
        <f>IF(AND($G45&lt;&gt;"",$G45&gt;0,'Outfall 1 Limits'!$AX$16="C1",I45&lt;&gt;""),I45*$G45*8.34,IF(AND($I45&lt;&gt;"",'Outfall 1 Limits'!$AX$16="L"),I45,""))</f>
        <v/>
      </c>
      <c r="FH45" s="29" t="str">
        <f>IF(AND($G45&lt;&gt;"",$G45&gt;0,'Outfall 1 Limits'!$AX$20="C1",$K45&lt;&gt;""),$K45*$G45*8.34,IF(AND($K45&lt;&gt;"",'Outfall 1 Limits'!$AX$20="L"),$K45,""))</f>
        <v/>
      </c>
      <c r="FI45" s="29" t="str">
        <f>IF(AND($G45&lt;&gt;"",$G45&gt;0,'Outfall 1 Limits'!$AX$24="C1",$M45&lt;&gt;""),$M45*$G45*8.34,IF(AND($M45&lt;&gt;"",'Outfall 1 Limits'!$AX$24="L"),$M45,""))</f>
        <v/>
      </c>
      <c r="FJ45" s="29" t="str">
        <f>IF(AND($G45&lt;&gt;"",$G45&gt;0,'Outfall 1 Limits'!$AX$28="C1",$O45&lt;&gt;""),$O45*$G45*8.34,IF(AND($O45&lt;&gt;"",'Outfall 1 Limits'!$AX$28="L"),$O45,""))</f>
        <v/>
      </c>
      <c r="FK45" s="29" t="str">
        <f>IF(AND($G45&lt;&gt;"",$G45&gt;0,'Outfall 1 Limits'!$AX$32="C1",$Q45&lt;&gt;""),$Q45*$G45*8.34,IF(AND($Q45&lt;&gt;"",'Outfall 1 Limits'!$AX$32="L"),$Q45,""))</f>
        <v/>
      </c>
      <c r="FL45" s="29" t="str">
        <f>IF(AND($G45&lt;&gt;"",$G45&gt;0,'Outfall 1 Limits'!$AX$36="C1",$S45&lt;&gt;""),$S45*$G45*8.34,IF(AND($S45&lt;&gt;"",'Outfall 1 Limits'!$AX$36="L"),$S45,""))</f>
        <v/>
      </c>
      <c r="FM45" s="29" t="str">
        <f>IF(AND($G45&lt;&gt;"",$G45&gt;0,'Outfall 1 Limits'!$AX$40="C1",$U45&lt;&gt;""),$U45*$G45*8.34,IF(AND($U45&lt;&gt;"",'Outfall 1 Limits'!$AX$40="L"),$U45,""))</f>
        <v/>
      </c>
      <c r="FN45" s="29" t="str">
        <f>IF(AND($G45&lt;&gt;"",$G45&gt;0,'Outfall 1 Limits'!$AX$44="C1",$W45&lt;&gt;""),$W45*$G45*8.34,IF(AND($W45&lt;&gt;"",'Outfall 1 Limits'!$AX$44="L"),$W45,""))</f>
        <v/>
      </c>
      <c r="FO45" s="29" t="str">
        <f>IF(AND($G45&lt;&gt;"",$G45&gt;0,'Outfall 1 Limits'!$AX$48="C1",$Y45&lt;&gt;""),$Y45*$G45*8.34,IF(AND($Y45&lt;&gt;"",'Outfall 1 Limits'!$AX$48="L"),$Y45,""))</f>
        <v/>
      </c>
      <c r="FP45" s="29" t="str">
        <f>IF(AND($G45&lt;&gt;"",$G45&gt;0,'Outfall 1 Limits'!$AX$52="C1",$AA45&lt;&gt;""),$AA45*$G45*8.34,IF(AND($AA45&lt;&gt;"",'Outfall 1 Limits'!$AX$52="L"),$AA45,""))</f>
        <v/>
      </c>
      <c r="FQ45" s="29" t="str">
        <f>IF(AND($G45&lt;&gt;"",$G45&gt;0,'Outfall 1 Limits'!$AX$56="C1",$AC45&lt;&gt;""),$AC45*$G45*8.34,IF(AND($AC45&lt;&gt;"",'Outfall 1 Limits'!$AX$56="L"),$AC45,""))</f>
        <v/>
      </c>
      <c r="FR45" s="29" t="str">
        <f>IF(AND($G45&lt;&gt;"",$G45&gt;0,'Outfall 1 Limits'!$AX$60="C1",$AE45&lt;&gt;""),$AE45*$G45*8.34,IF(AND($AE45&lt;&gt;"",'Outfall 1 Limits'!$AX$60="L"),$AE45,""))</f>
        <v/>
      </c>
      <c r="FS45" s="29" t="str">
        <f>IF(AND($G45&lt;&gt;"",$G45&gt;0,'Outfall 1 Limits'!$AX$64="C1",$AG45&lt;&gt;""),$AG45*$G45*8.34,IF(AND($AG45&lt;&gt;"",'Outfall 1 Limits'!$AX$64="L"),$AG45,""))</f>
        <v/>
      </c>
      <c r="FT45" s="29" t="str">
        <f>IF(AND($G45&lt;&gt;"",$G45&gt;0,'Outfall 1 Limits'!$AX$68="C1",$AI45&lt;&gt;""),$AI45*$G45*8.34,IF(AND($AI45&lt;&gt;"",'Outfall 1 Limits'!$AX$68="L"),$AI45,""))</f>
        <v/>
      </c>
      <c r="GJ45" s="29" t="str">
        <f t="shared" si="29"/>
        <v/>
      </c>
      <c r="GK45" s="77" t="str">
        <f>IF(AND($G45&lt;&gt;"",$G45&gt;0,'Outfall 1 Limits'!$AX$16="C1",CY45&lt;&gt;""),CY45*$G45*8.34,IF(AND(CY45&lt;&gt;"",'Outfall 1 Limits'!$AX$16="L"),CY45,""))</f>
        <v/>
      </c>
      <c r="GL45" s="29" t="str">
        <f>IF(AND($G45&lt;&gt;"",$G45&gt;0,'Outfall 1 Limits'!$AX$20="C1",CZ45&lt;&gt;""),CZ45*$G45*8.34,IF(AND(CZ45&lt;&gt;"",'Outfall 1 Limits'!$AX$20="L"),CZ45,""))</f>
        <v/>
      </c>
      <c r="GM45" s="29" t="str">
        <f>IF(AND($G45&lt;&gt;"",$G45&gt;0,'Outfall 1 Limits'!$AX$24="C1",DA45&lt;&gt;""),DA45*$G45*8.34,IF(AND(DA45&lt;&gt;"",'Outfall 1 Limits'!$AX$24="L"),DA45,""))</f>
        <v/>
      </c>
      <c r="GN45" s="29" t="str">
        <f>IF(AND($G45&lt;&gt;"",$G45&gt;0,'Outfall 1 Limits'!$AX$28="C1",DB45&lt;&gt;""),DB45*$G45*8.34,IF(AND(DB45&lt;&gt;"",'Outfall 1 Limits'!$AX$28="L"),DB45,""))</f>
        <v/>
      </c>
      <c r="GO45" s="29" t="str">
        <f>IF(AND($G45&lt;&gt;"",$G45&gt;0,'Outfall 1 Limits'!$AX$32="C1",DC45&lt;&gt;""),DC45*$G45*8.34,IF(AND(DC45&lt;&gt;"",'Outfall 1 Limits'!$AX$32="L"),DC45,""))</f>
        <v/>
      </c>
      <c r="GP45" s="29" t="str">
        <f>IF(AND($G45&lt;&gt;"",$G45&gt;0,'Outfall 1 Limits'!$AX$36="C1",DD45&lt;&gt;""),DD45*$G45*8.34,IF(AND(DD45&lt;&gt;"",'Outfall 1 Limits'!$AX$36="L"),DD45,""))</f>
        <v/>
      </c>
      <c r="GQ45" s="29" t="str">
        <f>IF(AND($G45&lt;&gt;"",$G45&gt;0,'Outfall 1 Limits'!$AX$40="C1",DE45&lt;&gt;""),DE45*$G45*8.34,IF(AND(DE45&lt;&gt;"",'Outfall 1 Limits'!$AX$40="L"),DE45,""))</f>
        <v/>
      </c>
      <c r="GR45" s="29" t="str">
        <f>IF(AND($G45&lt;&gt;"",$G45&gt;0,'Outfall 1 Limits'!$AX$44="C1",DF45&lt;&gt;""),DF45*$G45*8.34,IF(AND(DF45&lt;&gt;"",'Outfall 1 Limits'!$AX$44="L"),DF45,""))</f>
        <v/>
      </c>
      <c r="GS45" s="29" t="str">
        <f>IF(AND($G45&lt;&gt;"",$G45&gt;0,'Outfall 1 Limits'!$AX$48="C1",DG45&lt;&gt;""),DG45*$G45*8.34,IF(AND(DG45&lt;&gt;"",'Outfall 1 Limits'!$AX$48="L"),DG45,""))</f>
        <v/>
      </c>
      <c r="GT45" s="29" t="str">
        <f>IF(AND($G45&lt;&gt;"",$G45&gt;0,'Outfall 1 Limits'!$AX$52="C1",DH45&lt;&gt;""),DH45*$G45*8.34,IF(AND(DH45&lt;&gt;"",'Outfall 1 Limits'!$AX$52="L"),DH45,""))</f>
        <v/>
      </c>
      <c r="GU45" s="29" t="str">
        <f>IF(AND($G45&lt;&gt;"",$G45&gt;0,'Outfall 1 Limits'!$AX$56="C1",DI45&lt;&gt;""),DI45*$G45*8.34,IF(AND(DI45&lt;&gt;"",'Outfall 1 Limits'!$AX$56="L"),DI45,""))</f>
        <v/>
      </c>
      <c r="GV45" s="29" t="str">
        <f>IF(AND($G45&lt;&gt;"",$G45&gt;0,'Outfall 1 Limits'!$AX$60="C1",DJ45&lt;&gt;""),DJ45*$G45*8.34,IF(AND(DJ45&lt;&gt;"",'Outfall 1 Limits'!$AX$60="L"),DJ45,""))</f>
        <v/>
      </c>
      <c r="GW45" s="29" t="str">
        <f>IF(AND($G45&lt;&gt;"",$G45&gt;0,'Outfall 1 Limits'!$AX$64="C1",DK45&lt;&gt;""),DK45*$G45*8.34,IF(AND(DK45&lt;&gt;"",'Outfall 1 Limits'!$AX$64="L"),DK45,""))</f>
        <v/>
      </c>
      <c r="GX45" s="29" t="str">
        <f>IF(AND($G45&lt;&gt;"",$G45&gt;0,'Outfall 1 Limits'!$AX$68="C1",DL45&lt;&gt;""),DL45*$G45*8.34,IF(AND(DL45&lt;&gt;"",'Outfall 1 Limits'!$AX$68="L"),DL45,""))</f>
        <v/>
      </c>
      <c r="HO45" s="98" t="str">
        <f t="shared" si="30"/>
        <v/>
      </c>
      <c r="HS45" s="68" t="str">
        <f t="shared" si="31"/>
        <v/>
      </c>
      <c r="HT45" s="188" t="str">
        <f t="shared" si="32"/>
        <v/>
      </c>
      <c r="HU45" s="188" t="str">
        <f t="shared" si="33"/>
        <v/>
      </c>
      <c r="HV45" s="188" t="str">
        <f t="shared" si="34"/>
        <v/>
      </c>
      <c r="HW45" s="188" t="str">
        <f t="shared" si="35"/>
        <v/>
      </c>
      <c r="HX45" s="188" t="str">
        <f t="shared" si="36"/>
        <v/>
      </c>
      <c r="HY45" s="188" t="str">
        <f t="shared" si="37"/>
        <v/>
      </c>
      <c r="HZ45" s="188" t="str">
        <f t="shared" si="38"/>
        <v/>
      </c>
      <c r="IA45" s="188" t="str">
        <f t="shared" si="39"/>
        <v/>
      </c>
      <c r="IB45" s="188" t="str">
        <f t="shared" si="40"/>
        <v/>
      </c>
      <c r="IC45" s="188" t="str">
        <f t="shared" si="41"/>
        <v/>
      </c>
      <c r="ID45" s="188" t="str">
        <f t="shared" si="42"/>
        <v/>
      </c>
      <c r="IE45" s="188" t="str">
        <f t="shared" si="43"/>
        <v/>
      </c>
      <c r="IF45" s="188" t="str">
        <f t="shared" si="44"/>
        <v/>
      </c>
      <c r="IX45" s="68" t="str">
        <f t="shared" si="45"/>
        <v/>
      </c>
      <c r="IY45" s="188" t="str">
        <f t="shared" si="46"/>
        <v/>
      </c>
      <c r="IZ45" s="188" t="str">
        <f t="shared" si="47"/>
        <v/>
      </c>
      <c r="JA45" s="188" t="str">
        <f t="shared" si="48"/>
        <v/>
      </c>
      <c r="JB45" s="188" t="str">
        <f t="shared" si="49"/>
        <v/>
      </c>
      <c r="JC45" s="188" t="str">
        <f t="shared" si="50"/>
        <v/>
      </c>
      <c r="JD45" s="188" t="str">
        <f t="shared" si="51"/>
        <v/>
      </c>
      <c r="JE45" s="188" t="str">
        <f t="shared" si="52"/>
        <v/>
      </c>
      <c r="JF45" s="188" t="str">
        <f t="shared" si="53"/>
        <v/>
      </c>
      <c r="JG45" s="188" t="str">
        <f t="shared" si="54"/>
        <v/>
      </c>
      <c r="JH45" s="188" t="str">
        <f t="shared" si="55"/>
        <v/>
      </c>
      <c r="JI45" s="188" t="str">
        <f t="shared" si="56"/>
        <v/>
      </c>
      <c r="JJ45" s="188" t="str">
        <f t="shared" si="57"/>
        <v/>
      </c>
      <c r="JK45" s="188" t="str">
        <f t="shared" si="58"/>
        <v/>
      </c>
      <c r="KA45" s="188"/>
      <c r="KB45" s="2"/>
      <c r="KC45" s="226"/>
      <c r="KD45" s="164" t="str">
        <f t="shared" si="1"/>
        <v/>
      </c>
      <c r="KE45" s="188" t="str">
        <f t="shared" si="2"/>
        <v/>
      </c>
      <c r="KF45" s="188" t="str">
        <f t="shared" si="3"/>
        <v/>
      </c>
      <c r="KG45" s="188" t="str">
        <f t="shared" si="4"/>
        <v/>
      </c>
      <c r="KH45" s="188" t="str">
        <f t="shared" si="5"/>
        <v/>
      </c>
      <c r="KI45" s="188" t="str">
        <f t="shared" si="6"/>
        <v/>
      </c>
      <c r="KJ45" s="188" t="str">
        <f t="shared" si="7"/>
        <v/>
      </c>
      <c r="KK45" s="188" t="str">
        <f t="shared" si="8"/>
        <v/>
      </c>
      <c r="KL45" s="188" t="str">
        <f t="shared" si="9"/>
        <v/>
      </c>
      <c r="KM45" s="188" t="str">
        <f t="shared" si="10"/>
        <v/>
      </c>
      <c r="KN45" s="188" t="str">
        <f t="shared" si="11"/>
        <v/>
      </c>
      <c r="KO45" s="188" t="str">
        <f t="shared" si="12"/>
        <v/>
      </c>
      <c r="KP45" s="188" t="str">
        <f t="shared" si="13"/>
        <v/>
      </c>
      <c r="KQ45" s="188" t="str">
        <f t="shared" si="14"/>
        <v/>
      </c>
    </row>
    <row r="46" spans="1:303" s="18" customFormat="1" ht="11.45" customHeight="1" thickTop="1" x14ac:dyDescent="0.2">
      <c r="A46" s="38"/>
      <c r="B46" s="48"/>
      <c r="C46" s="421">
        <f t="shared" si="0"/>
        <v>45320</v>
      </c>
      <c r="D46" s="421"/>
      <c r="E46" s="422">
        <f t="shared" si="59"/>
        <v>45320</v>
      </c>
      <c r="F46" s="423"/>
      <c r="G46" s="31"/>
      <c r="H46" s="45"/>
      <c r="I46" s="44"/>
      <c r="J46" s="45"/>
      <c r="K46" s="44"/>
      <c r="L46" s="45"/>
      <c r="M46" s="44"/>
      <c r="N46" s="45"/>
      <c r="O46" s="44"/>
      <c r="P46" s="45"/>
      <c r="Q46" s="44"/>
      <c r="R46" s="45"/>
      <c r="S46" s="44"/>
      <c r="T46" s="45"/>
      <c r="U46" s="44"/>
      <c r="V46" s="45"/>
      <c r="W46" s="44"/>
      <c r="X46" s="45"/>
      <c r="Y46" s="44"/>
      <c r="Z46" s="45"/>
      <c r="AA46" s="44"/>
      <c r="AB46" s="45"/>
      <c r="AC46" s="44"/>
      <c r="AD46" s="45"/>
      <c r="AE46" s="44"/>
      <c r="AF46" s="45"/>
      <c r="AG46" s="44"/>
      <c r="AH46" s="45"/>
      <c r="AI46" s="127"/>
      <c r="AJ46" s="236"/>
      <c r="BO46" s="188"/>
      <c r="BP46" s="267">
        <v>2065</v>
      </c>
      <c r="BQ46" s="83" t="s">
        <v>63</v>
      </c>
      <c r="BR46" s="188"/>
      <c r="BS46" s="188"/>
      <c r="BU46" s="68" t="str">
        <f t="shared" si="15"/>
        <v/>
      </c>
      <c r="BV46" s="188" t="str">
        <f t="shared" si="16"/>
        <v/>
      </c>
      <c r="BW46" s="188" t="str">
        <f t="shared" si="17"/>
        <v/>
      </c>
      <c r="BX46" s="188" t="str">
        <f t="shared" si="18"/>
        <v/>
      </c>
      <c r="BY46" s="188" t="str">
        <f t="shared" si="19"/>
        <v/>
      </c>
      <c r="BZ46" s="188" t="str">
        <f t="shared" si="20"/>
        <v/>
      </c>
      <c r="CA46" s="188" t="str">
        <f t="shared" si="21"/>
        <v/>
      </c>
      <c r="CB46" s="188" t="str">
        <f t="shared" si="22"/>
        <v/>
      </c>
      <c r="CC46" s="188" t="str">
        <f t="shared" si="23"/>
        <v/>
      </c>
      <c r="CD46" s="188" t="str">
        <f t="shared" si="24"/>
        <v/>
      </c>
      <c r="CE46" s="188" t="str">
        <f t="shared" si="25"/>
        <v/>
      </c>
      <c r="CF46" s="188" t="str">
        <f t="shared" si="26"/>
        <v/>
      </c>
      <c r="CG46" s="188" t="str">
        <f t="shared" si="27"/>
        <v/>
      </c>
      <c r="CH46" s="188" t="str">
        <f t="shared" si="28"/>
        <v/>
      </c>
      <c r="CY46" s="77" t="str">
        <f>IF(I46&lt;&gt;"",IF(H46="&lt;",IF(AND('Outfall 1 Limits'!$AM$16="Y",$BU$54&lt;&gt;"Y",I46&lt;='Outfall 1 Limits'!$AL$16),0,(1*I46)),I46),"")</f>
        <v/>
      </c>
      <c r="CZ46" s="29" t="str">
        <f>IF(K46&lt;&gt;"",IF(J46="&lt;",IF(AND('Outfall 1 Limits'!$AM$20="Y",$BV$54&lt;&gt;"Y",K46&lt;='Outfall 1 Limits'!$AL$20),0,(1*K46)),K46),"")</f>
        <v/>
      </c>
      <c r="DA46" s="29" t="str">
        <f>IF(M46&lt;&gt;"",IF(L46="&lt;",IF(AND('Outfall 1 Limits'!$AM$24="Y",$BW$54&lt;&gt;"Y",M46&lt;='Outfall 1 Limits'!$AL$24),0,(1*M46)),M46),"")</f>
        <v/>
      </c>
      <c r="DB46" s="29" t="str">
        <f>IF(O46&lt;&gt;"",IF(N46="&lt;",IF(AND('Outfall 1 Limits'!$AM$28="Y",$BX$54&lt;&gt;"Y",O46&lt;='Outfall 1 Limits'!$AL$28),0,(1*O46)),O46),"")</f>
        <v/>
      </c>
      <c r="DC46" s="29" t="str">
        <f>IF(Q46&lt;&gt;"",IF(P46="&lt;",IF(AND('Outfall 1 Limits'!$AM$32="Y",$BY$54&lt;&gt;"Y",Q46&lt;='Outfall 1 Limits'!$AL$32),0,(1*Q46)),Q46),"")</f>
        <v/>
      </c>
      <c r="DD46" s="29" t="str">
        <f>IF(S46&lt;&gt;"",IF(R46="&lt;",IF(AND('Outfall 1 Limits'!$AM$36="Y",$BZ$54&lt;&gt;"Y",S46&lt;='Outfall 1 Limits'!$AL$36),0,(1*S46)),S46),"")</f>
        <v/>
      </c>
      <c r="DE46" s="29" t="str">
        <f>IF(U46&lt;&gt;"",IF(T46="&lt;",IF(AND('Outfall 1 Limits'!$AM$40="Y",$CA$54&lt;&gt;"Y",U46&lt;='Outfall 1 Limits'!$AL$40),0,(1*U46)),U46),"")</f>
        <v/>
      </c>
      <c r="DF46" s="29" t="str">
        <f>IF(W46&lt;&gt;"",IF(V46="&lt;",IF(AND('Outfall 1 Limits'!$AM$44="Y",$CB$54&lt;&gt;"Y",W46&lt;='Outfall 1 Limits'!$AL$44),0,(1*W46)),W46),"")</f>
        <v/>
      </c>
      <c r="DG46" s="29" t="str">
        <f>IF(Y46&lt;&gt;"",IF(X46="&lt;",IF(AND('Outfall 1 Limits'!$AM$48="Y",$CC$54&lt;&gt;"Y",Y46&lt;='Outfall 1 Limits'!$AL$48),0,(1*Y46)),Y46),"")</f>
        <v/>
      </c>
      <c r="DH46" s="29" t="str">
        <f>IF(AA46&lt;&gt;"",IF(Z46="&lt;",IF(AND('Outfall 1 Limits'!$AM$52="Y",$CD$54&lt;&gt;"Y",AA46&lt;='Outfall 1 Limits'!$AL$52),0,(1*AA46)),AA46),"")</f>
        <v/>
      </c>
      <c r="DI46" s="29" t="str">
        <f>IF(AC46&lt;&gt;"",IF(AB46="&lt;",IF(AND('Outfall 1 Limits'!$AM$56="Y",$CE$54&lt;&gt;"Y",AC46&lt;='Outfall 1 Limits'!$AL$56),0,(1*AC46)),AC46),"")</f>
        <v/>
      </c>
      <c r="DJ46" s="29" t="str">
        <f>IF(AE46&lt;&gt;"",IF(AD46="&lt;",IF(AND('Outfall 1 Limits'!$AM$60="Y",$CF$54&lt;&gt;"Y",AE46&lt;='Outfall 1 Limits'!$AL$60),0,(1*AE46)),AE46),"")</f>
        <v/>
      </c>
      <c r="DK46" s="29" t="str">
        <f>IF(AG46&lt;&gt;"",IF(AF46="&lt;",IF(AND('Outfall 1 Limits'!$AM$64="Y",$CG$54&lt;&gt;"Y",AG46&lt;='Outfall 1 Limits'!$AL$64),0,(1*AG46)),AG46),"")</f>
        <v/>
      </c>
      <c r="DL46" s="29" t="str">
        <f>IF(AI46&lt;&gt;"",IF(AH46="&lt;",IF(AND('Outfall 1 Limits'!$AM$68="Y",$CH$54&lt;&gt;"Y",AI46&lt;='Outfall 1 Limits'!$AL$68),0,(1*AI46)),AI46),"")</f>
        <v/>
      </c>
      <c r="EB46" s="2"/>
      <c r="EE46" s="29"/>
      <c r="EF46" s="29"/>
      <c r="EG46" s="29"/>
      <c r="EH46" s="29"/>
      <c r="EI46" s="29"/>
      <c r="EJ46" s="29"/>
      <c r="EK46" s="29"/>
      <c r="EL46" s="29"/>
      <c r="EM46" s="29"/>
      <c r="EN46" s="29"/>
      <c r="EO46" s="29"/>
      <c r="EP46" s="29"/>
      <c r="EQ46" s="29"/>
      <c r="ER46" s="29"/>
      <c r="ES46" s="29"/>
      <c r="ET46" s="29"/>
      <c r="EU46" s="29"/>
      <c r="EV46" s="29"/>
      <c r="EW46" s="29"/>
      <c r="EX46" s="29"/>
      <c r="EY46" s="29"/>
      <c r="EZ46" s="29"/>
      <c r="FG46" s="77" t="str">
        <f>IF(AND($G46&lt;&gt;"",$G46&gt;0,'Outfall 1 Limits'!$AX$16="C1",I46&lt;&gt;""),I46*$G46*8.34,IF(AND($I46&lt;&gt;"",'Outfall 1 Limits'!$AX$16="L"),I46,""))</f>
        <v/>
      </c>
      <c r="FH46" s="29" t="str">
        <f>IF(AND($G46&lt;&gt;"",$G46&gt;0,'Outfall 1 Limits'!$AX$20="C1",$K46&lt;&gt;""),$K46*$G46*8.34,IF(AND($K46&lt;&gt;"",'Outfall 1 Limits'!$AX$20="L"),$K46,""))</f>
        <v/>
      </c>
      <c r="FI46" s="29" t="str">
        <f>IF(AND($G46&lt;&gt;"",$G46&gt;0,'Outfall 1 Limits'!$AX$24="C1",$M46&lt;&gt;""),$M46*$G46*8.34,IF(AND($M46&lt;&gt;"",'Outfall 1 Limits'!$AX$24="L"),$M46,""))</f>
        <v/>
      </c>
      <c r="FJ46" s="29" t="str">
        <f>IF(AND($G46&lt;&gt;"",$G46&gt;0,'Outfall 1 Limits'!$AX$28="C1",$O46&lt;&gt;""),$O46*$G46*8.34,IF(AND($O46&lt;&gt;"",'Outfall 1 Limits'!$AX$28="L"),$O46,""))</f>
        <v/>
      </c>
      <c r="FK46" s="29" t="str">
        <f>IF(AND($G46&lt;&gt;"",$G46&gt;0,'Outfall 1 Limits'!$AX$32="C1",$Q46&lt;&gt;""),$Q46*$G46*8.34,IF(AND($Q46&lt;&gt;"",'Outfall 1 Limits'!$AX$32="L"),$Q46,""))</f>
        <v/>
      </c>
      <c r="FL46" s="29" t="str">
        <f>IF(AND($G46&lt;&gt;"",$G46&gt;0,'Outfall 1 Limits'!$AX$36="C1",$S46&lt;&gt;""),$S46*$G46*8.34,IF(AND($S46&lt;&gt;"",'Outfall 1 Limits'!$AX$36="L"),$S46,""))</f>
        <v/>
      </c>
      <c r="FM46" s="29" t="str">
        <f>IF(AND($G46&lt;&gt;"",$G46&gt;0,'Outfall 1 Limits'!$AX$40="C1",$U46&lt;&gt;""),$U46*$G46*8.34,IF(AND($U46&lt;&gt;"",'Outfall 1 Limits'!$AX$40="L"),$U46,""))</f>
        <v/>
      </c>
      <c r="FN46" s="29" t="str">
        <f>IF(AND($G46&lt;&gt;"",$G46&gt;0,'Outfall 1 Limits'!$AX$44="C1",$W46&lt;&gt;""),$W46*$G46*8.34,IF(AND($W46&lt;&gt;"",'Outfall 1 Limits'!$AX$44="L"),$W46,""))</f>
        <v/>
      </c>
      <c r="FO46" s="29" t="str">
        <f>IF(AND($G46&lt;&gt;"",$G46&gt;0,'Outfall 1 Limits'!$AX$48="C1",$Y46&lt;&gt;""),$Y46*$G46*8.34,IF(AND($Y46&lt;&gt;"",'Outfall 1 Limits'!$AX$48="L"),$Y46,""))</f>
        <v/>
      </c>
      <c r="FP46" s="29" t="str">
        <f>IF(AND($G46&lt;&gt;"",$G46&gt;0,'Outfall 1 Limits'!$AX$52="C1",$AA46&lt;&gt;""),$AA46*$G46*8.34,IF(AND($AA46&lt;&gt;"",'Outfall 1 Limits'!$AX$52="L"),$AA46,""))</f>
        <v/>
      </c>
      <c r="FQ46" s="29" t="str">
        <f>IF(AND($G46&lt;&gt;"",$G46&gt;0,'Outfall 1 Limits'!$AX$56="C1",$AC46&lt;&gt;""),$AC46*$G46*8.34,IF(AND($AC46&lt;&gt;"",'Outfall 1 Limits'!$AX$56="L"),$AC46,""))</f>
        <v/>
      </c>
      <c r="FR46" s="29" t="str">
        <f>IF(AND($G46&lt;&gt;"",$G46&gt;0,'Outfall 1 Limits'!$AX$60="C1",$AE46&lt;&gt;""),$AE46*$G46*8.34,IF(AND($AE46&lt;&gt;"",'Outfall 1 Limits'!$AX$60="L"),$AE46,""))</f>
        <v/>
      </c>
      <c r="FS46" s="29" t="str">
        <f>IF(AND($G46&lt;&gt;"",$G46&gt;0,'Outfall 1 Limits'!$AX$64="C1",$AG46&lt;&gt;""),$AG46*$G46*8.34,IF(AND($AG46&lt;&gt;"",'Outfall 1 Limits'!$AX$64="L"),$AG46,""))</f>
        <v/>
      </c>
      <c r="FT46" s="29" t="str">
        <f>IF(AND($G46&lt;&gt;"",$G46&gt;0,'Outfall 1 Limits'!$AX$68="C1",$AI46&lt;&gt;""),$AI46*$G46*8.34,IF(AND($AI46&lt;&gt;"",'Outfall 1 Limits'!$AX$68="L"),$AI46,""))</f>
        <v/>
      </c>
      <c r="GJ46" s="29" t="str">
        <f t="shared" si="29"/>
        <v/>
      </c>
      <c r="GK46" s="77" t="str">
        <f>IF(AND($G46&lt;&gt;"",$G46&gt;0,'Outfall 1 Limits'!$AX$16="C1",CY46&lt;&gt;""),CY46*$G46*8.34,IF(AND(CY46&lt;&gt;"",'Outfall 1 Limits'!$AX$16="L"),CY46,""))</f>
        <v/>
      </c>
      <c r="GL46" s="29" t="str">
        <f>IF(AND($G46&lt;&gt;"",$G46&gt;0,'Outfall 1 Limits'!$AX$20="C1",CZ46&lt;&gt;""),CZ46*$G46*8.34,IF(AND(CZ46&lt;&gt;"",'Outfall 1 Limits'!$AX$20="L"),CZ46,""))</f>
        <v/>
      </c>
      <c r="GM46" s="29" t="str">
        <f>IF(AND($G46&lt;&gt;"",$G46&gt;0,'Outfall 1 Limits'!$AX$24="C1",DA46&lt;&gt;""),DA46*$G46*8.34,IF(AND(DA46&lt;&gt;"",'Outfall 1 Limits'!$AX$24="L"),DA46,""))</f>
        <v/>
      </c>
      <c r="GN46" s="29" t="str">
        <f>IF(AND($G46&lt;&gt;"",$G46&gt;0,'Outfall 1 Limits'!$AX$28="C1",DB46&lt;&gt;""),DB46*$G46*8.34,IF(AND(DB46&lt;&gt;"",'Outfall 1 Limits'!$AX$28="L"),DB46,""))</f>
        <v/>
      </c>
      <c r="GO46" s="29" t="str">
        <f>IF(AND($G46&lt;&gt;"",$G46&gt;0,'Outfall 1 Limits'!$AX$32="C1",DC46&lt;&gt;""),DC46*$G46*8.34,IF(AND(DC46&lt;&gt;"",'Outfall 1 Limits'!$AX$32="L"),DC46,""))</f>
        <v/>
      </c>
      <c r="GP46" s="29" t="str">
        <f>IF(AND($G46&lt;&gt;"",$G46&gt;0,'Outfall 1 Limits'!$AX$36="C1",DD46&lt;&gt;""),DD46*$G46*8.34,IF(AND(DD46&lt;&gt;"",'Outfall 1 Limits'!$AX$36="L"),DD46,""))</f>
        <v/>
      </c>
      <c r="GQ46" s="29" t="str">
        <f>IF(AND($G46&lt;&gt;"",$G46&gt;0,'Outfall 1 Limits'!$AX$40="C1",DE46&lt;&gt;""),DE46*$G46*8.34,IF(AND(DE46&lt;&gt;"",'Outfall 1 Limits'!$AX$40="L"),DE46,""))</f>
        <v/>
      </c>
      <c r="GR46" s="29" t="str">
        <f>IF(AND($G46&lt;&gt;"",$G46&gt;0,'Outfall 1 Limits'!$AX$44="C1",DF46&lt;&gt;""),DF46*$G46*8.34,IF(AND(DF46&lt;&gt;"",'Outfall 1 Limits'!$AX$44="L"),DF46,""))</f>
        <v/>
      </c>
      <c r="GS46" s="29" t="str">
        <f>IF(AND($G46&lt;&gt;"",$G46&gt;0,'Outfall 1 Limits'!$AX$48="C1",DG46&lt;&gt;""),DG46*$G46*8.34,IF(AND(DG46&lt;&gt;"",'Outfall 1 Limits'!$AX$48="L"),DG46,""))</f>
        <v/>
      </c>
      <c r="GT46" s="29" t="str">
        <f>IF(AND($G46&lt;&gt;"",$G46&gt;0,'Outfall 1 Limits'!$AX$52="C1",DH46&lt;&gt;""),DH46*$G46*8.34,IF(AND(DH46&lt;&gt;"",'Outfall 1 Limits'!$AX$52="L"),DH46,""))</f>
        <v/>
      </c>
      <c r="GU46" s="29" t="str">
        <f>IF(AND($G46&lt;&gt;"",$G46&gt;0,'Outfall 1 Limits'!$AX$56="C1",DI46&lt;&gt;""),DI46*$G46*8.34,IF(AND(DI46&lt;&gt;"",'Outfall 1 Limits'!$AX$56="L"),DI46,""))</f>
        <v/>
      </c>
      <c r="GV46" s="29" t="str">
        <f>IF(AND($G46&lt;&gt;"",$G46&gt;0,'Outfall 1 Limits'!$AX$60="C1",DJ46&lt;&gt;""),DJ46*$G46*8.34,IF(AND(DJ46&lt;&gt;"",'Outfall 1 Limits'!$AX$60="L"),DJ46,""))</f>
        <v/>
      </c>
      <c r="GW46" s="29" t="str">
        <f>IF(AND($G46&lt;&gt;"",$G46&gt;0,'Outfall 1 Limits'!$AX$64="C1",DK46&lt;&gt;""),DK46*$G46*8.34,IF(AND(DK46&lt;&gt;"",'Outfall 1 Limits'!$AX$64="L"),DK46,""))</f>
        <v/>
      </c>
      <c r="GX46" s="29" t="str">
        <f>IF(AND($G46&lt;&gt;"",$G46&gt;0,'Outfall 1 Limits'!$AX$68="C1",DL46&lt;&gt;""),DL46*$G46*8.34,IF(AND(DL46&lt;&gt;"",'Outfall 1 Limits'!$AX$68="L"),DL46,""))</f>
        <v/>
      </c>
      <c r="HO46" s="98" t="str">
        <f t="shared" si="30"/>
        <v/>
      </c>
      <c r="HS46" s="68" t="str">
        <f t="shared" si="31"/>
        <v/>
      </c>
      <c r="HT46" s="188" t="str">
        <f t="shared" si="32"/>
        <v/>
      </c>
      <c r="HU46" s="188" t="str">
        <f t="shared" si="33"/>
        <v/>
      </c>
      <c r="HV46" s="188" t="str">
        <f t="shared" si="34"/>
        <v/>
      </c>
      <c r="HW46" s="188" t="str">
        <f t="shared" si="35"/>
        <v/>
      </c>
      <c r="HX46" s="188" t="str">
        <f t="shared" si="36"/>
        <v/>
      </c>
      <c r="HY46" s="188" t="str">
        <f t="shared" si="37"/>
        <v/>
      </c>
      <c r="HZ46" s="188" t="str">
        <f t="shared" si="38"/>
        <v/>
      </c>
      <c r="IA46" s="188" t="str">
        <f t="shared" si="39"/>
        <v/>
      </c>
      <c r="IB46" s="188" t="str">
        <f t="shared" si="40"/>
        <v/>
      </c>
      <c r="IC46" s="188" t="str">
        <f t="shared" si="41"/>
        <v/>
      </c>
      <c r="ID46" s="188" t="str">
        <f t="shared" si="42"/>
        <v/>
      </c>
      <c r="IE46" s="188" t="str">
        <f t="shared" si="43"/>
        <v/>
      </c>
      <c r="IF46" s="188" t="str">
        <f t="shared" si="44"/>
        <v/>
      </c>
      <c r="IX46" s="68" t="str">
        <f t="shared" si="45"/>
        <v/>
      </c>
      <c r="IY46" s="188" t="str">
        <f t="shared" si="46"/>
        <v/>
      </c>
      <c r="IZ46" s="188" t="str">
        <f t="shared" si="47"/>
        <v/>
      </c>
      <c r="JA46" s="188" t="str">
        <f t="shared" si="48"/>
        <v/>
      </c>
      <c r="JB46" s="188" t="str">
        <f t="shared" si="49"/>
        <v/>
      </c>
      <c r="JC46" s="188" t="str">
        <f t="shared" si="50"/>
        <v/>
      </c>
      <c r="JD46" s="188" t="str">
        <f t="shared" si="51"/>
        <v/>
      </c>
      <c r="JE46" s="188" t="str">
        <f t="shared" si="52"/>
        <v/>
      </c>
      <c r="JF46" s="188" t="str">
        <f t="shared" si="53"/>
        <v/>
      </c>
      <c r="JG46" s="188" t="str">
        <f t="shared" si="54"/>
        <v/>
      </c>
      <c r="JH46" s="188" t="str">
        <f t="shared" si="55"/>
        <v/>
      </c>
      <c r="JI46" s="188" t="str">
        <f t="shared" si="56"/>
        <v/>
      </c>
      <c r="JJ46" s="188" t="str">
        <f t="shared" si="57"/>
        <v/>
      </c>
      <c r="JK46" s="188" t="str">
        <f t="shared" si="58"/>
        <v/>
      </c>
      <c r="KA46" s="188"/>
      <c r="KB46" s="2"/>
      <c r="KC46" s="226"/>
      <c r="KD46" s="164" t="str">
        <f t="shared" si="1"/>
        <v/>
      </c>
      <c r="KE46" s="188" t="str">
        <f t="shared" si="2"/>
        <v/>
      </c>
      <c r="KF46" s="188" t="str">
        <f t="shared" si="3"/>
        <v/>
      </c>
      <c r="KG46" s="188" t="str">
        <f t="shared" si="4"/>
        <v/>
      </c>
      <c r="KH46" s="188" t="str">
        <f t="shared" si="5"/>
        <v/>
      </c>
      <c r="KI46" s="188" t="str">
        <f t="shared" si="6"/>
        <v/>
      </c>
      <c r="KJ46" s="188" t="str">
        <f t="shared" si="7"/>
        <v/>
      </c>
      <c r="KK46" s="188" t="str">
        <f t="shared" si="8"/>
        <v/>
      </c>
      <c r="KL46" s="188" t="str">
        <f t="shared" si="9"/>
        <v/>
      </c>
      <c r="KM46" s="188" t="str">
        <f t="shared" si="10"/>
        <v/>
      </c>
      <c r="KN46" s="188" t="str">
        <f t="shared" si="11"/>
        <v/>
      </c>
      <c r="KO46" s="188" t="str">
        <f t="shared" si="12"/>
        <v/>
      </c>
      <c r="KP46" s="188" t="str">
        <f t="shared" si="13"/>
        <v/>
      </c>
      <c r="KQ46" s="188" t="str">
        <f t="shared" si="14"/>
        <v/>
      </c>
    </row>
    <row r="47" spans="1:303" s="18" customFormat="1" ht="11.45" customHeight="1" x14ac:dyDescent="0.2">
      <c r="A47" s="38"/>
      <c r="B47" s="48"/>
      <c r="C47" s="421">
        <f t="shared" si="0"/>
        <v>45321</v>
      </c>
      <c r="D47" s="421"/>
      <c r="E47" s="422">
        <f t="shared" si="59"/>
        <v>45321</v>
      </c>
      <c r="F47" s="423"/>
      <c r="G47" s="31"/>
      <c r="H47" s="45"/>
      <c r="I47" s="44"/>
      <c r="J47" s="45"/>
      <c r="K47" s="44"/>
      <c r="L47" s="45"/>
      <c r="M47" s="44"/>
      <c r="N47" s="45"/>
      <c r="O47" s="44"/>
      <c r="P47" s="45"/>
      <c r="Q47" s="44"/>
      <c r="R47" s="45"/>
      <c r="S47" s="44"/>
      <c r="T47" s="45"/>
      <c r="U47" s="44"/>
      <c r="V47" s="45"/>
      <c r="W47" s="44"/>
      <c r="X47" s="45"/>
      <c r="Y47" s="44"/>
      <c r="Z47" s="45"/>
      <c r="AA47" s="44"/>
      <c r="AB47" s="45"/>
      <c r="AC47" s="44"/>
      <c r="AD47" s="45"/>
      <c r="AE47" s="44"/>
      <c r="AF47" s="45"/>
      <c r="AG47" s="44"/>
      <c r="AH47" s="45"/>
      <c r="AI47" s="127"/>
      <c r="AJ47" s="236"/>
      <c r="BO47" s="188"/>
      <c r="BP47" s="267">
        <v>2066</v>
      </c>
      <c r="BQ47" s="224" t="s">
        <v>64</v>
      </c>
      <c r="BR47" s="225"/>
      <c r="BS47" s="188"/>
      <c r="BU47" s="68" t="str">
        <f t="shared" si="15"/>
        <v/>
      </c>
      <c r="BV47" s="188" t="str">
        <f t="shared" si="16"/>
        <v/>
      </c>
      <c r="BW47" s="188" t="str">
        <f t="shared" si="17"/>
        <v/>
      </c>
      <c r="BX47" s="188" t="str">
        <f t="shared" si="18"/>
        <v/>
      </c>
      <c r="BY47" s="188" t="str">
        <f t="shared" si="19"/>
        <v/>
      </c>
      <c r="BZ47" s="188" t="str">
        <f t="shared" si="20"/>
        <v/>
      </c>
      <c r="CA47" s="188" t="str">
        <f t="shared" si="21"/>
        <v/>
      </c>
      <c r="CB47" s="188" t="str">
        <f t="shared" si="22"/>
        <v/>
      </c>
      <c r="CC47" s="188" t="str">
        <f t="shared" si="23"/>
        <v/>
      </c>
      <c r="CD47" s="188" t="str">
        <f t="shared" si="24"/>
        <v/>
      </c>
      <c r="CE47" s="188" t="str">
        <f t="shared" si="25"/>
        <v/>
      </c>
      <c r="CF47" s="188" t="str">
        <f t="shared" si="26"/>
        <v/>
      </c>
      <c r="CG47" s="188" t="str">
        <f t="shared" si="27"/>
        <v/>
      </c>
      <c r="CH47" s="188" t="str">
        <f t="shared" si="28"/>
        <v/>
      </c>
      <c r="CY47" s="77" t="str">
        <f>IF(I47&lt;&gt;"",IF(H47="&lt;",IF(AND('Outfall 1 Limits'!$AM$16="Y",$BU$54&lt;&gt;"Y",I47&lt;='Outfall 1 Limits'!$AL$16),0,(1*I47)),I47),"")</f>
        <v/>
      </c>
      <c r="CZ47" s="29" t="str">
        <f>IF(K47&lt;&gt;"",IF(J47="&lt;",IF(AND('Outfall 1 Limits'!$AM$20="Y",$BV$54&lt;&gt;"Y",K47&lt;='Outfall 1 Limits'!$AL$20),0,(1*K47)),K47),"")</f>
        <v/>
      </c>
      <c r="DA47" s="29" t="str">
        <f>IF(M47&lt;&gt;"",IF(L47="&lt;",IF(AND('Outfall 1 Limits'!$AM$24="Y",$BW$54&lt;&gt;"Y",M47&lt;='Outfall 1 Limits'!$AL$24),0,(1*M47)),M47),"")</f>
        <v/>
      </c>
      <c r="DB47" s="29" t="str">
        <f>IF(O47&lt;&gt;"",IF(N47="&lt;",IF(AND('Outfall 1 Limits'!$AM$28="Y",$BX$54&lt;&gt;"Y",O47&lt;='Outfall 1 Limits'!$AL$28),0,(1*O47)),O47),"")</f>
        <v/>
      </c>
      <c r="DC47" s="29" t="str">
        <f>IF(Q47&lt;&gt;"",IF(P47="&lt;",IF(AND('Outfall 1 Limits'!$AM$32="Y",$BY$54&lt;&gt;"Y",Q47&lt;='Outfall 1 Limits'!$AL$32),0,(1*Q47)),Q47),"")</f>
        <v/>
      </c>
      <c r="DD47" s="29" t="str">
        <f>IF(S47&lt;&gt;"",IF(R47="&lt;",IF(AND('Outfall 1 Limits'!$AM$36="Y",$BZ$54&lt;&gt;"Y",S47&lt;='Outfall 1 Limits'!$AL$36),0,(1*S47)),S47),"")</f>
        <v/>
      </c>
      <c r="DE47" s="29" t="str">
        <f>IF(U47&lt;&gt;"",IF(T47="&lt;",IF(AND('Outfall 1 Limits'!$AM$40="Y",$CA$54&lt;&gt;"Y",U47&lt;='Outfall 1 Limits'!$AL$40),0,(1*U47)),U47),"")</f>
        <v/>
      </c>
      <c r="DF47" s="29" t="str">
        <f>IF(W47&lt;&gt;"",IF(V47="&lt;",IF(AND('Outfall 1 Limits'!$AM$44="Y",$CB$54&lt;&gt;"Y",W47&lt;='Outfall 1 Limits'!$AL$44),0,(1*W47)),W47),"")</f>
        <v/>
      </c>
      <c r="DG47" s="29" t="str">
        <f>IF(Y47&lt;&gt;"",IF(X47="&lt;",IF(AND('Outfall 1 Limits'!$AM$48="Y",$CC$54&lt;&gt;"Y",Y47&lt;='Outfall 1 Limits'!$AL$48),0,(1*Y47)),Y47),"")</f>
        <v/>
      </c>
      <c r="DH47" s="29" t="str">
        <f>IF(AA47&lt;&gt;"",IF(Z47="&lt;",IF(AND('Outfall 1 Limits'!$AM$52="Y",$CD$54&lt;&gt;"Y",AA47&lt;='Outfall 1 Limits'!$AL$52),0,(1*AA47)),AA47),"")</f>
        <v/>
      </c>
      <c r="DI47" s="29" t="str">
        <f>IF(AC47&lt;&gt;"",IF(AB47="&lt;",IF(AND('Outfall 1 Limits'!$AM$56="Y",$CE$54&lt;&gt;"Y",AC47&lt;='Outfall 1 Limits'!$AL$56),0,(1*AC47)),AC47),"")</f>
        <v/>
      </c>
      <c r="DJ47" s="29" t="str">
        <f>IF(AE47&lt;&gt;"",IF(AD47="&lt;",IF(AND('Outfall 1 Limits'!$AM$60="Y",$CF$54&lt;&gt;"Y",AE47&lt;='Outfall 1 Limits'!$AL$60),0,(1*AE47)),AE47),"")</f>
        <v/>
      </c>
      <c r="DK47" s="29" t="str">
        <f>IF(AG47&lt;&gt;"",IF(AF47="&lt;",IF(AND('Outfall 1 Limits'!$AM$64="Y",$CG$54&lt;&gt;"Y",AG47&lt;='Outfall 1 Limits'!$AL$64),0,(1*AG47)),AG47),"")</f>
        <v/>
      </c>
      <c r="DL47" s="29" t="str">
        <f>IF(AI47&lt;&gt;"",IF(AH47="&lt;",IF(AND('Outfall 1 Limits'!$AM$68="Y",$CH$54&lt;&gt;"Y",AI47&lt;='Outfall 1 Limits'!$AL$68),0,(1*AI47)),AI47),"")</f>
        <v/>
      </c>
      <c r="EB47" s="2"/>
      <c r="FG47" s="77" t="str">
        <f>IF(AND($G47&lt;&gt;"",$G47&gt;0,'Outfall 1 Limits'!$AX$16="C1",I47&lt;&gt;""),I47*$G47*8.34,IF(AND($I47&lt;&gt;"",'Outfall 1 Limits'!$AX$16="L"),I47,""))</f>
        <v/>
      </c>
      <c r="FH47" s="29" t="str">
        <f>IF(AND($G47&lt;&gt;"",$G47&gt;0,'Outfall 1 Limits'!$AX$20="C1",$K47&lt;&gt;""),$K47*$G47*8.34,IF(AND($K47&lt;&gt;"",'Outfall 1 Limits'!$AX$20="L"),$K47,""))</f>
        <v/>
      </c>
      <c r="FI47" s="29" t="str">
        <f>IF(AND($G47&lt;&gt;"",$G47&gt;0,'Outfall 1 Limits'!$AX$24="C1",$M47&lt;&gt;""),$M47*$G47*8.34,IF(AND($M47&lt;&gt;"",'Outfall 1 Limits'!$AX$24="L"),$M47,""))</f>
        <v/>
      </c>
      <c r="FJ47" s="29" t="str">
        <f>IF(AND($G47&lt;&gt;"",$G47&gt;0,'Outfall 1 Limits'!$AX$28="C1",$O47&lt;&gt;""),$O47*$G47*8.34,IF(AND($O47&lt;&gt;"",'Outfall 1 Limits'!$AX$28="L"),$O47,""))</f>
        <v/>
      </c>
      <c r="FK47" s="29" t="str">
        <f>IF(AND($G47&lt;&gt;"",$G47&gt;0,'Outfall 1 Limits'!$AX$32="C1",$Q47&lt;&gt;""),$Q47*$G47*8.34,IF(AND($Q47&lt;&gt;"",'Outfall 1 Limits'!$AX$32="L"),$Q47,""))</f>
        <v/>
      </c>
      <c r="FL47" s="29" t="str">
        <f>IF(AND($G47&lt;&gt;"",$G47&gt;0,'Outfall 1 Limits'!$AX$36="C1",$S47&lt;&gt;""),$S47*$G47*8.34,IF(AND($S47&lt;&gt;"",'Outfall 1 Limits'!$AX$36="L"),$S47,""))</f>
        <v/>
      </c>
      <c r="FM47" s="29" t="str">
        <f>IF(AND($G47&lt;&gt;"",$G47&gt;0,'Outfall 1 Limits'!$AX$40="C1",$U47&lt;&gt;""),$U47*$G47*8.34,IF(AND($U47&lt;&gt;"",'Outfall 1 Limits'!$AX$40="L"),$U47,""))</f>
        <v/>
      </c>
      <c r="FN47" s="29" t="str">
        <f>IF(AND($G47&lt;&gt;"",$G47&gt;0,'Outfall 1 Limits'!$AX$44="C1",$W47&lt;&gt;""),$W47*$G47*8.34,IF(AND($W47&lt;&gt;"",'Outfall 1 Limits'!$AX$44="L"),$W47,""))</f>
        <v/>
      </c>
      <c r="FO47" s="29" t="str">
        <f>IF(AND($G47&lt;&gt;"",$G47&gt;0,'Outfall 1 Limits'!$AX$48="C1",$Y47&lt;&gt;""),$Y47*$G47*8.34,IF(AND($Y47&lt;&gt;"",'Outfall 1 Limits'!$AX$48="L"),$Y47,""))</f>
        <v/>
      </c>
      <c r="FP47" s="29" t="str">
        <f>IF(AND($G47&lt;&gt;"",$G47&gt;0,'Outfall 1 Limits'!$AX$52="C1",$AA47&lt;&gt;""),$AA47*$G47*8.34,IF(AND($AA47&lt;&gt;"",'Outfall 1 Limits'!$AX$52="L"),$AA47,""))</f>
        <v/>
      </c>
      <c r="FQ47" s="29" t="str">
        <f>IF(AND($G47&lt;&gt;"",$G47&gt;0,'Outfall 1 Limits'!$AX$56="C1",$AC47&lt;&gt;""),$AC47*$G47*8.34,IF(AND($AC47&lt;&gt;"",'Outfall 1 Limits'!$AX$56="L"),$AC47,""))</f>
        <v/>
      </c>
      <c r="FR47" s="29" t="str">
        <f>IF(AND($G47&lt;&gt;"",$G47&gt;0,'Outfall 1 Limits'!$AX$60="C1",$AE47&lt;&gt;""),$AE47*$G47*8.34,IF(AND($AE47&lt;&gt;"",'Outfall 1 Limits'!$AX$60="L"),$AE47,""))</f>
        <v/>
      </c>
      <c r="FS47" s="29" t="str">
        <f>IF(AND($G47&lt;&gt;"",$G47&gt;0,'Outfall 1 Limits'!$AX$64="C1",$AG47&lt;&gt;""),$AG47*$G47*8.34,IF(AND($AG47&lt;&gt;"",'Outfall 1 Limits'!$AX$64="L"),$AG47,""))</f>
        <v/>
      </c>
      <c r="FT47" s="29" t="str">
        <f>IF(AND($G47&lt;&gt;"",$G47&gt;0,'Outfall 1 Limits'!$AX$68="C1",$AI47&lt;&gt;""),$AI47*$G47*8.34,IF(AND($AI47&lt;&gt;"",'Outfall 1 Limits'!$AX$68="L"),$AI47,""))</f>
        <v/>
      </c>
      <c r="GJ47" s="29" t="str">
        <f t="shared" si="29"/>
        <v/>
      </c>
      <c r="GK47" s="77" t="str">
        <f>IF(AND($G47&lt;&gt;"",$G47&gt;0,'Outfall 1 Limits'!$AX$16="C1",CY47&lt;&gt;""),CY47*$G47*8.34,IF(AND(CY47&lt;&gt;"",'Outfall 1 Limits'!$AX$16="L"),CY47,""))</f>
        <v/>
      </c>
      <c r="GL47" s="29" t="str">
        <f>IF(AND($G47&lt;&gt;"",$G47&gt;0,'Outfall 1 Limits'!$AX$20="C1",CZ47&lt;&gt;""),CZ47*$G47*8.34,IF(AND(CZ47&lt;&gt;"",'Outfall 1 Limits'!$AX$20="L"),CZ47,""))</f>
        <v/>
      </c>
      <c r="GM47" s="29" t="str">
        <f>IF(AND($G47&lt;&gt;"",$G47&gt;0,'Outfall 1 Limits'!$AX$24="C1",DA47&lt;&gt;""),DA47*$G47*8.34,IF(AND(DA47&lt;&gt;"",'Outfall 1 Limits'!$AX$24="L"),DA47,""))</f>
        <v/>
      </c>
      <c r="GN47" s="29" t="str">
        <f>IF(AND($G47&lt;&gt;"",$G47&gt;0,'Outfall 1 Limits'!$AX$28="C1",DB47&lt;&gt;""),DB47*$G47*8.34,IF(AND(DB47&lt;&gt;"",'Outfall 1 Limits'!$AX$28="L"),DB47,""))</f>
        <v/>
      </c>
      <c r="GO47" s="29" t="str">
        <f>IF(AND($G47&lt;&gt;"",$G47&gt;0,'Outfall 1 Limits'!$AX$32="C1",DC47&lt;&gt;""),DC47*$G47*8.34,IF(AND(DC47&lt;&gt;"",'Outfall 1 Limits'!$AX$32="L"),DC47,""))</f>
        <v/>
      </c>
      <c r="GP47" s="29" t="str">
        <f>IF(AND($G47&lt;&gt;"",$G47&gt;0,'Outfall 1 Limits'!$AX$36="C1",DD47&lt;&gt;""),DD47*$G47*8.34,IF(AND(DD47&lt;&gt;"",'Outfall 1 Limits'!$AX$36="L"),DD47,""))</f>
        <v/>
      </c>
      <c r="GQ47" s="29" t="str">
        <f>IF(AND($G47&lt;&gt;"",$G47&gt;0,'Outfall 1 Limits'!$AX$40="C1",DE47&lt;&gt;""),DE47*$G47*8.34,IF(AND(DE47&lt;&gt;"",'Outfall 1 Limits'!$AX$40="L"),DE47,""))</f>
        <v/>
      </c>
      <c r="GR47" s="29" t="str">
        <f>IF(AND($G47&lt;&gt;"",$G47&gt;0,'Outfall 1 Limits'!$AX$44="C1",DF47&lt;&gt;""),DF47*$G47*8.34,IF(AND(DF47&lt;&gt;"",'Outfall 1 Limits'!$AX$44="L"),DF47,""))</f>
        <v/>
      </c>
      <c r="GS47" s="29" t="str">
        <f>IF(AND($G47&lt;&gt;"",$G47&gt;0,'Outfall 1 Limits'!$AX$48="C1",DG47&lt;&gt;""),DG47*$G47*8.34,IF(AND(DG47&lt;&gt;"",'Outfall 1 Limits'!$AX$48="L"),DG47,""))</f>
        <v/>
      </c>
      <c r="GT47" s="29" t="str">
        <f>IF(AND($G47&lt;&gt;"",$G47&gt;0,'Outfall 1 Limits'!$AX$52="C1",DH47&lt;&gt;""),DH47*$G47*8.34,IF(AND(DH47&lt;&gt;"",'Outfall 1 Limits'!$AX$52="L"),DH47,""))</f>
        <v/>
      </c>
      <c r="GU47" s="29" t="str">
        <f>IF(AND($G47&lt;&gt;"",$G47&gt;0,'Outfall 1 Limits'!$AX$56="C1",DI47&lt;&gt;""),DI47*$G47*8.34,IF(AND(DI47&lt;&gt;"",'Outfall 1 Limits'!$AX$56="L"),DI47,""))</f>
        <v/>
      </c>
      <c r="GV47" s="29" t="str">
        <f>IF(AND($G47&lt;&gt;"",$G47&gt;0,'Outfall 1 Limits'!$AX$60="C1",DJ47&lt;&gt;""),DJ47*$G47*8.34,IF(AND(DJ47&lt;&gt;"",'Outfall 1 Limits'!$AX$60="L"),DJ47,""))</f>
        <v/>
      </c>
      <c r="GW47" s="29" t="str">
        <f>IF(AND($G47&lt;&gt;"",$G47&gt;0,'Outfall 1 Limits'!$AX$64="C1",DK47&lt;&gt;""),DK47*$G47*8.34,IF(AND(DK47&lt;&gt;"",'Outfall 1 Limits'!$AX$64="L"),DK47,""))</f>
        <v/>
      </c>
      <c r="GX47" s="29" t="str">
        <f>IF(AND($G47&lt;&gt;"",$G47&gt;0,'Outfall 1 Limits'!$AX$68="C1",DL47&lt;&gt;""),DL47*$G47*8.34,IF(AND(DL47&lt;&gt;"",'Outfall 1 Limits'!$AX$68="L"),DL47,""))</f>
        <v/>
      </c>
      <c r="HO47" s="98" t="str">
        <f t="shared" si="30"/>
        <v/>
      </c>
      <c r="HS47" s="68" t="str">
        <f t="shared" si="31"/>
        <v/>
      </c>
      <c r="HT47" s="188" t="str">
        <f t="shared" si="32"/>
        <v/>
      </c>
      <c r="HU47" s="188" t="str">
        <f t="shared" si="33"/>
        <v/>
      </c>
      <c r="HV47" s="188" t="str">
        <f t="shared" si="34"/>
        <v/>
      </c>
      <c r="HW47" s="188" t="str">
        <f t="shared" si="35"/>
        <v/>
      </c>
      <c r="HX47" s="188" t="str">
        <f t="shared" si="36"/>
        <v/>
      </c>
      <c r="HY47" s="188" t="str">
        <f t="shared" si="37"/>
        <v/>
      </c>
      <c r="HZ47" s="188" t="str">
        <f t="shared" si="38"/>
        <v/>
      </c>
      <c r="IA47" s="188" t="str">
        <f t="shared" si="39"/>
        <v/>
      </c>
      <c r="IB47" s="188" t="str">
        <f t="shared" si="40"/>
        <v/>
      </c>
      <c r="IC47" s="188" t="str">
        <f t="shared" si="41"/>
        <v/>
      </c>
      <c r="ID47" s="188" t="str">
        <f t="shared" si="42"/>
        <v/>
      </c>
      <c r="IE47" s="188" t="str">
        <f t="shared" si="43"/>
        <v/>
      </c>
      <c r="IF47" s="188" t="str">
        <f t="shared" si="44"/>
        <v/>
      </c>
      <c r="IX47" s="68" t="str">
        <f t="shared" si="45"/>
        <v/>
      </c>
      <c r="IY47" s="188" t="str">
        <f t="shared" si="46"/>
        <v/>
      </c>
      <c r="IZ47" s="188" t="str">
        <f t="shared" si="47"/>
        <v/>
      </c>
      <c r="JA47" s="188" t="str">
        <f t="shared" si="48"/>
        <v/>
      </c>
      <c r="JB47" s="188" t="str">
        <f t="shared" si="49"/>
        <v/>
      </c>
      <c r="JC47" s="188" t="str">
        <f t="shared" si="50"/>
        <v/>
      </c>
      <c r="JD47" s="188" t="str">
        <f t="shared" si="51"/>
        <v/>
      </c>
      <c r="JE47" s="188" t="str">
        <f t="shared" si="52"/>
        <v/>
      </c>
      <c r="JF47" s="188" t="str">
        <f t="shared" si="53"/>
        <v/>
      </c>
      <c r="JG47" s="188" t="str">
        <f t="shared" si="54"/>
        <v/>
      </c>
      <c r="JH47" s="188" t="str">
        <f t="shared" si="55"/>
        <v/>
      </c>
      <c r="JI47" s="188" t="str">
        <f t="shared" si="56"/>
        <v/>
      </c>
      <c r="JJ47" s="188" t="str">
        <f t="shared" si="57"/>
        <v/>
      </c>
      <c r="JK47" s="188" t="str">
        <f t="shared" si="58"/>
        <v/>
      </c>
      <c r="KA47" s="188"/>
      <c r="KB47" s="2"/>
      <c r="KC47" s="226"/>
      <c r="KD47" s="164" t="str">
        <f t="shared" si="1"/>
        <v/>
      </c>
      <c r="KE47" s="188" t="str">
        <f t="shared" si="2"/>
        <v/>
      </c>
      <c r="KF47" s="188" t="str">
        <f t="shared" si="3"/>
        <v/>
      </c>
      <c r="KG47" s="188" t="str">
        <f t="shared" si="4"/>
        <v/>
      </c>
      <c r="KH47" s="188" t="str">
        <f t="shared" si="5"/>
        <v/>
      </c>
      <c r="KI47" s="188" t="str">
        <f t="shared" si="6"/>
        <v/>
      </c>
      <c r="KJ47" s="188" t="str">
        <f t="shared" si="7"/>
        <v/>
      </c>
      <c r="KK47" s="188" t="str">
        <f t="shared" si="8"/>
        <v/>
      </c>
      <c r="KL47" s="188" t="str">
        <f t="shared" si="9"/>
        <v/>
      </c>
      <c r="KM47" s="188" t="str">
        <f t="shared" si="10"/>
        <v/>
      </c>
      <c r="KN47" s="188" t="str">
        <f t="shared" si="11"/>
        <v/>
      </c>
      <c r="KO47" s="188" t="str">
        <f t="shared" si="12"/>
        <v/>
      </c>
      <c r="KP47" s="188" t="str">
        <f t="shared" si="13"/>
        <v/>
      </c>
      <c r="KQ47" s="188" t="str">
        <f t="shared" si="14"/>
        <v/>
      </c>
    </row>
    <row r="48" spans="1:303" s="18" customFormat="1" ht="11.45" customHeight="1" x14ac:dyDescent="0.2">
      <c r="A48" s="38"/>
      <c r="B48" s="48"/>
      <c r="C48" s="421">
        <f t="shared" si="0"/>
        <v>45322</v>
      </c>
      <c r="D48" s="421"/>
      <c r="E48" s="422">
        <f t="shared" si="59"/>
        <v>45322</v>
      </c>
      <c r="F48" s="423"/>
      <c r="G48" s="31"/>
      <c r="H48" s="45"/>
      <c r="I48" s="44"/>
      <c r="J48" s="45"/>
      <c r="K48" s="44"/>
      <c r="L48" s="45"/>
      <c r="M48" s="44"/>
      <c r="N48" s="45"/>
      <c r="O48" s="44"/>
      <c r="P48" s="45"/>
      <c r="Q48" s="44"/>
      <c r="R48" s="45"/>
      <c r="S48" s="44"/>
      <c r="T48" s="45"/>
      <c r="U48" s="44"/>
      <c r="V48" s="45"/>
      <c r="W48" s="44"/>
      <c r="X48" s="45"/>
      <c r="Y48" s="44"/>
      <c r="Z48" s="45"/>
      <c r="AA48" s="44"/>
      <c r="AB48" s="45"/>
      <c r="AC48" s="44"/>
      <c r="AD48" s="45"/>
      <c r="AE48" s="44"/>
      <c r="AF48" s="45"/>
      <c r="AG48" s="44"/>
      <c r="AH48" s="45"/>
      <c r="AI48" s="127"/>
      <c r="AJ48" s="236"/>
      <c r="BO48" s="188"/>
      <c r="BP48" s="267">
        <v>2067</v>
      </c>
      <c r="BQ48" s="224" t="s">
        <v>65</v>
      </c>
      <c r="BR48" s="225"/>
      <c r="BS48" s="188"/>
      <c r="BU48" s="68" t="str">
        <f t="shared" si="15"/>
        <v/>
      </c>
      <c r="BV48" s="188" t="str">
        <f t="shared" si="16"/>
        <v/>
      </c>
      <c r="BW48" s="188" t="str">
        <f t="shared" si="17"/>
        <v/>
      </c>
      <c r="BX48" s="188" t="str">
        <f t="shared" si="18"/>
        <v/>
      </c>
      <c r="BY48" s="188" t="str">
        <f t="shared" si="19"/>
        <v/>
      </c>
      <c r="BZ48" s="188" t="str">
        <f t="shared" si="20"/>
        <v/>
      </c>
      <c r="CA48" s="188" t="str">
        <f t="shared" si="21"/>
        <v/>
      </c>
      <c r="CB48" s="188" t="str">
        <f t="shared" si="22"/>
        <v/>
      </c>
      <c r="CC48" s="188" t="str">
        <f t="shared" si="23"/>
        <v/>
      </c>
      <c r="CD48" s="188" t="str">
        <f t="shared" si="24"/>
        <v/>
      </c>
      <c r="CE48" s="188" t="str">
        <f t="shared" si="25"/>
        <v/>
      </c>
      <c r="CF48" s="188" t="str">
        <f t="shared" si="26"/>
        <v/>
      </c>
      <c r="CG48" s="188" t="str">
        <f t="shared" si="27"/>
        <v/>
      </c>
      <c r="CH48" s="188" t="str">
        <f t="shared" si="28"/>
        <v/>
      </c>
      <c r="CY48" s="77" t="str">
        <f>IF(I48&lt;&gt;"",IF(H48="&lt;",IF(AND('Outfall 1 Limits'!$AM$16="Y",$BU$54&lt;&gt;"Y",I48&lt;='Outfall 1 Limits'!$AL$16),0,(1*I48)),I48),"")</f>
        <v/>
      </c>
      <c r="CZ48" s="29" t="str">
        <f>IF(K48&lt;&gt;"",IF(J48="&lt;",IF(AND('Outfall 1 Limits'!$AM$20="Y",$BV$54&lt;&gt;"Y",K48&lt;='Outfall 1 Limits'!$AL$20),0,(1*K48)),K48),"")</f>
        <v/>
      </c>
      <c r="DA48" s="29" t="str">
        <f>IF(M48&lt;&gt;"",IF(L48="&lt;",IF(AND('Outfall 1 Limits'!$AM$24="Y",$BW$54&lt;&gt;"Y",M48&lt;='Outfall 1 Limits'!$AL$24),0,(1*M48)),M48),"")</f>
        <v/>
      </c>
      <c r="DB48" s="29" t="str">
        <f>IF(O48&lt;&gt;"",IF(N48="&lt;",IF(AND('Outfall 1 Limits'!$AM$28="Y",$BX$54&lt;&gt;"Y",O48&lt;='Outfall 1 Limits'!$AL$28),0,(1*O48)),O48),"")</f>
        <v/>
      </c>
      <c r="DC48" s="29" t="str">
        <f>IF(Q48&lt;&gt;"",IF(P48="&lt;",IF(AND('Outfall 1 Limits'!$AM$32="Y",$BY$54&lt;&gt;"Y",Q48&lt;='Outfall 1 Limits'!$AL$32),0,(1*Q48)),Q48),"")</f>
        <v/>
      </c>
      <c r="DD48" s="29" t="str">
        <f>IF(S48&lt;&gt;"",IF(R48="&lt;",IF(AND('Outfall 1 Limits'!$AM$36="Y",$BZ$54&lt;&gt;"Y",S48&lt;='Outfall 1 Limits'!$AL$36),0,(1*S48)),S48),"")</f>
        <v/>
      </c>
      <c r="DE48" s="29" t="str">
        <f>IF(U48&lt;&gt;"",IF(T48="&lt;",IF(AND('Outfall 1 Limits'!$AM$40="Y",$CA$54&lt;&gt;"Y",U48&lt;='Outfall 1 Limits'!$AL$40),0,(1*U48)),U48),"")</f>
        <v/>
      </c>
      <c r="DF48" s="29" t="str">
        <f>IF(W48&lt;&gt;"",IF(V48="&lt;",IF(AND('Outfall 1 Limits'!$AM$44="Y",$CB$54&lt;&gt;"Y",W48&lt;='Outfall 1 Limits'!$AL$44),0,(1*W48)),W48),"")</f>
        <v/>
      </c>
      <c r="DG48" s="29" t="str">
        <f>IF(Y48&lt;&gt;"",IF(X48="&lt;",IF(AND('Outfall 1 Limits'!$AM$48="Y",$CC$54&lt;&gt;"Y",Y48&lt;='Outfall 1 Limits'!$AL$48),0,(1*Y48)),Y48),"")</f>
        <v/>
      </c>
      <c r="DH48" s="29" t="str">
        <f>IF(AA48&lt;&gt;"",IF(Z48="&lt;",IF(AND('Outfall 1 Limits'!$AM$52="Y",$CD$54&lt;&gt;"Y",AA48&lt;='Outfall 1 Limits'!$AL$52),0,(1*AA48)),AA48),"")</f>
        <v/>
      </c>
      <c r="DI48" s="29" t="str">
        <f>IF(AC48&lt;&gt;"",IF(AB48="&lt;",IF(AND('Outfall 1 Limits'!$AM$56="Y",$CE$54&lt;&gt;"Y",AC48&lt;='Outfall 1 Limits'!$AL$56),0,(1*AC48)),AC48),"")</f>
        <v/>
      </c>
      <c r="DJ48" s="29" t="str">
        <f>IF(AE48&lt;&gt;"",IF(AD48="&lt;",IF(AND('Outfall 1 Limits'!$AM$60="Y",$CF$54&lt;&gt;"Y",AE48&lt;='Outfall 1 Limits'!$AL$60),0,(1*AE48)),AE48),"")</f>
        <v/>
      </c>
      <c r="DK48" s="29" t="str">
        <f>IF(AG48&lt;&gt;"",IF(AF48="&lt;",IF(AND('Outfall 1 Limits'!$AM$64="Y",$CG$54&lt;&gt;"Y",AG48&lt;='Outfall 1 Limits'!$AL$64),0,(1*AG48)),AG48),"")</f>
        <v/>
      </c>
      <c r="DL48" s="29" t="str">
        <f>IF(AI48&lt;&gt;"",IF(AH48="&lt;",IF(AND('Outfall 1 Limits'!$AM$68="Y",$CH$54&lt;&gt;"Y",AI48&lt;='Outfall 1 Limits'!$AL$68),0,(1*AI48)),AI48),"")</f>
        <v/>
      </c>
      <c r="EB48" s="2"/>
      <c r="FG48" s="77" t="str">
        <f>IF(AND($G48&lt;&gt;"",$G48&gt;0,'Outfall 1 Limits'!$AX$16="C1",I48&lt;&gt;""),I48*$G48*8.34,IF(AND($I48&lt;&gt;"",'Outfall 1 Limits'!$AX$16="L"),I48,""))</f>
        <v/>
      </c>
      <c r="FH48" s="29" t="str">
        <f>IF(AND($G48&lt;&gt;"",$G48&gt;0,'Outfall 1 Limits'!$AX$20="C1",$K48&lt;&gt;""),$K48*$G48*8.34,IF(AND($K48&lt;&gt;"",'Outfall 1 Limits'!$AX$20="L"),$K48,""))</f>
        <v/>
      </c>
      <c r="FI48" s="29" t="str">
        <f>IF(AND($G48&lt;&gt;"",$G48&gt;0,'Outfall 1 Limits'!$AX$24="C1",$M48&lt;&gt;""),$M48*$G48*8.34,IF(AND($M48&lt;&gt;"",'Outfall 1 Limits'!$AX$24="L"),$M48,""))</f>
        <v/>
      </c>
      <c r="FJ48" s="29" t="str">
        <f>IF(AND($G48&lt;&gt;"",$G48&gt;0,'Outfall 1 Limits'!$AX$28="C1",$O48&lt;&gt;""),$O48*$G48*8.34,IF(AND($O48&lt;&gt;"",'Outfall 1 Limits'!$AX$28="L"),$O48,""))</f>
        <v/>
      </c>
      <c r="FK48" s="29" t="str">
        <f>IF(AND($G48&lt;&gt;"",$G48&gt;0,'Outfall 1 Limits'!$AX$32="C1",$Q48&lt;&gt;""),$Q48*$G48*8.34,IF(AND($Q48&lt;&gt;"",'Outfall 1 Limits'!$AX$32="L"),$Q48,""))</f>
        <v/>
      </c>
      <c r="FL48" s="29" t="str">
        <f>IF(AND($G48&lt;&gt;"",$G48&gt;0,'Outfall 1 Limits'!$AX$36="C1",$S48&lt;&gt;""),$S48*$G48*8.34,IF(AND($S48&lt;&gt;"",'Outfall 1 Limits'!$AX$36="L"),$S48,""))</f>
        <v/>
      </c>
      <c r="FM48" s="29" t="str">
        <f>IF(AND($G48&lt;&gt;"",$G48&gt;0,'Outfall 1 Limits'!$AX$40="C1",$U48&lt;&gt;""),$U48*$G48*8.34,IF(AND($U48&lt;&gt;"",'Outfall 1 Limits'!$AX$40="L"),$U48,""))</f>
        <v/>
      </c>
      <c r="FN48" s="29" t="str">
        <f>IF(AND($G48&lt;&gt;"",$G48&gt;0,'Outfall 1 Limits'!$AX$44="C1",$W48&lt;&gt;""),$W48*$G48*8.34,IF(AND($W48&lt;&gt;"",'Outfall 1 Limits'!$AX$44="L"),$W48,""))</f>
        <v/>
      </c>
      <c r="FO48" s="29" t="str">
        <f>IF(AND($G48&lt;&gt;"",$G48&gt;0,'Outfall 1 Limits'!$AX$48="C1",$Y48&lt;&gt;""),$Y48*$G48*8.34,IF(AND($Y48&lt;&gt;"",'Outfall 1 Limits'!$AX$48="L"),$Y48,""))</f>
        <v/>
      </c>
      <c r="FP48" s="29" t="str">
        <f>IF(AND($G48&lt;&gt;"",$G48&gt;0,'Outfall 1 Limits'!$AX$52="C1",$AA48&lt;&gt;""),$AA48*$G48*8.34,IF(AND($AA48&lt;&gt;"",'Outfall 1 Limits'!$AX$52="L"),$AA48,""))</f>
        <v/>
      </c>
      <c r="FQ48" s="29" t="str">
        <f>IF(AND($G48&lt;&gt;"",$G48&gt;0,'Outfall 1 Limits'!$AX$56="C1",$AC48&lt;&gt;""),$AC48*$G48*8.34,IF(AND($AC48&lt;&gt;"",'Outfall 1 Limits'!$AX$56="L"),$AC48,""))</f>
        <v/>
      </c>
      <c r="FR48" s="29" t="str">
        <f>IF(AND($G48&lt;&gt;"",$G48&gt;0,'Outfall 1 Limits'!$AX$60="C1",$AE48&lt;&gt;""),$AE48*$G48*8.34,IF(AND($AE48&lt;&gt;"",'Outfall 1 Limits'!$AX$60="L"),$AE48,""))</f>
        <v/>
      </c>
      <c r="FS48" s="29" t="str">
        <f>IF(AND($G48&lt;&gt;"",$G48&gt;0,'Outfall 1 Limits'!$AX$64="C1",$AG48&lt;&gt;""),$AG48*$G48*8.34,IF(AND($AG48&lt;&gt;"",'Outfall 1 Limits'!$AX$64="L"),$AG48,""))</f>
        <v/>
      </c>
      <c r="FT48" s="29" t="str">
        <f>IF(AND($G48&lt;&gt;"",$G48&gt;0,'Outfall 1 Limits'!$AX$68="C1",$AI48&lt;&gt;""),$AI48*$G48*8.34,IF(AND($AI48&lt;&gt;"",'Outfall 1 Limits'!$AX$68="L"),$AI48,""))</f>
        <v/>
      </c>
      <c r="GJ48" s="29" t="str">
        <f t="shared" si="29"/>
        <v/>
      </c>
      <c r="GK48" s="77" t="str">
        <f>IF(AND($G48&lt;&gt;"",$G48&gt;0,'Outfall 1 Limits'!$AX$16="C1",CY48&lt;&gt;""),CY48*$G48*8.34,IF(AND(CY48&lt;&gt;"",'Outfall 1 Limits'!$AX$16="L"),CY48,""))</f>
        <v/>
      </c>
      <c r="GL48" s="29" t="str">
        <f>IF(AND($G48&lt;&gt;"",$G48&gt;0,'Outfall 1 Limits'!$AX$20="C1",CZ48&lt;&gt;""),CZ48*$G48*8.34,IF(AND(CZ48&lt;&gt;"",'Outfall 1 Limits'!$AX$20="L"),CZ48,""))</f>
        <v/>
      </c>
      <c r="GM48" s="29" t="str">
        <f>IF(AND($G48&lt;&gt;"",$G48&gt;0,'Outfall 1 Limits'!$AX$24="C1",DA48&lt;&gt;""),DA48*$G48*8.34,IF(AND(DA48&lt;&gt;"",'Outfall 1 Limits'!$AX$24="L"),DA48,""))</f>
        <v/>
      </c>
      <c r="GN48" s="29" t="str">
        <f>IF(AND($G48&lt;&gt;"",$G48&gt;0,'Outfall 1 Limits'!$AX$28="C1",DB48&lt;&gt;""),DB48*$G48*8.34,IF(AND(DB48&lt;&gt;"",'Outfall 1 Limits'!$AX$28="L"),DB48,""))</f>
        <v/>
      </c>
      <c r="GO48" s="29" t="str">
        <f>IF(AND($G48&lt;&gt;"",$G48&gt;0,'Outfall 1 Limits'!$AX$32="C1",DC48&lt;&gt;""),DC48*$G48*8.34,IF(AND(DC48&lt;&gt;"",'Outfall 1 Limits'!$AX$32="L"),DC48,""))</f>
        <v/>
      </c>
      <c r="GP48" s="29" t="str">
        <f>IF(AND($G48&lt;&gt;"",$G48&gt;0,'Outfall 1 Limits'!$AX$36="C1",DD48&lt;&gt;""),DD48*$G48*8.34,IF(AND(DD48&lt;&gt;"",'Outfall 1 Limits'!$AX$36="L"),DD48,""))</f>
        <v/>
      </c>
      <c r="GQ48" s="29" t="str">
        <f>IF(AND($G48&lt;&gt;"",$G48&gt;0,'Outfall 1 Limits'!$AX$40="C1",DE48&lt;&gt;""),DE48*$G48*8.34,IF(AND(DE48&lt;&gt;"",'Outfall 1 Limits'!$AX$40="L"),DE48,""))</f>
        <v/>
      </c>
      <c r="GR48" s="29" t="str">
        <f>IF(AND($G48&lt;&gt;"",$G48&gt;0,'Outfall 1 Limits'!$AX$44="C1",DF48&lt;&gt;""),DF48*$G48*8.34,IF(AND(DF48&lt;&gt;"",'Outfall 1 Limits'!$AX$44="L"),DF48,""))</f>
        <v/>
      </c>
      <c r="GS48" s="29" t="str">
        <f>IF(AND($G48&lt;&gt;"",$G48&gt;0,'Outfall 1 Limits'!$AX$48="C1",DG48&lt;&gt;""),DG48*$G48*8.34,IF(AND(DG48&lt;&gt;"",'Outfall 1 Limits'!$AX$48="L"),DG48,""))</f>
        <v/>
      </c>
      <c r="GT48" s="29" t="str">
        <f>IF(AND($G48&lt;&gt;"",$G48&gt;0,'Outfall 1 Limits'!$AX$52="C1",DH48&lt;&gt;""),DH48*$G48*8.34,IF(AND(DH48&lt;&gt;"",'Outfall 1 Limits'!$AX$52="L"),DH48,""))</f>
        <v/>
      </c>
      <c r="GU48" s="29" t="str">
        <f>IF(AND($G48&lt;&gt;"",$G48&gt;0,'Outfall 1 Limits'!$AX$56="C1",DI48&lt;&gt;""),DI48*$G48*8.34,IF(AND(DI48&lt;&gt;"",'Outfall 1 Limits'!$AX$56="L"),DI48,""))</f>
        <v/>
      </c>
      <c r="GV48" s="29" t="str">
        <f>IF(AND($G48&lt;&gt;"",$G48&gt;0,'Outfall 1 Limits'!$AX$60="C1",DJ48&lt;&gt;""),DJ48*$G48*8.34,IF(AND(DJ48&lt;&gt;"",'Outfall 1 Limits'!$AX$60="L"),DJ48,""))</f>
        <v/>
      </c>
      <c r="GW48" s="29" t="str">
        <f>IF(AND($G48&lt;&gt;"",$G48&gt;0,'Outfall 1 Limits'!$AX$64="C1",DK48&lt;&gt;""),DK48*$G48*8.34,IF(AND(DK48&lt;&gt;"",'Outfall 1 Limits'!$AX$64="L"),DK48,""))</f>
        <v/>
      </c>
      <c r="GX48" s="29" t="str">
        <f>IF(AND($G48&lt;&gt;"",$G48&gt;0,'Outfall 1 Limits'!$AX$68="C1",DL48&lt;&gt;""),DL48*$G48*8.34,IF(AND(DL48&lt;&gt;"",'Outfall 1 Limits'!$AX$68="L"),DL48,""))</f>
        <v/>
      </c>
      <c r="HO48" s="98" t="str">
        <f t="shared" si="30"/>
        <v/>
      </c>
      <c r="HS48" s="68" t="str">
        <f t="shared" si="31"/>
        <v/>
      </c>
      <c r="HT48" s="188" t="str">
        <f t="shared" si="32"/>
        <v/>
      </c>
      <c r="HU48" s="188" t="str">
        <f t="shared" si="33"/>
        <v/>
      </c>
      <c r="HV48" s="188" t="str">
        <f t="shared" si="34"/>
        <v/>
      </c>
      <c r="HW48" s="188" t="str">
        <f t="shared" si="35"/>
        <v/>
      </c>
      <c r="HX48" s="188" t="str">
        <f t="shared" si="36"/>
        <v/>
      </c>
      <c r="HY48" s="188" t="str">
        <f t="shared" si="37"/>
        <v/>
      </c>
      <c r="HZ48" s="188" t="str">
        <f t="shared" si="38"/>
        <v/>
      </c>
      <c r="IA48" s="188" t="str">
        <f t="shared" si="39"/>
        <v/>
      </c>
      <c r="IB48" s="188" t="str">
        <f t="shared" si="40"/>
        <v/>
      </c>
      <c r="IC48" s="188" t="str">
        <f t="shared" si="41"/>
        <v/>
      </c>
      <c r="ID48" s="188" t="str">
        <f t="shared" si="42"/>
        <v/>
      </c>
      <c r="IE48" s="188" t="str">
        <f t="shared" si="43"/>
        <v/>
      </c>
      <c r="IF48" s="188" t="str">
        <f t="shared" si="44"/>
        <v/>
      </c>
      <c r="IX48" s="68" t="str">
        <f t="shared" si="45"/>
        <v/>
      </c>
      <c r="IY48" s="188" t="str">
        <f t="shared" si="46"/>
        <v/>
      </c>
      <c r="IZ48" s="188" t="str">
        <f t="shared" si="47"/>
        <v/>
      </c>
      <c r="JA48" s="188" t="str">
        <f t="shared" si="48"/>
        <v/>
      </c>
      <c r="JB48" s="188" t="str">
        <f t="shared" si="49"/>
        <v/>
      </c>
      <c r="JC48" s="188" t="str">
        <f t="shared" si="50"/>
        <v/>
      </c>
      <c r="JD48" s="188" t="str">
        <f t="shared" si="51"/>
        <v/>
      </c>
      <c r="JE48" s="188" t="str">
        <f t="shared" si="52"/>
        <v/>
      </c>
      <c r="JF48" s="188" t="str">
        <f t="shared" si="53"/>
        <v/>
      </c>
      <c r="JG48" s="188" t="str">
        <f t="shared" si="54"/>
        <v/>
      </c>
      <c r="JH48" s="188" t="str">
        <f t="shared" si="55"/>
        <v/>
      </c>
      <c r="JI48" s="188" t="str">
        <f t="shared" si="56"/>
        <v/>
      </c>
      <c r="JJ48" s="188" t="str">
        <f t="shared" si="57"/>
        <v/>
      </c>
      <c r="JK48" s="188" t="str">
        <f t="shared" si="58"/>
        <v/>
      </c>
      <c r="KA48" s="188"/>
      <c r="KB48" s="2"/>
      <c r="KC48" s="226"/>
      <c r="KD48" s="164" t="str">
        <f t="shared" si="1"/>
        <v/>
      </c>
      <c r="KE48" s="188" t="str">
        <f t="shared" si="2"/>
        <v/>
      </c>
      <c r="KF48" s="188" t="str">
        <f t="shared" si="3"/>
        <v/>
      </c>
      <c r="KG48" s="188" t="str">
        <f t="shared" si="4"/>
        <v/>
      </c>
      <c r="KH48" s="188" t="str">
        <f t="shared" si="5"/>
        <v/>
      </c>
      <c r="KI48" s="188" t="str">
        <f t="shared" si="6"/>
        <v/>
      </c>
      <c r="KJ48" s="188" t="str">
        <f t="shared" si="7"/>
        <v/>
      </c>
      <c r="KK48" s="188" t="str">
        <f t="shared" si="8"/>
        <v/>
      </c>
      <c r="KL48" s="188" t="str">
        <f t="shared" si="9"/>
        <v/>
      </c>
      <c r="KM48" s="188" t="str">
        <f t="shared" si="10"/>
        <v/>
      </c>
      <c r="KN48" s="188" t="str">
        <f t="shared" si="11"/>
        <v/>
      </c>
      <c r="KO48" s="188" t="str">
        <f t="shared" si="12"/>
        <v/>
      </c>
      <c r="KP48" s="188" t="str">
        <f t="shared" si="13"/>
        <v/>
      </c>
      <c r="KQ48" s="188" t="str">
        <f t="shared" si="14"/>
        <v/>
      </c>
    </row>
    <row r="49" spans="1:303" s="18" customFormat="1" ht="11.45" customHeight="1" x14ac:dyDescent="0.2">
      <c r="A49" s="38"/>
      <c r="B49" s="48"/>
      <c r="C49" s="421">
        <f t="shared" si="0"/>
        <v>45323</v>
      </c>
      <c r="D49" s="421"/>
      <c r="E49" s="422">
        <f t="shared" si="59"/>
        <v>45323</v>
      </c>
      <c r="F49" s="423"/>
      <c r="G49" s="31"/>
      <c r="H49" s="45"/>
      <c r="I49" s="44"/>
      <c r="J49" s="45"/>
      <c r="K49" s="44"/>
      <c r="L49" s="45"/>
      <c r="M49" s="44"/>
      <c r="N49" s="45"/>
      <c r="O49" s="44"/>
      <c r="P49" s="45"/>
      <c r="Q49" s="44"/>
      <c r="R49" s="45"/>
      <c r="S49" s="44"/>
      <c r="T49" s="45"/>
      <c r="U49" s="44"/>
      <c r="V49" s="45"/>
      <c r="W49" s="44"/>
      <c r="X49" s="45"/>
      <c r="Y49" s="44"/>
      <c r="Z49" s="45"/>
      <c r="AA49" s="44"/>
      <c r="AB49" s="45"/>
      <c r="AC49" s="44"/>
      <c r="AD49" s="45"/>
      <c r="AE49" s="44"/>
      <c r="AF49" s="45"/>
      <c r="AG49" s="44"/>
      <c r="AH49" s="45"/>
      <c r="AI49" s="127"/>
      <c r="AJ49" s="236"/>
      <c r="BO49" s="188"/>
      <c r="BP49" s="267">
        <v>2068</v>
      </c>
      <c r="BQ49" s="224" t="s">
        <v>66</v>
      </c>
      <c r="BR49" s="225"/>
      <c r="BS49" s="188"/>
      <c r="BU49" s="68" t="str">
        <f t="shared" si="15"/>
        <v/>
      </c>
      <c r="BV49" s="188" t="str">
        <f t="shared" si="16"/>
        <v/>
      </c>
      <c r="BW49" s="188" t="str">
        <f t="shared" si="17"/>
        <v/>
      </c>
      <c r="BX49" s="188" t="str">
        <f t="shared" si="18"/>
        <v/>
      </c>
      <c r="BY49" s="188" t="str">
        <f t="shared" si="19"/>
        <v/>
      </c>
      <c r="BZ49" s="188" t="str">
        <f t="shared" si="20"/>
        <v/>
      </c>
      <c r="CA49" s="188" t="str">
        <f t="shared" si="21"/>
        <v/>
      </c>
      <c r="CB49" s="188" t="str">
        <f t="shared" si="22"/>
        <v/>
      </c>
      <c r="CC49" s="188" t="str">
        <f t="shared" si="23"/>
        <v/>
      </c>
      <c r="CD49" s="188" t="str">
        <f t="shared" si="24"/>
        <v/>
      </c>
      <c r="CE49" s="188" t="str">
        <f t="shared" si="25"/>
        <v/>
      </c>
      <c r="CF49" s="188" t="str">
        <f t="shared" si="26"/>
        <v/>
      </c>
      <c r="CG49" s="188" t="str">
        <f t="shared" si="27"/>
        <v/>
      </c>
      <c r="CH49" s="188" t="str">
        <f t="shared" si="28"/>
        <v/>
      </c>
      <c r="CY49" s="77" t="str">
        <f>IF(I49&lt;&gt;"",IF(H49="&lt;",IF(AND('Outfall 1 Limits'!$AM$16="Y",$BU$54&lt;&gt;"Y",I49&lt;='Outfall 1 Limits'!$AL$16),0,(1*I49)),I49),"")</f>
        <v/>
      </c>
      <c r="CZ49" s="29" t="str">
        <f>IF(K49&lt;&gt;"",IF(J49="&lt;",IF(AND('Outfall 1 Limits'!$AM$20="Y",$BV$54&lt;&gt;"Y",K49&lt;='Outfall 1 Limits'!$AL$20),0,(1*K49)),K49),"")</f>
        <v/>
      </c>
      <c r="DA49" s="29" t="str">
        <f>IF(M49&lt;&gt;"",IF(L49="&lt;",IF(AND('Outfall 1 Limits'!$AM$24="Y",$BW$54&lt;&gt;"Y",M49&lt;='Outfall 1 Limits'!$AL$24),0,(1*M49)),M49),"")</f>
        <v/>
      </c>
      <c r="DB49" s="29" t="str">
        <f>IF(O49&lt;&gt;"",IF(N49="&lt;",IF(AND('Outfall 1 Limits'!$AM$28="Y",$BX$54&lt;&gt;"Y",O49&lt;='Outfall 1 Limits'!$AL$28),0,(1*O49)),O49),"")</f>
        <v/>
      </c>
      <c r="DC49" s="29" t="str">
        <f>IF(Q49&lt;&gt;"",IF(P49="&lt;",IF(AND('Outfall 1 Limits'!$AM$32="Y",$BY$54&lt;&gt;"Y",Q49&lt;='Outfall 1 Limits'!$AL$32),0,(1*Q49)),Q49),"")</f>
        <v/>
      </c>
      <c r="DD49" s="29" t="str">
        <f>IF(S49&lt;&gt;"",IF(R49="&lt;",IF(AND('Outfall 1 Limits'!$AM$36="Y",$BZ$54&lt;&gt;"Y",S49&lt;='Outfall 1 Limits'!$AL$36),0,(1*S49)),S49),"")</f>
        <v/>
      </c>
      <c r="DE49" s="29" t="str">
        <f>IF(U49&lt;&gt;"",IF(T49="&lt;",IF(AND('Outfall 1 Limits'!$AM$40="Y",$CA$54&lt;&gt;"Y",U49&lt;='Outfall 1 Limits'!$AL$40),0,(1*U49)),U49),"")</f>
        <v/>
      </c>
      <c r="DF49" s="29" t="str">
        <f>IF(W49&lt;&gt;"",IF(V49="&lt;",IF(AND('Outfall 1 Limits'!$AM$44="Y",$CB$54&lt;&gt;"Y",W49&lt;='Outfall 1 Limits'!$AL$44),0,(1*W49)),W49),"")</f>
        <v/>
      </c>
      <c r="DG49" s="29" t="str">
        <f>IF(Y49&lt;&gt;"",IF(X49="&lt;",IF(AND('Outfall 1 Limits'!$AM$48="Y",$CC$54&lt;&gt;"Y",Y49&lt;='Outfall 1 Limits'!$AL$48),0,(1*Y49)),Y49),"")</f>
        <v/>
      </c>
      <c r="DH49" s="29" t="str">
        <f>IF(AA49&lt;&gt;"",IF(Z49="&lt;",IF(AND('Outfall 1 Limits'!$AM$52="Y",$CD$54&lt;&gt;"Y",AA49&lt;='Outfall 1 Limits'!$AL$52),0,(1*AA49)),AA49),"")</f>
        <v/>
      </c>
      <c r="DI49" s="29" t="str">
        <f>IF(AC49&lt;&gt;"",IF(AB49="&lt;",IF(AND('Outfall 1 Limits'!$AM$56="Y",$CE$54&lt;&gt;"Y",AC49&lt;='Outfall 1 Limits'!$AL$56),0,(1*AC49)),AC49),"")</f>
        <v/>
      </c>
      <c r="DJ49" s="29" t="str">
        <f>IF(AE49&lt;&gt;"",IF(AD49="&lt;",IF(AND('Outfall 1 Limits'!$AM$60="Y",$CF$54&lt;&gt;"Y",AE49&lt;='Outfall 1 Limits'!$AL$60),0,(1*AE49)),AE49),"")</f>
        <v/>
      </c>
      <c r="DK49" s="29" t="str">
        <f>IF(AG49&lt;&gt;"",IF(AF49="&lt;",IF(AND('Outfall 1 Limits'!$AM$64="Y",$CG$54&lt;&gt;"Y",AG49&lt;='Outfall 1 Limits'!$AL$64),0,(1*AG49)),AG49),"")</f>
        <v/>
      </c>
      <c r="DL49" s="29" t="str">
        <f>IF(AI49&lt;&gt;"",IF(AH49="&lt;",IF(AND('Outfall 1 Limits'!$AM$68="Y",$CH$54&lt;&gt;"Y",AI49&lt;='Outfall 1 Limits'!$AL$68),0,(1*AI49)),AI49),"")</f>
        <v/>
      </c>
      <c r="EB49" s="2"/>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G49" s="77" t="str">
        <f>IF(AND($G49&lt;&gt;"",$G49&gt;0,'Outfall 1 Limits'!$AX$16="C1",I49&lt;&gt;""),I49*$G49*8.34,IF(AND($I49&lt;&gt;"",'Outfall 1 Limits'!$AX$16="L"),I49,""))</f>
        <v/>
      </c>
      <c r="FH49" s="29" t="str">
        <f>IF(AND($G49&lt;&gt;"",$G49&gt;0,'Outfall 1 Limits'!$AX$20="C1",$K49&lt;&gt;""),$K49*$G49*8.34,IF(AND($K49&lt;&gt;"",'Outfall 1 Limits'!$AX$20="L"),$K49,""))</f>
        <v/>
      </c>
      <c r="FI49" s="29" t="str">
        <f>IF(AND($G49&lt;&gt;"",$G49&gt;0,'Outfall 1 Limits'!$AX$24="C1",$M49&lt;&gt;""),$M49*$G49*8.34,IF(AND($M49&lt;&gt;"",'Outfall 1 Limits'!$AX$24="L"),$M49,""))</f>
        <v/>
      </c>
      <c r="FJ49" s="29" t="str">
        <f>IF(AND($G49&lt;&gt;"",$G49&gt;0,'Outfall 1 Limits'!$AX$28="C1",$O49&lt;&gt;""),$O49*$G49*8.34,IF(AND($O49&lt;&gt;"",'Outfall 1 Limits'!$AX$28="L"),$O49,""))</f>
        <v/>
      </c>
      <c r="FK49" s="29" t="str">
        <f>IF(AND($G49&lt;&gt;"",$G49&gt;0,'Outfall 1 Limits'!$AX$32="C1",$Q49&lt;&gt;""),$Q49*$G49*8.34,IF(AND($Q49&lt;&gt;"",'Outfall 1 Limits'!$AX$32="L"),$Q49,""))</f>
        <v/>
      </c>
      <c r="FL49" s="29" t="str">
        <f>IF(AND($G49&lt;&gt;"",$G49&gt;0,'Outfall 1 Limits'!$AX$36="C1",$S49&lt;&gt;""),$S49*$G49*8.34,IF(AND($S49&lt;&gt;"",'Outfall 1 Limits'!$AX$36="L"),$S49,""))</f>
        <v/>
      </c>
      <c r="FM49" s="29" t="str">
        <f>IF(AND($G49&lt;&gt;"",$G49&gt;0,'Outfall 1 Limits'!$AX$40="C1",$U49&lt;&gt;""),$U49*$G49*8.34,IF(AND($U49&lt;&gt;"",'Outfall 1 Limits'!$AX$40="L"),$U49,""))</f>
        <v/>
      </c>
      <c r="FN49" s="29" t="str">
        <f>IF(AND($G49&lt;&gt;"",$G49&gt;0,'Outfall 1 Limits'!$AX$44="C1",$W49&lt;&gt;""),$W49*$G49*8.34,IF(AND($W49&lt;&gt;"",'Outfall 1 Limits'!$AX$44="L"),$W49,""))</f>
        <v/>
      </c>
      <c r="FO49" s="29" t="str">
        <f>IF(AND($G49&lt;&gt;"",$G49&gt;0,'Outfall 1 Limits'!$AX$48="C1",$Y49&lt;&gt;""),$Y49*$G49*8.34,IF(AND($Y49&lt;&gt;"",'Outfall 1 Limits'!$AX$48="L"),$Y49,""))</f>
        <v/>
      </c>
      <c r="FP49" s="29" t="str">
        <f>IF(AND($G49&lt;&gt;"",$G49&gt;0,'Outfall 1 Limits'!$AX$52="C1",$AA49&lt;&gt;""),$AA49*$G49*8.34,IF(AND($AA49&lt;&gt;"",'Outfall 1 Limits'!$AX$52="L"),$AA49,""))</f>
        <v/>
      </c>
      <c r="FQ49" s="29" t="str">
        <f>IF(AND($G49&lt;&gt;"",$G49&gt;0,'Outfall 1 Limits'!$AX$56="C1",$AC49&lt;&gt;""),$AC49*$G49*8.34,IF(AND($AC49&lt;&gt;"",'Outfall 1 Limits'!$AX$56="L"),$AC49,""))</f>
        <v/>
      </c>
      <c r="FR49" s="29" t="str">
        <f>IF(AND($G49&lt;&gt;"",$G49&gt;0,'Outfall 1 Limits'!$AX$60="C1",$AE49&lt;&gt;""),$AE49*$G49*8.34,IF(AND($AE49&lt;&gt;"",'Outfall 1 Limits'!$AX$60="L"),$AE49,""))</f>
        <v/>
      </c>
      <c r="FS49" s="29" t="str">
        <f>IF(AND($G49&lt;&gt;"",$G49&gt;0,'Outfall 1 Limits'!$AX$64="C1",$AG49&lt;&gt;""),$AG49*$G49*8.34,IF(AND($AG49&lt;&gt;"",'Outfall 1 Limits'!$AX$64="L"),$AG49,""))</f>
        <v/>
      </c>
      <c r="FT49" s="29" t="str">
        <f>IF(AND($G49&lt;&gt;"",$G49&gt;0,'Outfall 1 Limits'!$AX$68="C1",$AI49&lt;&gt;""),$AI49*$G49*8.34,IF(AND($AI49&lt;&gt;"",'Outfall 1 Limits'!$AX$68="L"),$AI49,""))</f>
        <v/>
      </c>
      <c r="GJ49" s="29" t="str">
        <f t="shared" si="29"/>
        <v/>
      </c>
      <c r="GK49" s="77" t="str">
        <f>IF(AND($G49&lt;&gt;"",$G49&gt;0,'Outfall 1 Limits'!$AX$16="C1",CY49&lt;&gt;""),CY49*$G49*8.34,IF(AND(CY49&lt;&gt;"",'Outfall 1 Limits'!$AX$16="L"),CY49,""))</f>
        <v/>
      </c>
      <c r="GL49" s="29" t="str">
        <f>IF(AND($G49&lt;&gt;"",$G49&gt;0,'Outfall 1 Limits'!$AX$20="C1",CZ49&lt;&gt;""),CZ49*$G49*8.34,IF(AND(CZ49&lt;&gt;"",'Outfall 1 Limits'!$AX$20="L"),CZ49,""))</f>
        <v/>
      </c>
      <c r="GM49" s="29" t="str">
        <f>IF(AND($G49&lt;&gt;"",$G49&gt;0,'Outfall 1 Limits'!$AX$24="C1",DA49&lt;&gt;""),DA49*$G49*8.34,IF(AND(DA49&lt;&gt;"",'Outfall 1 Limits'!$AX$24="L"),DA49,""))</f>
        <v/>
      </c>
      <c r="GN49" s="29" t="str">
        <f>IF(AND($G49&lt;&gt;"",$G49&gt;0,'Outfall 1 Limits'!$AX$28="C1",DB49&lt;&gt;""),DB49*$G49*8.34,IF(AND(DB49&lt;&gt;"",'Outfall 1 Limits'!$AX$28="L"),DB49,""))</f>
        <v/>
      </c>
      <c r="GO49" s="29" t="str">
        <f>IF(AND($G49&lt;&gt;"",$G49&gt;0,'Outfall 1 Limits'!$AX$32="C1",DC49&lt;&gt;""),DC49*$G49*8.34,IF(AND(DC49&lt;&gt;"",'Outfall 1 Limits'!$AX$32="L"),DC49,""))</f>
        <v/>
      </c>
      <c r="GP49" s="29" t="str">
        <f>IF(AND($G49&lt;&gt;"",$G49&gt;0,'Outfall 1 Limits'!$AX$36="C1",DD49&lt;&gt;""),DD49*$G49*8.34,IF(AND(DD49&lt;&gt;"",'Outfall 1 Limits'!$AX$36="L"),DD49,""))</f>
        <v/>
      </c>
      <c r="GQ49" s="29" t="str">
        <f>IF(AND($G49&lt;&gt;"",$G49&gt;0,'Outfall 1 Limits'!$AX$40="C1",DE49&lt;&gt;""),DE49*$G49*8.34,IF(AND(DE49&lt;&gt;"",'Outfall 1 Limits'!$AX$40="L"),DE49,""))</f>
        <v/>
      </c>
      <c r="GR49" s="29" t="str">
        <f>IF(AND($G49&lt;&gt;"",$G49&gt;0,'Outfall 1 Limits'!$AX$44="C1",DF49&lt;&gt;""),DF49*$G49*8.34,IF(AND(DF49&lt;&gt;"",'Outfall 1 Limits'!$AX$44="L"),DF49,""))</f>
        <v/>
      </c>
      <c r="GS49" s="29" t="str">
        <f>IF(AND($G49&lt;&gt;"",$G49&gt;0,'Outfall 1 Limits'!$AX$48="C1",DG49&lt;&gt;""),DG49*$G49*8.34,IF(AND(DG49&lt;&gt;"",'Outfall 1 Limits'!$AX$48="L"),DG49,""))</f>
        <v/>
      </c>
      <c r="GT49" s="29" t="str">
        <f>IF(AND($G49&lt;&gt;"",$G49&gt;0,'Outfall 1 Limits'!$AX$52="C1",DH49&lt;&gt;""),DH49*$G49*8.34,IF(AND(DH49&lt;&gt;"",'Outfall 1 Limits'!$AX$52="L"),DH49,""))</f>
        <v/>
      </c>
      <c r="GU49" s="29" t="str">
        <f>IF(AND($G49&lt;&gt;"",$G49&gt;0,'Outfall 1 Limits'!$AX$56="C1",DI49&lt;&gt;""),DI49*$G49*8.34,IF(AND(DI49&lt;&gt;"",'Outfall 1 Limits'!$AX$56="L"),DI49,""))</f>
        <v/>
      </c>
      <c r="GV49" s="29" t="str">
        <f>IF(AND($G49&lt;&gt;"",$G49&gt;0,'Outfall 1 Limits'!$AX$60="C1",DJ49&lt;&gt;""),DJ49*$G49*8.34,IF(AND(DJ49&lt;&gt;"",'Outfall 1 Limits'!$AX$60="L"),DJ49,""))</f>
        <v/>
      </c>
      <c r="GW49" s="29" t="str">
        <f>IF(AND($G49&lt;&gt;"",$G49&gt;0,'Outfall 1 Limits'!$AX$64="C1",DK49&lt;&gt;""),DK49*$G49*8.34,IF(AND(DK49&lt;&gt;"",'Outfall 1 Limits'!$AX$64="L"),DK49,""))</f>
        <v/>
      </c>
      <c r="GX49" s="29" t="str">
        <f>IF(AND($G49&lt;&gt;"",$G49&gt;0,'Outfall 1 Limits'!$AX$68="C1",DL49&lt;&gt;""),DL49*$G49*8.34,IF(AND(DL49&lt;&gt;"",'Outfall 1 Limits'!$AX$68="L"),DL49,""))</f>
        <v/>
      </c>
      <c r="HO49" s="98" t="str">
        <f t="shared" si="30"/>
        <v/>
      </c>
      <c r="HS49" s="68" t="str">
        <f t="shared" si="31"/>
        <v/>
      </c>
      <c r="HT49" s="188" t="str">
        <f t="shared" si="32"/>
        <v/>
      </c>
      <c r="HU49" s="188" t="str">
        <f t="shared" si="33"/>
        <v/>
      </c>
      <c r="HV49" s="188" t="str">
        <f t="shared" si="34"/>
        <v/>
      </c>
      <c r="HW49" s="188" t="str">
        <f t="shared" si="35"/>
        <v/>
      </c>
      <c r="HX49" s="188" t="str">
        <f t="shared" si="36"/>
        <v/>
      </c>
      <c r="HY49" s="188" t="str">
        <f t="shared" si="37"/>
        <v/>
      </c>
      <c r="HZ49" s="188" t="str">
        <f t="shared" si="38"/>
        <v/>
      </c>
      <c r="IA49" s="188" t="str">
        <f t="shared" si="39"/>
        <v/>
      </c>
      <c r="IB49" s="188" t="str">
        <f t="shared" si="40"/>
        <v/>
      </c>
      <c r="IC49" s="188" t="str">
        <f t="shared" si="41"/>
        <v/>
      </c>
      <c r="ID49" s="188" t="str">
        <f t="shared" si="42"/>
        <v/>
      </c>
      <c r="IE49" s="188" t="str">
        <f t="shared" si="43"/>
        <v/>
      </c>
      <c r="IF49" s="188" t="str">
        <f t="shared" si="44"/>
        <v/>
      </c>
      <c r="IX49" s="68" t="str">
        <f t="shared" si="45"/>
        <v/>
      </c>
      <c r="IY49" s="188" t="str">
        <f t="shared" si="46"/>
        <v/>
      </c>
      <c r="IZ49" s="188" t="str">
        <f t="shared" si="47"/>
        <v/>
      </c>
      <c r="JA49" s="188" t="str">
        <f t="shared" si="48"/>
        <v/>
      </c>
      <c r="JB49" s="188" t="str">
        <f t="shared" si="49"/>
        <v/>
      </c>
      <c r="JC49" s="188" t="str">
        <f t="shared" si="50"/>
        <v/>
      </c>
      <c r="JD49" s="188" t="str">
        <f t="shared" si="51"/>
        <v/>
      </c>
      <c r="JE49" s="188" t="str">
        <f t="shared" si="52"/>
        <v/>
      </c>
      <c r="JF49" s="188" t="str">
        <f t="shared" si="53"/>
        <v/>
      </c>
      <c r="JG49" s="188" t="str">
        <f t="shared" si="54"/>
        <v/>
      </c>
      <c r="JH49" s="188" t="str">
        <f t="shared" si="55"/>
        <v/>
      </c>
      <c r="JI49" s="188" t="str">
        <f t="shared" si="56"/>
        <v/>
      </c>
      <c r="JJ49" s="188" t="str">
        <f t="shared" si="57"/>
        <v/>
      </c>
      <c r="JK49" s="188" t="str">
        <f t="shared" si="58"/>
        <v/>
      </c>
      <c r="KA49" s="188"/>
      <c r="KB49" s="2"/>
      <c r="KC49" s="226"/>
      <c r="KD49" s="164" t="str">
        <f t="shared" si="1"/>
        <v/>
      </c>
      <c r="KE49" s="188" t="str">
        <f t="shared" si="2"/>
        <v/>
      </c>
      <c r="KF49" s="188" t="str">
        <f t="shared" si="3"/>
        <v/>
      </c>
      <c r="KG49" s="188" t="str">
        <f t="shared" si="4"/>
        <v/>
      </c>
      <c r="KH49" s="188" t="str">
        <f t="shared" si="5"/>
        <v/>
      </c>
      <c r="KI49" s="188" t="str">
        <f t="shared" si="6"/>
        <v/>
      </c>
      <c r="KJ49" s="188" t="str">
        <f t="shared" si="7"/>
        <v/>
      </c>
      <c r="KK49" s="188" t="str">
        <f t="shared" si="8"/>
        <v/>
      </c>
      <c r="KL49" s="188" t="str">
        <f t="shared" si="9"/>
        <v/>
      </c>
      <c r="KM49" s="188" t="str">
        <f t="shared" si="10"/>
        <v/>
      </c>
      <c r="KN49" s="188" t="str">
        <f t="shared" si="11"/>
        <v/>
      </c>
      <c r="KO49" s="188" t="str">
        <f t="shared" si="12"/>
        <v/>
      </c>
      <c r="KP49" s="188" t="str">
        <f t="shared" si="13"/>
        <v/>
      </c>
      <c r="KQ49" s="188" t="str">
        <f t="shared" si="14"/>
        <v/>
      </c>
    </row>
    <row r="50" spans="1:303" s="18" customFormat="1" ht="11.45" customHeight="1" x14ac:dyDescent="0.2">
      <c r="A50" s="38"/>
      <c r="B50" s="48"/>
      <c r="C50" s="421">
        <f t="shared" si="0"/>
        <v>45324</v>
      </c>
      <c r="D50" s="421"/>
      <c r="E50" s="422">
        <f t="shared" si="59"/>
        <v>45324</v>
      </c>
      <c r="F50" s="423"/>
      <c r="G50" s="31"/>
      <c r="H50" s="45"/>
      <c r="I50" s="44"/>
      <c r="J50" s="45"/>
      <c r="K50" s="44"/>
      <c r="L50" s="45"/>
      <c r="M50" s="44"/>
      <c r="N50" s="45"/>
      <c r="O50" s="44"/>
      <c r="P50" s="45"/>
      <c r="Q50" s="44"/>
      <c r="R50" s="45"/>
      <c r="S50" s="44"/>
      <c r="T50" s="45"/>
      <c r="U50" s="44"/>
      <c r="V50" s="45"/>
      <c r="W50" s="44"/>
      <c r="X50" s="45"/>
      <c r="Y50" s="44"/>
      <c r="Z50" s="45"/>
      <c r="AA50" s="44"/>
      <c r="AB50" s="45"/>
      <c r="AC50" s="44"/>
      <c r="AD50" s="45"/>
      <c r="AE50" s="44"/>
      <c r="AF50" s="45"/>
      <c r="AG50" s="44"/>
      <c r="AH50" s="45"/>
      <c r="AI50" s="127"/>
      <c r="AJ50" s="236"/>
      <c r="BO50" s="188"/>
      <c r="BP50" s="267">
        <v>2069</v>
      </c>
      <c r="BQ50" s="224" t="s">
        <v>67</v>
      </c>
      <c r="BR50" s="225"/>
      <c r="BS50" s="188"/>
      <c r="BU50" s="68" t="str">
        <f t="shared" si="15"/>
        <v/>
      </c>
      <c r="BV50" s="188" t="str">
        <f t="shared" si="16"/>
        <v/>
      </c>
      <c r="BW50" s="188" t="str">
        <f t="shared" si="17"/>
        <v/>
      </c>
      <c r="BX50" s="188" t="str">
        <f t="shared" si="18"/>
        <v/>
      </c>
      <c r="BY50" s="188" t="str">
        <f t="shared" si="19"/>
        <v/>
      </c>
      <c r="BZ50" s="188" t="str">
        <f t="shared" si="20"/>
        <v/>
      </c>
      <c r="CA50" s="188" t="str">
        <f t="shared" si="21"/>
        <v/>
      </c>
      <c r="CB50" s="188" t="str">
        <f t="shared" si="22"/>
        <v/>
      </c>
      <c r="CC50" s="188" t="str">
        <f t="shared" si="23"/>
        <v/>
      </c>
      <c r="CD50" s="188" t="str">
        <f t="shared" si="24"/>
        <v/>
      </c>
      <c r="CE50" s="188" t="str">
        <f t="shared" si="25"/>
        <v/>
      </c>
      <c r="CF50" s="188" t="str">
        <f t="shared" si="26"/>
        <v/>
      </c>
      <c r="CG50" s="188" t="str">
        <f t="shared" si="27"/>
        <v/>
      </c>
      <c r="CH50" s="188" t="str">
        <f t="shared" si="28"/>
        <v/>
      </c>
      <c r="CY50" s="77" t="str">
        <f>IF(I50&lt;&gt;"",IF(H50="&lt;",IF(AND('Outfall 1 Limits'!$AM$16="Y",$BU$54&lt;&gt;"Y",I50&lt;='Outfall 1 Limits'!$AL$16),0,(1*I50)),I50),"")</f>
        <v/>
      </c>
      <c r="CZ50" s="29" t="str">
        <f>IF(K50&lt;&gt;"",IF(J50="&lt;",IF(AND('Outfall 1 Limits'!$AM$20="Y",$BV$54&lt;&gt;"Y",K50&lt;='Outfall 1 Limits'!$AL$20),0,(1*K50)),K50),"")</f>
        <v/>
      </c>
      <c r="DA50" s="29" t="str">
        <f>IF(M50&lt;&gt;"",IF(L50="&lt;",IF(AND('Outfall 1 Limits'!$AM$24="Y",$BW$54&lt;&gt;"Y",M50&lt;='Outfall 1 Limits'!$AL$24),0,(1*M50)),M50),"")</f>
        <v/>
      </c>
      <c r="DB50" s="29" t="str">
        <f>IF(O50&lt;&gt;"",IF(N50="&lt;",IF(AND('Outfall 1 Limits'!$AM$28="Y",$BX$54&lt;&gt;"Y",O50&lt;='Outfall 1 Limits'!$AL$28),0,(1*O50)),O50),"")</f>
        <v/>
      </c>
      <c r="DC50" s="29" t="str">
        <f>IF(Q50&lt;&gt;"",IF(P50="&lt;",IF(AND('Outfall 1 Limits'!$AM$32="Y",$BY$54&lt;&gt;"Y",Q50&lt;='Outfall 1 Limits'!$AL$32),0,(1*Q50)),Q50),"")</f>
        <v/>
      </c>
      <c r="DD50" s="29" t="str">
        <f>IF(S50&lt;&gt;"",IF(R50="&lt;",IF(AND('Outfall 1 Limits'!$AM$36="Y",$BZ$54&lt;&gt;"Y",S50&lt;='Outfall 1 Limits'!$AL$36),0,(1*S50)),S50),"")</f>
        <v/>
      </c>
      <c r="DE50" s="29" t="str">
        <f>IF(U50&lt;&gt;"",IF(T50="&lt;",IF(AND('Outfall 1 Limits'!$AM$40="Y",$CA$54&lt;&gt;"Y",U50&lt;='Outfall 1 Limits'!$AL$40),0,(1*U50)),U50),"")</f>
        <v/>
      </c>
      <c r="DF50" s="29" t="str">
        <f>IF(W50&lt;&gt;"",IF(V50="&lt;",IF(AND('Outfall 1 Limits'!$AM$44="Y",$CB$54&lt;&gt;"Y",W50&lt;='Outfall 1 Limits'!$AL$44),0,(1*W50)),W50),"")</f>
        <v/>
      </c>
      <c r="DG50" s="29" t="str">
        <f>IF(Y50&lt;&gt;"",IF(X50="&lt;",IF(AND('Outfall 1 Limits'!$AM$48="Y",$CC$54&lt;&gt;"Y",Y50&lt;='Outfall 1 Limits'!$AL$48),0,(1*Y50)),Y50),"")</f>
        <v/>
      </c>
      <c r="DH50" s="29" t="str">
        <f>IF(AA50&lt;&gt;"",IF(Z50="&lt;",IF(AND('Outfall 1 Limits'!$AM$52="Y",$CD$54&lt;&gt;"Y",AA50&lt;='Outfall 1 Limits'!$AL$52),0,(1*AA50)),AA50),"")</f>
        <v/>
      </c>
      <c r="DI50" s="29" t="str">
        <f>IF(AC50&lt;&gt;"",IF(AB50="&lt;",IF(AND('Outfall 1 Limits'!$AM$56="Y",$CE$54&lt;&gt;"Y",AC50&lt;='Outfall 1 Limits'!$AL$56),0,(1*AC50)),AC50),"")</f>
        <v/>
      </c>
      <c r="DJ50" s="29" t="str">
        <f>IF(AE50&lt;&gt;"",IF(AD50="&lt;",IF(AND('Outfall 1 Limits'!$AM$60="Y",$CF$54&lt;&gt;"Y",AE50&lt;='Outfall 1 Limits'!$AL$60),0,(1*AE50)),AE50),"")</f>
        <v/>
      </c>
      <c r="DK50" s="29" t="str">
        <f>IF(AG50&lt;&gt;"",IF(AF50="&lt;",IF(AND('Outfall 1 Limits'!$AM$64="Y",$CG$54&lt;&gt;"Y",AG50&lt;='Outfall 1 Limits'!$AL$64),0,(1*AG50)),AG50),"")</f>
        <v/>
      </c>
      <c r="DL50" s="29" t="str">
        <f>IF(AI50&lt;&gt;"",IF(AH50="&lt;",IF(AND('Outfall 1 Limits'!$AM$68="Y",$CH$54&lt;&gt;"Y",AI50&lt;='Outfall 1 Limits'!$AL$68),0,(1*AI50)),AI50),"")</f>
        <v/>
      </c>
      <c r="EB50" s="2"/>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G50" s="77" t="str">
        <f>IF(AND($G50&lt;&gt;"",$G50&gt;0,'Outfall 1 Limits'!$AX$16="C1",I50&lt;&gt;""),I50*$G50*8.34,IF(AND($I50&lt;&gt;"",'Outfall 1 Limits'!$AX$16="L"),I50,""))</f>
        <v/>
      </c>
      <c r="FH50" s="29" t="str">
        <f>IF(AND($G50&lt;&gt;"",$G50&gt;0,'Outfall 1 Limits'!$AX$20="C1",$K50&lt;&gt;""),$K50*$G50*8.34,IF(AND($K50&lt;&gt;"",'Outfall 1 Limits'!$AX$20="L"),$K50,""))</f>
        <v/>
      </c>
      <c r="FI50" s="29" t="str">
        <f>IF(AND($G50&lt;&gt;"",$G50&gt;0,'Outfall 1 Limits'!$AX$24="C1",$M50&lt;&gt;""),$M50*$G50*8.34,IF(AND($M50&lt;&gt;"",'Outfall 1 Limits'!$AX$24="L"),$M50,""))</f>
        <v/>
      </c>
      <c r="FJ50" s="29" t="str">
        <f>IF(AND($G50&lt;&gt;"",$G50&gt;0,'Outfall 1 Limits'!$AX$28="C1",$O50&lt;&gt;""),$O50*$G50*8.34,IF(AND($O50&lt;&gt;"",'Outfall 1 Limits'!$AX$28="L"),$O50,""))</f>
        <v/>
      </c>
      <c r="FK50" s="29" t="str">
        <f>IF(AND($G50&lt;&gt;"",$G50&gt;0,'Outfall 1 Limits'!$AX$32="C1",$Q50&lt;&gt;""),$Q50*$G50*8.34,IF(AND($Q50&lt;&gt;"",'Outfall 1 Limits'!$AX$32="L"),$Q50,""))</f>
        <v/>
      </c>
      <c r="FL50" s="29" t="str">
        <f>IF(AND($G50&lt;&gt;"",$G50&gt;0,'Outfall 1 Limits'!$AX$36="C1",$S50&lt;&gt;""),$S50*$G50*8.34,IF(AND($S50&lt;&gt;"",'Outfall 1 Limits'!$AX$36="L"),$S50,""))</f>
        <v/>
      </c>
      <c r="FM50" s="29" t="str">
        <f>IF(AND($G50&lt;&gt;"",$G50&gt;0,'Outfall 1 Limits'!$AX$40="C1",$U50&lt;&gt;""),$U50*$G50*8.34,IF(AND($U50&lt;&gt;"",'Outfall 1 Limits'!$AX$40="L"),$U50,""))</f>
        <v/>
      </c>
      <c r="FN50" s="29" t="str">
        <f>IF(AND($G50&lt;&gt;"",$G50&gt;0,'Outfall 1 Limits'!$AX$44="C1",$W50&lt;&gt;""),$W50*$G50*8.34,IF(AND($W50&lt;&gt;"",'Outfall 1 Limits'!$AX$44="L"),$W50,""))</f>
        <v/>
      </c>
      <c r="FO50" s="29" t="str">
        <f>IF(AND($G50&lt;&gt;"",$G50&gt;0,'Outfall 1 Limits'!$AX$48="C1",$Y50&lt;&gt;""),$Y50*$G50*8.34,IF(AND($Y50&lt;&gt;"",'Outfall 1 Limits'!$AX$48="L"),$Y50,""))</f>
        <v/>
      </c>
      <c r="FP50" s="29" t="str">
        <f>IF(AND($G50&lt;&gt;"",$G50&gt;0,'Outfall 1 Limits'!$AX$52="C1",$AA50&lt;&gt;""),$AA50*$G50*8.34,IF(AND($AA50&lt;&gt;"",'Outfall 1 Limits'!$AX$52="L"),$AA50,""))</f>
        <v/>
      </c>
      <c r="FQ50" s="29" t="str">
        <f>IF(AND($G50&lt;&gt;"",$G50&gt;0,'Outfall 1 Limits'!$AX$56="C1",$AC50&lt;&gt;""),$AC50*$G50*8.34,IF(AND($AC50&lt;&gt;"",'Outfall 1 Limits'!$AX$56="L"),$AC50,""))</f>
        <v/>
      </c>
      <c r="FR50" s="29" t="str">
        <f>IF(AND($G50&lt;&gt;"",$G50&gt;0,'Outfall 1 Limits'!$AX$60="C1",$AE50&lt;&gt;""),$AE50*$G50*8.34,IF(AND($AE50&lt;&gt;"",'Outfall 1 Limits'!$AX$60="L"),$AE50,""))</f>
        <v/>
      </c>
      <c r="FS50" s="29" t="str">
        <f>IF(AND($G50&lt;&gt;"",$G50&gt;0,'Outfall 1 Limits'!$AX$64="C1",$AG50&lt;&gt;""),$AG50*$G50*8.34,IF(AND($AG50&lt;&gt;"",'Outfall 1 Limits'!$AX$64="L"),$AG50,""))</f>
        <v/>
      </c>
      <c r="FT50" s="29" t="str">
        <f>IF(AND($G50&lt;&gt;"",$G50&gt;0,'Outfall 1 Limits'!$AX$68="C1",$AI50&lt;&gt;""),$AI50*$G50*8.34,IF(AND($AI50&lt;&gt;"",'Outfall 1 Limits'!$AX$68="L"),$AI50,""))</f>
        <v/>
      </c>
      <c r="GJ50" s="29" t="str">
        <f t="shared" si="29"/>
        <v/>
      </c>
      <c r="GK50" s="77" t="str">
        <f>IF(AND($G50&lt;&gt;"",$G50&gt;0,'Outfall 1 Limits'!$AX$16="C1",CY50&lt;&gt;""),CY50*$G50*8.34,IF(AND(CY50&lt;&gt;"",'Outfall 1 Limits'!$AX$16="L"),CY50,""))</f>
        <v/>
      </c>
      <c r="GL50" s="29" t="str">
        <f>IF(AND($G50&lt;&gt;"",$G50&gt;0,'Outfall 1 Limits'!$AX$20="C1",CZ50&lt;&gt;""),CZ50*$G50*8.34,IF(AND(CZ50&lt;&gt;"",'Outfall 1 Limits'!$AX$20="L"),CZ50,""))</f>
        <v/>
      </c>
      <c r="GM50" s="29" t="str">
        <f>IF(AND($G50&lt;&gt;"",$G50&gt;0,'Outfall 1 Limits'!$AX$24="C1",DA50&lt;&gt;""),DA50*$G50*8.34,IF(AND(DA50&lt;&gt;"",'Outfall 1 Limits'!$AX$24="L"),DA50,""))</f>
        <v/>
      </c>
      <c r="GN50" s="29" t="str">
        <f>IF(AND($G50&lt;&gt;"",$G50&gt;0,'Outfall 1 Limits'!$AX$28="C1",DB50&lt;&gt;""),DB50*$G50*8.34,IF(AND(DB50&lt;&gt;"",'Outfall 1 Limits'!$AX$28="L"),DB50,""))</f>
        <v/>
      </c>
      <c r="GO50" s="29" t="str">
        <f>IF(AND($G50&lt;&gt;"",$G50&gt;0,'Outfall 1 Limits'!$AX$32="C1",DC50&lt;&gt;""),DC50*$G50*8.34,IF(AND(DC50&lt;&gt;"",'Outfall 1 Limits'!$AX$32="L"),DC50,""))</f>
        <v/>
      </c>
      <c r="GP50" s="29" t="str">
        <f>IF(AND($G50&lt;&gt;"",$G50&gt;0,'Outfall 1 Limits'!$AX$36="C1",DD50&lt;&gt;""),DD50*$G50*8.34,IF(AND(DD50&lt;&gt;"",'Outfall 1 Limits'!$AX$36="L"),DD50,""))</f>
        <v/>
      </c>
      <c r="GQ50" s="29" t="str">
        <f>IF(AND($G50&lt;&gt;"",$G50&gt;0,'Outfall 1 Limits'!$AX$40="C1",DE50&lt;&gt;""),DE50*$G50*8.34,IF(AND(DE50&lt;&gt;"",'Outfall 1 Limits'!$AX$40="L"),DE50,""))</f>
        <v/>
      </c>
      <c r="GR50" s="29" t="str">
        <f>IF(AND($G50&lt;&gt;"",$G50&gt;0,'Outfall 1 Limits'!$AX$44="C1",DF50&lt;&gt;""),DF50*$G50*8.34,IF(AND(DF50&lt;&gt;"",'Outfall 1 Limits'!$AX$44="L"),DF50,""))</f>
        <v/>
      </c>
      <c r="GS50" s="29" t="str">
        <f>IF(AND($G50&lt;&gt;"",$G50&gt;0,'Outfall 1 Limits'!$AX$48="C1",DG50&lt;&gt;""),DG50*$G50*8.34,IF(AND(DG50&lt;&gt;"",'Outfall 1 Limits'!$AX$48="L"),DG50,""))</f>
        <v/>
      </c>
      <c r="GT50" s="29" t="str">
        <f>IF(AND($G50&lt;&gt;"",$G50&gt;0,'Outfall 1 Limits'!$AX$52="C1",DH50&lt;&gt;""),DH50*$G50*8.34,IF(AND(DH50&lt;&gt;"",'Outfall 1 Limits'!$AX$52="L"),DH50,""))</f>
        <v/>
      </c>
      <c r="GU50" s="29" t="str">
        <f>IF(AND($G50&lt;&gt;"",$G50&gt;0,'Outfall 1 Limits'!$AX$56="C1",DI50&lt;&gt;""),DI50*$G50*8.34,IF(AND(DI50&lt;&gt;"",'Outfall 1 Limits'!$AX$56="L"),DI50,""))</f>
        <v/>
      </c>
      <c r="GV50" s="29" t="str">
        <f>IF(AND($G50&lt;&gt;"",$G50&gt;0,'Outfall 1 Limits'!$AX$60="C1",DJ50&lt;&gt;""),DJ50*$G50*8.34,IF(AND(DJ50&lt;&gt;"",'Outfall 1 Limits'!$AX$60="L"),DJ50,""))</f>
        <v/>
      </c>
      <c r="GW50" s="29" t="str">
        <f>IF(AND($G50&lt;&gt;"",$G50&gt;0,'Outfall 1 Limits'!$AX$64="C1",DK50&lt;&gt;""),DK50*$G50*8.34,IF(AND(DK50&lt;&gt;"",'Outfall 1 Limits'!$AX$64="L"),DK50,""))</f>
        <v/>
      </c>
      <c r="GX50" s="29" t="str">
        <f>IF(AND($G50&lt;&gt;"",$G50&gt;0,'Outfall 1 Limits'!$AX$68="C1",DL50&lt;&gt;""),DL50*$G50*8.34,IF(AND(DL50&lt;&gt;"",'Outfall 1 Limits'!$AX$68="L"),DL50,""))</f>
        <v/>
      </c>
      <c r="HO50" s="98" t="str">
        <f t="shared" si="30"/>
        <v/>
      </c>
      <c r="HS50" s="68" t="str">
        <f t="shared" si="31"/>
        <v/>
      </c>
      <c r="HT50" s="188" t="str">
        <f t="shared" si="32"/>
        <v/>
      </c>
      <c r="HU50" s="188" t="str">
        <f t="shared" si="33"/>
        <v/>
      </c>
      <c r="HV50" s="188" t="str">
        <f t="shared" si="34"/>
        <v/>
      </c>
      <c r="HW50" s="188" t="str">
        <f t="shared" si="35"/>
        <v/>
      </c>
      <c r="HX50" s="188" t="str">
        <f t="shared" si="36"/>
        <v/>
      </c>
      <c r="HY50" s="188" t="str">
        <f t="shared" si="37"/>
        <v/>
      </c>
      <c r="HZ50" s="188" t="str">
        <f t="shared" si="38"/>
        <v/>
      </c>
      <c r="IA50" s="188" t="str">
        <f t="shared" si="39"/>
        <v/>
      </c>
      <c r="IB50" s="188" t="str">
        <f t="shared" si="40"/>
        <v/>
      </c>
      <c r="IC50" s="188" t="str">
        <f t="shared" si="41"/>
        <v/>
      </c>
      <c r="ID50" s="188" t="str">
        <f t="shared" si="42"/>
        <v/>
      </c>
      <c r="IE50" s="188" t="str">
        <f t="shared" si="43"/>
        <v/>
      </c>
      <c r="IF50" s="188" t="str">
        <f t="shared" si="44"/>
        <v/>
      </c>
      <c r="IX50" s="68" t="str">
        <f t="shared" si="45"/>
        <v/>
      </c>
      <c r="IY50" s="188" t="str">
        <f t="shared" si="46"/>
        <v/>
      </c>
      <c r="IZ50" s="188" t="str">
        <f t="shared" si="47"/>
        <v/>
      </c>
      <c r="JA50" s="188" t="str">
        <f t="shared" si="48"/>
        <v/>
      </c>
      <c r="JB50" s="188" t="str">
        <f t="shared" si="49"/>
        <v/>
      </c>
      <c r="JC50" s="188" t="str">
        <f t="shared" si="50"/>
        <v/>
      </c>
      <c r="JD50" s="188" t="str">
        <f t="shared" si="51"/>
        <v/>
      </c>
      <c r="JE50" s="188" t="str">
        <f t="shared" si="52"/>
        <v/>
      </c>
      <c r="JF50" s="188" t="str">
        <f t="shared" si="53"/>
        <v/>
      </c>
      <c r="JG50" s="188" t="str">
        <f t="shared" si="54"/>
        <v/>
      </c>
      <c r="JH50" s="188" t="str">
        <f t="shared" si="55"/>
        <v/>
      </c>
      <c r="JI50" s="188" t="str">
        <f t="shared" si="56"/>
        <v/>
      </c>
      <c r="JJ50" s="188" t="str">
        <f t="shared" si="57"/>
        <v/>
      </c>
      <c r="JK50" s="188" t="str">
        <f t="shared" si="58"/>
        <v/>
      </c>
      <c r="KA50" s="188"/>
      <c r="KB50" s="2"/>
      <c r="KC50" s="226"/>
      <c r="KD50" s="164" t="str">
        <f t="shared" si="1"/>
        <v/>
      </c>
      <c r="KE50" s="188" t="str">
        <f t="shared" si="2"/>
        <v/>
      </c>
      <c r="KF50" s="188" t="str">
        <f t="shared" si="3"/>
        <v/>
      </c>
      <c r="KG50" s="188" t="str">
        <f t="shared" si="4"/>
        <v/>
      </c>
      <c r="KH50" s="188" t="str">
        <f t="shared" si="5"/>
        <v/>
      </c>
      <c r="KI50" s="188" t="str">
        <f t="shared" si="6"/>
        <v/>
      </c>
      <c r="KJ50" s="188" t="str">
        <f t="shared" si="7"/>
        <v/>
      </c>
      <c r="KK50" s="188" t="str">
        <f t="shared" si="8"/>
        <v/>
      </c>
      <c r="KL50" s="188" t="str">
        <f t="shared" si="9"/>
        <v/>
      </c>
      <c r="KM50" s="188" t="str">
        <f t="shared" si="10"/>
        <v/>
      </c>
      <c r="KN50" s="188" t="str">
        <f t="shared" si="11"/>
        <v/>
      </c>
      <c r="KO50" s="188" t="str">
        <f t="shared" si="12"/>
        <v/>
      </c>
      <c r="KP50" s="188" t="str">
        <f t="shared" si="13"/>
        <v/>
      </c>
      <c r="KQ50" s="188" t="str">
        <f t="shared" si="14"/>
        <v/>
      </c>
    </row>
    <row r="51" spans="1:303" s="18" customFormat="1" ht="11.45" customHeight="1" thickBot="1" x14ac:dyDescent="0.25">
      <c r="A51" s="38"/>
      <c r="B51" s="49"/>
      <c r="C51" s="445">
        <f t="shared" si="0"/>
        <v>45325</v>
      </c>
      <c r="D51" s="445"/>
      <c r="E51" s="454">
        <f t="shared" si="59"/>
        <v>45325</v>
      </c>
      <c r="F51" s="455"/>
      <c r="G51" s="32"/>
      <c r="H51" s="46"/>
      <c r="I51" s="47"/>
      <c r="J51" s="46"/>
      <c r="K51" s="47"/>
      <c r="L51" s="46"/>
      <c r="M51" s="47"/>
      <c r="N51" s="46"/>
      <c r="O51" s="47"/>
      <c r="P51" s="46"/>
      <c r="Q51" s="47"/>
      <c r="R51" s="46"/>
      <c r="S51" s="47"/>
      <c r="T51" s="46"/>
      <c r="U51" s="47"/>
      <c r="V51" s="46"/>
      <c r="W51" s="47"/>
      <c r="X51" s="46"/>
      <c r="Y51" s="47"/>
      <c r="Z51" s="46"/>
      <c r="AA51" s="47"/>
      <c r="AB51" s="46"/>
      <c r="AC51" s="47"/>
      <c r="AD51" s="46"/>
      <c r="AE51" s="47"/>
      <c r="AF51" s="46"/>
      <c r="AG51" s="47"/>
      <c r="AH51" s="46"/>
      <c r="AI51" s="128"/>
      <c r="AJ51" s="236"/>
      <c r="BO51" s="188"/>
      <c r="BP51" s="267">
        <v>2070</v>
      </c>
      <c r="BQ51" s="224" t="s">
        <v>68</v>
      </c>
      <c r="BR51" s="225"/>
      <c r="BS51" s="188"/>
      <c r="BU51" s="68" t="str">
        <f t="shared" si="15"/>
        <v/>
      </c>
      <c r="BV51" s="188" t="str">
        <f t="shared" si="16"/>
        <v/>
      </c>
      <c r="BW51" s="188" t="str">
        <f t="shared" si="17"/>
        <v/>
      </c>
      <c r="BX51" s="188" t="str">
        <f t="shared" si="18"/>
        <v/>
      </c>
      <c r="BY51" s="188" t="str">
        <f t="shared" si="19"/>
        <v/>
      </c>
      <c r="BZ51" s="188" t="str">
        <f t="shared" si="20"/>
        <v/>
      </c>
      <c r="CA51" s="188" t="str">
        <f t="shared" si="21"/>
        <v/>
      </c>
      <c r="CB51" s="188" t="str">
        <f t="shared" si="22"/>
        <v/>
      </c>
      <c r="CC51" s="188" t="str">
        <f t="shared" si="23"/>
        <v/>
      </c>
      <c r="CD51" s="188" t="str">
        <f t="shared" si="24"/>
        <v/>
      </c>
      <c r="CE51" s="188" t="str">
        <f t="shared" si="25"/>
        <v/>
      </c>
      <c r="CF51" s="188" t="str">
        <f t="shared" si="26"/>
        <v/>
      </c>
      <c r="CG51" s="188" t="str">
        <f t="shared" si="27"/>
        <v/>
      </c>
      <c r="CH51" s="188" t="str">
        <f t="shared" si="28"/>
        <v/>
      </c>
      <c r="CY51" s="77" t="str">
        <f>IF(I51&lt;&gt;"",IF(H51="&lt;",IF(AND('Outfall 1 Limits'!$AM$16="Y",$BU$54&lt;&gt;"Y",I51&lt;='Outfall 1 Limits'!$AL$16),0,(1*I51)),I51),"")</f>
        <v/>
      </c>
      <c r="CZ51" s="29" t="str">
        <f>IF(K51&lt;&gt;"",IF(J51="&lt;",IF(AND('Outfall 1 Limits'!$AM$20="Y",$BV$54&lt;&gt;"Y",K51&lt;='Outfall 1 Limits'!$AL$20),0,(1*K51)),K51),"")</f>
        <v/>
      </c>
      <c r="DA51" s="29" t="str">
        <f>IF(M51&lt;&gt;"",IF(L51="&lt;",IF(AND('Outfall 1 Limits'!$AM$24="Y",$BW$54&lt;&gt;"Y",M51&lt;='Outfall 1 Limits'!$AL$24),0,(1*M51)),M51),"")</f>
        <v/>
      </c>
      <c r="DB51" s="29" t="str">
        <f>IF(O51&lt;&gt;"",IF(N51="&lt;",IF(AND('Outfall 1 Limits'!$AM$28="Y",$BX$54&lt;&gt;"Y",O51&lt;='Outfall 1 Limits'!$AL$28),0,(1*O51)),O51),"")</f>
        <v/>
      </c>
      <c r="DC51" s="29" t="str">
        <f>IF(Q51&lt;&gt;"",IF(P51="&lt;",IF(AND('Outfall 1 Limits'!$AM$32="Y",$BY$54&lt;&gt;"Y",Q51&lt;='Outfall 1 Limits'!$AL$32),0,(1*Q51)),Q51),"")</f>
        <v/>
      </c>
      <c r="DD51" s="29" t="str">
        <f>IF(S51&lt;&gt;"",IF(R51="&lt;",IF(AND('Outfall 1 Limits'!$AM$36="Y",$BZ$54&lt;&gt;"Y",S51&lt;='Outfall 1 Limits'!$AL$36),0,(1*S51)),S51),"")</f>
        <v/>
      </c>
      <c r="DE51" s="29" t="str">
        <f>IF(U51&lt;&gt;"",IF(T51="&lt;",IF(AND('Outfall 1 Limits'!$AM$40="Y",$CA$54&lt;&gt;"Y",U51&lt;='Outfall 1 Limits'!$AL$40),0,(1*U51)),U51),"")</f>
        <v/>
      </c>
      <c r="DF51" s="29" t="str">
        <f>IF(W51&lt;&gt;"",IF(V51="&lt;",IF(AND('Outfall 1 Limits'!$AM$44="Y",$CB$54&lt;&gt;"Y",W51&lt;='Outfall 1 Limits'!$AL$44),0,(1*W51)),W51),"")</f>
        <v/>
      </c>
      <c r="DG51" s="29" t="str">
        <f>IF(Y51&lt;&gt;"",IF(X51="&lt;",IF(AND('Outfall 1 Limits'!$AM$48="Y",$CC$54&lt;&gt;"Y",Y51&lt;='Outfall 1 Limits'!$AL$48),0,(1*Y51)),Y51),"")</f>
        <v/>
      </c>
      <c r="DH51" s="29" t="str">
        <f>IF(AA51&lt;&gt;"",IF(Z51="&lt;",IF(AND('Outfall 1 Limits'!$AM$52="Y",$CD$54&lt;&gt;"Y",AA51&lt;='Outfall 1 Limits'!$AL$52),0,(1*AA51)),AA51),"")</f>
        <v/>
      </c>
      <c r="DI51" s="29" t="str">
        <f>IF(AC51&lt;&gt;"",IF(AB51="&lt;",IF(AND('Outfall 1 Limits'!$AM$56="Y",$CE$54&lt;&gt;"Y",AC51&lt;='Outfall 1 Limits'!$AL$56),0,(1*AC51)),AC51),"")</f>
        <v/>
      </c>
      <c r="DJ51" s="29" t="str">
        <f>IF(AE51&lt;&gt;"",IF(AD51="&lt;",IF(AND('Outfall 1 Limits'!$AM$60="Y",$CF$54&lt;&gt;"Y",AE51&lt;='Outfall 1 Limits'!$AL$60),0,(1*AE51)),AE51),"")</f>
        <v/>
      </c>
      <c r="DK51" s="29" t="str">
        <f>IF(AG51&lt;&gt;"",IF(AF51="&lt;",IF(AND('Outfall 1 Limits'!$AM$64="Y",$CG$54&lt;&gt;"Y",AG51&lt;='Outfall 1 Limits'!$AL$64),0,(1*AG51)),AG51),"")</f>
        <v/>
      </c>
      <c r="DL51" s="29" t="str">
        <f>IF(AI51&lt;&gt;"",IF(AH51="&lt;",IF(AND('Outfall 1 Limits'!$AM$68="Y",$CH$54&lt;&gt;"Y",AI51&lt;='Outfall 1 Limits'!$AL$68),0,(1*AI51)),AI51),"")</f>
        <v/>
      </c>
      <c r="EB51" s="2"/>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G51" s="77" t="str">
        <f>IF(AND($G51&lt;&gt;"",$G51&gt;0,'Outfall 1 Limits'!$AX$16="C1",I51&lt;&gt;""),I51*$G51*8.34,IF(AND($I51&lt;&gt;"",'Outfall 1 Limits'!$AX$16="L"),I51,""))</f>
        <v/>
      </c>
      <c r="FH51" s="29" t="str">
        <f>IF(AND($G51&lt;&gt;"",$G51&gt;0,'Outfall 1 Limits'!$AX$20="C1",$K51&lt;&gt;""),$K51*$G51*8.34,IF(AND($K51&lt;&gt;"",'Outfall 1 Limits'!$AX$20="L"),$K51,""))</f>
        <v/>
      </c>
      <c r="FI51" s="29" t="str">
        <f>IF(AND($G51&lt;&gt;"",$G51&gt;0,'Outfall 1 Limits'!$AX$24="C1",$M51&lt;&gt;""),$M51*$G51*8.34,IF(AND($M51&lt;&gt;"",'Outfall 1 Limits'!$AX$24="L"),$M51,""))</f>
        <v/>
      </c>
      <c r="FJ51" s="29" t="str">
        <f>IF(AND($G51&lt;&gt;"",$G51&gt;0,'Outfall 1 Limits'!$AX$28="C1",$O51&lt;&gt;""),$O51*$G51*8.34,IF(AND($O51&lt;&gt;"",'Outfall 1 Limits'!$AX$28="L"),$O51,""))</f>
        <v/>
      </c>
      <c r="FK51" s="29" t="str">
        <f>IF(AND($G51&lt;&gt;"",$G51&gt;0,'Outfall 1 Limits'!$AX$32="C1",$Q51&lt;&gt;""),$Q51*$G51*8.34,IF(AND($Q51&lt;&gt;"",'Outfall 1 Limits'!$AX$32="L"),$Q51,""))</f>
        <v/>
      </c>
      <c r="FL51" s="29" t="str">
        <f>IF(AND($G51&lt;&gt;"",$G51&gt;0,'Outfall 1 Limits'!$AX$36="C1",$S51&lt;&gt;""),$S51*$G51*8.34,IF(AND($S51&lt;&gt;"",'Outfall 1 Limits'!$AX$36="L"),$S51,""))</f>
        <v/>
      </c>
      <c r="FM51" s="29" t="str">
        <f>IF(AND($G51&lt;&gt;"",$G51&gt;0,'Outfall 1 Limits'!$AX$40="C1",$U51&lt;&gt;""),$U51*$G51*8.34,IF(AND($U51&lt;&gt;"",'Outfall 1 Limits'!$AX$40="L"),$U51,""))</f>
        <v/>
      </c>
      <c r="FN51" s="29" t="str">
        <f>IF(AND($G51&lt;&gt;"",$G51&gt;0,'Outfall 1 Limits'!$AX$44="C1",$W51&lt;&gt;""),$W51*$G51*8.34,IF(AND($W51&lt;&gt;"",'Outfall 1 Limits'!$AX$44="L"),$W51,""))</f>
        <v/>
      </c>
      <c r="FO51" s="29" t="str">
        <f>IF(AND($G51&lt;&gt;"",$G51&gt;0,'Outfall 1 Limits'!$AX$48="C1",$Y51&lt;&gt;""),$Y51*$G51*8.34,IF(AND($Y51&lt;&gt;"",'Outfall 1 Limits'!$AX$48="L"),$Y51,""))</f>
        <v/>
      </c>
      <c r="FP51" s="29" t="str">
        <f>IF(AND($G51&lt;&gt;"",$G51&gt;0,'Outfall 1 Limits'!$AX$52="C1",$AA51&lt;&gt;""),$AA51*$G51*8.34,IF(AND($AA51&lt;&gt;"",'Outfall 1 Limits'!$AX$52="L"),$AA51,""))</f>
        <v/>
      </c>
      <c r="FQ51" s="29" t="str">
        <f>IF(AND($G51&lt;&gt;"",$G51&gt;0,'Outfall 1 Limits'!$AX$56="C1",$AC51&lt;&gt;""),$AC51*$G51*8.34,IF(AND($AC51&lt;&gt;"",'Outfall 1 Limits'!$AX$56="L"),$AC51,""))</f>
        <v/>
      </c>
      <c r="FR51" s="29" t="str">
        <f>IF(AND($G51&lt;&gt;"",$G51&gt;0,'Outfall 1 Limits'!$AX$60="C1",$AE51&lt;&gt;""),$AE51*$G51*8.34,IF(AND($AE51&lt;&gt;"",'Outfall 1 Limits'!$AX$60="L"),$AE51,""))</f>
        <v/>
      </c>
      <c r="FS51" s="29" t="str">
        <f>IF(AND($G51&lt;&gt;"",$G51&gt;0,'Outfall 1 Limits'!$AX$64="C1",$AG51&lt;&gt;""),$AG51*$G51*8.34,IF(AND($AG51&lt;&gt;"",'Outfall 1 Limits'!$AX$64="L"),$AG51,""))</f>
        <v/>
      </c>
      <c r="FT51" s="29" t="str">
        <f>IF(AND($G51&lt;&gt;"",$G51&gt;0,'Outfall 1 Limits'!$AX$68="C1",$AI51&lt;&gt;""),$AI51*$G51*8.34,IF(AND($AI51&lt;&gt;"",'Outfall 1 Limits'!$AX$68="L"),$AI51,""))</f>
        <v/>
      </c>
      <c r="GJ51" s="29" t="str">
        <f t="shared" si="29"/>
        <v/>
      </c>
      <c r="GK51" s="77" t="str">
        <f>IF(AND($G51&lt;&gt;"",$G51&gt;0,'Outfall 1 Limits'!$AX$16="C1",CY51&lt;&gt;""),CY51*$G51*8.34,IF(AND(CY51&lt;&gt;"",'Outfall 1 Limits'!$AX$16="L"),CY51,""))</f>
        <v/>
      </c>
      <c r="GL51" s="29" t="str">
        <f>IF(AND($G51&lt;&gt;"",$G51&gt;0,'Outfall 1 Limits'!$AX$20="C1",CZ51&lt;&gt;""),CZ51*$G51*8.34,IF(AND(CZ51&lt;&gt;"",'Outfall 1 Limits'!$AX$20="L"),CZ51,""))</f>
        <v/>
      </c>
      <c r="GM51" s="29" t="str">
        <f>IF(AND($G51&lt;&gt;"",$G51&gt;0,'Outfall 1 Limits'!$AX$24="C1",DA51&lt;&gt;""),DA51*$G51*8.34,IF(AND(DA51&lt;&gt;"",'Outfall 1 Limits'!$AX$24="L"),DA51,""))</f>
        <v/>
      </c>
      <c r="GN51" s="29" t="str">
        <f>IF(AND($G51&lt;&gt;"",$G51&gt;0,'Outfall 1 Limits'!$AX$28="C1",DB51&lt;&gt;""),DB51*$G51*8.34,IF(AND(DB51&lt;&gt;"",'Outfall 1 Limits'!$AX$28="L"),DB51,""))</f>
        <v/>
      </c>
      <c r="GO51" s="29" t="str">
        <f>IF(AND($G51&lt;&gt;"",$G51&gt;0,'Outfall 1 Limits'!$AX$32="C1",DC51&lt;&gt;""),DC51*$G51*8.34,IF(AND(DC51&lt;&gt;"",'Outfall 1 Limits'!$AX$32="L"),DC51,""))</f>
        <v/>
      </c>
      <c r="GP51" s="29" t="str">
        <f>IF(AND($G51&lt;&gt;"",$G51&gt;0,'Outfall 1 Limits'!$AX$36="C1",DD51&lt;&gt;""),DD51*$G51*8.34,IF(AND(DD51&lt;&gt;"",'Outfall 1 Limits'!$AX$36="L"),DD51,""))</f>
        <v/>
      </c>
      <c r="GQ51" s="29" t="str">
        <f>IF(AND($G51&lt;&gt;"",$G51&gt;0,'Outfall 1 Limits'!$AX$40="C1",DE51&lt;&gt;""),DE51*$G51*8.34,IF(AND(DE51&lt;&gt;"",'Outfall 1 Limits'!$AX$40="L"),DE51,""))</f>
        <v/>
      </c>
      <c r="GR51" s="29" t="str">
        <f>IF(AND($G51&lt;&gt;"",$G51&gt;0,'Outfall 1 Limits'!$AX$44="C1",DF51&lt;&gt;""),DF51*$G51*8.34,IF(AND(DF51&lt;&gt;"",'Outfall 1 Limits'!$AX$44="L"),DF51,""))</f>
        <v/>
      </c>
      <c r="GS51" s="29" t="str">
        <f>IF(AND($G51&lt;&gt;"",$G51&gt;0,'Outfall 1 Limits'!$AX$48="C1",DG51&lt;&gt;""),DG51*$G51*8.34,IF(AND(DG51&lt;&gt;"",'Outfall 1 Limits'!$AX$48="L"),DG51,""))</f>
        <v/>
      </c>
      <c r="GT51" s="29" t="str">
        <f>IF(AND($G51&lt;&gt;"",$G51&gt;0,'Outfall 1 Limits'!$AX$52="C1",DH51&lt;&gt;""),DH51*$G51*8.34,IF(AND(DH51&lt;&gt;"",'Outfall 1 Limits'!$AX$52="L"),DH51,""))</f>
        <v/>
      </c>
      <c r="GU51" s="29" t="str">
        <f>IF(AND($G51&lt;&gt;"",$G51&gt;0,'Outfall 1 Limits'!$AX$56="C1",DI51&lt;&gt;""),DI51*$G51*8.34,IF(AND(DI51&lt;&gt;"",'Outfall 1 Limits'!$AX$56="L"),DI51,""))</f>
        <v/>
      </c>
      <c r="GV51" s="29" t="str">
        <f>IF(AND($G51&lt;&gt;"",$G51&gt;0,'Outfall 1 Limits'!$AX$60="C1",DJ51&lt;&gt;""),DJ51*$G51*8.34,IF(AND(DJ51&lt;&gt;"",'Outfall 1 Limits'!$AX$60="L"),DJ51,""))</f>
        <v/>
      </c>
      <c r="GW51" s="29" t="str">
        <f>IF(AND($G51&lt;&gt;"",$G51&gt;0,'Outfall 1 Limits'!$AX$64="C1",DK51&lt;&gt;""),DK51*$G51*8.34,IF(AND(DK51&lt;&gt;"",'Outfall 1 Limits'!$AX$64="L"),DK51,""))</f>
        <v/>
      </c>
      <c r="GX51" s="29" t="str">
        <f>IF(AND($G51&lt;&gt;"",$G51&gt;0,'Outfall 1 Limits'!$AX$68="C1",DL51&lt;&gt;""),DL51*$G51*8.34,IF(AND(DL51&lt;&gt;"",'Outfall 1 Limits'!$AX$68="L"),DL51,""))</f>
        <v/>
      </c>
      <c r="HO51" s="98" t="str">
        <f t="shared" si="30"/>
        <v/>
      </c>
      <c r="HS51" s="68" t="str">
        <f t="shared" si="31"/>
        <v/>
      </c>
      <c r="HT51" s="188" t="str">
        <f t="shared" si="32"/>
        <v/>
      </c>
      <c r="HU51" s="188" t="str">
        <f t="shared" si="33"/>
        <v/>
      </c>
      <c r="HV51" s="188" t="str">
        <f t="shared" si="34"/>
        <v/>
      </c>
      <c r="HW51" s="188" t="str">
        <f t="shared" si="35"/>
        <v/>
      </c>
      <c r="HX51" s="188" t="str">
        <f t="shared" si="36"/>
        <v/>
      </c>
      <c r="HY51" s="188" t="str">
        <f t="shared" si="37"/>
        <v/>
      </c>
      <c r="HZ51" s="188" t="str">
        <f t="shared" si="38"/>
        <v/>
      </c>
      <c r="IA51" s="188" t="str">
        <f t="shared" si="39"/>
        <v/>
      </c>
      <c r="IB51" s="188" t="str">
        <f t="shared" si="40"/>
        <v/>
      </c>
      <c r="IC51" s="188" t="str">
        <f t="shared" si="41"/>
        <v/>
      </c>
      <c r="ID51" s="188" t="str">
        <f t="shared" si="42"/>
        <v/>
      </c>
      <c r="IE51" s="188" t="str">
        <f t="shared" si="43"/>
        <v/>
      </c>
      <c r="IF51" s="188" t="str">
        <f t="shared" si="44"/>
        <v/>
      </c>
      <c r="IX51" s="68" t="str">
        <f t="shared" si="45"/>
        <v/>
      </c>
      <c r="IY51" s="188" t="str">
        <f t="shared" si="46"/>
        <v/>
      </c>
      <c r="IZ51" s="188" t="str">
        <f t="shared" si="47"/>
        <v/>
      </c>
      <c r="JA51" s="188" t="str">
        <f t="shared" si="48"/>
        <v/>
      </c>
      <c r="JB51" s="188" t="str">
        <f t="shared" si="49"/>
        <v/>
      </c>
      <c r="JC51" s="188" t="str">
        <f t="shared" si="50"/>
        <v/>
      </c>
      <c r="JD51" s="188" t="str">
        <f t="shared" si="51"/>
        <v/>
      </c>
      <c r="JE51" s="188" t="str">
        <f t="shared" si="52"/>
        <v/>
      </c>
      <c r="JF51" s="188" t="str">
        <f t="shared" si="53"/>
        <v/>
      </c>
      <c r="JG51" s="188" t="str">
        <f t="shared" si="54"/>
        <v/>
      </c>
      <c r="JH51" s="188" t="str">
        <f t="shared" si="55"/>
        <v/>
      </c>
      <c r="JI51" s="188" t="str">
        <f t="shared" si="56"/>
        <v/>
      </c>
      <c r="JJ51" s="188" t="str">
        <f t="shared" si="57"/>
        <v/>
      </c>
      <c r="JK51" s="188" t="str">
        <f t="shared" si="58"/>
        <v/>
      </c>
      <c r="KA51" s="188"/>
      <c r="KB51" s="2"/>
      <c r="KC51" s="226"/>
      <c r="KD51" s="164" t="str">
        <f t="shared" si="1"/>
        <v/>
      </c>
      <c r="KE51" s="188" t="str">
        <f t="shared" si="2"/>
        <v/>
      </c>
      <c r="KF51" s="188" t="str">
        <f t="shared" si="3"/>
        <v/>
      </c>
      <c r="KG51" s="188" t="str">
        <f t="shared" si="4"/>
        <v/>
      </c>
      <c r="KH51" s="188" t="str">
        <f t="shared" si="5"/>
        <v/>
      </c>
      <c r="KI51" s="188" t="str">
        <f t="shared" si="6"/>
        <v/>
      </c>
      <c r="KJ51" s="188" t="str">
        <f t="shared" si="7"/>
        <v/>
      </c>
      <c r="KK51" s="188" t="str">
        <f t="shared" si="8"/>
        <v/>
      </c>
      <c r="KL51" s="188" t="str">
        <f t="shared" si="9"/>
        <v/>
      </c>
      <c r="KM51" s="188" t="str">
        <f t="shared" si="10"/>
        <v/>
      </c>
      <c r="KN51" s="188" t="str">
        <f t="shared" si="11"/>
        <v/>
      </c>
      <c r="KO51" s="188" t="str">
        <f t="shared" si="12"/>
        <v/>
      </c>
      <c r="KP51" s="188" t="str">
        <f t="shared" si="13"/>
        <v/>
      </c>
      <c r="KQ51" s="188" t="str">
        <f t="shared" si="14"/>
        <v/>
      </c>
    </row>
    <row r="52" spans="1:303" s="18" customFormat="1" ht="11.45" customHeight="1" thickTop="1" thickBot="1" x14ac:dyDescent="0.25">
      <c r="A52" s="38"/>
      <c r="B52" s="51" t="s">
        <v>366</v>
      </c>
      <c r="C52" s="52"/>
      <c r="D52" s="52"/>
      <c r="E52" s="51"/>
      <c r="F52" s="51"/>
      <c r="G52" s="61"/>
      <c r="H52" s="62"/>
      <c r="I52" s="62"/>
      <c r="J52" s="62"/>
      <c r="K52" s="62"/>
      <c r="L52" s="62"/>
      <c r="M52" s="62"/>
      <c r="N52" s="62"/>
      <c r="O52" s="62"/>
      <c r="P52" s="62"/>
      <c r="Q52" s="63"/>
      <c r="R52" s="62"/>
      <c r="S52" s="62"/>
      <c r="T52" s="62"/>
      <c r="U52" s="64"/>
      <c r="V52" s="62"/>
      <c r="W52" s="62"/>
      <c r="X52" s="209"/>
      <c r="Y52" s="62"/>
      <c r="Z52" s="62"/>
      <c r="AA52" s="62"/>
      <c r="AB52" s="62"/>
      <c r="AC52" s="62"/>
      <c r="AD52" s="62"/>
      <c r="AE52" s="62"/>
      <c r="AF52" s="62"/>
      <c r="AG52" s="62"/>
      <c r="AH52" s="62"/>
      <c r="AI52" s="170"/>
      <c r="AJ52" s="236"/>
      <c r="BO52" s="188"/>
      <c r="BP52" s="267">
        <v>2071</v>
      </c>
      <c r="BQ52" s="83" t="s">
        <v>69</v>
      </c>
      <c r="BR52" s="188"/>
      <c r="BS52" s="227"/>
      <c r="BU52" s="68"/>
      <c r="BV52" s="188" t="str">
        <f>IF(K51&lt;&gt;"",IF(J51="&lt;",1,0.99),"")</f>
        <v/>
      </c>
      <c r="CY52" s="75"/>
      <c r="CZ52" s="76"/>
      <c r="DA52" s="76"/>
      <c r="DB52" s="76"/>
      <c r="DC52" s="29" t="str">
        <f>IF(S51&lt;&gt;"",IF(R51="&lt;",1,0.99),"")</f>
        <v/>
      </c>
      <c r="DD52" s="76"/>
      <c r="DE52" s="76"/>
      <c r="DF52" s="76"/>
      <c r="DG52" s="76"/>
      <c r="DH52" s="76"/>
      <c r="DI52" s="76"/>
      <c r="DJ52" s="76"/>
      <c r="DK52" s="76"/>
      <c r="DL52" s="76"/>
      <c r="EB52" s="2"/>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G52" s="92"/>
      <c r="GJ52" s="29" t="str">
        <f t="shared" si="29"/>
        <v/>
      </c>
      <c r="GK52" s="77"/>
      <c r="GL52" s="29"/>
      <c r="GM52" s="29"/>
      <c r="GN52" s="29"/>
      <c r="GO52" s="29"/>
      <c r="GP52" s="29"/>
      <c r="GQ52" s="29"/>
      <c r="GR52" s="29"/>
      <c r="GS52" s="29"/>
      <c r="GT52" s="29"/>
      <c r="GU52" s="29"/>
      <c r="GV52" s="29"/>
      <c r="GW52" s="29"/>
      <c r="GX52" s="29"/>
      <c r="HO52" s="97"/>
      <c r="HS52" s="68"/>
      <c r="HT52" s="188"/>
      <c r="HU52" s="188"/>
      <c r="HV52" s="188"/>
      <c r="HW52" s="188"/>
      <c r="HX52" s="188"/>
      <c r="HY52" s="188"/>
      <c r="HZ52" s="188"/>
      <c r="IA52" s="188"/>
      <c r="IB52" s="188"/>
      <c r="IC52" s="188"/>
      <c r="ID52" s="188"/>
      <c r="IE52" s="188"/>
      <c r="IF52" s="188"/>
      <c r="IX52" s="68"/>
      <c r="IY52" s="188"/>
      <c r="IZ52" s="188"/>
      <c r="JA52" s="188"/>
      <c r="JB52" s="188"/>
      <c r="JC52" s="188"/>
      <c r="JD52" s="188"/>
      <c r="JE52" s="188"/>
      <c r="JF52" s="188"/>
      <c r="JG52" s="188"/>
      <c r="JH52" s="188"/>
      <c r="JI52" s="188"/>
      <c r="JJ52" s="188"/>
      <c r="JK52" s="188"/>
      <c r="KA52" s="188"/>
      <c r="KB52" s="2"/>
      <c r="KC52" s="226"/>
      <c r="KD52" s="164" t="str">
        <f>IF(I51&lt;&gt;"",IF(H51="&lt;",IF(AND($KD$53="Y",I51&lt;=$KD$54),1,0.99),""),"")</f>
        <v/>
      </c>
      <c r="KE52" s="188"/>
      <c r="KF52" s="188"/>
      <c r="KG52" s="188"/>
      <c r="KH52" s="188"/>
      <c r="KI52" s="188"/>
      <c r="KJ52" s="188"/>
      <c r="KK52" s="188"/>
      <c r="KL52" s="188"/>
      <c r="KM52" s="188"/>
      <c r="KN52" s="188"/>
      <c r="KO52" s="188"/>
      <c r="KP52" s="188"/>
      <c r="KQ52" s="188"/>
    </row>
    <row r="53" spans="1:303" s="18" customFormat="1" ht="11.45" customHeight="1" thickTop="1" x14ac:dyDescent="0.2">
      <c r="A53" s="38"/>
      <c r="B53" s="415" t="s">
        <v>1132</v>
      </c>
      <c r="C53" s="415"/>
      <c r="D53" s="415"/>
      <c r="E53" s="415"/>
      <c r="F53" s="416"/>
      <c r="G53" s="55"/>
      <c r="H53" s="56" t="str">
        <f ca="1">IF(BU55&lt;&gt;"",IF(OR('Outfall 1 Limits'!AX16="C1",'Outfall 1 Limits'!AX16="C2",'Outfall 1 Limits'!AX16="C3",'Outfall 1 Limits'!AX16="C4"),IF(HO58="Y","&gt;",IF(HS58="Y","&lt;","")),""),"")</f>
        <v/>
      </c>
      <c r="I53" s="56" t="str">
        <f ca="1">IF(BU55&lt;&gt;"",IF(OR('Outfall 1 Limits'!AX16="C1",'Outfall 1 Limits'!AX16="C2",'Outfall 1 Limits'!AX16="C3",'Outfall 1 Limits'!AX16="C4"),HS56,""),"")</f>
        <v/>
      </c>
      <c r="J53" s="129" t="str">
        <f ca="1">IF(BV55&lt;&gt;"",IF(OR('Outfall 1 Limits'!$AX$20="C1",'Outfall 1 Limits'!$AX$20="C2",'Outfall 1 Limits'!$AX$20="C3",'Outfall 1 Limits'!$AX$20="C4"),IF(HT58="Y","&lt;",""),""),"")</f>
        <v/>
      </c>
      <c r="K53" s="56" t="str">
        <f ca="1">IF(BV55&lt;&gt;"",IF(OR('Outfall 1 Limits'!$AX$20="C1",'Outfall 1 Limits'!$AX$20="C2",'Outfall 1 Limits'!$AX$20="C3",'Outfall 1 Limits'!$AX$20="C4"),HT56,""),"")</f>
        <v/>
      </c>
      <c r="L53" s="56" t="str">
        <f ca="1">IF(BW55&lt;&gt;"",IF(OR('Outfall 1 Limits'!$AX$24="C1",'Outfall 1 Limits'!$AX$24="C2",'Outfall 1 Limits'!$AX$24="C3",'Outfall 1 Limits'!$AX$24="C4"),IF(HU58="Y","&lt;",""),""),"")</f>
        <v/>
      </c>
      <c r="M53" s="56" t="str">
        <f ca="1">IF(BW55&lt;&gt;"",IF(OR('Outfall 1 Limits'!$AX$24="C1",'Outfall 1 Limits'!$AX$24="C2",'Outfall 1 Limits'!$AX$24="C3",'Outfall 1 Limits'!$AX$24="C4"),HU56,""),"")</f>
        <v/>
      </c>
      <c r="N53" s="56" t="str">
        <f ca="1">IF(BX55&lt;&gt;"",IF(OR('Outfall 1 Limits'!$AX$28="C1",'Outfall 1 Limits'!$AX$28="C2",'Outfall 1 Limits'!$AX$28="C3",'Outfall 1 Limits'!$AX$28="C4"),IF(HV58="Y","&lt;",""),""),"")</f>
        <v/>
      </c>
      <c r="O53" s="56" t="str">
        <f ca="1">IF(BX55&lt;&gt;"",IF(OR('Outfall 1 Limits'!$AX$28="C1",'Outfall 1 Limits'!$AX$28="C2",'Outfall 1 Limits'!$AX$28="C3",'Outfall 1 Limits'!$AX$28="C4"),HV56,""),"")</f>
        <v/>
      </c>
      <c r="P53" s="56" t="str">
        <f ca="1">IF(BY55&lt;&gt;"",IF(OR('Outfall 1 Limits'!$AX$32="C1",'Outfall 1 Limits'!$AX$32="C2",'Outfall 1 Limits'!$AX$32="C3",'Outfall 1 Limits'!$AX$32="C4"),IF(HW58="Y","&lt;",""),""),"")</f>
        <v/>
      </c>
      <c r="Q53" s="56" t="str">
        <f ca="1">IF(BY55&lt;&gt;"",IF(OR('Outfall 1 Limits'!$AX$32="C1",'Outfall 1 Limits'!$AX$32="C2",'Outfall 1 Limits'!$AX$32="C3",'Outfall 1 Limits'!$AX$32="C4"),HW56,""),"")</f>
        <v/>
      </c>
      <c r="R53" s="56" t="str">
        <f ca="1">IF(BZ55&lt;&gt;"",IF(OR('Outfall 1 Limits'!$AX$36="C1",'Outfall 1 Limits'!$AX$36="C2",'Outfall 1 Limits'!$AX$36="C3",'Outfall 1 Limits'!$AX$36="C4"),IF(HX58="Y","&lt;",""),""),"")</f>
        <v/>
      </c>
      <c r="S53" s="56" t="str">
        <f ca="1">IF(BZ55&lt;&gt;"",IF(OR('Outfall 1 Limits'!$AX$36="C1",'Outfall 1 Limits'!$AX$36="C2",'Outfall 1 Limits'!$AX$36="C3",'Outfall 1 Limits'!$AX$36="C4"),HX56,""),"")</f>
        <v/>
      </c>
      <c r="T53" s="56" t="str">
        <f ca="1">IF(CA55&lt;&gt;"",IF(OR('Outfall 1 Limits'!$AX$40="C1",'Outfall 1 Limits'!$AX$40="C2",'Outfall 1 Limits'!$AX$40="C3",'Outfall 1 Limits'!$AX$40="C4"),IF(HY58="Y","&lt;",""),""),"")</f>
        <v/>
      </c>
      <c r="U53" s="56" t="str">
        <f ca="1">IF(CA55&lt;&gt;"",IF(OR('Outfall 1 Limits'!$AX$40="C1",'Outfall 1 Limits'!$AX$40="C2",'Outfall 1 Limits'!$AX$40="C3",'Outfall 1 Limits'!$AX$40="C4"),HY56,""),"")</f>
        <v/>
      </c>
      <c r="V53" s="56" t="str">
        <f ca="1">IF(CB55&lt;&gt;"",IF(OR('Outfall 1 Limits'!$AX$44="C1",'Outfall 1 Limits'!$AX$44="C2",'Outfall 1 Limits'!$AX$44="C3",'Outfall 1 Limits'!$AX$44="C4"),IF(HZ58="Y","&lt;",""),""),"")</f>
        <v/>
      </c>
      <c r="W53" s="56" t="str">
        <f ca="1">IF(CB55&lt;&gt;"",IF(OR('Outfall 1 Limits'!$AX$44="C1",'Outfall 1 Limits'!$AX$44="C2",'Outfall 1 Limits'!$AX$44="C3",'Outfall 1 Limits'!$AX$44="C4"),HZ56,""),"")</f>
        <v/>
      </c>
      <c r="X53" s="56" t="str">
        <f ca="1">IF(CC55&lt;&gt;"",IF(OR('Outfall 1 Limits'!$AX$48="C1",'Outfall 1 Limits'!$AX$48="C2",'Outfall 1 Limits'!$AX$48="C3",'Outfall 1 Limits'!$AX$48="C4"),IF(IA58="Y","&lt;",""),""),"")</f>
        <v/>
      </c>
      <c r="Y53" s="56" t="str">
        <f ca="1">IF(CC55&lt;&gt;"",IF(OR('Outfall 1 Limits'!$AX$48="C1",'Outfall 1 Limits'!$AX$48="C2",'Outfall 1 Limits'!$AX$48="C3",'Outfall 1 Limits'!$AX$48="C4"),IA56,""),"")</f>
        <v/>
      </c>
      <c r="Z53" s="56" t="str">
        <f ca="1">IF(CD55&lt;&gt;"",IF(OR('Outfall 1 Limits'!$AX$52="C1",'Outfall 1 Limits'!$AX$52="C2",'Outfall 1 Limits'!$AX$52="C3",'Outfall 1 Limits'!$AX$52="C4"),IF(IB58="Y","&lt;",""),""),"")</f>
        <v/>
      </c>
      <c r="AA53" s="56" t="str">
        <f ca="1">IF(CD55&lt;&gt;"",IF(OR('Outfall 1 Limits'!$AX$52="C1",'Outfall 1 Limits'!$AX$52="C2",'Outfall 1 Limits'!$AX$52="C3",'Outfall 1 Limits'!$AX$52="C4"),IB56,""),"")</f>
        <v/>
      </c>
      <c r="AB53" s="56" t="str">
        <f ca="1">IF(CE55&lt;&gt;"",IF(OR('Outfall 1 Limits'!$AX$56="C1",'Outfall 1 Limits'!$AX$56="C2",'Outfall 1 Limits'!$AX$56="C3",'Outfall 1 Limits'!$AX$56="C4"),IF(IC58="Y","&lt;",""),""),"")</f>
        <v/>
      </c>
      <c r="AC53" s="56" t="str">
        <f ca="1">IF(CE55&lt;&gt;"",IF(OR('Outfall 1 Limits'!$AX$56="C1",'Outfall 1 Limits'!$AX$56="C2",'Outfall 1 Limits'!$AX$56="C3",'Outfall 1 Limits'!$AX$56="C4"),IC56,""),"")</f>
        <v/>
      </c>
      <c r="AD53" s="56" t="str">
        <f ca="1">IF(CF55&lt;&gt;"",IF(OR('Outfall 1 Limits'!$AX$60="C1",'Outfall 1 Limits'!$AX$60="C2",'Outfall 1 Limits'!$AX$60="C3",'Outfall 1 Limits'!$AX$60="C4"),IF(ID58="Y","&lt;",""),""),"")</f>
        <v/>
      </c>
      <c r="AE53" s="56" t="str">
        <f ca="1">IF(CF55&lt;&gt;"",IF(OR('Outfall 1 Limits'!$AX$60="C1",'Outfall 1 Limits'!$AX$60="C2",'Outfall 1 Limits'!$AX$60="C3",'Outfall 1 Limits'!$AX$60="C4"),ID56,""),"")</f>
        <v/>
      </c>
      <c r="AF53" s="56" t="str">
        <f ca="1">IF(CG55&lt;&gt;"",IF(OR('Outfall 1 Limits'!$AX$64="C1",'Outfall 1 Limits'!$AX$64="C2",'Outfall 1 Limits'!$AX$64="C3",'Outfall 1 Limits'!$AX$64="C4"),IF(IE58="Y","&lt;",""),""),"")</f>
        <v/>
      </c>
      <c r="AG53" s="56" t="str">
        <f ca="1">IF(CG55&lt;&gt;"",IF(OR('Outfall 1 Limits'!$AX$64="C1",'Outfall 1 Limits'!$AX$64="C2",'Outfall 1 Limits'!$AX$64="C3",'Outfall 1 Limits'!$AX$64="C4"),IE56,""),"")</f>
        <v/>
      </c>
      <c r="AH53" s="56" t="str">
        <f ca="1">IF(CH55&lt;&gt;"",IF(OR('Outfall 1 Limits'!$AX$68="C1",'Outfall 1 Limits'!$AX$68="C2",'Outfall 1 Limits'!$AX$68="C3",'Outfall 1 Limits'!$AX$68="C4"),IF(IF58="Y","&lt;",""),""),"")</f>
        <v/>
      </c>
      <c r="AI53" s="171" t="str">
        <f ca="1">IF(CH55&lt;&gt;"",IF(OR('Outfall 1 Limits'!$AX$68="C1",'Outfall 1 Limits'!$AX$68="C2",'Outfall 1 Limits'!$AX$68="C3",'Outfall 1 Limits'!$AX$68="C4"),IF56,""),"")</f>
        <v/>
      </c>
      <c r="AJ53" s="236"/>
      <c r="BO53" s="188"/>
      <c r="BP53" s="267">
        <v>2072</v>
      </c>
      <c r="BQ53" s="83" t="s">
        <v>70</v>
      </c>
      <c r="BR53" s="228"/>
      <c r="BS53" s="188"/>
      <c r="BT53" s="229" t="s">
        <v>832</v>
      </c>
      <c r="BU53" s="68" t="str">
        <f ca="1">IF(ROWS(INDIRECT("BU"&amp;$D$10):INDIRECT("BU"&amp;$B$10))-COUNTIF(INDIRECT("BU"&amp;$D$10):INDIRECT("BU"&amp;$B$10),"")&gt;0,SUM(INDIRECT("BU"&amp;$D$10):INDIRECT("BU"&amp;$B$10)),"")</f>
        <v/>
      </c>
      <c r="BV53" s="188" t="str">
        <f ca="1">IF(ROWS(INDIRECT("BV"&amp;$D$10):INDIRECT("BV"&amp;$B$10))-COUNTIF(INDIRECT("BV"&amp;$D$10):INDIRECT("BV"&amp;$B$10),"")&gt;0,SUM(INDIRECT("BV"&amp;$D$10):INDIRECT("BV"&amp;$B$10)),"")</f>
        <v/>
      </c>
      <c r="BW53" s="188" t="str">
        <f ca="1">IF(ROWS(INDIRECT("BW"&amp;$D$10):INDIRECT("BW"&amp;$B$10))-COUNTIF(INDIRECT("BW"&amp;$D$10):INDIRECT("BW"&amp;$B$10),"")&gt;0,SUM(INDIRECT("BW"&amp;$D$10):INDIRECT("BW"&amp;$B$10)),"")</f>
        <v/>
      </c>
      <c r="BX53" s="188" t="str">
        <f ca="1">IF(ROWS(INDIRECT("BX"&amp;$D$10):INDIRECT("BX"&amp;$B$10))-COUNTIF(INDIRECT("BX"&amp;$D$10):INDIRECT("BX"&amp;$B$10),"")&gt;0,SUM(INDIRECT("BX"&amp;$D$10):INDIRECT("BX"&amp;$B$10)),"")</f>
        <v/>
      </c>
      <c r="BY53" s="188" t="str">
        <f ca="1">IF(ROWS(INDIRECT("BY"&amp;$D$10):INDIRECT("BY"&amp;$B$10))-COUNTIF(INDIRECT("BY"&amp;$D$10):INDIRECT("BY"&amp;$B$10),"")&gt;0,SUM(INDIRECT("BY"&amp;$D$10):INDIRECT("BY"&amp;$B$10)),"")</f>
        <v/>
      </c>
      <c r="BZ53" s="188" t="str">
        <f ca="1">IF(ROWS(INDIRECT("BZ"&amp;$D$10):INDIRECT("BZ"&amp;$B$10))-COUNTIF(INDIRECT("BZ"&amp;$D$10):INDIRECT("BZ"&amp;$B$10),"")&gt;0,SUM(INDIRECT("BZ"&amp;$D$10):INDIRECT("BZ"&amp;$B$10)),"")</f>
        <v/>
      </c>
      <c r="CA53" s="188" t="str">
        <f ca="1">IF(ROWS(INDIRECT("CA"&amp;$D$10):INDIRECT("CA"&amp;$B$10))-COUNTIF(INDIRECT("CA"&amp;$D$10):INDIRECT("CA"&amp;$B$10),"")&gt;0,SUM(INDIRECT("CA"&amp;$D$10):INDIRECT("CA"&amp;$B$10)),"")</f>
        <v/>
      </c>
      <c r="CB53" s="188" t="str">
        <f ca="1">IF(ROWS(INDIRECT("CB"&amp;$D$10):INDIRECT("CB"&amp;$B$10))-COUNTIF(INDIRECT("CB"&amp;$D$10):INDIRECT("CB"&amp;$B$10),"")&gt;0,SUM(INDIRECT("CB"&amp;$D$10):INDIRECT("CB"&amp;$B$10)),"")</f>
        <v/>
      </c>
      <c r="CC53" s="188" t="str">
        <f ca="1">IF(ROWS(INDIRECT("CC"&amp;$D$10):INDIRECT("CC"&amp;$B$10))-COUNTIF(INDIRECT("CC"&amp;$D$10):INDIRECT("CC"&amp;$B$10),"")&gt;0,SUM(INDIRECT("CC"&amp;$D$10):INDIRECT("CC"&amp;$B$10)),"")</f>
        <v/>
      </c>
      <c r="CD53" s="188" t="str">
        <f ca="1">IF(ROWS(INDIRECT("CD"&amp;$D$10):INDIRECT("CD"&amp;$B$10))-COUNTIF(INDIRECT("CD"&amp;$D$10):INDIRECT("CD"&amp;$B$10),"")&gt;0,SUM(INDIRECT("CD"&amp;$D$10):INDIRECT("CD"&amp;$B$10)),"")</f>
        <v/>
      </c>
      <c r="CE53" s="188" t="str">
        <f ca="1">IF(ROWS(INDIRECT("CE"&amp;$D$10):INDIRECT("CE"&amp;$B$10))-COUNTIF(INDIRECT("CE"&amp;$D$10):INDIRECT("CE"&amp;$B$10),"")&gt;0,SUM(INDIRECT("CE"&amp;$D$10):INDIRECT("CE"&amp;$B$10)),"")</f>
        <v/>
      </c>
      <c r="CF53" s="188" t="str">
        <f ca="1">IF(ROWS(INDIRECT("CF"&amp;$D$10):INDIRECT("CF"&amp;$B$10))-COUNTIF(INDIRECT("CF"&amp;$D$10):INDIRECT("CF"&amp;$B$10),"")&gt;0,SUM(INDIRECT("CF"&amp;$D$10):INDIRECT("CF"&amp;$B$10)),"")</f>
        <v/>
      </c>
      <c r="CG53" s="188" t="str">
        <f ca="1">IF(ROWS(INDIRECT("CG"&amp;$D$10):INDIRECT("CG"&amp;$B$10))-COUNTIF(INDIRECT("CG"&amp;$D$10):INDIRECT("CG"&amp;$B$10),"")&gt;0,SUM(INDIRECT("CG"&amp;$D$10):INDIRECT("CG"&amp;$B$10)),"")</f>
        <v/>
      </c>
      <c r="CH53" s="188" t="str">
        <f ca="1">IF(ROWS(INDIRECT("CH"&amp;$D$10):INDIRECT("CH"&amp;$B$10))-COUNTIF(INDIRECT("CH"&amp;$D$10):INDIRECT("CH"&amp;$B$10),"")&gt;0,SUM(INDIRECT("CH"&amp;$D$10):INDIRECT("CH"&amp;$B$10)),"")</f>
        <v/>
      </c>
      <c r="CX53" s="230"/>
      <c r="CY53" s="77"/>
      <c r="CZ53" s="76"/>
      <c r="DA53" s="76"/>
      <c r="DB53" s="76"/>
      <c r="DC53" s="76"/>
      <c r="DD53" s="76"/>
      <c r="DE53" s="76"/>
      <c r="DF53" s="76"/>
      <c r="DG53" s="76"/>
      <c r="DH53" s="76"/>
      <c r="DI53" s="76"/>
      <c r="DJ53" s="76"/>
      <c r="DK53" s="76"/>
      <c r="DL53" s="76"/>
      <c r="EB53" s="2"/>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G53" s="92"/>
      <c r="GK53" s="77"/>
      <c r="GL53" s="29"/>
      <c r="GM53" s="29"/>
      <c r="GN53" s="29"/>
      <c r="GO53" s="29"/>
      <c r="GP53" s="29"/>
      <c r="GQ53" s="29"/>
      <c r="GR53" s="29"/>
      <c r="GS53" s="29"/>
      <c r="GT53" s="29"/>
      <c r="GU53" s="29"/>
      <c r="GV53" s="29"/>
      <c r="GW53" s="29"/>
      <c r="GX53" s="29"/>
      <c r="HN53" s="231" t="s">
        <v>374</v>
      </c>
      <c r="HO53" s="99" t="str">
        <f ca="1">HS53</f>
        <v/>
      </c>
      <c r="HR53" s="229" t="s">
        <v>374</v>
      </c>
      <c r="HS53" s="155" t="str">
        <f ca="1">IF(ROWS(INDIRECT("I"&amp;$D$10):INDIRECT("I"&amp;$B$10))-COUNTIF(INDIRECT("I"&amp;$D$10):INDIRECT("I"&amp;$B$10),"")&gt;0,MAX(INDIRECT("I"&amp;$D$10):INDIRECT("I"&amp;$B$10)),"")</f>
        <v/>
      </c>
      <c r="HT53" s="188" t="str">
        <f ca="1">IF(ROWS(INDIRECT("K"&amp;$D$10):INDIRECT("K"&amp;$B$10))-COUNTIF(INDIRECT("K"&amp;$D$10):INDIRECT("K"&amp;$B$10),"")&gt;0,MAX(INDIRECT("K"&amp;$D$10):INDIRECT("K"&amp;$B$10)),"")</f>
        <v/>
      </c>
      <c r="HU53" s="188" t="str">
        <f ca="1">IF(ROWS(INDIRECT("M"&amp;$D$10):INDIRECT("M"&amp;$B$10))-COUNTIF(INDIRECT("M"&amp;$D$10):INDIRECT("M"&amp;$B$10),"")&gt;0,MAX(INDIRECT("M"&amp;$D$10):INDIRECT("M"&amp;$B$10)),"")</f>
        <v/>
      </c>
      <c r="HV53" s="188" t="str">
        <f ca="1">IF(ROWS(INDIRECT("O"&amp;$D$10):INDIRECT("O"&amp;$B$10))-COUNTIF(INDIRECT("O"&amp;$D$10):INDIRECT("O"&amp;$B$10),"")&gt;0,MAX(INDIRECT("O"&amp;$D$10):INDIRECT("O"&amp;$B$10)),"")</f>
        <v/>
      </c>
      <c r="HW53" s="188" t="str">
        <f ca="1">IF(ROWS(INDIRECT("Q"&amp;$D$10):INDIRECT("Q"&amp;$B$10))-COUNTIF(INDIRECT("Q"&amp;$D$10):INDIRECT("Q"&amp;$B$10),"")&gt;0,MAX(INDIRECT("Q"&amp;$D$10):INDIRECT("Q"&amp;$B$10)),"")</f>
        <v/>
      </c>
      <c r="HX53" s="188" t="str">
        <f ca="1">IF(ROWS(INDIRECT("S"&amp;$D$10):INDIRECT("S"&amp;$B$10))-COUNTIF(INDIRECT("S"&amp;$D$10):INDIRECT("S"&amp;$B$10),"")&gt;0,MAX(INDIRECT("S"&amp;$D$10):INDIRECT("S"&amp;$B$10)),"")</f>
        <v/>
      </c>
      <c r="HY53" s="188" t="str">
        <f ca="1">IF(ROWS(INDIRECT("U"&amp;$D$10):INDIRECT("U"&amp;$B$10))-COUNTIF(INDIRECT("U"&amp;$D$10):INDIRECT("U"&amp;$B$10),"")&gt;0,MAX(INDIRECT("U"&amp;$D$10):INDIRECT("U"&amp;$B$10)),"")</f>
        <v/>
      </c>
      <c r="HZ53" s="188" t="str">
        <f ca="1">IF(ROWS(INDIRECT("W"&amp;$D$10):INDIRECT("W"&amp;$B$10))-COUNTIF(INDIRECT("W"&amp;$D$10):INDIRECT("W"&amp;$B$10),"")&gt;0,MAX(INDIRECT("W"&amp;$D$10):INDIRECT("W"&amp;$B$10)),"")</f>
        <v/>
      </c>
      <c r="IA53" s="188" t="str">
        <f ca="1">IF(ROWS(INDIRECT("Y"&amp;$D$10):INDIRECT("Y"&amp;$B$10))-COUNTIF(INDIRECT("Y"&amp;$D$10):INDIRECT("Y"&amp;$B$10),"")&gt;0,MAX(INDIRECT("Y"&amp;$D$10):INDIRECT("Y"&amp;$B$10)),"")</f>
        <v/>
      </c>
      <c r="IB53" s="188" t="str">
        <f ca="1">IF(ROWS(INDIRECT("AA"&amp;$D$10):INDIRECT("AA"&amp;$B$10))-COUNTIF(INDIRECT("AA"&amp;$D$10):INDIRECT("AA"&amp;$B$10),"")&gt;0,MAX(INDIRECT("AA"&amp;$D$10):INDIRECT("AA"&amp;$B$10)),"")</f>
        <v/>
      </c>
      <c r="IC53" s="188" t="str">
        <f ca="1">IF(ROWS(INDIRECT("AC"&amp;$D$10):INDIRECT("AC"&amp;$B$10))-COUNTIF(INDIRECT("AC"&amp;$D$10):INDIRECT("AC"&amp;$B$10),"")&gt;0,MAX(INDIRECT("AC"&amp;$D$10):INDIRECT("AC"&amp;$B$10)),"")</f>
        <v/>
      </c>
      <c r="ID53" s="188" t="str">
        <f ca="1">IF(ROWS(INDIRECT("AE"&amp;$D$10):INDIRECT("AE"&amp;$B$10))-COUNTIF(INDIRECT("AE"&amp;$D$10):INDIRECT("AE"&amp;$B$10),"")&gt;0,MAX(INDIRECT("AE"&amp;$D$10):INDIRECT("AE"&amp;$B$10)),"")</f>
        <v/>
      </c>
      <c r="IE53" s="188" t="str">
        <f ca="1">IF(ROWS(INDIRECT("AG"&amp;$D$10):INDIRECT("AG"&amp;$B$10))-COUNTIF(INDIRECT("AG"&amp;$D$10):INDIRECT("AG"&amp;$B$10),"")&gt;0,MAX(INDIRECT("AG"&amp;$D$10):INDIRECT("AG"&amp;$B$10)),"")</f>
        <v/>
      </c>
      <c r="IF53" s="188" t="str">
        <f ca="1">IF(ROWS(INDIRECT("AI"&amp;$D$10):INDIRECT("AI"&amp;$B$10))-COUNTIF(INDIRECT("AI"&amp;$D$10):INDIRECT("AI"&amp;$B$10),"")&gt;0,MAX(INDIRECT("AI"&amp;$D$10):INDIRECT("AI"&amp;$B$10)),"")</f>
        <v/>
      </c>
      <c r="IW53" s="229" t="s">
        <v>374</v>
      </c>
      <c r="IX53" s="155" t="str">
        <f ca="1">IF(ROWS(INDIRECT("FG"&amp;$D$10):INDIRECT("FG"&amp;$B$10))-COUNTIF(INDIRECT("FG"&amp;$D$10):INDIRECT("FG"&amp;$B$10),"")&gt;0,MAX(INDIRECT("FG"&amp;$D$10):INDIRECT("FG"&amp;$B$10)),"")</f>
        <v/>
      </c>
      <c r="IY53" s="188" t="str">
        <f ca="1">IF(ROWS(INDIRECT("FH"&amp;$D$10):INDIRECT("FH"&amp;$B$10))-COUNTIF(INDIRECT("FH"&amp;$D$10):INDIRECT("FH"&amp;$B$10),"")&gt;0,MAX(INDIRECT("FH"&amp;$D$10):INDIRECT("FH"&amp;$B$10)),"")</f>
        <v/>
      </c>
      <c r="IZ53" s="188" t="str">
        <f ca="1">IF(ROWS(INDIRECT("FI"&amp;$D$10):INDIRECT("FI"&amp;$B$10))-COUNTIF(INDIRECT("FI"&amp;$D$10):INDIRECT("FI"&amp;$B$10),"")&gt;0,MAX(INDIRECT("FI"&amp;$D$10):INDIRECT("FI"&amp;$B$10)),"")</f>
        <v/>
      </c>
      <c r="JA53" s="188" t="str">
        <f ca="1">IF(ROWS(INDIRECT("FJ"&amp;$D$10):INDIRECT("FJ"&amp;$B$10))-COUNTIF(INDIRECT("FJ"&amp;$D$10):INDIRECT("FJ"&amp;$B$10),"")&gt;0,MAX(INDIRECT("FJ"&amp;$D$10):INDIRECT("FJ"&amp;$B$10)),"")</f>
        <v/>
      </c>
      <c r="JB53" s="188" t="str">
        <f ca="1">IF(ROWS(INDIRECT("FK"&amp;$D$10):INDIRECT("FK"&amp;$B$10))-COUNTIF(INDIRECT("FK"&amp;$D$10):INDIRECT("FK"&amp;$B$10),"")&gt;0,MAX(INDIRECT("FK"&amp;$D$10):INDIRECT("FK"&amp;$B$10)),"")</f>
        <v/>
      </c>
      <c r="JC53" s="188" t="str">
        <f ca="1">IF(ROWS(INDIRECT("FL"&amp;$D$10):INDIRECT("FL"&amp;$B$10))-COUNTIF(INDIRECT("FL"&amp;$D$10):INDIRECT("FL"&amp;$B$10),"")&gt;0,MAX(INDIRECT("FL"&amp;$D$10):INDIRECT("FL"&amp;$B$10)),"")</f>
        <v/>
      </c>
      <c r="JD53" s="188" t="str">
        <f ca="1">IF(ROWS(INDIRECT("FM"&amp;$D$10):INDIRECT("FM"&amp;$B$10))-COUNTIF(INDIRECT("FM"&amp;$D$10):INDIRECT("FM"&amp;$B$10),"")&gt;0,MAX(INDIRECT("FM"&amp;$D$10):INDIRECT("FM"&amp;$B$10)),"")</f>
        <v/>
      </c>
      <c r="JE53" s="188" t="str">
        <f ca="1">IF(ROWS(INDIRECT("FN"&amp;$D$10):INDIRECT("FN"&amp;$B$10))-COUNTIF(INDIRECT("FN"&amp;$D$10):INDIRECT("FN"&amp;$B$10),"")&gt;0,MAX(INDIRECT("FN"&amp;$D$10):INDIRECT("FN"&amp;$B$10)),"")</f>
        <v/>
      </c>
      <c r="JF53" s="188" t="str">
        <f ca="1">IF(ROWS(INDIRECT("FO"&amp;$D$10):INDIRECT("FO"&amp;$B$10))-COUNTIF(INDIRECT("FO"&amp;$D$10):INDIRECT("FO"&amp;$B$10),"")&gt;0,MAX(INDIRECT("FO"&amp;$D$10):INDIRECT("FO"&amp;$B$10)),"")</f>
        <v/>
      </c>
      <c r="JG53" s="188" t="str">
        <f ca="1">IF(ROWS(INDIRECT("FP"&amp;$D$10):INDIRECT("FP"&amp;$B$10))-COUNTIF(INDIRECT("FP"&amp;$D$10):INDIRECT("FP"&amp;$B$10),"")&gt;0,MAX(INDIRECT("FP"&amp;$D$10):INDIRECT("FP"&amp;$B$10)),"")</f>
        <v/>
      </c>
      <c r="JH53" s="188" t="str">
        <f ca="1">IF(ROWS(INDIRECT("FQ"&amp;$D$10):INDIRECT("FQ"&amp;$B$10))-COUNTIF(INDIRECT("FQ"&amp;$D$10):INDIRECT("FQ"&amp;$B$10),"")&gt;0,MAX(INDIRECT("FQ"&amp;$D$10):INDIRECT("FQ"&amp;$B$10)),"")</f>
        <v/>
      </c>
      <c r="JI53" s="188" t="str">
        <f ca="1">IF(ROWS(INDIRECT("FR"&amp;$D$10):INDIRECT("FR"&amp;$B$10))-COUNTIF(INDIRECT("FR"&amp;$D$10):INDIRECT("FR"&amp;$B$10),"")&gt;0,MAX(INDIRECT("FR"&amp;$D$10):INDIRECT("FR"&amp;$B$10)),"")</f>
        <v/>
      </c>
      <c r="JJ53" s="188" t="str">
        <f ca="1">IF(ROWS(INDIRECT("FS"&amp;$D$10):INDIRECT("FS"&amp;$B$10))-COUNTIF(INDIRECT("FS"&amp;$D$10):INDIRECT("FS"&amp;$B$10),"")&gt;0,MAX(INDIRECT("FS"&amp;$D$10):INDIRECT("FS"&amp;$B$10)),"")</f>
        <v/>
      </c>
      <c r="JK53" s="188" t="str">
        <f ca="1">IF(ROWS(INDIRECT("FT"&amp;$D$10):INDIRECT("FT"&amp;$B$10))-COUNTIF(INDIRECT("FT"&amp;$D$10):INDIRECT("FT"&amp;$B$10),"")&gt;0,MAX(INDIRECT("FT"&amp;$D$10):INDIRECT("FT"&amp;$B$10)),"")</f>
        <v/>
      </c>
      <c r="KA53" s="188"/>
      <c r="KB53" s="2"/>
      <c r="KC53" s="232" t="s">
        <v>1167</v>
      </c>
      <c r="KD53" s="188" t="str">
        <f>'Outfall 1 Limits'!$AM$16</f>
        <v/>
      </c>
      <c r="KE53" s="188" t="str">
        <f>'Outfall 1 Limits'!$AM$20</f>
        <v/>
      </c>
      <c r="KF53" s="188" t="str">
        <f>'Outfall 1 Limits'!$AM$24</f>
        <v/>
      </c>
      <c r="KG53" s="188" t="str">
        <f>'Outfall 1 Limits'!$AM$28</f>
        <v/>
      </c>
      <c r="KH53" s="188" t="str">
        <f>'Outfall 1 Limits'!$AM$32</f>
        <v/>
      </c>
      <c r="KI53" s="188" t="str">
        <f>'Outfall 1 Limits'!$AM$36</f>
        <v/>
      </c>
      <c r="KJ53" s="188" t="str">
        <f>'Outfall 1 Limits'!$AM$40</f>
        <v/>
      </c>
      <c r="KK53" s="188" t="str">
        <f>'Outfall 1 Limits'!$AM$44</f>
        <v/>
      </c>
      <c r="KL53" s="188" t="str">
        <f>'Outfall 1 Limits'!$AM$48</f>
        <v/>
      </c>
      <c r="KM53" s="188" t="str">
        <f>'Outfall 1 Limits'!$AM$52</f>
        <v/>
      </c>
      <c r="KN53" s="188" t="str">
        <f>'Outfall 1 Limits'!$AM$56</f>
        <v/>
      </c>
      <c r="KO53" s="188" t="str">
        <f>'Outfall 1 Limits'!$AM$60</f>
        <v/>
      </c>
      <c r="KP53" s="188" t="str">
        <f>'Outfall 1 Limits'!$AM$64</f>
        <v/>
      </c>
      <c r="KQ53" s="188" t="str">
        <f>'Outfall 1 Limits'!$AM$68</f>
        <v/>
      </c>
    </row>
    <row r="54" spans="1:303" s="18" customFormat="1" ht="11.45" customHeight="1" x14ac:dyDescent="0.2">
      <c r="A54" s="38"/>
      <c r="B54" s="415" t="s">
        <v>1130</v>
      </c>
      <c r="C54" s="415"/>
      <c r="D54" s="415"/>
      <c r="E54" s="415"/>
      <c r="F54" s="416"/>
      <c r="G54" s="57"/>
      <c r="H54" s="58" t="str">
        <f ca="1">IF(BU55&lt;&gt;"",IF(OR('Outfall 1 Limits'!AX16="C1",'Outfall 1 Limits'!AX16="C2",'Outfall 1 Limits'!AX16="C3",'Outfall 1 Limits'!AX16="C4"),IF(HO55="Y","&gt;",IF(HS55="Y","&lt;","")),""),"")</f>
        <v/>
      </c>
      <c r="I54" s="58" t="str">
        <f ca="1">IF(BU55&lt;&gt;"",IF(OR('Outfall 1 Limits'!AX16="C1",'Outfall 1 Limits'!AX16="C2",'Outfall 1 Limits'!AX16="C3",'Outfall 1 Limits'!AX16="C4"),HS53,""),"")</f>
        <v/>
      </c>
      <c r="J54" s="130" t="str">
        <f ca="1">IF(BV55&lt;&gt;"",IF(OR('Outfall 1 Limits'!$AX$20="C1",'Outfall 1 Limits'!$AX$20="C2",'Outfall 1 Limits'!$AX$20="C3",'Outfall 1 Limits'!$AX$20="C4"),IF(HT55="Y","&lt;",""),""),"")</f>
        <v/>
      </c>
      <c r="K54" s="58" t="str">
        <f ca="1">IF(BV55&lt;&gt;"",IF(OR('Outfall 1 Limits'!$AX$20="C1",'Outfall 1 Limits'!$AX$20="C2",'Outfall 1 Limits'!$AX$20="C3",'Outfall 1 Limits'!$AX$20="C4"),HT53,""),"")</f>
        <v/>
      </c>
      <c r="L54" s="58" t="str">
        <f ca="1">IF(BW55&lt;&gt;"",IF(OR('Outfall 1 Limits'!$AX$24="C1",'Outfall 1 Limits'!$AX$24="C2",'Outfall 1 Limits'!$AX$24="C3",'Outfall 1 Limits'!$AX$24="C4"),IF(HU55="Y","&lt;",""),""),"")</f>
        <v/>
      </c>
      <c r="M54" s="58" t="str">
        <f ca="1">IF(BW55&lt;&gt;"",IF(OR('Outfall 1 Limits'!$AX$24="C1",'Outfall 1 Limits'!$AX$24="C2",'Outfall 1 Limits'!$AX$24="C3",'Outfall 1 Limits'!$AX$24="C4"),HU53,""),"")</f>
        <v/>
      </c>
      <c r="N54" s="58" t="str">
        <f ca="1">IF(BX55&lt;&gt;"",IF(OR('Outfall 1 Limits'!$AX$28="C1",'Outfall 1 Limits'!$AX$28="C2",'Outfall 1 Limits'!$AX$28="C3",'Outfall 1 Limits'!$AX$28="C4"),IF(HV55="Y","&lt;",""),""),"")</f>
        <v/>
      </c>
      <c r="O54" s="58" t="str">
        <f ca="1">IF(BX55&lt;&gt;"",IF(OR('Outfall 1 Limits'!$AX$28="C1",'Outfall 1 Limits'!$AX$28="C2",'Outfall 1 Limits'!$AX$28="C3",'Outfall 1 Limits'!$AX$28="C4"),HV53,""),"")</f>
        <v/>
      </c>
      <c r="P54" s="58" t="str">
        <f ca="1">IF(BY55&lt;&gt;"",IF(OR('Outfall 1 Limits'!$AX$32="C1",'Outfall 1 Limits'!$AX$32="C2",'Outfall 1 Limits'!$AX$32="C3",'Outfall 1 Limits'!$AX$32="C4"),IF(HW55="Y","&lt;",""),""),"")</f>
        <v/>
      </c>
      <c r="Q54" s="58" t="str">
        <f ca="1">IF(BY55&lt;&gt;"",IF(OR('Outfall 1 Limits'!$AX$32="C1",'Outfall 1 Limits'!$AX$32="C2",'Outfall 1 Limits'!$AX$32="C3",'Outfall 1 Limits'!$AX$32="C4"),HW53,""),"")</f>
        <v/>
      </c>
      <c r="R54" s="58" t="str">
        <f ca="1">IF(BZ55&lt;&gt;"",IF(OR('Outfall 1 Limits'!$AX$36="C1",'Outfall 1 Limits'!$AX$36="C2",'Outfall 1 Limits'!$AX$36="C3",'Outfall 1 Limits'!$AX$36="C4"),IF(HX55="Y","&lt;",""),""),"")</f>
        <v/>
      </c>
      <c r="S54" s="58" t="str">
        <f ca="1">IF(BZ55&lt;&gt;"",IF(OR('Outfall 1 Limits'!$AX$36="C1",'Outfall 1 Limits'!$AX$36="C2",'Outfall 1 Limits'!$AX$36="C3",'Outfall 1 Limits'!$AX$36="C4"),HX53,""),"")</f>
        <v/>
      </c>
      <c r="T54" s="58" t="str">
        <f ca="1">IF(CA55&lt;&gt;"",IF(OR('Outfall 1 Limits'!$AX$40="C1",'Outfall 1 Limits'!$AX$40="C2",'Outfall 1 Limits'!$AX$40="C3",'Outfall 1 Limits'!$AX$40="C4"),IF(HY55="Y","&lt;",""),""),"")</f>
        <v/>
      </c>
      <c r="U54" s="58" t="str">
        <f ca="1">IF(CA55&lt;&gt;"",IF(OR('Outfall 1 Limits'!$AX$40="C1",'Outfall 1 Limits'!$AX$40="C2",'Outfall 1 Limits'!$AX$40="C3",'Outfall 1 Limits'!$AX$40="C4"),HY53,""),"")</f>
        <v/>
      </c>
      <c r="V54" s="58" t="str">
        <f ca="1">IF(CB55&lt;&gt;"",IF(OR('Outfall 1 Limits'!$AX$44="C1",'Outfall 1 Limits'!$AX$44="C2",'Outfall 1 Limits'!$AX$44="C3",'Outfall 1 Limits'!$AX$44="C4"),IF(HZ55="Y","&lt;",""),""),"")</f>
        <v/>
      </c>
      <c r="W54" s="58" t="str">
        <f ca="1">IF(CB55&lt;&gt;"",IF(OR('Outfall 1 Limits'!$AX$44="C1",'Outfall 1 Limits'!$AX$44="C2",'Outfall 1 Limits'!$AX$44="C3",'Outfall 1 Limits'!$AX$44="C4"),HZ53,""),"")</f>
        <v/>
      </c>
      <c r="X54" s="58" t="str">
        <f ca="1">IF(CC55&lt;&gt;"",IF(OR('Outfall 1 Limits'!$AX$48="C1",'Outfall 1 Limits'!$AX$48="C2",'Outfall 1 Limits'!$AX$48="C3",'Outfall 1 Limits'!$AX$48="C4"),IF(IA55="Y","&lt;",""),""),"")</f>
        <v/>
      </c>
      <c r="Y54" s="58" t="str">
        <f ca="1">IF(CC55&lt;&gt;"",IF(OR('Outfall 1 Limits'!$AX$48="C1",'Outfall 1 Limits'!$AX$48="C2",'Outfall 1 Limits'!$AX$48="C3",'Outfall 1 Limits'!$AX$48="C4"),IA53,""),"")</f>
        <v/>
      </c>
      <c r="Z54" s="58" t="str">
        <f ca="1">IF(CD55&lt;&gt;"",IF(OR('Outfall 1 Limits'!$AX$52="C1",'Outfall 1 Limits'!$AX$52="C2",'Outfall 1 Limits'!$AX$52="C3",'Outfall 1 Limits'!$AX$52="C4"),IF(IB55="Y","&lt;",""),""),"")</f>
        <v/>
      </c>
      <c r="AA54" s="58" t="str">
        <f ca="1">IF(CD55&lt;&gt;"",IF(OR('Outfall 1 Limits'!$AX$52="C1",'Outfall 1 Limits'!$AX$52="C2",'Outfall 1 Limits'!$AX$52="C3",'Outfall 1 Limits'!$AX$52="C4"),IB53,""),"")</f>
        <v/>
      </c>
      <c r="AB54" s="58" t="str">
        <f ca="1">IF(CE55&lt;&gt;"",IF(OR('Outfall 1 Limits'!$AX$56="C1",'Outfall 1 Limits'!$AX$56="C2",'Outfall 1 Limits'!$AX$56="C3",'Outfall 1 Limits'!$AX$56="C4"),IF(IC55="Y","&lt;",""),""),"")</f>
        <v/>
      </c>
      <c r="AC54" s="58" t="str">
        <f ca="1">IF(CE55&lt;&gt;"",IF(OR('Outfall 1 Limits'!$AX$56="C1",'Outfall 1 Limits'!$AX$56="C2",'Outfall 1 Limits'!$AX$56="C3",'Outfall 1 Limits'!$AX$56="C4"),IC53,""),"")</f>
        <v/>
      </c>
      <c r="AD54" s="58" t="str">
        <f ca="1">IF(CF55&lt;&gt;"",IF(OR('Outfall 1 Limits'!$AX$60="C1",'Outfall 1 Limits'!$AX$60="C2",'Outfall 1 Limits'!$AX$60="C3",'Outfall 1 Limits'!$AX$60="C4"),IF(ID55="Y","&lt;",""),""),"")</f>
        <v/>
      </c>
      <c r="AE54" s="58" t="str">
        <f ca="1">IF(CF55&lt;&gt;"",IF(OR('Outfall 1 Limits'!$AX$60="C1",'Outfall 1 Limits'!$AX$60="C2",'Outfall 1 Limits'!$AX$60="C3",'Outfall 1 Limits'!$AX$60="C4"),ID53,""),"")</f>
        <v/>
      </c>
      <c r="AF54" s="58" t="str">
        <f ca="1">IF(CG55&lt;&gt;"",IF(OR('Outfall 1 Limits'!$AX$64="C1",'Outfall 1 Limits'!$AX$64="C2",'Outfall 1 Limits'!$AX$64="C3",'Outfall 1 Limits'!$AX$64="C4"),IF(IE55="Y","&lt;",""),""),"")</f>
        <v/>
      </c>
      <c r="AG54" s="58" t="str">
        <f ca="1">IF(CG55&lt;&gt;"",IF(OR('Outfall 1 Limits'!$AX$64="C1",'Outfall 1 Limits'!$AX$64="C2",'Outfall 1 Limits'!$AX$64="C3",'Outfall 1 Limits'!$AX$64="C4"),IE53,""),"")</f>
        <v/>
      </c>
      <c r="AH54" s="58" t="str">
        <f ca="1">IF(CH55&lt;&gt;"",IF(OR('Outfall 1 Limits'!$AX$68="C1",'Outfall 1 Limits'!$AX$68="C2",'Outfall 1 Limits'!$AX$68="C3",'Outfall 1 Limits'!$AX$68="C4"),IF(IF55="Y","&lt;",""),""),"")</f>
        <v/>
      </c>
      <c r="AI54" s="172" t="str">
        <f ca="1">IF(CH55&lt;&gt;"",IF(OR('Outfall 1 Limits'!$AX$68="C1",'Outfall 1 Limits'!$AX$68="C2",'Outfall 1 Limits'!$AX$68="C3",'Outfall 1 Limits'!$AX$68="C4"),IF53,""),"")</f>
        <v/>
      </c>
      <c r="AJ54" s="236"/>
      <c r="BO54" s="188"/>
      <c r="BP54" s="267">
        <v>2073</v>
      </c>
      <c r="BQ54" s="83" t="s">
        <v>71</v>
      </c>
      <c r="BR54" s="188"/>
      <c r="BS54" s="188"/>
      <c r="BT54" s="229" t="s">
        <v>833</v>
      </c>
      <c r="BU54" s="68" t="e">
        <f ca="1">IF(BU55=(BU53+(BU55*0.01)),"Y","N")</f>
        <v>#VALUE!</v>
      </c>
      <c r="BV54" s="188" t="e">
        <f t="shared" ref="BV54:CH54" ca="1" si="93">IF(BV55=(BV53+(BV55*0.01)),"Y","N")</f>
        <v>#VALUE!</v>
      </c>
      <c r="BW54" s="188" t="e">
        <f t="shared" ca="1" si="93"/>
        <v>#VALUE!</v>
      </c>
      <c r="BX54" s="188" t="e">
        <f t="shared" ca="1" si="93"/>
        <v>#VALUE!</v>
      </c>
      <c r="BY54" s="188" t="e">
        <f t="shared" ca="1" si="93"/>
        <v>#VALUE!</v>
      </c>
      <c r="BZ54" s="188" t="e">
        <f t="shared" ca="1" si="93"/>
        <v>#VALUE!</v>
      </c>
      <c r="CA54" s="188" t="e">
        <f t="shared" ca="1" si="93"/>
        <v>#VALUE!</v>
      </c>
      <c r="CB54" s="188" t="e">
        <f t="shared" ca="1" si="93"/>
        <v>#VALUE!</v>
      </c>
      <c r="CC54" s="188" t="e">
        <f t="shared" ca="1" si="93"/>
        <v>#VALUE!</v>
      </c>
      <c r="CD54" s="188" t="e">
        <f t="shared" ca="1" si="93"/>
        <v>#VALUE!</v>
      </c>
      <c r="CE54" s="188" t="e">
        <f t="shared" ca="1" si="93"/>
        <v>#VALUE!</v>
      </c>
      <c r="CF54" s="188" t="e">
        <f t="shared" ca="1" si="93"/>
        <v>#VALUE!</v>
      </c>
      <c r="CG54" s="188" t="e">
        <f t="shared" ca="1" si="93"/>
        <v>#VALUE!</v>
      </c>
      <c r="CH54" s="188" t="e">
        <f t="shared" ca="1" si="93"/>
        <v>#VALUE!</v>
      </c>
      <c r="CX54" s="229" t="s">
        <v>401</v>
      </c>
      <c r="CY54" s="77" t="str">
        <f ca="1">IF(ROWS(INDIRECT("CY"&amp;$D$10):INDIRECT("CY"&amp;$B$10))-COUNTIF(INDIRECT("CY"&amp;$D$10):INDIRECT("CY"&amp;$B$10),"")&gt;0,AVERAGE(INDIRECT("CY"&amp;$D$10):INDIRECT("CY"&amp;$B$10)),"")</f>
        <v/>
      </c>
      <c r="CZ54" s="76" t="str">
        <f ca="1">IF(ROWS(INDIRECT("CZ"&amp;$D$10):INDIRECT("CZ"&amp;$B$10))-COUNTIF(INDIRECT("CZ"&amp;$D$10):INDIRECT("CZ"&amp;$B$10),"")&gt;0,AVERAGE(INDIRECT("CZ"&amp;$D$10):INDIRECT("CZ"&amp;$B$10)),"")</f>
        <v/>
      </c>
      <c r="DA54" s="76" t="str">
        <f ca="1">IF(ROWS(INDIRECT("DA"&amp;$D$10):INDIRECT("DA"&amp;$B$10))-COUNTIF(INDIRECT("DA"&amp;$D$10):INDIRECT("DA"&amp;$B$10),"")&gt;0,AVERAGE(INDIRECT("DA"&amp;$D$10):INDIRECT("DA"&amp;$B$10)),"")</f>
        <v/>
      </c>
      <c r="DB54" s="76" t="str">
        <f ca="1">IF(ROWS(INDIRECT("DB"&amp;$D$10):INDIRECT("DB"&amp;$B$10))-COUNTIF(INDIRECT("DB"&amp;$D$10):INDIRECT("DB"&amp;$B$10),"")&gt;0,AVERAGE(INDIRECT("DB"&amp;$D$10):INDIRECT("DB"&amp;$B$10)),"")</f>
        <v/>
      </c>
      <c r="DC54" s="76" t="str">
        <f ca="1">IF(ROWS(INDIRECT("DC"&amp;$D$10):INDIRECT("DC"&amp;$B$10))-COUNTIF(INDIRECT("DC"&amp;$D$10):INDIRECT("DC"&amp;$B$10),"")&gt;0,AVERAGE(INDIRECT("DC"&amp;$D$10):INDIRECT("DC"&amp;$B$10)),"")</f>
        <v/>
      </c>
      <c r="DD54" s="76" t="str">
        <f ca="1">IF(ROWS(INDIRECT("DD"&amp;$D$10):INDIRECT("DD"&amp;$B$10))-COUNTIF(INDIRECT("DD"&amp;$D$10):INDIRECT("DD"&amp;$B$10),"")&gt;0,AVERAGE(INDIRECT("DD"&amp;$D$10):INDIRECT("DD"&amp;$B$10)),"")</f>
        <v/>
      </c>
      <c r="DE54" s="76" t="str">
        <f ca="1">IF(ROWS(INDIRECT("DE"&amp;$D$10):INDIRECT("DE"&amp;$B$10))-COUNTIF(INDIRECT("DE"&amp;$D$10):INDIRECT("DE"&amp;$B$10),"")&gt;0,AVERAGE(INDIRECT("DE"&amp;$D$10):INDIRECT("DE"&amp;$B$10)),"")</f>
        <v/>
      </c>
      <c r="DF54" s="76" t="str">
        <f ca="1">IF(ROWS(INDIRECT("DF"&amp;$D$10):INDIRECT("DF"&amp;$B$10))-COUNTIF(INDIRECT("DF"&amp;$D$10):INDIRECT("DF"&amp;$B$10),"")&gt;0,AVERAGE(INDIRECT("DF"&amp;$D$10):INDIRECT("DF"&amp;$B$10)),"")</f>
        <v/>
      </c>
      <c r="DG54" s="76" t="str">
        <f ca="1">IF(ROWS(INDIRECT("DG"&amp;$D$10):INDIRECT("DG"&amp;$B$10))-COUNTIF(INDIRECT("DG"&amp;$D$10):INDIRECT("DG"&amp;$B$10),"")&gt;0,AVERAGE(INDIRECT("DG"&amp;$D$10):INDIRECT("DG"&amp;$B$10)),"")</f>
        <v/>
      </c>
      <c r="DH54" s="76" t="str">
        <f ca="1">IF(ROWS(INDIRECT("DH"&amp;$D$10):INDIRECT("DH"&amp;$B$10))-COUNTIF(INDIRECT("DH"&amp;$D$10):INDIRECT("DH"&amp;$B$10),"")&gt;0,AVERAGE(INDIRECT("DH"&amp;$D$10):INDIRECT("DH"&amp;$B$10)),"")</f>
        <v/>
      </c>
      <c r="DI54" s="76" t="str">
        <f ca="1">IF(ROWS(INDIRECT("DI"&amp;$D$10):INDIRECT("DI"&amp;$B$10))-COUNTIF(INDIRECT("DI"&amp;$D$10):INDIRECT("DI"&amp;$B$10),"")&gt;0,AVERAGE(INDIRECT("DI"&amp;$D$10):INDIRECT("DI"&amp;$B$10)),"")</f>
        <v/>
      </c>
      <c r="DJ54" s="76" t="str">
        <f ca="1">IF(ROWS(INDIRECT("DJ"&amp;$D$10):INDIRECT("DJ"&amp;$B$10))-COUNTIF(INDIRECT("DJ"&amp;$D$10):INDIRECT("DJ"&amp;$B$10),"")&gt;0,AVERAGE(INDIRECT("DJ"&amp;$D$10):INDIRECT("DJ"&amp;$B$10)),"")</f>
        <v/>
      </c>
      <c r="DK54" s="76" t="str">
        <f ca="1">IF(ROWS(INDIRECT("DK"&amp;$D$10):INDIRECT("DK"&amp;$B$10))-COUNTIF(INDIRECT("DK"&amp;$D$10):INDIRECT("DK"&amp;$B$10),"")&gt;0,AVERAGE(INDIRECT("DK"&amp;$D$10):INDIRECT("DK"&amp;$B$10)),"")</f>
        <v/>
      </c>
      <c r="DL54" s="76" t="str">
        <f ca="1">IF(ROWS(INDIRECT("DL"&amp;$D$10):INDIRECT("DL"&amp;$B$10))-COUNTIF(INDIRECT("DL"&amp;$D$10):INDIRECT("DL"&amp;$B$10),"")&gt;0,AVERAGE(INDIRECT("DL"&amp;$D$10):INDIRECT("DL"&amp;$B$10)),"")</f>
        <v/>
      </c>
      <c r="EB54" s="2"/>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231" t="s">
        <v>402</v>
      </c>
      <c r="FG54" s="68" t="str">
        <f ca="1">IF(ROWS(INDIRECT("FG"&amp;$D$10):INDIRECT("FG"&amp;$B$10))-COUNTIF(INDIRECT("FG"&amp;$D$10):INDIRECT("FG"&amp;$B$10),"")&gt;0,AVERAGE(INDIRECT("FG"&amp;$D$10):INDIRECT("FG"&amp;$B$10)),"")</f>
        <v/>
      </c>
      <c r="FH54" s="188" t="str">
        <f ca="1">IF(ROWS(INDIRECT("FH"&amp;$D$10):INDIRECT("FH"&amp;$B$10))-COUNTIF(INDIRECT("FH"&amp;$D$10):INDIRECT("FH"&amp;$B$10),"")&gt;0,AVERAGE(INDIRECT("FH"&amp;$D$10):INDIRECT("FH"&amp;$B$10)),"")</f>
        <v/>
      </c>
      <c r="FI54" s="188" t="str">
        <f ca="1">IF(ROWS(INDIRECT("FI"&amp;$D$10):INDIRECT("FI"&amp;$B$10))-COUNTIF(INDIRECT("FI"&amp;$D$10):INDIRECT("FI"&amp;$B$10),"")&gt;0,AVERAGE(INDIRECT("FI"&amp;$D$10):INDIRECT("FI"&amp;$B$10)),"")</f>
        <v/>
      </c>
      <c r="FJ54" s="188" t="str">
        <f ca="1">IF(ROWS(INDIRECT("FJ"&amp;$D$10):INDIRECT("FJ"&amp;$B$10))-COUNTIF(INDIRECT("FJ"&amp;$D$10):INDIRECT("FJ"&amp;$B$10),"")&gt;0,AVERAGE(INDIRECT("FJ"&amp;$D$10):INDIRECT("FJ"&amp;$B$10)),"")</f>
        <v/>
      </c>
      <c r="FK54" s="188" t="str">
        <f ca="1">IF(ROWS(INDIRECT("FK"&amp;$D$10):INDIRECT("FK"&amp;$B$10))-COUNTIF(INDIRECT("FK"&amp;$D$10):INDIRECT("FK"&amp;$B$10),"")&gt;0,AVERAGE(INDIRECT("FK"&amp;$D$10):INDIRECT("FK"&amp;$B$10)),"")</f>
        <v/>
      </c>
      <c r="FL54" s="188" t="str">
        <f ca="1">IF(ROWS(INDIRECT("FL"&amp;$D$10):INDIRECT("FL"&amp;$B$10))-COUNTIF(INDIRECT("FL"&amp;$D$10):INDIRECT("FL"&amp;$B$10),"")&gt;0,AVERAGE(INDIRECT("FL"&amp;$D$10):INDIRECT("FL"&amp;$B$10)),"")</f>
        <v/>
      </c>
      <c r="FM54" s="188" t="str">
        <f ca="1">IF(ROWS(INDIRECT("FM"&amp;$D$10):INDIRECT("FM"&amp;$B$10))-COUNTIF(INDIRECT("FM"&amp;$D$10):INDIRECT("FM"&amp;$B$10),"")&gt;0,AVERAGE(INDIRECT("FM"&amp;$D$10):INDIRECT("FM"&amp;$B$10)),"")</f>
        <v/>
      </c>
      <c r="FN54" s="188" t="str">
        <f ca="1">IF(ROWS(INDIRECT("FN"&amp;$D$10):INDIRECT("FN"&amp;$B$10))-COUNTIF(INDIRECT("FN"&amp;$D$10):INDIRECT("FN"&amp;$B$10),"")&gt;0,AVERAGE(INDIRECT("FN"&amp;$D$10):INDIRECT("FN"&amp;$B$10)),"")</f>
        <v/>
      </c>
      <c r="FO54" s="188" t="str">
        <f ca="1">IF(ROWS(INDIRECT("FO"&amp;$D$10):INDIRECT("FO"&amp;$B$10))-COUNTIF(INDIRECT("FO"&amp;$D$10):INDIRECT("FO"&amp;$B$10),"")&gt;0,AVERAGE(INDIRECT("FO"&amp;$D$10):INDIRECT("FO"&amp;$B$10)),"")</f>
        <v/>
      </c>
      <c r="FP54" s="188" t="str">
        <f ca="1">IF(ROWS(INDIRECT("FP"&amp;$D$10):INDIRECT("FP"&amp;$B$10))-COUNTIF(INDIRECT("FP"&amp;$D$10):INDIRECT("FP"&amp;$B$10),"")&gt;0,AVERAGE(INDIRECT("FP"&amp;$D$10):INDIRECT("FP"&amp;$B$10)),"")</f>
        <v/>
      </c>
      <c r="FQ54" s="188" t="str">
        <f ca="1">IF(ROWS(INDIRECT("FQ"&amp;$D$10):INDIRECT("FQ"&amp;$B$10))-COUNTIF(INDIRECT("FQ"&amp;$D$10):INDIRECT("FQ"&amp;$B$10),"")&gt;0,AVERAGE(INDIRECT("FQ"&amp;$D$10):INDIRECT("FQ"&amp;$B$10)),"")</f>
        <v/>
      </c>
      <c r="FR54" s="188" t="str">
        <f ca="1">IF(ROWS(INDIRECT("FR"&amp;$D$10):INDIRECT("FR"&amp;$B$10))-COUNTIF(INDIRECT("FR"&amp;$D$10):INDIRECT("FR"&amp;$B$10),"")&gt;0,AVERAGE(INDIRECT("FR"&amp;$D$10):INDIRECT("FR"&amp;$B$10)),"")</f>
        <v/>
      </c>
      <c r="FS54" s="188" t="str">
        <f ca="1">IF(ROWS(INDIRECT("FS"&amp;$D$10):INDIRECT("FS"&amp;$B$10))-COUNTIF(INDIRECT("FS"&amp;$D$10):INDIRECT("FS"&amp;$B$10),"")&gt;0,AVERAGE(INDIRECT("FS"&amp;$D$10):INDIRECT("FS"&amp;$B$10)),"")</f>
        <v/>
      </c>
      <c r="FT54" s="188" t="str">
        <f ca="1">IF(ROWS(INDIRECT("FT"&amp;$D$10):INDIRECT("FT"&amp;$B$10))-COUNTIF(INDIRECT("FT"&amp;$D$10):INDIRECT("FT"&amp;$B$10),"")&gt;0,AVERAGE(INDIRECT("FT"&amp;$D$10):INDIRECT("FT"&amp;$B$10)),"")</f>
        <v/>
      </c>
      <c r="GJ54" s="231" t="s">
        <v>402</v>
      </c>
      <c r="GK54" s="77" t="str">
        <f ca="1">IF(ROWS(INDIRECT("GK"&amp;$D$10):INDIRECT("GK"&amp;$B$10))-COUNTIF(INDIRECT("GK"&amp;$D$10):INDIRECT("GK"&amp;$B$10),"")&gt;0,AVERAGE(INDIRECT("GK"&amp;$D$10):INDIRECT("GK"&amp;$B$10)),"")</f>
        <v/>
      </c>
      <c r="GL54" s="29" t="str">
        <f ca="1">IF(ROWS(INDIRECT("GL"&amp;$D$10):INDIRECT("GL"&amp;$B$10))-COUNTIF(INDIRECT("GL"&amp;$D$10):INDIRECT("GL"&amp;$B$10),"")&gt;0,AVERAGE(INDIRECT("GL"&amp;$D$10):INDIRECT("GL"&amp;$B$10)),"")</f>
        <v/>
      </c>
      <c r="GM54" s="29" t="str">
        <f ca="1">IF(ROWS(INDIRECT("GM"&amp;$D$10):INDIRECT("GM"&amp;$B$10))-COUNTIF(INDIRECT("GM"&amp;$D$10):INDIRECT("GM"&amp;$B$10),"")&gt;0,AVERAGE(INDIRECT("GM"&amp;$D$10):INDIRECT("GM"&amp;$B$10)),"")</f>
        <v/>
      </c>
      <c r="GN54" s="29" t="str">
        <f ca="1">IF(ROWS(INDIRECT("GN"&amp;$D$10):INDIRECT("GN"&amp;$B$10))-COUNTIF(INDIRECT("GN"&amp;$D$10):INDIRECT("GN"&amp;$B$10),"")&gt;0,AVERAGE(INDIRECT("GN"&amp;$D$10):INDIRECT("GN"&amp;$B$10)),"")</f>
        <v/>
      </c>
      <c r="GO54" s="29" t="str">
        <f ca="1">IF(ROWS(INDIRECT("GO"&amp;$D$10):INDIRECT("GO"&amp;$B$10))-COUNTIF(INDIRECT("GO"&amp;$D$10):INDIRECT("GO"&amp;$B$10),"")&gt;0,AVERAGE(INDIRECT("GO"&amp;$D$10):INDIRECT("GO"&amp;$B$10)),"")</f>
        <v/>
      </c>
      <c r="GP54" s="29" t="str">
        <f ca="1">IF(ROWS(INDIRECT("GP"&amp;$D$10):INDIRECT("GP"&amp;$B$10))-COUNTIF(INDIRECT("GP"&amp;$D$10):INDIRECT("GP"&amp;$B$10),"")&gt;0,AVERAGE(INDIRECT("GP"&amp;$D$10):INDIRECT("GP"&amp;$B$10)),"")</f>
        <v/>
      </c>
      <c r="GQ54" s="29" t="str">
        <f ca="1">IF(ROWS(INDIRECT("GQ"&amp;$D$10):INDIRECT("GQ"&amp;$B$10))-COUNTIF(INDIRECT("GQ"&amp;$D$10):INDIRECT("GQ"&amp;$B$10),"")&gt;0,AVERAGE(INDIRECT("GQ"&amp;$D$10):INDIRECT("GQ"&amp;$B$10)),"")</f>
        <v/>
      </c>
      <c r="GR54" s="29" t="str">
        <f ca="1">IF(ROWS(INDIRECT("GR"&amp;$D$10):INDIRECT("GR"&amp;$B$10))-COUNTIF(INDIRECT("GR"&amp;$D$10):INDIRECT("GR"&amp;$B$10),"")&gt;0,AVERAGE(INDIRECT("GR"&amp;$D$10):INDIRECT("GR"&amp;$B$10)),"")</f>
        <v/>
      </c>
      <c r="GS54" s="29" t="str">
        <f ca="1">IF(ROWS(INDIRECT("GS"&amp;$D$10):INDIRECT("GS"&amp;$B$10))-COUNTIF(INDIRECT("GS"&amp;$D$10):INDIRECT("GS"&amp;$B$10),"")&gt;0,AVERAGE(INDIRECT("GS"&amp;$D$10):INDIRECT("GS"&amp;$B$10)),"")</f>
        <v/>
      </c>
      <c r="GT54" s="29" t="str">
        <f ca="1">IF(ROWS(INDIRECT("GT"&amp;$D$10):INDIRECT("GT"&amp;$B$10))-COUNTIF(INDIRECT("GT"&amp;$D$10):INDIRECT("GT"&amp;$B$10),"")&gt;0,AVERAGE(INDIRECT("GT"&amp;$D$10):INDIRECT("GT"&amp;$B$10)),"")</f>
        <v/>
      </c>
      <c r="GU54" s="29" t="str">
        <f ca="1">IF(ROWS(INDIRECT("GU"&amp;$D$10):INDIRECT("GU"&amp;$B$10))-COUNTIF(INDIRECT("GU"&amp;$D$10):INDIRECT("GU"&amp;$B$10),"")&gt;0,AVERAGE(INDIRECT("GU"&amp;$D$10):INDIRECT("GU"&amp;$B$10)),"")</f>
        <v/>
      </c>
      <c r="GV54" s="29" t="str">
        <f ca="1">IF(ROWS(INDIRECT("GV"&amp;$D$10):INDIRECT("GV"&amp;$B$10))-COUNTIF(INDIRECT("GV"&amp;$D$10):INDIRECT("GV"&amp;$B$10),"")&gt;0,AVERAGE(INDIRECT("GV"&amp;$D$10):INDIRECT("GV"&amp;$B$10)),"")</f>
        <v/>
      </c>
      <c r="GW54" s="29" t="str">
        <f ca="1">IF(ROWS(INDIRECT("GW"&amp;$D$10):INDIRECT("GW"&amp;$B$10))-COUNTIF(INDIRECT("GW"&amp;$D$10):INDIRECT("GW"&amp;$B$10),"")&gt;0,AVERAGE(INDIRECT("GW"&amp;$D$10):INDIRECT("GW"&amp;$B$10)),"")</f>
        <v/>
      </c>
      <c r="GX54" s="29" t="str">
        <f ca="1">IF(ROWS(INDIRECT("GX"&amp;$D$10):INDIRECT("GX"&amp;$B$10))-COUNTIF(INDIRECT("GX"&amp;$D$10):INDIRECT("GX"&amp;$B$10),"")&gt;0,AVERAGE(INDIRECT("GX"&amp;$D$10):INDIRECT("GX"&amp;$B$10)),"")</f>
        <v/>
      </c>
      <c r="HN54" s="231" t="s">
        <v>375</v>
      </c>
      <c r="HO54" s="98" t="str">
        <f ca="1">IF(ROWS(INDIRECT("HO"&amp;$D$10):INDIRECT("HO"&amp;$B$10))-COUNTIF(INDIRECT("HO"&amp;$D$10):INDIRECT("HO"&amp;$B$10),"")&gt;0,MAX(INDIRECT("HO"&amp;$D$10):INDIRECT("HO"&amp;$B$10)),"")</f>
        <v/>
      </c>
      <c r="HR54" s="229" t="s">
        <v>375</v>
      </c>
      <c r="HS54" s="68" t="str">
        <f ca="1">IF(ROWS(INDIRECT("HS"&amp;$D$10):INDIRECT("HS"&amp;$B$10))-COUNTIF(INDIRECT("HS"&amp;$D$10):INDIRECT("HS"&amp;$B$10),"")&gt;0,MAX(INDIRECT("HS"&amp;$D$10):INDIRECT("HS"&amp;$B$10)),"")</f>
        <v/>
      </c>
      <c r="HT54" s="188" t="str">
        <f ca="1">IF(ROWS(INDIRECT("HT"&amp;$D$10):INDIRECT("HT"&amp;$B$10))-COUNTIF(INDIRECT("HT"&amp;$D$10):INDIRECT("HT"&amp;$B$10),"")&gt;0,MAX(INDIRECT("HT"&amp;$D$10):INDIRECT("HT"&amp;$B$10)),"")</f>
        <v/>
      </c>
      <c r="HU54" s="188" t="str">
        <f ca="1">IF(ROWS(INDIRECT("HU"&amp;$D$10):INDIRECT("HU"&amp;$B$10))-COUNTIF(INDIRECT("HU"&amp;$D$10):INDIRECT("HU"&amp;$B$10),"")&gt;0,MAX(INDIRECT("HU"&amp;$D$10):INDIRECT("HU"&amp;$B$10)),"")</f>
        <v/>
      </c>
      <c r="HV54" s="188" t="str">
        <f ca="1">IF(ROWS(INDIRECT("HV"&amp;$D$10):INDIRECT("HV"&amp;$B$10))-COUNTIF(INDIRECT("HV"&amp;$D$10):INDIRECT("HV"&amp;$B$10),"")&gt;0,MAX(INDIRECT("HV"&amp;$D$10):INDIRECT("HV"&amp;$B$10)),"")</f>
        <v/>
      </c>
      <c r="HW54" s="188" t="str">
        <f ca="1">IF(ROWS(INDIRECT("HW"&amp;$D$10):INDIRECT("HW"&amp;$B$10))-COUNTIF(INDIRECT("HW"&amp;$D$10):INDIRECT("HW"&amp;$B$10),"")&gt;0,MAX(INDIRECT("HW"&amp;$D$10):INDIRECT("HW"&amp;$B$10)),"")</f>
        <v/>
      </c>
      <c r="HX54" s="188" t="str">
        <f ca="1">IF(ROWS(INDIRECT("HX"&amp;$D$10):INDIRECT("HX"&amp;$B$10))-COUNTIF(INDIRECT("HX"&amp;$D$10):INDIRECT("HX"&amp;$B$10),"")&gt;0,MAX(INDIRECT("HX"&amp;$D$10):INDIRECT("HX"&amp;$B$10)),"")</f>
        <v/>
      </c>
      <c r="HY54" s="188" t="str">
        <f ca="1">IF(ROWS(INDIRECT("HY"&amp;$D$10):INDIRECT("HY"&amp;$B$10))-COUNTIF(INDIRECT("HY"&amp;$D$10):INDIRECT("HY"&amp;$B$10),"")&gt;0,MAX(INDIRECT("HY"&amp;$D$10):INDIRECT("HY"&amp;$B$10)),"")</f>
        <v/>
      </c>
      <c r="HZ54" s="188" t="str">
        <f ca="1">IF(ROWS(INDIRECT("HZ"&amp;$D$10):INDIRECT("HZ"&amp;$B$10))-COUNTIF(INDIRECT("HZ"&amp;$D$10):INDIRECT("HZ"&amp;$B$10),"")&gt;0,MAX(INDIRECT("HZ"&amp;$D$10):INDIRECT("HZ"&amp;$B$10)),"")</f>
        <v/>
      </c>
      <c r="IA54" s="188" t="str">
        <f ca="1">IF(ROWS(INDIRECT("IA"&amp;$D$10):INDIRECT("IA"&amp;$B$10))-COUNTIF(INDIRECT("IA"&amp;$D$10):INDIRECT("IA"&amp;$B$10),"")&gt;0,MAX(INDIRECT("IA"&amp;$D$10):INDIRECT("IA"&amp;$B$10)),"")</f>
        <v/>
      </c>
      <c r="IB54" s="188" t="str">
        <f ca="1">IF(ROWS(INDIRECT("IB"&amp;$D$10):INDIRECT("IB"&amp;$B$10))-COUNTIF(INDIRECT("IB"&amp;$D$10):INDIRECT("IB"&amp;$B$10),"")&gt;0,MAX(INDIRECT("IB"&amp;$D$10):INDIRECT("IB"&amp;$B$10)),"")</f>
        <v/>
      </c>
      <c r="IC54" s="188" t="str">
        <f ca="1">IF(ROWS(INDIRECT("IC"&amp;$D$10):INDIRECT("IC"&amp;$B$10))-COUNTIF(INDIRECT("IC"&amp;$D$10):INDIRECT("IC"&amp;$B$10),"")&gt;0,MAX(INDIRECT("IC"&amp;$D$10):INDIRECT("IC"&amp;$B$10)),"")</f>
        <v/>
      </c>
      <c r="ID54" s="188" t="str">
        <f ca="1">IF(ROWS(INDIRECT("ID"&amp;$D$10):INDIRECT("ID"&amp;$B$10))-COUNTIF(INDIRECT("ID"&amp;$D$10):INDIRECT("ID"&amp;$B$10),"")&gt;0,MAX(INDIRECT("ID"&amp;$D$10):INDIRECT("ID"&amp;$B$10)),"")</f>
        <v/>
      </c>
      <c r="IE54" s="188" t="str">
        <f ca="1">IF(ROWS(INDIRECT("IE"&amp;$D$10):INDIRECT("IE"&amp;$B$10))-COUNTIF(INDIRECT("IE"&amp;$D$10):INDIRECT("IE"&amp;$B$10),"")&gt;0,MAX(INDIRECT("IE"&amp;$D$10):INDIRECT("IE"&amp;$B$10)),"")</f>
        <v/>
      </c>
      <c r="IF54" s="188" t="str">
        <f ca="1">IF(ROWS(INDIRECT("IF"&amp;$D$10):INDIRECT("IF"&amp;$B$10))-COUNTIF(INDIRECT("IF"&amp;$D$10):INDIRECT("IF"&amp;$B$10),"")&gt;0,MAX(INDIRECT("IF"&amp;$D$10):INDIRECT("IF"&amp;$B$10)),"")</f>
        <v/>
      </c>
      <c r="IW54" s="229" t="s">
        <v>375</v>
      </c>
      <c r="IX54" s="68" t="str">
        <f ca="1">IF(ROWS(INDIRECT("IX"&amp;$D$10):INDIRECT("IX"&amp;$B$10))-COUNTIF(INDIRECT("IX"&amp;$D$10):INDIRECT("IX"&amp;$B$10),"")&gt;0,MAX(INDIRECT("IX"&amp;$D$10):INDIRECT("IX"&amp;$B$10)),"")</f>
        <v/>
      </c>
      <c r="IY54" s="188" t="str">
        <f ca="1">IF(ROWS(INDIRECT("IY"&amp;$D$10):INDIRECT("IY"&amp;$B$10))-COUNTIF(INDIRECT("IY"&amp;$D$10):INDIRECT("IY"&amp;$B$10),"")&gt;0,MAX(INDIRECT("IY"&amp;$D$10):INDIRECT("IY"&amp;$B$10)),"")</f>
        <v/>
      </c>
      <c r="IZ54" s="188" t="str">
        <f ca="1">IF(ROWS(INDIRECT("IZ"&amp;$D$10):INDIRECT("IZ"&amp;$B$10))-COUNTIF(INDIRECT("IZ"&amp;$D$10):INDIRECT("IZ"&amp;$B$10),"")&gt;0,MAX(INDIRECT("IZ"&amp;$D$10):INDIRECT("IZ"&amp;$B$10)),"")</f>
        <v/>
      </c>
      <c r="JA54" s="188" t="str">
        <f ca="1">IF(ROWS(INDIRECT("JA"&amp;$D$10):INDIRECT("JA"&amp;$B$10))-COUNTIF(INDIRECT("JA"&amp;$D$10):INDIRECT("JA"&amp;$B$10),"")&gt;0,MAX(INDIRECT("JA"&amp;$D$10):INDIRECT("JA"&amp;$B$10)),"")</f>
        <v/>
      </c>
      <c r="JB54" s="188" t="str">
        <f ca="1">IF(ROWS(INDIRECT("JB"&amp;$D$10):INDIRECT("JB"&amp;$B$10))-COUNTIF(INDIRECT("JB"&amp;$D$10):INDIRECT("JB"&amp;$B$10),"")&gt;0,MAX(INDIRECT("JB"&amp;$D$10):INDIRECT("JB"&amp;$B$10)),"")</f>
        <v/>
      </c>
      <c r="JC54" s="188" t="str">
        <f ca="1">IF(ROWS(INDIRECT("JC"&amp;$D$10):INDIRECT("JC"&amp;$B$10))-COUNTIF(INDIRECT("JC"&amp;$D$10):INDIRECT("JC"&amp;$B$10),"")&gt;0,MAX(INDIRECT("JC"&amp;$D$10):INDIRECT("JC"&amp;$B$10)),"")</f>
        <v/>
      </c>
      <c r="JD54" s="188" t="str">
        <f ca="1">IF(ROWS(INDIRECT("JD"&amp;$D$10):INDIRECT("JD"&amp;$B$10))-COUNTIF(INDIRECT("JD"&amp;$D$10):INDIRECT("JD"&amp;$B$10),"")&gt;0,MAX(INDIRECT("JD"&amp;$D$10):INDIRECT("JD"&amp;$B$10)),"")</f>
        <v/>
      </c>
      <c r="JE54" s="188" t="str">
        <f ca="1">IF(ROWS(INDIRECT("JE"&amp;$D$10):INDIRECT("JE"&amp;$B$10))-COUNTIF(INDIRECT("JE"&amp;$D$10):INDIRECT("JE"&amp;$B$10),"")&gt;0,MAX(INDIRECT("JE"&amp;$D$10):INDIRECT("JE"&amp;$B$10)),"")</f>
        <v/>
      </c>
      <c r="JF54" s="188" t="str">
        <f ca="1">IF(ROWS(INDIRECT("JF"&amp;$D$10):INDIRECT("JF"&amp;$B$10))-COUNTIF(INDIRECT("JF"&amp;$D$10):INDIRECT("JF"&amp;$B$10),"")&gt;0,MAX(INDIRECT("JF"&amp;$D$10):INDIRECT("JF"&amp;$B$10)),"")</f>
        <v/>
      </c>
      <c r="JG54" s="188" t="str">
        <f ca="1">IF(ROWS(INDIRECT("JG"&amp;$D$10):INDIRECT("JG"&amp;$B$10))-COUNTIF(INDIRECT("JG"&amp;$D$10):INDIRECT("JG"&amp;$B$10),"")&gt;0,MAX(INDIRECT("JG"&amp;$D$10):INDIRECT("JG"&amp;$B$10)),"")</f>
        <v/>
      </c>
      <c r="JH54" s="188" t="str">
        <f ca="1">IF(ROWS(INDIRECT("JH"&amp;$D$10):INDIRECT("JH"&amp;$B$10))-COUNTIF(INDIRECT("JH"&amp;$D$10):INDIRECT("JH"&amp;$B$10),"")&gt;0,MAX(INDIRECT("JH"&amp;$D$10):INDIRECT("JH"&amp;$B$10)),"")</f>
        <v/>
      </c>
      <c r="JI54" s="188" t="str">
        <f ca="1">IF(ROWS(INDIRECT("JI"&amp;$D$10):INDIRECT("JI"&amp;$B$10))-COUNTIF(INDIRECT("JI"&amp;$D$10):INDIRECT("JI"&amp;$B$10),"")&gt;0,MAX(INDIRECT("JI"&amp;$D$10):INDIRECT("JI"&amp;$B$10)),"")</f>
        <v/>
      </c>
      <c r="JJ54" s="188" t="str">
        <f ca="1">IF(ROWS(INDIRECT("JJ"&amp;$D$10):INDIRECT("JJ"&amp;$B$10))-COUNTIF(INDIRECT("JJ"&amp;$D$10):INDIRECT("JJ"&amp;$B$10),"")&gt;0,MAX(INDIRECT("JJ"&amp;$D$10):INDIRECT("JJ"&amp;$B$10)),"")</f>
        <v/>
      </c>
      <c r="JK54" s="188" t="str">
        <f ca="1">IF(ROWS(INDIRECT("JK"&amp;$D$10):INDIRECT("JK"&amp;$B$10))-COUNTIF(INDIRECT("JK"&amp;$D$10):INDIRECT("JK"&amp;$B$10),"")&gt;0,MAX(INDIRECT("JK"&amp;$D$10):INDIRECT("JK"&amp;$B$10)),"")</f>
        <v/>
      </c>
      <c r="KA54" s="188"/>
      <c r="KB54" s="2"/>
      <c r="KC54" s="232" t="s">
        <v>1168</v>
      </c>
      <c r="KD54" s="188" t="str">
        <f>'Outfall 1 Limits'!$AL$16</f>
        <v/>
      </c>
      <c r="KE54" s="188" t="str">
        <f>'Outfall 1 Limits'!$AL$20</f>
        <v/>
      </c>
      <c r="KF54" s="188" t="str">
        <f>'Outfall 1 Limits'!$AL$24</f>
        <v/>
      </c>
      <c r="KG54" s="188" t="str">
        <f>'Outfall 1 Limits'!$AL$28</f>
        <v/>
      </c>
      <c r="KH54" s="188" t="str">
        <f>'Outfall 1 Limits'!$AL$32</f>
        <v/>
      </c>
      <c r="KI54" s="188" t="str">
        <f>'Outfall 1 Limits'!$AL$36</f>
        <v/>
      </c>
      <c r="KJ54" s="188" t="str">
        <f>'Outfall 1 Limits'!$AL$40</f>
        <v/>
      </c>
      <c r="KK54" s="188" t="str">
        <f>'Outfall 1 Limits'!$AL$44</f>
        <v/>
      </c>
      <c r="KL54" s="188" t="str">
        <f>'Outfall 1 Limits'!$AL$48</f>
        <v/>
      </c>
      <c r="KM54" s="188" t="str">
        <f>'Outfall 1 Limits'!$AL$52</f>
        <v/>
      </c>
      <c r="KN54" s="188" t="str">
        <f>'Outfall 1 Limits'!$AL$56</f>
        <v/>
      </c>
      <c r="KO54" s="188" t="str">
        <f>'Outfall 1 Limits'!$AL$60</f>
        <v/>
      </c>
      <c r="KP54" s="188" t="str">
        <f>'Outfall 1 Limits'!$AL$64</f>
        <v/>
      </c>
      <c r="KQ54" s="188" t="str">
        <f>'Outfall 1 Limits'!$AL$68</f>
        <v/>
      </c>
    </row>
    <row r="55" spans="1:303" s="18" customFormat="1" ht="11.45" customHeight="1" thickBot="1" x14ac:dyDescent="0.25">
      <c r="A55" s="38"/>
      <c r="B55" s="415" t="s">
        <v>0</v>
      </c>
      <c r="C55" s="415"/>
      <c r="D55" s="415"/>
      <c r="E55" s="415"/>
      <c r="F55" s="416"/>
      <c r="G55" s="57"/>
      <c r="H55" s="58" t="str">
        <f ca="1">IF(BU55&lt;&gt;"",IF(OR('Outfall 1 Limits'!AX16="C1",'Outfall 1 Limits'!AX16="C3"),IF(KD67="Y","&lt;",""),""),"")</f>
        <v/>
      </c>
      <c r="I55" s="58" t="str">
        <f ca="1">IF(BU55&lt;&gt;"",IF(OR('Outfall 1 Limits'!$AX$16="C1",'Outfall 1 Limits'!$AX$16="C3"),IF('Outfall 1 Limits'!$AW$16="E",ROUND(EC18,I126),IF('Outfall 1 Limits'!$AR$16&lt;&gt;0,IF(EC18&gt;=0.05,TEXT(EC18,"0."&amp;REPT("0",LEN('Outfall 1 Limits'!$AD$16)-FIND(".",'Outfall 1 Limits'!$AD$16))),ROUND(EC18,1-(1+INT(LOG10(ABS(EC18)))))),ROUND(EC18,'Outfall 1 Limits'!$AR$16))),""),"")</f>
        <v/>
      </c>
      <c r="J55" s="130" t="str">
        <f ca="1">IF(BV55&lt;&gt;"",IF(OR('Outfall 1 Limits'!$AX$20="C1",'Outfall 1 Limits'!$AX$20="C3"),IF(KE67="Y","&lt;",""),""),"")</f>
        <v/>
      </c>
      <c r="K55" s="58" t="str">
        <f ca="1">IF(BV55&lt;&gt;"",IF(OR('Outfall 1 Limits'!$AX$20="C1",'Outfall 1 Limits'!$AX$20="C3"),IF('Outfall 1 Limits'!$AW$20="E",ROUND(ED18,K126),IF('Outfall 1 Limits'!$AR$20&lt;&gt;0,IF(ED18&gt;=0.05,TEXT(ED18,"0."&amp;REPT("0",LEN('Outfall 1 Limits'!$AD$20)-FIND(".",'Outfall 1 Limits'!$AD$20))),ROUND(ED18,1-(1+INT(LOG10(ABS(ED18)))))),ROUND(ED18,'Outfall 1 Limits'!$AR$20))),""),"")</f>
        <v/>
      </c>
      <c r="L55" s="58" t="str">
        <f ca="1">IF(BW55&lt;&gt;"",IF(OR('Outfall 1 Limits'!$AX$24="C1",'Outfall 1 Limits'!$AX$24="C3"),IF(KF67="Y","&lt;",""),""),"")</f>
        <v/>
      </c>
      <c r="M55" s="58" t="str">
        <f ca="1">IF(BW55&lt;&gt;"",IF(OR('Outfall 1 Limits'!$AX$24="C1",'Outfall 1 Limits'!$AX$24="C3"),IF('Outfall 1 Limits'!$AW$24="E",ROUND(EE18,M126),IF('Outfall 1 Limits'!$AR$24&lt;&gt;0,IF(EE18&gt;=0.05,TEXT(EE18,"0."&amp;REPT("0",LEN('Outfall 1 Limits'!$AD$24)-FIND(".",'Outfall 1 Limits'!$AD$24))),ROUND(EE18,1-(1+INT(LOG10(ABS(EE18)))))),ROUND(EE18,'Outfall 1 Limits'!$AR$24))),""),"")</f>
        <v/>
      </c>
      <c r="N55" s="58" t="str">
        <f ca="1">IF(BX55&lt;&gt;"",IF(OR('Outfall 1 Limits'!$AX$28="C1",'Outfall 1 Limits'!$AX$28="C3"),IF(KG67="Y","&lt;",""),""),"")</f>
        <v/>
      </c>
      <c r="O55" s="58" t="str">
        <f ca="1">IF(BX55&lt;&gt;"",IF(OR('Outfall 1 Limits'!$AX$28="C1",'Outfall 1 Limits'!$AX$28="C3"),IF('Outfall 1 Limits'!$AW$28="E",ROUND(EF18,O126),IF('Outfall 1 Limits'!$AR$28&lt;&gt;0,IF(EF18&gt;=0.05,TEXT(EF18,"0."&amp;REPT("0",LEN('Outfall 1 Limits'!$AD$28)-FIND(".",'Outfall 1 Limits'!$AD$28))),ROUND(EF18,1-(1+INT(LOG10(ABS(EF18)))))),ROUND(EF18,'Outfall 1 Limits'!$AR$28))),""),"")</f>
        <v/>
      </c>
      <c r="P55" s="58" t="str">
        <f ca="1">IF(BY55&lt;&gt;"",IF(OR('Outfall 1 Limits'!$AX$32="C1",'Outfall 1 Limits'!$AX$32="C3"),IF(KH67="Y","&lt;",""),""),"")</f>
        <v/>
      </c>
      <c r="Q55" s="58" t="str">
        <f ca="1">IF(BY55&lt;&gt;"",IF(OR('Outfall 1 Limits'!$AX$32="C1",'Outfall 1 Limits'!$AX$32="C3"),IF('Outfall 1 Limits'!$AW$32="E",ROUND(EG18,Q126),IF('Outfall 1 Limits'!$AR$32&lt;&gt;0,IF(EG18&gt;=0.05,TEXT(EG18,"0."&amp;REPT("0",LEN('Outfall 1 Limits'!$AD$32)-FIND(".",'Outfall 1 Limits'!$AD$32))),ROUND(EG18,1-(1+INT(LOG10(ABS(EG18)))))),ROUND(EG18,'Outfall 1 Limits'!$AR$32))),""),"")</f>
        <v/>
      </c>
      <c r="R55" s="58" t="str">
        <f ca="1">IF(BZ55&lt;&gt;"",IF(OR('Outfall 1 Limits'!$AX$36="C1",'Outfall 1 Limits'!$AX$36="C3"),IF(KI67="Y","&lt;",""),""),"")</f>
        <v/>
      </c>
      <c r="S55" s="58" t="str">
        <f ca="1">IF(BZ55&lt;&gt;"",IF(OR('Outfall 1 Limits'!$AX$36="C1",'Outfall 1 Limits'!$AX$36="C3"),IF('Outfall 1 Limits'!$AW$36="E",ROUND(EH18,S126),IF('Outfall 1 Limits'!$AR$36&lt;&gt;0,IF(EH18&gt;=0.05,TEXT(EH18,"0."&amp;REPT("0",LEN('Outfall 1 Limits'!$AD$36)-FIND(".",'Outfall 1 Limits'!$AD$36))),ROUND(EH18,1-(1+INT(LOG10(ABS(EH18)))))),ROUND(EH18,'Outfall 1 Limits'!$AR$36))),""),"")</f>
        <v/>
      </c>
      <c r="T55" s="58" t="str">
        <f ca="1">IF(CA55&lt;&gt;"",IF(OR('Outfall 1 Limits'!$AX$40="C1",'Outfall 1 Limits'!$AX$40="C3"),IF(KJ67="Y","&lt;",""),""),"")</f>
        <v/>
      </c>
      <c r="U55" s="58" t="str">
        <f ca="1">IF(CA55&lt;&gt;"",IF(OR('Outfall 1 Limits'!$AX$40="C1",'Outfall 1 Limits'!$AX$40="C3"),IF('Outfall 1 Limits'!$AW$40="E",ROUND(EI18,U126),IF('Outfall 1 Limits'!$AR$40&lt;&gt;0,IF(EI18&gt;=0.05,TEXT(EI18,"0."&amp;REPT("0",LEN('Outfall 1 Limits'!$AD$40)-FIND(".",'Outfall 1 Limits'!$AD$40))),ROUND(EI18,1-(1+INT(LOG10(ABS(EI18)))))),ROUND(EI18,'Outfall 1 Limits'!$AR$40))),""),"")</f>
        <v/>
      </c>
      <c r="V55" s="58" t="str">
        <f ca="1">IF(CB55&lt;&gt;"",IF(OR('Outfall 1 Limits'!$AX$44="C1",'Outfall 1 Limits'!$AX$44="C3"),IF(KK67="Y","&lt;",""),""),"")</f>
        <v/>
      </c>
      <c r="W55" s="58" t="str">
        <f ca="1">IF(CB55&lt;&gt;"",IF(OR('Outfall 1 Limits'!$AX$44="C1",'Outfall 1 Limits'!$AX$44="C3"),IF('Outfall 1 Limits'!$AW$44="E",ROUND(EJ18,W126),IF('Outfall 1 Limits'!$AR$44&lt;&gt;0,IF(EJ18&gt;=0.05,TEXT(EJ18,"0."&amp;REPT("0",LEN('Outfall 1 Limits'!$AD$44)-FIND(".",'Outfall 1 Limits'!$AD$44))),ROUND(EJ18,1-(1+INT(LOG10(ABS(EJ18)))))),ROUND(EJ18,'Outfall 1 Limits'!$AR$44))),""),"")</f>
        <v/>
      </c>
      <c r="X55" s="58" t="str">
        <f ca="1">IF(CC55&lt;&gt;"",IF(OR('Outfall 1 Limits'!$AX$48="C1",'Outfall 1 Limits'!$AX$48="C3"),IF(KL67="Y","&lt;",""),""),"")</f>
        <v/>
      </c>
      <c r="Y55" s="58" t="str">
        <f ca="1">IF(CC55&lt;&gt;"",IF(OR('Outfall 1 Limits'!$AX$48="C1",'Outfall 1 Limits'!$AX$48="C3"),IF('Outfall 1 Limits'!$AW$48="E",ROUND(EK18,Y126),IF('Outfall 1 Limits'!$AR$48&lt;&gt;0,IF(EK18&gt;=0.05,TEXT(EK18,"0."&amp;REPT("0",LEN('Outfall 1 Limits'!$AD$48)-FIND(".",'Outfall 1 Limits'!$AD$48))),ROUND(EK18,1-(1+INT(LOG10(ABS(EK18)))))),ROUND(EK18,'Outfall 1 Limits'!$AR$48))),""),"")</f>
        <v/>
      </c>
      <c r="Z55" s="58" t="str">
        <f ca="1">IF(CD55&lt;&gt;"",IF(OR('Outfall 1 Limits'!$AX$52="C1",'Outfall 1 Limits'!$AX$52="C3"),IF(KM67="Y","&lt;",""),""),"")</f>
        <v/>
      </c>
      <c r="AA55" s="58" t="str">
        <f ca="1">IF(CD55&lt;&gt;"",IF(OR('Outfall 1 Limits'!$AX$52="C1",'Outfall 1 Limits'!$AX$52="C3"),IF('Outfall 1 Limits'!$AW$52="E",ROUND(EL18,AA126),IF('Outfall 1 Limits'!$AR$52&lt;&gt;0,IF(EL18&gt;=0.05,TEXT(EL18,"0."&amp;REPT("0",LEN('Outfall 1 Limits'!$AD$52)-FIND(".",'Outfall 1 Limits'!$AD$52))),ROUND(EL18,1-(1+INT(LOG10(ABS(EL18)))))),ROUND(EL18,'Outfall 1 Limits'!$AR$52))),""),"")</f>
        <v/>
      </c>
      <c r="AB55" s="58" t="str">
        <f ca="1">IF(CE55&lt;&gt;"",IF(OR('Outfall 1 Limits'!$AX$56="C1",'Outfall 1 Limits'!$AX$56="C3"),IF(KN67="Y","&lt;",""),""),"")</f>
        <v/>
      </c>
      <c r="AC55" s="58" t="str">
        <f ca="1">IF(CE55&lt;&gt;"",IF(OR('Outfall 1 Limits'!$AX$56="C1",'Outfall 1 Limits'!$AX$56="C3"),IF('Outfall 1 Limits'!$AW$56="E",ROUND(EM18,AC126),IF('Outfall 1 Limits'!$AR$56&lt;&gt;0,IF(EM18&gt;=0.05,TEXT(EM18,"0."&amp;REPT("0",LEN('Outfall 1 Limits'!$AD$56)-FIND(".",'Outfall 1 Limits'!$AD$56))),ROUND(EM18,1-(1+INT(LOG10(ABS(EM18)))))),ROUND(EM18,'Outfall 1 Limits'!$AR$56))),""),"")</f>
        <v/>
      </c>
      <c r="AD55" s="58" t="str">
        <f ca="1">IF(CF55&lt;&gt;"",IF(OR('Outfall 1 Limits'!$AX$60="C1",'Outfall 1 Limits'!$AX$60="C3"),IF(KO67="Y","&lt;",""),""),"")</f>
        <v/>
      </c>
      <c r="AE55" s="58" t="str">
        <f ca="1">IF(CF55&lt;&gt;"",IF(OR('Outfall 1 Limits'!$AX$60="C1",'Outfall 1 Limits'!$AX$60="C3"),IF('Outfall 1 Limits'!$AW$60="E",ROUND(EN18,AE126),IF('Outfall 1 Limits'!$AR$60&lt;&gt;0,IF(EN18&gt;=0.05,TEXT(EN18,"0."&amp;REPT("0",LEN('Outfall 1 Limits'!$AD$60)-FIND(".",'Outfall 1 Limits'!$AD$60))),ROUND(EN18,1-(1+INT(LOG10(ABS(EN18)))))),ROUND(EN18,'Outfall 1 Limits'!$AR$60))),""),"")</f>
        <v/>
      </c>
      <c r="AF55" s="58" t="str">
        <f ca="1">IF(CG55&lt;&gt;"",IF(OR('Outfall 1 Limits'!$AX$64="C1",'Outfall 1 Limits'!$AX$64="C3"),IF(KP67="Y","&lt;",""),""),"")</f>
        <v/>
      </c>
      <c r="AG55" s="58" t="str">
        <f ca="1">IF(CG55&lt;&gt;"",IF(OR('Outfall 1 Limits'!$AX$64="C1",'Outfall 1 Limits'!$AX$64="C3"),IF('Outfall 1 Limits'!$AW$64="E",ROUND(EO18,AG126),IF('Outfall 1 Limits'!$AR$64&lt;&gt;0,IF(EO18&gt;=0.05,TEXT(EO18,"0."&amp;REPT("0",LEN('Outfall 1 Limits'!$AD$64)-FIND(".",'Outfall 1 Limits'!$AD$64))),ROUND(EO18,1-(1+INT(LOG10(ABS(EO18)))))),ROUND(EO18,'Outfall 1 Limits'!$AR$64))),""),"")</f>
        <v/>
      </c>
      <c r="AH55" s="58" t="str">
        <f ca="1">IF(CH55&lt;&gt;"",IF(OR('Outfall 1 Limits'!$AX$68="C1",'Outfall 1 Limits'!$AX$68="C3"),IF(KQ67="Y","&lt;",""),""),"")</f>
        <v/>
      </c>
      <c r="AI55" s="172" t="str">
        <f ca="1">IF(CH55&lt;&gt;"",IF(OR('Outfall 1 Limits'!$AX$68="C1",'Outfall 1 Limits'!$AX$68="C3"),IF('Outfall 1 Limits'!$AW$68="E",ROUND(EP18,AI126),IF('Outfall 1 Limits'!$AR$68&lt;&gt;0,IF(EP18&gt;=0.05,TEXT(EP18,"0."&amp;REPT("0",LEN('Outfall 1 Limits'!$AD$68)-FIND(".",'Outfall 1 Limits'!$AD$68))),ROUND(EP18,1-(1+INT(LOG10(ABS(EP18)))))),ROUND(EP18,'Outfall 1 Limits'!$AR$68))),""),"")</f>
        <v/>
      </c>
      <c r="AJ55" s="236"/>
      <c r="BO55" s="188"/>
      <c r="BP55" s="267">
        <v>2074</v>
      </c>
      <c r="BQ55" s="83" t="s">
        <v>72</v>
      </c>
      <c r="BR55" s="188"/>
      <c r="BS55" s="188"/>
      <c r="BT55" s="229" t="s">
        <v>830</v>
      </c>
      <c r="BU55" s="68" t="str">
        <f ca="1">IF(ROWS(INDIRECT("BU"&amp;$D$10):INDIRECT("BU"&amp;$B$10))-COUNTIF(INDIRECT("BU"&amp;$D$10):INDIRECT("BU"&amp;$B$10),"")&gt;0,COUNT(INDIRECT("BU"&amp;$D$10):INDIRECT("BU"&amp;$B$10)),"")</f>
        <v/>
      </c>
      <c r="BV55" s="188" t="str">
        <f ca="1">IF(ROWS(INDIRECT("BV"&amp;$D$10):INDIRECT("BV"&amp;$B$10))-COUNTIF(INDIRECT("BV"&amp;$D$10):INDIRECT("BV"&amp;$B$10),"")&gt;0,COUNT(INDIRECT("BV"&amp;$D$10):INDIRECT("BV"&amp;$B$10)),"")</f>
        <v/>
      </c>
      <c r="BW55" s="188" t="str">
        <f ca="1">IF(ROWS(INDIRECT("BW"&amp;$D$10):INDIRECT("BW"&amp;$B$10))-COUNTIF(INDIRECT("BW"&amp;$D$10):INDIRECT("BW"&amp;$B$10),"")&gt;0,COUNT(INDIRECT("BW"&amp;$D$10):INDIRECT("BW"&amp;$B$10)),"")</f>
        <v/>
      </c>
      <c r="BX55" s="188" t="str">
        <f ca="1">IF(ROWS(INDIRECT("BX"&amp;$D$10):INDIRECT("BX"&amp;$B$10))-COUNTIF(INDIRECT("BX"&amp;$D$10):INDIRECT("BX"&amp;$B$10),"")&gt;0,COUNT(INDIRECT("BX"&amp;$D$10):INDIRECT("BX"&amp;$B$10)),"")</f>
        <v/>
      </c>
      <c r="BY55" s="188" t="str">
        <f ca="1">IF(ROWS(INDIRECT("BY"&amp;$D$10):INDIRECT("BY"&amp;$B$10))-COUNTIF(INDIRECT("BY"&amp;$D$10):INDIRECT("BY"&amp;$B$10),"")&gt;0,COUNT(INDIRECT("BY"&amp;$D$10):INDIRECT("BY"&amp;$B$10)),"")</f>
        <v/>
      </c>
      <c r="BZ55" s="188" t="str">
        <f ca="1">IF(ROWS(INDIRECT("BZ"&amp;$D$10):INDIRECT("BZ"&amp;$B$10))-COUNTIF(INDIRECT("BZ"&amp;$D$10):INDIRECT("BZ"&amp;$B$10),"")&gt;0,COUNT(INDIRECT("BZ"&amp;$D$10):INDIRECT("BZ"&amp;$B$10)),"")</f>
        <v/>
      </c>
      <c r="CA55" s="188" t="str">
        <f ca="1">IF(ROWS(INDIRECT("CA"&amp;$D$10):INDIRECT("CA"&amp;$B$10))-COUNTIF(INDIRECT("CA"&amp;$D$10):INDIRECT("CA"&amp;$B$10),"")&gt;0,COUNT(INDIRECT("CA"&amp;$D$10):INDIRECT("CA"&amp;$B$10)),"")</f>
        <v/>
      </c>
      <c r="CB55" s="188" t="str">
        <f ca="1">IF(ROWS(INDIRECT("CB"&amp;$D$10):INDIRECT("CB"&amp;$B$10))-COUNTIF(INDIRECT("CB"&amp;$D$10):INDIRECT("CB"&amp;$B$10),"")&gt;0,COUNT(INDIRECT("CB"&amp;$D$10):INDIRECT("CB"&amp;$B$10)),"")</f>
        <v/>
      </c>
      <c r="CC55" s="188" t="str">
        <f ca="1">IF(ROWS(INDIRECT("CC"&amp;$D$10):INDIRECT("CC"&amp;$B$10))-COUNTIF(INDIRECT("CC"&amp;$D$10):INDIRECT("CC"&amp;$B$10),"")&gt;0,COUNT(INDIRECT("CC"&amp;$D$10):INDIRECT("CC"&amp;$B$10)),"")</f>
        <v/>
      </c>
      <c r="CD55" s="188" t="str">
        <f ca="1">IF(ROWS(INDIRECT("CD"&amp;$D$10):INDIRECT("CD"&amp;$B$10))-COUNTIF(INDIRECT("CD"&amp;$D$10):INDIRECT("CD"&amp;$B$10),"")&gt;0,COUNT(INDIRECT("CD"&amp;$D$10):INDIRECT("CD"&amp;$B$10)),"")</f>
        <v/>
      </c>
      <c r="CE55" s="188" t="str">
        <f ca="1">IF(ROWS(INDIRECT("CE"&amp;$D$10):INDIRECT("CE"&amp;$B$10))-COUNTIF(INDIRECT("CE"&amp;$D$10):INDIRECT("CE"&amp;$B$10),"")&gt;0,COUNT(INDIRECT("CE"&amp;$D$10):INDIRECT("CE"&amp;$B$10)),"")</f>
        <v/>
      </c>
      <c r="CF55" s="188" t="str">
        <f ca="1">IF(ROWS(INDIRECT("CF"&amp;$D$10):INDIRECT("CF"&amp;$B$10))-COUNTIF(INDIRECT("CF"&amp;$D$10):INDIRECT("CF"&amp;$B$10),"")&gt;0,COUNT(INDIRECT("CF"&amp;$D$10):INDIRECT("CF"&amp;$B$10)),"")</f>
        <v/>
      </c>
      <c r="CG55" s="188" t="str">
        <f ca="1">IF(ROWS(INDIRECT("CG"&amp;$D$10):INDIRECT("CG"&amp;$B$10))-COUNTIF(INDIRECT("CG"&amp;$D$10):INDIRECT("CG"&amp;$B$10),"")&gt;0,COUNT(INDIRECT("CG"&amp;$D$10):INDIRECT("CG"&amp;$B$10)),"")</f>
        <v/>
      </c>
      <c r="CH55" s="188" t="str">
        <f ca="1">IF(ROWS(INDIRECT("CH"&amp;$D$10):INDIRECT("CH"&amp;$B$10))-COUNTIF(INDIRECT("CH"&amp;$D$10):INDIRECT("CH"&amp;$B$10),"")&gt;0,COUNT(INDIRECT("CH"&amp;$D$10):INDIRECT("CH"&amp;$B$10)),"")</f>
        <v/>
      </c>
      <c r="CX55" s="229" t="s">
        <v>374</v>
      </c>
      <c r="CY55" s="78"/>
      <c r="CZ55" s="76"/>
      <c r="DA55" s="76"/>
      <c r="DB55" s="76"/>
      <c r="DC55" s="76"/>
      <c r="DD55" s="76"/>
      <c r="DE55" s="76"/>
      <c r="DF55" s="76"/>
      <c r="DG55" s="76"/>
      <c r="DH55" s="76"/>
      <c r="DI55" s="76"/>
      <c r="DJ55" s="76"/>
      <c r="DK55" s="76"/>
      <c r="DL55" s="76"/>
      <c r="EB55" s="2"/>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233" t="s">
        <v>404</v>
      </c>
      <c r="FG55" s="93" t="str">
        <f ca="1">IF(SUM(FG14:FG51)&gt;0,IF('Outfall 1 Limits'!$AX16="C1",(IF(ROWS(INDIRECT("FG"&amp;$D$10):INDIRECT("FG"&amp;$B$10))-COUNTIF(INDIRECT("FG"&amp;$D$10):INDIRECT("FG"&amp;$B$10),"")&gt;0,SUM(INDIRECT("FG"&amp;$D$10):INDIRECT("FG"&amp;$B$10)),"")/BU55)*$R$6,IF(ROWS(INDIRECT("FG"&amp;$D$10):INDIRECT("FG"&amp;$B$10))-COUNTIF(INDIRECT("FG"&amp;$D$10):INDIRECT("FG"&amp;$B$10),"")&gt;0,SUM(INDIRECT("FG"&amp;$D$10):INDIRECT("FG"&amp;$B$10)),"")),"")</f>
        <v/>
      </c>
      <c r="FH55" s="21" t="str">
        <f ca="1">IF(SUM(FH14:FH51)&gt;0,IF('Outfall 1 Limits'!$AX20="C1",(IF(ROWS(INDIRECT("FH"&amp;$D$10):INDIRECT("FH"&amp;$B$10))-COUNTIF(INDIRECT("FH"&amp;$D$10):INDIRECT("FH"&amp;$B$10),"")&gt;0,SUM(INDIRECT("FH"&amp;$D$10):INDIRECT("FH"&amp;$B$10)),"")/BV55)*$R$6,IF(ROWS(INDIRECT("FH"&amp;$D$10):INDIRECT("FH"&amp;$B$10))-COUNTIF(INDIRECT("FH"&amp;$D$10):INDIRECT("FH"&amp;$B$10),"")&gt;0,SUM(INDIRECT("FH"&amp;$D$10):INDIRECT("FH"&amp;$B$10)),"")),"")</f>
        <v/>
      </c>
      <c r="FI55" s="21" t="str">
        <f ca="1">IF(SUM(FI14:FI51)&gt;0,IF('Outfall 1 Limits'!$AX24="C1",(IF(ROWS(INDIRECT("FI"&amp;$D$10):INDIRECT("FI"&amp;$B$10))-COUNTIF(INDIRECT("FI"&amp;$D$10):INDIRECT("FI"&amp;$B$10),"")&gt;0,SUM(INDIRECT("FI"&amp;$D$10):INDIRECT("FI"&amp;$B$10)),"")/BW55)*$R$6,IF(ROWS(INDIRECT("FI"&amp;$D$10):INDIRECT("FI"&amp;$B$10))-COUNTIF(INDIRECT("FI"&amp;$D$10):INDIRECT("FI"&amp;$B$10),"")&gt;0,SUM(INDIRECT("FI"&amp;$D$10):INDIRECT("FI"&amp;$B$10)),"")),"")</f>
        <v/>
      </c>
      <c r="FJ55" s="21" t="str">
        <f ca="1">IF(SUM(FJ14:FJ51)&gt;0,IF('Outfall 1 Limits'!$AX28="C1",(IF(ROWS(INDIRECT("FJ"&amp;$D$10):INDIRECT("FJ"&amp;$B$10))-COUNTIF(INDIRECT("FJ"&amp;$D$10):INDIRECT("FJ"&amp;$B$10),"")&gt;0,SUM(INDIRECT("FJ"&amp;$D$10):INDIRECT("FJ"&amp;$B$10)),"")/BX55)*$R$6,IF(ROWS(INDIRECT("FJ"&amp;$D$10):INDIRECT("FJ"&amp;$B$10))-COUNTIF(INDIRECT("FJ"&amp;$D$10):INDIRECT("FJ"&amp;$B$10),"")&gt;0,SUM(INDIRECT("FJ"&amp;$D$10):INDIRECT("FJ"&amp;$B$10)),"")),"")</f>
        <v/>
      </c>
      <c r="FK55" s="21" t="str">
        <f ca="1">IF(SUM(FK14:FK51)&gt;0,IF('Outfall 1 Limits'!$AX32="C1",(IF(ROWS(INDIRECT("FK"&amp;$D$10):INDIRECT("FK"&amp;$B$10))-COUNTIF(INDIRECT("FK"&amp;$D$10):INDIRECT("FK"&amp;$B$10),"")&gt;0,SUM(INDIRECT("FK"&amp;$D$10):INDIRECT("FK"&amp;$B$10)),"")/BY55)*$R$6,IF(ROWS(INDIRECT("FK"&amp;$D$10):INDIRECT("FK"&amp;$B$10))-COUNTIF(INDIRECT("FK"&amp;$D$10):INDIRECT("FK"&amp;$B$10),"")&gt;0,SUM(INDIRECT("FK"&amp;$D$10):INDIRECT("FK"&amp;$B$10)),"")),"")</f>
        <v/>
      </c>
      <c r="FL55" s="21" t="str">
        <f ca="1">IF(SUM(FL14:FL51)&gt;0,IF('Outfall 1 Limits'!$AX36="C1",(IF(ROWS(INDIRECT("FL"&amp;$D$10):INDIRECT("FL"&amp;$B$10))-COUNTIF(INDIRECT("FL"&amp;$D$10):INDIRECT("FL"&amp;$B$10),"")&gt;0,SUM(INDIRECT("FL"&amp;$D$10):INDIRECT("FL"&amp;$B$10)),"")/BZ55)*$R$6,IF(ROWS(INDIRECT("FL"&amp;$D$10):INDIRECT("FL"&amp;$B$10))-COUNTIF(INDIRECT("FL"&amp;$D$10):INDIRECT("FL"&amp;$B$10),"")&gt;0,SUM(INDIRECT("FL"&amp;$D$10):INDIRECT("FL"&amp;$B$10)),"")),"")</f>
        <v/>
      </c>
      <c r="FM55" s="21" t="str">
        <f ca="1">IF(SUM(FM14:FM51)&gt;0,IF('Outfall 1 Limits'!$AX40="C1",(IF(ROWS(INDIRECT("FM"&amp;$D$10):INDIRECT("FM"&amp;$B$10))-COUNTIF(INDIRECT("FM"&amp;$D$10):INDIRECT("FM"&amp;$B$10),"")&gt;0,SUM(INDIRECT("FM"&amp;$D$10):INDIRECT("FM"&amp;$B$10)),"")/CA55)*$R$6,IF(ROWS(INDIRECT("FM"&amp;$D$10):INDIRECT("FM"&amp;$B$10))-COUNTIF(INDIRECT("FM"&amp;$D$10):INDIRECT("FM"&amp;$B$10),"")&gt;0,SUM(INDIRECT("FM"&amp;$D$10):INDIRECT("FM"&amp;$B$10)),"")),"")</f>
        <v/>
      </c>
      <c r="FN55" s="21" t="str">
        <f ca="1">IF(SUM(FN14:FN51)&gt;0,IF('Outfall 1 Limits'!$AX44="C1",(IF(ROWS(INDIRECT("FN"&amp;$D$10):INDIRECT("FN"&amp;$B$10))-COUNTIF(INDIRECT("FN"&amp;$D$10):INDIRECT("FN"&amp;$B$10),"")&gt;0,SUM(INDIRECT("FN"&amp;$D$10):INDIRECT("FN"&amp;$B$10)),"")/CB55)*$R$6,IF(ROWS(INDIRECT("FN"&amp;$D$10):INDIRECT("FN"&amp;$B$10))-COUNTIF(INDIRECT("FN"&amp;$D$10):INDIRECT("FN"&amp;$B$10),"")&gt;0,SUM(INDIRECT("FN"&amp;$D$10):INDIRECT("FN"&amp;$B$10)),"")),"")</f>
        <v/>
      </c>
      <c r="FO55" s="21" t="str">
        <f ca="1">IF(SUM(FO14:FO51)&gt;0,IF('Outfall 1 Limits'!$AX48="C1",(IF(ROWS(INDIRECT("FO"&amp;$D$10):INDIRECT("FO"&amp;$B$10))-COUNTIF(INDIRECT("FO"&amp;$D$10):INDIRECT("FO"&amp;$B$10),"")&gt;0,SUM(INDIRECT("FO"&amp;$D$10):INDIRECT("FO"&amp;$B$10)),"")/CC55)*$R$6,IF(ROWS(INDIRECT("FO"&amp;$D$10):INDIRECT("FO"&amp;$B$10))-COUNTIF(INDIRECT("FO"&amp;$D$10):INDIRECT("FO"&amp;$B$10),"")&gt;0,SUM(INDIRECT("FO"&amp;$D$10):INDIRECT("FO"&amp;$B$10)),"")),"")</f>
        <v/>
      </c>
      <c r="FP55" s="21" t="str">
        <f ca="1">IF(SUM(FP14:FP51)&gt;0,IF('Outfall 1 Limits'!$AX52="C1",(IF(ROWS(INDIRECT("FP"&amp;$D$10):INDIRECT("FP"&amp;$B$10))-COUNTIF(INDIRECT("FP"&amp;$D$10):INDIRECT("FP"&amp;$B$10),"")&gt;0,SUM(INDIRECT("FP"&amp;$D$10):INDIRECT("FP"&amp;$B$10)),"")/CD55)*$R$6,IF(ROWS(INDIRECT("FP"&amp;$D$10):INDIRECT("FP"&amp;$B$10))-COUNTIF(INDIRECT("FP"&amp;$D$10):INDIRECT("FP"&amp;$B$10),"")&gt;0,SUM(INDIRECT("FP"&amp;$D$10):INDIRECT("FP"&amp;$B$10)),"")),"")</f>
        <v/>
      </c>
      <c r="FQ55" s="21" t="str">
        <f ca="1">IF(SUM(FQ14:FQ51)&gt;0,IF('Outfall 1 Limits'!$AX56="C1",(IF(ROWS(INDIRECT("FQ"&amp;$D$10):INDIRECT("FQ"&amp;$B$10))-COUNTIF(INDIRECT("FQ"&amp;$D$10):INDIRECT("FQ"&amp;$B$10),"")&gt;0,SUM(INDIRECT("FQ"&amp;$D$10):INDIRECT("FQ"&amp;$B$10)),"")/CE55)*$R$6,IF(ROWS(INDIRECT("FQ"&amp;$D$10):INDIRECT("FQ"&amp;$B$10))-COUNTIF(INDIRECT("FQ"&amp;$D$10):INDIRECT("FQ"&amp;$B$10),"")&gt;0,SUM(INDIRECT("FQ"&amp;$D$10):INDIRECT("FQ"&amp;$B$10)),"")),"")</f>
        <v/>
      </c>
      <c r="FR55" s="21" t="str">
        <f ca="1">IF(SUM(FR14:FR51)&gt;0,IF('Outfall 1 Limits'!$AX60="C1",(IF(ROWS(INDIRECT("FR"&amp;$D$10):INDIRECT("FR"&amp;$B$10))-COUNTIF(INDIRECT("FR"&amp;$D$10):INDIRECT("FR"&amp;$B$10),"")&gt;0,SUM(INDIRECT("FR"&amp;$D$10):INDIRECT("FR"&amp;$B$10)),"")/CF55)*$R$6,IF(ROWS(INDIRECT("FR"&amp;$D$10):INDIRECT("FR"&amp;$B$10))-COUNTIF(INDIRECT("FR"&amp;$D$10):INDIRECT("FR"&amp;$B$10),"")&gt;0,SUM(INDIRECT("FR"&amp;$D$10):INDIRECT("FR"&amp;$B$10)),"")),"")</f>
        <v/>
      </c>
      <c r="FS55" s="21" t="str">
        <f ca="1">IF(SUM(FS14:FS51)&gt;0,IF('Outfall 1 Limits'!$AX64="C1",(IF(ROWS(INDIRECT("FS"&amp;$D$10):INDIRECT("FS"&amp;$B$10))-COUNTIF(INDIRECT("FS"&amp;$D$10):INDIRECT("FS"&amp;$B$10),"")&gt;0,SUM(INDIRECT("FS"&amp;$D$10):INDIRECT("FS"&amp;$B$10)),"")/CG55)*$R$6,IF(ROWS(INDIRECT("FS"&amp;$D$10):INDIRECT("FS"&amp;$B$10))-COUNTIF(INDIRECT("FS"&amp;$D$10):INDIRECT("FS"&amp;$B$10),"")&gt;0,SUM(INDIRECT("FS"&amp;$D$10):INDIRECT("FS"&amp;$B$10)),"")),"")</f>
        <v/>
      </c>
      <c r="FT55" s="21" t="str">
        <f ca="1">IF(SUM(FT14:FT51)&gt;0,IF('Outfall 1 Limits'!$AX68="C1",(IF(ROWS(INDIRECT("FT"&amp;$D$10):INDIRECT("FT"&amp;$B$10))-COUNTIF(INDIRECT("FT"&amp;$D$10):INDIRECT("FT"&amp;$B$10),"")&gt;0,SUM(INDIRECT("FT"&amp;$D$10):INDIRECT("FT"&amp;$B$10)),"")/CH55)*$R$6,IF(ROWS(INDIRECT("FT"&amp;$D$10):INDIRECT("FT"&amp;$B$10))-COUNTIF(INDIRECT("FT"&amp;$D$10):INDIRECT("FT"&amp;$B$10),"")&gt;0,SUM(INDIRECT("FT"&amp;$D$10):INDIRECT("FT"&amp;$B$10)),"")),"")</f>
        <v/>
      </c>
      <c r="GJ55" s="233" t="s">
        <v>403</v>
      </c>
      <c r="GK55" s="68" t="str">
        <f ca="1">IF(GK54&lt;&gt;"",IF(OR('Outfall 1 Limits'!$AX$16="C1",'Outfall 1 Limits'!$AX$16="L"),IF(GK54&gt;=1,IF('Outfall 1 Limits'!$AN$16=0,ROUND(GK54,0),TEXT(GK54,"0."&amp;REPT("0",LEN('Outfall 1 Limits'!$K$16)-FIND(".",'Outfall 1 Limits'!$K$16)))),ROUND(GK54,1-(1+INT(LOG10(ABS(GK54)))))),ROUND(GK54,$I126)),"")</f>
        <v/>
      </c>
      <c r="GL55" s="29" t="str">
        <f ca="1">IF(GL54&lt;&gt;"",IF(OR('Outfall 1 Limits'!$AX$20="C1",'Outfall 1 Limits'!$AX$20="L"),IF(GL54&gt;=1,IF('Outfall 1 Limits'!$AN$20=0,ROUND(GL54,0),TEXT(GL54,"0."&amp;REPT("0",LEN('Outfall 1 Limits'!$K$20)-FIND(".",'Outfall 1 Limits'!$K$20)))),ROUND(GL54,1-(1+INT(LOG10(ABS(GL54)))))),ROUND(GL54,$K126)),"")</f>
        <v/>
      </c>
      <c r="GM55" s="29" t="str">
        <f ca="1">IF(GM54&lt;&gt;"",IF(OR('Outfall 1 Limits'!$AX$24="C1",'Outfall 1 Limits'!$AX$24="L"),IF(GM54&gt;=1,IF('Outfall 1 Limits'!$AN$24=0,ROUND(GM54,0),TEXT(GM54,"0."&amp;REPT("0",LEN('Outfall 1 Limits'!$K$24)-FIND(".",'Outfall 1 Limits'!$K$24)))),ROUND(GM54,1-(1+INT(LOG10(ABS(GM54)))))),ROUND(GM54,$M126)),"")</f>
        <v/>
      </c>
      <c r="GN55" s="29" t="str">
        <f ca="1">IF(GN54&lt;&gt;"",IF(OR('Outfall 1 Limits'!$AX$28="C1",'Outfall 1 Limits'!$AX$28="L"),IF(GN54&gt;=1,IF('Outfall 1 Limits'!$AN$28=0,ROUND(GN54,0),TEXT(GN54,"0."&amp;REPT("0",LEN('Outfall 1 Limits'!$K$28)-FIND(".",'Outfall 1 Limits'!$K$28)))),ROUND(GN54,1-(1+INT(LOG10(ABS(GN54)))))),ROUND(GN54,$O126)),"")</f>
        <v/>
      </c>
      <c r="GO55" s="29" t="str">
        <f ca="1">IF(GO54&lt;&gt;"",IF(OR('Outfall 1 Limits'!$AX$32="C1",'Outfall 1 Limits'!$AX$32="L"),IF(GO54&gt;=1,IF('Outfall 1 Limits'!$AN$32=0,ROUND(GO54,0),TEXT(GO54,"0."&amp;REPT("0",LEN('Outfall 1 Limits'!$K$32)-FIND(".",'Outfall 1 Limits'!$K$32)))),ROUND(GO54,1-(1+INT(LOG10(ABS(GO54)))))),ROUND(GO54,$Q126)),"")</f>
        <v/>
      </c>
      <c r="GP55" s="29" t="str">
        <f ca="1">IF(GP54&lt;&gt;"",IF(OR('Outfall 1 Limits'!$AX$36="C1",'Outfall 1 Limits'!$AX$36="L"),IF(GP54&gt;=1,IF('Outfall 1 Limits'!$AN$36=0,ROUND(GP54,0),TEXT(GP54,"0."&amp;REPT("0",LEN('Outfall 1 Limits'!$K$36)-FIND(".",'Outfall 1 Limits'!$K$36)))),ROUND(GP54,1-(1+INT(LOG10(ABS(GP54)))))),ROUND(GP54,$S126)),"")</f>
        <v/>
      </c>
      <c r="GQ55" s="29" t="str">
        <f ca="1">IF(GQ54&lt;&gt;"",IF(OR('Outfall 1 Limits'!$AX$40="C1",'Outfall 1 Limits'!$AX$40="L"),IF(GQ54&gt;=1,IF('Outfall 1 Limits'!$AN$40=0,ROUND(GQ54,0),TEXT(GQ54,"0."&amp;REPT("0",LEN('Outfall 1 Limits'!$K$40)-FIND(".",'Outfall 1 Limits'!$K$40)))),ROUND(GQ54,1-(1+INT(LOG10(ABS(GQ54)))))),ROUND(GQ54,$U126)),"")</f>
        <v/>
      </c>
      <c r="GR55" s="29" t="str">
        <f ca="1">IF(GR54&lt;&gt;"",IF(OR('Outfall 1 Limits'!$AX$44="C1",'Outfall 1 Limits'!$AX$44="L"),IF(GR54&gt;=1,IF('Outfall 1 Limits'!$AN$44=0,ROUND(GR54,0),TEXT(GR54,"0."&amp;REPT("0",LEN('Outfall 1 Limits'!$K$44)-FIND(".",'Outfall 1 Limits'!$K$44)))),ROUND(GR54,1-(1+INT(LOG10(ABS(GR54)))))),ROUND(GR54,$W126)),"")</f>
        <v/>
      </c>
      <c r="GS55" s="29" t="str">
        <f ca="1">IF(GS54&lt;&gt;"",IF(OR('Outfall 1 Limits'!$AX$48="C1",'Outfall 1 Limits'!$AX$48="L"),IF(GS54&gt;=1,IF('Outfall 1 Limits'!$AN$48=0,ROUND(GS54,0),TEXT(GS54,"0."&amp;REPT("0",LEN('Outfall 1 Limits'!$K$48)-FIND(".",'Outfall 1 Limits'!$K$48)))),ROUND(GS54,1-(1+INT(LOG10(ABS(GS54)))))),ROUND(GS54,$Y126)),"")</f>
        <v/>
      </c>
      <c r="GT55" s="29" t="str">
        <f ca="1">IF(GT54&lt;&gt;"",IF(OR('Outfall 1 Limits'!$AX$52="C1",'Outfall 1 Limits'!$AX$52="L"),IF(GT54&gt;=1,IF('Outfall 1 Limits'!$AN$52=0,ROUND(GT54,0),TEXT(GT54,"0."&amp;REPT("0",LEN('Outfall 1 Limits'!$K$52)-FIND(".",'Outfall 1 Limits'!$K$52)))),ROUND(GT54,1-(1+INT(LOG10(ABS(GT54)))))),ROUND(GT54,$AA126)),"")</f>
        <v/>
      </c>
      <c r="GU55" s="29" t="str">
        <f ca="1">IF(GU54&lt;&gt;"",IF(OR('Outfall 1 Limits'!$AX$56="C1",'Outfall 1 Limits'!$AX$56="L"),IF(GU54&gt;=1,IF('Outfall 1 Limits'!$AN$56=0,ROUND(GU54,0),TEXT(GU54,"0."&amp;REPT("0",LEN('Outfall 1 Limits'!$K$56)-FIND(".",'Outfall 1 Limits'!$K$56)))),ROUND(GU54,1-(1+INT(LOG10(ABS(GU54)))))),ROUND(GU54,$AC126)),"")</f>
        <v/>
      </c>
      <c r="GV55" s="29" t="str">
        <f ca="1">IF(GV54&lt;&gt;"",IF(OR('Outfall 1 Limits'!$AX$60="C1",'Outfall 1 Limits'!$AX$60="L"),IF(GV54&gt;=1,IF('Outfall 1 Limits'!$AN$60=0,ROUND(GV54,0),TEXT(GV54,"0."&amp;REPT("0",LEN('Outfall 1 Limits'!$K$60)-FIND(".",'Outfall 1 Limits'!$K$60)))),ROUND(GV54,1-(1+INT(LOG10(ABS(GV54)))))),ROUND(GV54,$AE126)),"")</f>
        <v/>
      </c>
      <c r="GW55" s="29" t="str">
        <f ca="1">IF(GW54&lt;&gt;"",IF(OR('Outfall 1 Limits'!$AX$64="C1",'Outfall 1 Limits'!$AX$64="L"),IF(GW54&gt;=1,IF('Outfall 1 Limits'!$AN$64=0,ROUND(GW54,0),TEXT(GW54,"0."&amp;REPT("0",LEN('Outfall 1 Limits'!$K$64)-FIND(".",'Outfall 1 Limits'!$K$64)))),ROUND(GW54,1-(1+INT(LOG10(ABS(GW54)))))),ROUND(GW54,$AG126)),"")</f>
        <v/>
      </c>
      <c r="GX55" s="29" t="str">
        <f ca="1">IF(GX54&lt;&gt;"",IF(OR('Outfall 1 Limits'!$AX$68="C1",'Outfall 1 Limits'!$AX$68="L"),IF(GX54&gt;=1,IF('Outfall 1 Limits'!$AN$68=0,ROUND(GX54,0),TEXT(GX54,"0."&amp;REPT("0",LEN('Outfall 1 Limits'!$K$68)-FIND(".",'Outfall 1 Limits'!$K$68)))),ROUND(GX54,1-(1+INT(LOG10(ABS(GX54)))))),ROUND(GX54,$AI126)),"")</f>
        <v/>
      </c>
      <c r="HN55" s="231" t="s">
        <v>841</v>
      </c>
      <c r="HO55" s="98" t="str">
        <f ca="1">IF(HO54&gt;HO53,"Y","N")</f>
        <v>N</v>
      </c>
      <c r="HP55" s="188"/>
      <c r="HQ55" s="188"/>
      <c r="HR55" s="229" t="s">
        <v>376</v>
      </c>
      <c r="HS55" s="68" t="str">
        <f ca="1">IF(HS53&lt;&gt;"",IF(HS53=HS54,"N","Y"),"")</f>
        <v/>
      </c>
      <c r="HT55" s="188" t="str">
        <f t="shared" ref="HT55:IF55" ca="1" si="94">IF(HT53&lt;&gt;"",IF(HT53=HT54,"N","Y"),"")</f>
        <v/>
      </c>
      <c r="HU55" s="188" t="str">
        <f t="shared" ca="1" si="94"/>
        <v/>
      </c>
      <c r="HV55" s="188" t="str">
        <f t="shared" ca="1" si="94"/>
        <v/>
      </c>
      <c r="HW55" s="188" t="str">
        <f t="shared" ca="1" si="94"/>
        <v/>
      </c>
      <c r="HX55" s="188" t="str">
        <f t="shared" ca="1" si="94"/>
        <v/>
      </c>
      <c r="HY55" s="188" t="str">
        <f t="shared" ca="1" si="94"/>
        <v/>
      </c>
      <c r="HZ55" s="188" t="str">
        <f t="shared" ca="1" si="94"/>
        <v/>
      </c>
      <c r="IA55" s="188" t="str">
        <f t="shared" ca="1" si="94"/>
        <v/>
      </c>
      <c r="IB55" s="188" t="str">
        <f t="shared" ca="1" si="94"/>
        <v/>
      </c>
      <c r="IC55" s="188" t="str">
        <f t="shared" ca="1" si="94"/>
        <v/>
      </c>
      <c r="ID55" s="188" t="str">
        <f t="shared" ca="1" si="94"/>
        <v/>
      </c>
      <c r="IE55" s="188" t="str">
        <f t="shared" ca="1" si="94"/>
        <v/>
      </c>
      <c r="IF55" s="188" t="str">
        <f t="shared" ca="1" si="94"/>
        <v/>
      </c>
      <c r="IW55" s="229" t="s">
        <v>1149</v>
      </c>
      <c r="IX55" s="68" t="str">
        <f ca="1">IF(IX53&lt;&gt;"",IF('Outfall 1 Limits'!$AX$16="C1",IF(IX53&gt;=1,IF('Outfall 1 Limits'!$AO$16=0,ROUND(IX53,0),TEXT(IX53,"0."&amp;REPT("0",LEN('Outfall 1 Limits'!$O16)-FIND(".",'Outfall 1 Limits'!$O16)))),ROUND(IX53,1-(1+INT(LOG10(ABS(IX53)))))),ROUND(IX53,$I126)),"")</f>
        <v/>
      </c>
      <c r="IY55" s="188" t="str">
        <f ca="1">IF(IY53&lt;&gt;"",IF('Outfall 1 Limits'!$AX$20="C1",IF(IY53&gt;=1,IF('Outfall 1 Limits'!$AO$20=0,ROUND(IY53,0),TEXT(IY53,"0."&amp;REPT("0",LEN('Outfall 1 Limits'!$O20)-FIND(".",'Outfall 1 Limits'!$O20)))),ROUND(IY53,1-(1+INT(LOG10(ABS(IY53)))))),ROUND(IY53,$K126)),"")</f>
        <v/>
      </c>
      <c r="IZ55" s="188" t="str">
        <f ca="1">IF(IZ53&lt;&gt;"",IF('Outfall 1 Limits'!$AX$24="C1",IF(IZ53&gt;=1,IF('Outfall 1 Limits'!$AO$24=0,ROUND(IZ53,0),TEXT(IZ53,"0."&amp;REPT("0",LEN('Outfall 1 Limits'!$O24)-FIND(".",'Outfall 1 Limits'!$O24)))),ROUND(IZ53,1-(1+INT(LOG10(ABS(IZ53)))))),ROUND(IZ53,$M126)),"")</f>
        <v/>
      </c>
      <c r="JA55" s="188" t="str">
        <f ca="1">IF(JA53&lt;&gt;"",IF('Outfall 1 Limits'!$AX$28="C1",IF(JA53&gt;=1,IF('Outfall 1 Limits'!$AO$28=0,ROUND(JA53,0),TEXT(JA53,"0."&amp;REPT("0",LEN('Outfall 1 Limits'!$O28)-FIND(".",'Outfall 1 Limits'!$O28)))),ROUND(JA53,1-(1+INT(LOG10(ABS(JA53)))))),ROUND(JA53,$O126)),"")</f>
        <v/>
      </c>
      <c r="JB55" s="188" t="str">
        <f ca="1">IF(JB53&lt;&gt;"",IF('Outfall 1 Limits'!$AX$32="C1",IF(JB53&gt;=1,IF('Outfall 1 Limits'!$AO$32=0,ROUND(JB53,0),TEXT(JB53,"0."&amp;REPT("0",LEN('Outfall 1 Limits'!$O32)-FIND(".",'Outfall 1 Limits'!$O32)))),ROUND(JB53,1-(1+INT(LOG10(ABS(JB53)))))),ROUND(JB53,$Q126)),"")</f>
        <v/>
      </c>
      <c r="JC55" s="188" t="str">
        <f ca="1">IF(JC53&lt;&gt;"",IF('Outfall 1 Limits'!$AX$36="C1",IF(JC53&gt;=1,IF('Outfall 1 Limits'!$AO$36=0,ROUND(JC53,0),TEXT(JC53,"0."&amp;REPT("0",LEN('Outfall 1 Limits'!$O36)-FIND(".",'Outfall 1 Limits'!$O36)))),ROUND(JC53,1-(1+INT(LOG10(ABS(JC53)))))),ROUND(JC53,$S126)),"")</f>
        <v/>
      </c>
      <c r="JD55" s="188" t="str">
        <f ca="1">IF(JD53&lt;&gt;"",IF('Outfall 1 Limits'!$AX$40="C1",IF(JD53&gt;=1,IF('Outfall 1 Limits'!$AO$40=0,ROUND(JD53,0),TEXT(JD53,"0."&amp;REPT("0",LEN('Outfall 1 Limits'!$O40)-FIND(".",'Outfall 1 Limits'!$O40)))),ROUND(JD53,1-(1+INT(LOG10(ABS(JD53)))))),ROUND(JD53,$U126)),"")</f>
        <v/>
      </c>
      <c r="JE55" s="188" t="str">
        <f ca="1">IF(JE53&lt;&gt;"",IF('Outfall 1 Limits'!$AX$44="C1",IF(JE53&gt;=1,IF('Outfall 1 Limits'!$AO$44=0,ROUND(JE53,0),TEXT(JE53,"0."&amp;REPT("0",LEN('Outfall 1 Limits'!$O44)-FIND(".",'Outfall 1 Limits'!$O44)))),ROUND(JE53,1-(1+INT(LOG10(ABS(JE53)))))),ROUND(JE53,$W126)),"")</f>
        <v/>
      </c>
      <c r="JF55" s="188" t="str">
        <f ca="1">IF(JF53&lt;&gt;"",IF('Outfall 1 Limits'!$AX$48="C1",IF(JF53&gt;=1,IF('Outfall 1 Limits'!$AO$48=0,ROUND(JF53,0),TEXT(JF53,"0."&amp;REPT("0",LEN('Outfall 1 Limits'!$O48)-FIND(".",'Outfall 1 Limits'!$O48)))),ROUND(JF53,1-(1+INT(LOG10(ABS(JF53)))))),ROUND(JF53,$Y126)),"")</f>
        <v/>
      </c>
      <c r="JG55" s="188" t="str">
        <f ca="1">IF(JG53&lt;&gt;"",IF('Outfall 1 Limits'!$AX$52="C1",IF(JG53&gt;=1,IF('Outfall 1 Limits'!$AO$52=0,ROUND(JG53,0),TEXT(JG53,"0."&amp;REPT("0",LEN('Outfall 1 Limits'!$O52)-FIND(".",'Outfall 1 Limits'!$O52)))),ROUND(JG53,1-(1+INT(LOG10(ABS(JG53)))))),ROUND(JG53,$AA126)),"")</f>
        <v/>
      </c>
      <c r="JH55" s="188" t="str">
        <f ca="1">IF(JH53&lt;&gt;"",IF('Outfall 1 Limits'!$AX$56="C1",IF(JH53&gt;=1,IF('Outfall 1 Limits'!$AO$56=0,ROUND(JH53,0),TEXT(JH53,"0."&amp;REPT("0",LEN('Outfall 1 Limits'!$O56)-FIND(".",'Outfall 1 Limits'!$O56)))),ROUND(JH53,1-(1+INT(LOG10(ABS(JH53)))))),ROUND(JH53,$AC126)),"")</f>
        <v/>
      </c>
      <c r="JI55" s="188" t="str">
        <f ca="1">IF(JI53&lt;&gt;"",IF('Outfall 1 Limits'!$AX$60="C1",IF(JI53&gt;=1,IF('Outfall 1 Limits'!$AO$60=0,ROUND(JI53,0),TEXT(JI53,"0."&amp;REPT("0",LEN('Outfall 1 Limits'!$O60)-FIND(".",'Outfall 1 Limits'!$O60)))),ROUND(JI53,1-(1+INT(LOG10(ABS(JI53)))))),ROUND(JI53,$AE126)),"")</f>
        <v/>
      </c>
      <c r="JJ55" s="188" t="str">
        <f ca="1">IF(JJ53&lt;&gt;"",IF('Outfall 1 Limits'!$AX$64="C1",IF(JJ53&gt;=1,IF('Outfall 1 Limits'!$AO$64=0,ROUND(JJ53,0),TEXT(JJ53,"0."&amp;REPT("0",LEN('Outfall 1 Limits'!$O64)-FIND(".",'Outfall 1 Limits'!$O64)))),ROUND(JJ53,1-(1+INT(LOG10(ABS(JJ53)))))),ROUND(JJ53,$AG126)),"")</f>
        <v/>
      </c>
      <c r="JK55" s="188" t="str">
        <f ca="1">IF(JK53&lt;&gt;"",IF('Outfall 1 Limits'!$AX$68="C1",IF(JK53&gt;=1,IF('Outfall 1 Limits'!$AO$68=0,ROUND(JK53,0),TEXT(JK53,"0."&amp;REPT("0",LEN('Outfall 1 Limits'!$O68)-FIND(".",'Outfall 1 Limits'!$O68)))),ROUND(JK53,1-(1+INT(LOG10(ABS(JK53)))))),ROUND(JK53,$AI126)),"")</f>
        <v/>
      </c>
      <c r="KA55" s="188"/>
      <c r="KB55" s="2"/>
      <c r="KC55" s="232" t="s">
        <v>1183</v>
      </c>
      <c r="KD55" s="188">
        <f t="shared" ref="KD55:KQ55" si="95">COUNTIF(KD14:KD51,"A")</f>
        <v>0</v>
      </c>
      <c r="KE55" s="188">
        <f t="shared" si="95"/>
        <v>0</v>
      </c>
      <c r="KF55" s="188">
        <f t="shared" si="95"/>
        <v>0</v>
      </c>
      <c r="KG55" s="188">
        <f t="shared" si="95"/>
        <v>0</v>
      </c>
      <c r="KH55" s="188">
        <f t="shared" si="95"/>
        <v>0</v>
      </c>
      <c r="KI55" s="188">
        <f t="shared" si="95"/>
        <v>0</v>
      </c>
      <c r="KJ55" s="188">
        <f t="shared" si="95"/>
        <v>0</v>
      </c>
      <c r="KK55" s="188">
        <f t="shared" si="95"/>
        <v>0</v>
      </c>
      <c r="KL55" s="188">
        <f t="shared" si="95"/>
        <v>0</v>
      </c>
      <c r="KM55" s="188">
        <f t="shared" si="95"/>
        <v>0</v>
      </c>
      <c r="KN55" s="188">
        <f t="shared" si="95"/>
        <v>0</v>
      </c>
      <c r="KO55" s="188">
        <f t="shared" si="95"/>
        <v>0</v>
      </c>
      <c r="KP55" s="188">
        <f t="shared" si="95"/>
        <v>0</v>
      </c>
      <c r="KQ55" s="188">
        <f t="shared" si="95"/>
        <v>0</v>
      </c>
    </row>
    <row r="56" spans="1:303" s="18" customFormat="1" ht="11.25" customHeight="1" thickTop="1" x14ac:dyDescent="0.2">
      <c r="A56" s="38"/>
      <c r="B56" s="415" t="s">
        <v>1</v>
      </c>
      <c r="C56" s="415"/>
      <c r="D56" s="415"/>
      <c r="E56" s="415"/>
      <c r="F56" s="416"/>
      <c r="G56" s="57"/>
      <c r="H56" s="58" t="str">
        <f ca="1">IF(BU55&lt;&gt;"",IF(OR('Outfall 1 Limits'!AX16="C1",'Outfall 1 Limits'!AX16="C3"),IF(KD60="Y","&lt;",""),""),"")</f>
        <v/>
      </c>
      <c r="I56" s="58" t="str">
        <f ca="1">IF(BU55&lt;&gt;"",IF(OR('Outfall 1 Limits'!$AX$16="C1",'Outfall 1 Limits'!$AX$16="C3"),IF('Outfall 1 Limits'!$AV$16="E",ROUND(CY54,I126),IF('Outfall 1 Limits'!$AQ$16&lt;&gt;0,IF(CY54&gt;=0.05,TEXT(CY54,"0."&amp;REPT("0",LEN('Outfall 1 Limits'!$Z$16)-FIND(".",'Outfall 1 Limits'!$Z$16))),ROUND(CY54,1-(1+INT(LOG10(ABS(CY54)))))),ROUND(CY54,'Outfall 1 Limits'!$AQ$16))),""),"")</f>
        <v/>
      </c>
      <c r="J56" s="130" t="str">
        <f ca="1">IF(BV55&lt;&gt;"",IF(OR('Outfall 1 Limits'!$AX$20="C1",'Outfall 1 Limits'!$AX$20="C3"),IF(KE60="Y","&lt;",""),""),"")</f>
        <v/>
      </c>
      <c r="K56" s="58" t="str">
        <f ca="1">IF(BV55&lt;&gt;"",IF(OR('Outfall 1 Limits'!$AX$20="C1",'Outfall 1 Limits'!$AX$20="C3"),IF('Outfall 1 Limits'!$AV$20="E",ROUND(CZ54,K126),IF('Outfall 1 Limits'!$AQ$20&lt;&gt;0,IF(CZ54&gt;=0.05,TEXT(CZ54,"0."&amp;REPT("0",LEN('Outfall 1 Limits'!$Z$20)-FIND(".",'Outfall 1 Limits'!$Z$20))),ROUND(CZ54,1-(1+INT(LOG10(ABS(CZ54)))))),ROUND(CZ54,'Outfall 1 Limits'!$AQ$20))),""),"")</f>
        <v/>
      </c>
      <c r="L56" s="58" t="str">
        <f ca="1">IF(BW55&lt;&gt;"",IF(OR('Outfall 1 Limits'!$AX$24="C1",'Outfall 1 Limits'!$AX$24="C3"),IF(KF60="Y","&lt;",""),""),"")</f>
        <v/>
      </c>
      <c r="M56" s="58" t="str">
        <f ca="1">IF(BW55&lt;&gt;"",IF(OR('Outfall 1 Limits'!$AX$24="C1",'Outfall 1 Limits'!$AX$24="C3"),IF('Outfall 1 Limits'!$AV$24="E",ROUND(DA54,M126),IF('Outfall 1 Limits'!$AQ$24&lt;&gt;0,IF(DA54&gt;=0.05,TEXT(DA54,"0."&amp;REPT("0",LEN('Outfall 1 Limits'!$Z$24)-FIND(".",'Outfall 1 Limits'!$Z$24))),ROUND(DA54,1-(1+INT(LOG10(ABS(DA54)))))),ROUND(DA54,'Outfall 1 Limits'!$AQ$24))),""),"")</f>
        <v/>
      </c>
      <c r="N56" s="58" t="str">
        <f ca="1">IF(BX55&lt;&gt;"",IF(OR('Outfall 1 Limits'!$AX$28="C1",'Outfall 1 Limits'!$AX$28="C3"),IF(KG60="Y","&lt;",""),""),"")</f>
        <v/>
      </c>
      <c r="O56" s="58" t="str">
        <f ca="1">IF(BX55&lt;&gt;"",IF(OR('Outfall 1 Limits'!$AX$28="C1",'Outfall 1 Limits'!$AX$28="C3"),IF('Outfall 1 Limits'!$AV$28="E",ROUND(DB54,O126),IF('Outfall 1 Limits'!$AQ$28&lt;&gt;0,IF(DB54&gt;=0.05,TEXT(DB54,"0."&amp;REPT("0",LEN('Outfall 1 Limits'!$Z$28)-FIND(".",'Outfall 1 Limits'!$Z$28))),ROUND(DB54,1-(1+INT(LOG10(ABS(DB54)))))),ROUND(DB54,'Outfall 1 Limits'!$AQ$28))),""),"")</f>
        <v/>
      </c>
      <c r="P56" s="58" t="str">
        <f ca="1">IF(BY55&lt;&gt;"",IF(OR('Outfall 1 Limits'!$AX$32="C1",'Outfall 1 Limits'!$AX$32="C3"),IF(KH60="Y","&lt;",""),""),"")</f>
        <v/>
      </c>
      <c r="Q56" s="58" t="str">
        <f ca="1">IF(BY55&lt;&gt;"",IF(OR('Outfall 1 Limits'!$AX$32="C1",'Outfall 1 Limits'!$AX$32="C3"),IF('Outfall 1 Limits'!$AV$32="E",ROUND(DC54,Q126),IF('Outfall 1 Limits'!$AQ$32&lt;&gt;0,IF(DC54&gt;=0.05,TEXT(DC54,"0."&amp;REPT("0",LEN('Outfall 1 Limits'!$Z$32)-FIND(".",'Outfall 1 Limits'!$Z$32))),ROUND(DC54,1-(1+INT(LOG10(ABS(DC54)))))),ROUND(DC54,'Outfall 1 Limits'!$AQ$32))),""),"")</f>
        <v/>
      </c>
      <c r="R56" s="58" t="str">
        <f ca="1">IF(BZ55&lt;&gt;"",IF(OR('Outfall 1 Limits'!$AX$36="C1",'Outfall 1 Limits'!$AX$36="C3"),IF(KI60="Y","&lt;",""),""),"")</f>
        <v/>
      </c>
      <c r="S56" s="58" t="str">
        <f ca="1">IF(BZ55&lt;&gt;"",IF(OR('Outfall 1 Limits'!$AX$36="C1",'Outfall 1 Limits'!$AX$36="C3"),IF('Outfall 1 Limits'!$AV$36="E",ROUND(DD54,S126),IF('Outfall 1 Limits'!$AQ$36&lt;&gt;0,IF(DD54&gt;=0.05,TEXT(DD54,"0."&amp;REPT("0",LEN('Outfall 1 Limits'!$Z$36)-FIND(".",'Outfall 1 Limits'!$Z$36))),ROUND(DD54,1-(1+INT(LOG10(ABS(DD54)))))),ROUND(DD54,'Outfall 1 Limits'!$AQ$36))),""),"")</f>
        <v/>
      </c>
      <c r="T56" s="58" t="str">
        <f ca="1">IF(CA55&lt;&gt;"",IF(OR('Outfall 1 Limits'!$AX$40="C1",'Outfall 1 Limits'!$AX$40="C3"),IF(KJ60="Y","&lt;",""),""),"")</f>
        <v/>
      </c>
      <c r="U56" s="58" t="str">
        <f ca="1">IF(CA55&lt;&gt;"",IF(OR('Outfall 1 Limits'!$AX$40="C1",'Outfall 1 Limits'!$AX$40="C3"),IF('Outfall 1 Limits'!$AV$40="E",ROUND(DE54,U126),IF('Outfall 1 Limits'!$AQ$40&lt;&gt;0,IF(DE54&gt;=0.05,TEXT(DE54,"0."&amp;REPT("0",LEN('Outfall 1 Limits'!$Z$40)-FIND(".",'Outfall 1 Limits'!$Z$40))),ROUND(DE54,1-(1+INT(LOG10(ABS(DE54)))))),ROUND(DE54,'Outfall 1 Limits'!$AQ$40))),""),"")</f>
        <v/>
      </c>
      <c r="V56" s="58" t="str">
        <f ca="1">IF(CB55&lt;&gt;"",IF(OR('Outfall 1 Limits'!$AX$44="C1",'Outfall 1 Limits'!$AX$44="C3"),IF(KK60="Y","&lt;",""),""),"")</f>
        <v/>
      </c>
      <c r="W56" s="58" t="str">
        <f ca="1">IF(CB55&lt;&gt;"",IF(OR('Outfall 1 Limits'!$AX$44="C1",'Outfall 1 Limits'!$AX$44="C3"),IF('Outfall 1 Limits'!$AV$44="E",ROUND(DF54,W126),IF('Outfall 1 Limits'!$AQ$44&lt;&gt;0,IF(DF54&gt;=0.05,TEXT(DF54,"0."&amp;REPT("0",LEN('Outfall 1 Limits'!$Z$44)-FIND(".",'Outfall 1 Limits'!$Z$44))),ROUND(DF54,1-(1+INT(LOG10(ABS(DF54)))))),ROUND(DF54,'Outfall 1 Limits'!$AQ$44))),""),"")</f>
        <v/>
      </c>
      <c r="X56" s="58" t="str">
        <f ca="1">IF(CC55&lt;&gt;"",IF(OR('Outfall 1 Limits'!$AX$48="C1",'Outfall 1 Limits'!$AX$48="C3"),IF(KL60="Y","&lt;",""),""),"")</f>
        <v/>
      </c>
      <c r="Y56" s="58" t="str">
        <f ca="1">IF(CC55&lt;&gt;"",IF(OR('Outfall 1 Limits'!$AX$48="C1",'Outfall 1 Limits'!$AX$48="C3"),IF('Outfall 1 Limits'!$AV$48="E",ROUND(DG54,Y126),IF('Outfall 1 Limits'!$AQ$48&lt;&gt;0,IF(DG54&gt;=0.05,TEXT(DG54,"0."&amp;REPT("0",LEN('Outfall 1 Limits'!$Z$48)-FIND(".",'Outfall 1 Limits'!$Z$48))),ROUND(DG54,1-(1+INT(LOG10(ABS(DG54)))))),ROUND(DG54,'Outfall 1 Limits'!$AQ$48))),""),"")</f>
        <v/>
      </c>
      <c r="Z56" s="58" t="str">
        <f ca="1">IF(CD55&lt;&gt;"",IF(OR('Outfall 1 Limits'!$AX$52="C1",'Outfall 1 Limits'!$AX$52="C3"),IF(KM60="Y","&lt;",""),""),"")</f>
        <v/>
      </c>
      <c r="AA56" s="58" t="str">
        <f ca="1">IF(CD55&lt;&gt;"",IF(OR('Outfall 1 Limits'!$AX$52="C1",'Outfall 1 Limits'!$AX$52="C3"),IF('Outfall 1 Limits'!$AV$52="E",ROUND(DH54,AA126),IF('Outfall 1 Limits'!$AQ$52&lt;&gt;0,IF(DH54&gt;=0.05,TEXT(DH54,"0."&amp;REPT("0",LEN('Outfall 1 Limits'!$Z$52)-FIND(".",'Outfall 1 Limits'!$Z$52))),ROUND(DH54,1-(1+INT(LOG10(ABS(DH54)))))),ROUND(DH54,'Outfall 1 Limits'!$AQ$52))),""),"")</f>
        <v/>
      </c>
      <c r="AB56" s="58" t="str">
        <f ca="1">IF(CE55&lt;&gt;"",IF(OR('Outfall 1 Limits'!$AX$56="C1",'Outfall 1 Limits'!$AX$56="C3"),IF(KN60="Y","&lt;",""),""),"")</f>
        <v/>
      </c>
      <c r="AC56" s="58" t="str">
        <f ca="1">IF(CE55&lt;&gt;"",IF(OR('Outfall 1 Limits'!$AX$56="C1",'Outfall 1 Limits'!$AX$56="C3"),IF('Outfall 1 Limits'!$AV$56="E",ROUND(DI54,AC126),IF('Outfall 1 Limits'!$AQ$56&lt;&gt;0,IF(DI54&gt;=0.05,TEXT(DI54,"0."&amp;REPT("0",LEN('Outfall 1 Limits'!$Z$56)-FIND(".",'Outfall 1 Limits'!$Z$56))),ROUND(DI54,1-(1+INT(LOG10(ABS(DI54)))))),ROUND(DI54,'Outfall 1 Limits'!$AQ$56))),""),"")</f>
        <v/>
      </c>
      <c r="AD56" s="58" t="str">
        <f ca="1">IF(CF55&lt;&gt;"",IF(OR('Outfall 1 Limits'!$AX$60="C1",'Outfall 1 Limits'!$AX$60="C3"),IF(KO60="Y","&lt;",""),""),"")</f>
        <v/>
      </c>
      <c r="AE56" s="58" t="str">
        <f ca="1">IF(CF55&lt;&gt;"",IF(OR('Outfall 1 Limits'!$AX$60="C1",'Outfall 1 Limits'!$AX$60="C3"),IF('Outfall 1 Limits'!$AV$60="E",ROUND(DJ54,AE126),IF('Outfall 1 Limits'!$AQ$60&lt;&gt;0,IF(DJ54&gt;=0.05,TEXT(DJ54,"0."&amp;REPT("0",LEN('Outfall 1 Limits'!$Z$60)-FIND(".",'Outfall 1 Limits'!$Z$60))),ROUND(DJ54,1-(1+INT(LOG10(ABS(DJ54)))))),ROUND(DJ54,'Outfall 1 Limits'!$AQ$60))),""),"")</f>
        <v/>
      </c>
      <c r="AF56" s="58" t="str">
        <f ca="1">IF(CG55&lt;&gt;"",IF(OR('Outfall 1 Limits'!$AX$64="C1",'Outfall 1 Limits'!$AX$64="C3"),IF(KP60="Y","&lt;",""),""),"")</f>
        <v/>
      </c>
      <c r="AG56" s="58" t="str">
        <f ca="1">IF(CG55&lt;&gt;"",IF(OR('Outfall 1 Limits'!$AX$64="C1",'Outfall 1 Limits'!$AX$64="C3"),IF('Outfall 1 Limits'!$AV$64="E",ROUND(DK54,AG126),IF('Outfall 1 Limits'!$AQ$64&lt;&gt;0,IF(DK54&gt;=0.05,TEXT(DK54,"0."&amp;REPT("0",LEN('Outfall 1 Limits'!$Z$64)-FIND(".",'Outfall 1 Limits'!$Z$64))),ROUND(DK54,1-(1+INT(LOG10(ABS(DK54)))))),ROUND(DK54,'Outfall 1 Limits'!$AQ$64))),""),"")</f>
        <v/>
      </c>
      <c r="AH56" s="58" t="str">
        <f ca="1">IF(CH55&lt;&gt;"",IF(OR('Outfall 1 Limits'!$AX$68="C1",'Outfall 1 Limits'!$AX$68="C3"),IF(KQ60="Y","&lt;",""),""),"")</f>
        <v/>
      </c>
      <c r="AI56" s="172" t="str">
        <f ca="1">IF(CH55&lt;&gt;"",IF(OR('Outfall 1 Limits'!$AX$68="C1",'Outfall 1 Limits'!$AX$68="C3"),IF('Outfall 1 Limits'!$AV$68="E",ROUND(DL54,AI126),IF('Outfall 1 Limits'!$AQ$68&lt;&gt;0,IF(DL54&gt;=0.05,TEXT(DL54,"0."&amp;REPT("0",LEN('Outfall 1 Limits'!$Z$68)-FIND(".",'Outfall 1 Limits'!$Z$68))),ROUND(DL54,1-(1+INT(LOG10(ABS(DL54)))))),ROUND(DL54,'Outfall 1 Limits'!$AQ$68))),""),"")</f>
        <v/>
      </c>
      <c r="AJ56" s="236"/>
      <c r="BO56" s="188"/>
      <c r="BP56" s="267">
        <v>2075</v>
      </c>
      <c r="BQ56" s="83" t="s">
        <v>1157</v>
      </c>
      <c r="BR56" s="188"/>
      <c r="BS56" s="188"/>
      <c r="BT56" s="229" t="s">
        <v>1139</v>
      </c>
      <c r="BU56" s="68" t="e">
        <f ca="1">IF(BU53&lt;&gt;0,IF(INT(BU53)=BU53,"N","Y"),"")</f>
        <v>#VALUE!</v>
      </c>
      <c r="BV56" s="188" t="e">
        <f t="shared" ref="BV56:CH56" ca="1" si="96">IF(BV53&lt;&gt;0,IF(INT(BV53)=BV53,"N","Y"),"")</f>
        <v>#VALUE!</v>
      </c>
      <c r="BW56" s="188" t="e">
        <f t="shared" ca="1" si="96"/>
        <v>#VALUE!</v>
      </c>
      <c r="BX56" s="188" t="e">
        <f t="shared" ca="1" si="96"/>
        <v>#VALUE!</v>
      </c>
      <c r="BY56" s="188" t="e">
        <f t="shared" ca="1" si="96"/>
        <v>#VALUE!</v>
      </c>
      <c r="BZ56" s="188" t="e">
        <f t="shared" ca="1" si="96"/>
        <v>#VALUE!</v>
      </c>
      <c r="CA56" s="188" t="e">
        <f t="shared" ca="1" si="96"/>
        <v>#VALUE!</v>
      </c>
      <c r="CB56" s="188" t="e">
        <f t="shared" ca="1" si="96"/>
        <v>#VALUE!</v>
      </c>
      <c r="CC56" s="188" t="e">
        <f t="shared" ca="1" si="96"/>
        <v>#VALUE!</v>
      </c>
      <c r="CD56" s="188" t="e">
        <f t="shared" ca="1" si="96"/>
        <v>#VALUE!</v>
      </c>
      <c r="CE56" s="188" t="e">
        <f t="shared" ca="1" si="96"/>
        <v>#VALUE!</v>
      </c>
      <c r="CF56" s="188" t="e">
        <f t="shared" ca="1" si="96"/>
        <v>#VALUE!</v>
      </c>
      <c r="CG56" s="188" t="e">
        <f t="shared" ca="1" si="96"/>
        <v>#VALUE!</v>
      </c>
      <c r="CH56" s="188" t="e">
        <f t="shared" ca="1" si="96"/>
        <v>#VALUE!</v>
      </c>
      <c r="CX56" s="229" t="s">
        <v>375</v>
      </c>
      <c r="CY56" s="77"/>
      <c r="CZ56" s="76"/>
      <c r="DA56" s="76"/>
      <c r="DB56" s="76"/>
      <c r="DC56" s="76"/>
      <c r="DD56" s="76"/>
      <c r="DE56" s="76"/>
      <c r="DF56" s="76"/>
      <c r="DG56" s="76"/>
      <c r="DH56" s="76"/>
      <c r="DI56" s="76"/>
      <c r="DJ56" s="76"/>
      <c r="DK56" s="76"/>
      <c r="DL56" s="76"/>
      <c r="EB56" s="2"/>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J56" s="233" t="s">
        <v>404</v>
      </c>
      <c r="GK56" s="95" t="str">
        <f ca="1">IF(SUM(GK14:GK51)&gt;0,IF('Outfall 1 Limits'!$AX16="C1",(IF(ROWS(INDIRECT("GK"&amp;$D$10):INDIRECT("GK"&amp;$B$10))-COUNTIF(INDIRECT("GK"&amp;$D$10):INDIRECT("GK"&amp;$B$10),"")&gt;0,SUM(INDIRECT("GK"&amp;$D$10):INDIRECT("GK"&amp;$B$10)),"")/BU55)*$R$6,IF(ROWS(INDIRECT("GK"&amp;$D$10):INDIRECT("GK"&amp;$B$10))-COUNTIF(INDIRECT("GK"&amp;$D$10):INDIRECT("GK"&amp;$B$10),"")&gt;0,SUM(INDIRECT("GK"&amp;$D$10):INDIRECT("GK"&amp;$B$10)),"")),"")</f>
        <v/>
      </c>
      <c r="GL56" s="29" t="str">
        <f ca="1">IF(SUM(GL14:GL51)&gt;0,IF('Outfall 1 Limits'!$AX20="C1",(IF(ROWS(INDIRECT("GL"&amp;$D$10):INDIRECT("GL"&amp;$B$10))-COUNTIF(INDIRECT("GL"&amp;$D$10):INDIRECT("GL"&amp;$B$10),"")&gt;0,SUM(INDIRECT("GL"&amp;$D$10):INDIRECT("GL"&amp;$B$10)),"")/BV55)*$R$6,IF(ROWS(INDIRECT("GL"&amp;$D$10):INDIRECT("GL"&amp;$B$10))-COUNTIF(INDIRECT("GL"&amp;$D$10):INDIRECT("GL"&amp;$B$10),"")&gt;0,SUM(INDIRECT("GL"&amp;$D$10):INDIRECT("GL"&amp;$B$10)),"")),"")</f>
        <v/>
      </c>
      <c r="GM56" s="29" t="str">
        <f ca="1">IF(SUM(GM14:GM51)&gt;0,IF('Outfall 1 Limits'!$AX24="C1",(IF(ROWS(INDIRECT("GM"&amp;$D$10):INDIRECT("GM"&amp;$B$10))-COUNTIF(INDIRECT("GM"&amp;$D$10):INDIRECT("GM"&amp;$B$10),"")&gt;0,SUM(INDIRECT("GM"&amp;$D$10):INDIRECT("GM"&amp;$B$10)),"")/BW55)*$R$6,IF(ROWS(INDIRECT("GM"&amp;$D$10):INDIRECT("GM"&amp;$B$10))-COUNTIF(INDIRECT("GM"&amp;$D$10):INDIRECT("GM"&amp;$B$10),"")&gt;0,SUM(INDIRECT("GM"&amp;$D$10):INDIRECT("GM"&amp;$B$10)),"")),"")</f>
        <v/>
      </c>
      <c r="GN56" s="29" t="str">
        <f ca="1">IF(SUM(GN14:GN51)&gt;0,IF('Outfall 1 Limits'!$AX28="C1",(IF(ROWS(INDIRECT("GN"&amp;$D$10):INDIRECT("GN"&amp;$B$10))-COUNTIF(INDIRECT("GN"&amp;$D$10):INDIRECT("GN"&amp;$B$10),"")&gt;0,SUM(INDIRECT("GN"&amp;$D$10):INDIRECT("GN"&amp;$B$10)),"")/BX55)*$R$6,IF(ROWS(INDIRECT("GN"&amp;$D$10):INDIRECT("GN"&amp;$B$10))-COUNTIF(INDIRECT("GN"&amp;$D$10):INDIRECT("GN"&amp;$B$10),"")&gt;0,SUM(INDIRECT("GN"&amp;$D$10):INDIRECT("GN"&amp;$B$10)),"")),"")</f>
        <v/>
      </c>
      <c r="GO56" s="29" t="str">
        <f ca="1">IF(SUM(GO14:GO51)&gt;0,IF('Outfall 1 Limits'!$AX32="C1",(IF(ROWS(INDIRECT("GO"&amp;$D$10):INDIRECT("GO"&amp;$B$10))-COUNTIF(INDIRECT("GO"&amp;$D$10):INDIRECT("GO"&amp;$B$10),"")&gt;0,SUM(INDIRECT("GO"&amp;$D$10):INDIRECT("GO"&amp;$B$10)),"")/BY55)*$R$6,IF(ROWS(INDIRECT("GO"&amp;$D$10):INDIRECT("GO"&amp;$B$10))-COUNTIF(INDIRECT("GO"&amp;$D$10):INDIRECT("GO"&amp;$B$10),"")&gt;0,SUM(INDIRECT("GO"&amp;$D$10):INDIRECT("GO"&amp;$B$10)),"")),"")</f>
        <v/>
      </c>
      <c r="GP56" s="29" t="str">
        <f ca="1">IF(SUM(GP14:GP51)&gt;0,IF('Outfall 1 Limits'!$AX36="C1",(IF(ROWS(INDIRECT("GP"&amp;$D$10):INDIRECT("GP"&amp;$B$10))-COUNTIF(INDIRECT("GP"&amp;$D$10):INDIRECT("GP"&amp;$B$10),"")&gt;0,SUM(INDIRECT("GP"&amp;$D$10):INDIRECT("GP"&amp;$B$10)),"")/BZ55)*$R$6,IF(ROWS(INDIRECT("GP"&amp;$D$10):INDIRECT("GP"&amp;$B$10))-COUNTIF(INDIRECT("GP"&amp;$D$10):INDIRECT("GP"&amp;$B$10),"")&gt;0,SUM(INDIRECT("GP"&amp;$D$10):INDIRECT("GP"&amp;$B$10)),"")),"")</f>
        <v/>
      </c>
      <c r="GQ56" s="29" t="str">
        <f ca="1">IF(SUM(GQ14:GQ51)&gt;0,IF('Outfall 1 Limits'!$AX40="C1",(IF(ROWS(INDIRECT("GQ"&amp;$D$10):INDIRECT("GQ"&amp;$B$10))-COUNTIF(INDIRECT("GQ"&amp;$D$10):INDIRECT("GQ"&amp;$B$10),"")&gt;0,SUM(INDIRECT("GQ"&amp;$D$10):INDIRECT("GQ"&amp;$B$10)),"")/CA55)*$R$6,IF(ROWS(INDIRECT("GQ"&amp;$D$10):INDIRECT("GQ"&amp;$B$10))-COUNTIF(INDIRECT("GQ"&amp;$D$10):INDIRECT("GQ"&amp;$B$10),"")&gt;0,SUM(INDIRECT("GQ"&amp;$D$10):INDIRECT("GQ"&amp;$B$10)),"")),"")</f>
        <v/>
      </c>
      <c r="GR56" s="29" t="str">
        <f ca="1">IF(SUM(GR14:GR51)&gt;0,IF('Outfall 1 Limits'!$AX44="C1",(IF(ROWS(INDIRECT("GR"&amp;$D$10):INDIRECT("GR"&amp;$B$10))-COUNTIF(INDIRECT("GR"&amp;$D$10):INDIRECT("GR"&amp;$B$10),"")&gt;0,SUM(INDIRECT("GR"&amp;$D$10):INDIRECT("GR"&amp;$B$10)),"")/CB55)*$R$6,IF(ROWS(INDIRECT("GR"&amp;$D$10):INDIRECT("GR"&amp;$B$10))-COUNTIF(INDIRECT("GR"&amp;$D$10):INDIRECT("GR"&amp;$B$10),"")&gt;0,SUM(INDIRECT("GR"&amp;$D$10):INDIRECT("GR"&amp;$B$10)),"")),"")</f>
        <v/>
      </c>
      <c r="GS56" s="29" t="str">
        <f ca="1">IF(SUM(GS14:GS51)&gt;0,IF('Outfall 1 Limits'!$AX48="C1",(IF(ROWS(INDIRECT("GS"&amp;$D$10):INDIRECT("GS"&amp;$B$10))-COUNTIF(INDIRECT("GS"&amp;$D$10):INDIRECT("GS"&amp;$B$10),"")&gt;0,SUM(INDIRECT("GS"&amp;$D$10):INDIRECT("GS"&amp;$B$10)),"")/CC55)*$R$6,IF(ROWS(INDIRECT("GS"&amp;$D$10):INDIRECT("GS"&amp;$B$10))-COUNTIF(INDIRECT("GS"&amp;$D$10):INDIRECT("GS"&amp;$B$10),"")&gt;0,SUM(INDIRECT("GS"&amp;$D$10):INDIRECT("GS"&amp;$B$10)),"")),"")</f>
        <v/>
      </c>
      <c r="GT56" s="29" t="str">
        <f ca="1">IF(SUM(GT14:GT51)&gt;0,IF('Outfall 1 Limits'!$AX52="C1",(IF(ROWS(INDIRECT("GT"&amp;$D$10):INDIRECT("GT"&amp;$B$10))-COUNTIF(INDIRECT("GT"&amp;$D$10):INDIRECT("GT"&amp;$B$10),"")&gt;0,SUM(INDIRECT("GT"&amp;$D$10):INDIRECT("GT"&amp;$B$10)),"")/CD55)*$R$6,IF(ROWS(INDIRECT("GT"&amp;$D$10):INDIRECT("GT"&amp;$B$10))-COUNTIF(INDIRECT("GT"&amp;$D$10):INDIRECT("GT"&amp;$B$10),"")&gt;0,SUM(INDIRECT("GT"&amp;$D$10):INDIRECT("GT"&amp;$B$10)),"")),"")</f>
        <v/>
      </c>
      <c r="GU56" s="29" t="str">
        <f ca="1">IF(SUM(GU14:GU51)&gt;0,IF('Outfall 1 Limits'!$AX56="C1",(IF(ROWS(INDIRECT("GU"&amp;$D$10):INDIRECT("GU"&amp;$B$10))-COUNTIF(INDIRECT("GU"&amp;$D$10):INDIRECT("GU"&amp;$B$10),"")&gt;0,SUM(INDIRECT("GU"&amp;$D$10):INDIRECT("GU"&amp;$B$10)),"")/CE55)*$R$6,IF(ROWS(INDIRECT("GU"&amp;$D$10):INDIRECT("GU"&amp;$B$10))-COUNTIF(INDIRECT("GU"&amp;$D$10):INDIRECT("GU"&amp;$B$10),"")&gt;0,SUM(INDIRECT("GU"&amp;$D$10):INDIRECT("GU"&amp;$B$10)),"")),"")</f>
        <v/>
      </c>
      <c r="GV56" s="29" t="str">
        <f ca="1">IF(SUM(GV14:GV51)&gt;0,IF('Outfall 1 Limits'!$AX60="C1",(IF(ROWS(INDIRECT("GV"&amp;$D$10):INDIRECT("GV"&amp;$B$10))-COUNTIF(INDIRECT("GV"&amp;$D$10):INDIRECT("GV"&amp;$B$10),"")&gt;0,SUM(INDIRECT("GV"&amp;$D$10):INDIRECT("GV"&amp;$B$10)),"")/CF55)*$R$6,IF(ROWS(INDIRECT("GV"&amp;$D$10):INDIRECT("GV"&amp;$B$10))-COUNTIF(INDIRECT("GV"&amp;$D$10):INDIRECT("GV"&amp;$B$10),"")&gt;0,SUM(INDIRECT("GV"&amp;$D$10):INDIRECT("GV"&amp;$B$10)),"")),"")</f>
        <v/>
      </c>
      <c r="GW56" s="29" t="str">
        <f ca="1">IF(SUM(GW14:GW51)&gt;0,IF('Outfall 1 Limits'!$AX64="C1",(IF(ROWS(INDIRECT("GW"&amp;$D$10):INDIRECT("GW"&amp;$B$10))-COUNTIF(INDIRECT("GW"&amp;$D$10):INDIRECT("GW"&amp;$B$10),"")&gt;0,SUM(INDIRECT("GW"&amp;$D$10):INDIRECT("GW"&amp;$B$10)),"")/CG55)*$R$6,IF(ROWS(INDIRECT("GW"&amp;$D$10):INDIRECT("GW"&amp;$B$10))-COUNTIF(INDIRECT("GW"&amp;$D$10):INDIRECT("GW"&amp;$B$10),"")&gt;0,SUM(INDIRECT("GW"&amp;$D$10):INDIRECT("GW"&amp;$B$10)),"")),"")</f>
        <v/>
      </c>
      <c r="GX56" s="29" t="str">
        <f ca="1">IF(SUM(GX14:GX51)&gt;0,IF('Outfall 1 Limits'!$AX68="C1",(IF(ROWS(INDIRECT("GX"&amp;$D$10):INDIRECT("GX"&amp;$B$10))-COUNTIF(INDIRECT("GX"&amp;$D$10):INDIRECT("GX"&amp;$B$10),"")&gt;0,SUM(INDIRECT("GX"&amp;$D$10):INDIRECT("GX"&amp;$B$10)),"")/CH55)*$R$6,IF(ROWS(INDIRECT("GX"&amp;$D$10):INDIRECT("GX"&amp;$B$10))-COUNTIF(INDIRECT("GX"&amp;$D$10):INDIRECT("GX"&amp;$B$10),"")&gt;0,SUM(INDIRECT("GX"&amp;$D$10):INDIRECT("GX"&amp;$B$10)),"")),"")</f>
        <v/>
      </c>
      <c r="HN56" s="231" t="s">
        <v>371</v>
      </c>
      <c r="HO56" s="99" t="str">
        <f ca="1">HS56</f>
        <v/>
      </c>
      <c r="HP56" s="188"/>
      <c r="HQ56" s="188"/>
      <c r="HR56" s="229" t="s">
        <v>371</v>
      </c>
      <c r="HS56" s="155" t="str">
        <f ca="1">IF(ROWS(INDIRECT("I"&amp;$D$10):INDIRECT("I"&amp;$B$10))-COUNTIF(INDIRECT("I"&amp;$D$10):INDIRECT("I"&amp;$B$10),"")&gt;0,MIN(INDIRECT("I"&amp;$D$10):INDIRECT("I"&amp;$B$10)),"")</f>
        <v/>
      </c>
      <c r="HT56" s="188" t="str">
        <f ca="1">IF(ROWS(INDIRECT("K"&amp;$D$10):INDIRECT("K"&amp;$B$10))-COUNTIF(INDIRECT("K"&amp;$D$10):INDIRECT("K"&amp;$B$10),"")&gt;0,MIN(INDIRECT("K"&amp;$D$10):INDIRECT("K"&amp;$B$10)),"")</f>
        <v/>
      </c>
      <c r="HU56" s="188" t="str">
        <f ca="1">IF(ROWS(INDIRECT("M"&amp;$D$10):INDIRECT("M"&amp;$B$10))-COUNTIF(INDIRECT("M"&amp;$D$10):INDIRECT("M"&amp;$B$10),"")&gt;0,MIN(INDIRECT("M"&amp;$D$10):INDIRECT("M"&amp;$B$10)),"")</f>
        <v/>
      </c>
      <c r="HV56" s="188" t="str">
        <f ca="1">IF(ROWS(INDIRECT("O"&amp;$D$10):INDIRECT("O"&amp;$B$10))-COUNTIF(INDIRECT("O"&amp;$D$10):INDIRECT("O"&amp;$B$10),"")&gt;0,MIN(INDIRECT("O"&amp;$D$10):INDIRECT("O"&amp;$B$10)),"")</f>
        <v/>
      </c>
      <c r="HW56" s="188" t="str">
        <f ca="1">IF(ROWS(INDIRECT("Q"&amp;$D$10):INDIRECT("Q"&amp;$B$10))-COUNTIF(INDIRECT("Q"&amp;$D$10):INDIRECT("Q"&amp;$B$10),"")&gt;0,MIN(INDIRECT("Q"&amp;$D$10):INDIRECT("Q"&amp;$B$10)),"")</f>
        <v/>
      </c>
      <c r="HX56" s="188" t="str">
        <f ca="1">IF(ROWS(INDIRECT("S"&amp;$D$10):INDIRECT("S"&amp;$B$10))-COUNTIF(INDIRECT("S"&amp;$D$10):INDIRECT("S"&amp;$B$10),"")&gt;0,MIN(INDIRECT("S"&amp;$D$10):INDIRECT("S"&amp;$B$10)),"")</f>
        <v/>
      </c>
      <c r="HY56" s="188" t="str">
        <f ca="1">IF(ROWS(INDIRECT("U"&amp;$D$10):INDIRECT("U"&amp;$B$10))-COUNTIF(INDIRECT("U"&amp;$D$10):INDIRECT("U"&amp;$B$10),"")&gt;0,MIN(INDIRECT("U"&amp;$D$10):INDIRECT("U"&amp;$B$10)),"")</f>
        <v/>
      </c>
      <c r="HZ56" s="188" t="str">
        <f ca="1">IF(ROWS(INDIRECT("W"&amp;$D$10):INDIRECT("W"&amp;$B$10))-COUNTIF(INDIRECT("W"&amp;$D$10):INDIRECT("W"&amp;$B$10),"")&gt;0,MIN(INDIRECT("W"&amp;$D$10):INDIRECT("W"&amp;$B$10)),"")</f>
        <v/>
      </c>
      <c r="IA56" s="188" t="str">
        <f ca="1">IF(ROWS(INDIRECT("Y"&amp;$D$10):INDIRECT("Y"&amp;$B$10))-COUNTIF(INDIRECT("Y"&amp;$D$10):INDIRECT("Y"&amp;$B$10),"")&gt;0,MIN(INDIRECT("Y"&amp;$D$10):INDIRECT("Y"&amp;$B$10)),"")</f>
        <v/>
      </c>
      <c r="IB56" s="188" t="str">
        <f ca="1">IF(ROWS(INDIRECT("AA"&amp;$D$10):INDIRECT("AA"&amp;$B$10))-COUNTIF(INDIRECT("AA"&amp;$D$10):INDIRECT("AA"&amp;$B$10),"")&gt;0,MIN(INDIRECT("AA"&amp;$D$10):INDIRECT("AA"&amp;$B$10)),"")</f>
        <v/>
      </c>
      <c r="IC56" s="188" t="str">
        <f ca="1">IF(ROWS(INDIRECT("AC"&amp;$D$10):INDIRECT("AC"&amp;$B$10))-COUNTIF(INDIRECT("AC"&amp;$D$10):INDIRECT("AC"&amp;$B$10),"")&gt;0,MIN(INDIRECT("AC"&amp;$D$10):INDIRECT("AC"&amp;$B$10)),"")</f>
        <v/>
      </c>
      <c r="ID56" s="188" t="str">
        <f ca="1">IF(ROWS(INDIRECT("AE"&amp;$D$10):INDIRECT("AE"&amp;$B$10))-COUNTIF(INDIRECT("AE"&amp;$D$10):INDIRECT("AE"&amp;$B$10),"")&gt;0,MIN(INDIRECT("AE"&amp;$D$10):INDIRECT("AE"&amp;$B$10)),"")</f>
        <v/>
      </c>
      <c r="IE56" s="188" t="str">
        <f ca="1">IF(ROWS(INDIRECT("AG"&amp;$D$10):INDIRECT("AG"&amp;$B$10))-COUNTIF(INDIRECT("AG"&amp;$D$10):INDIRECT("AG"&amp;$B$10),"")&gt;0,MIN(INDIRECT("AG"&amp;$D$10):INDIRECT("AG"&amp;$B$10)),"")</f>
        <v/>
      </c>
      <c r="IF56" s="188" t="str">
        <f ca="1">IF(ROWS(INDIRECT("AI"&amp;$D$10):INDIRECT("AI"&amp;$B$10))-COUNTIF(INDIRECT("AI"&amp;$D$10):INDIRECT("AI"&amp;$B$10),"")&gt;0,MIN(INDIRECT("AI"&amp;$D$10):INDIRECT("AI"&amp;$B$10)),"")</f>
        <v/>
      </c>
      <c r="IW56" s="229" t="s">
        <v>376</v>
      </c>
      <c r="IX56" s="68" t="str">
        <f t="shared" ref="IX56:JK56" ca="1" si="97">IF(IX53&lt;&gt;"",IF(IX53=IX54,"N","Y"),"")</f>
        <v/>
      </c>
      <c r="IY56" s="188" t="str">
        <f t="shared" ca="1" si="97"/>
        <v/>
      </c>
      <c r="IZ56" s="188" t="str">
        <f t="shared" ca="1" si="97"/>
        <v/>
      </c>
      <c r="JA56" s="188" t="str">
        <f t="shared" ca="1" si="97"/>
        <v/>
      </c>
      <c r="JB56" s="188" t="str">
        <f t="shared" ca="1" si="97"/>
        <v/>
      </c>
      <c r="JC56" s="188" t="str">
        <f t="shared" ca="1" si="97"/>
        <v/>
      </c>
      <c r="JD56" s="188" t="str">
        <f t="shared" ca="1" si="97"/>
        <v/>
      </c>
      <c r="JE56" s="188" t="str">
        <f t="shared" ca="1" si="97"/>
        <v/>
      </c>
      <c r="JF56" s="188" t="str">
        <f t="shared" ca="1" si="97"/>
        <v/>
      </c>
      <c r="JG56" s="188" t="str">
        <f t="shared" ca="1" si="97"/>
        <v/>
      </c>
      <c r="JH56" s="188" t="str">
        <f t="shared" ca="1" si="97"/>
        <v/>
      </c>
      <c r="JI56" s="188" t="str">
        <f t="shared" ca="1" si="97"/>
        <v/>
      </c>
      <c r="JJ56" s="188" t="str">
        <f t="shared" ca="1" si="97"/>
        <v/>
      </c>
      <c r="JK56" s="188" t="str">
        <f t="shared" ca="1" si="97"/>
        <v/>
      </c>
      <c r="KA56" s="188"/>
      <c r="KB56" s="2"/>
      <c r="KC56" s="232" t="s">
        <v>1184</v>
      </c>
      <c r="KD56" s="188">
        <f t="shared" ref="KD56:KQ56" si="98">COUNTIF(KD14:KD51,"B")</f>
        <v>0</v>
      </c>
      <c r="KE56" s="188">
        <f t="shared" si="98"/>
        <v>0</v>
      </c>
      <c r="KF56" s="188">
        <f t="shared" si="98"/>
        <v>0</v>
      </c>
      <c r="KG56" s="188">
        <f t="shared" si="98"/>
        <v>0</v>
      </c>
      <c r="KH56" s="188">
        <f t="shared" si="98"/>
        <v>0</v>
      </c>
      <c r="KI56" s="188">
        <f t="shared" si="98"/>
        <v>0</v>
      </c>
      <c r="KJ56" s="188">
        <f t="shared" si="98"/>
        <v>0</v>
      </c>
      <c r="KK56" s="188">
        <f t="shared" si="98"/>
        <v>0</v>
      </c>
      <c r="KL56" s="188">
        <f t="shared" si="98"/>
        <v>0</v>
      </c>
      <c r="KM56" s="188">
        <f t="shared" si="98"/>
        <v>0</v>
      </c>
      <c r="KN56" s="188">
        <f t="shared" si="98"/>
        <v>0</v>
      </c>
      <c r="KO56" s="188">
        <f t="shared" si="98"/>
        <v>0</v>
      </c>
      <c r="KP56" s="188">
        <f t="shared" si="98"/>
        <v>0</v>
      </c>
      <c r="KQ56" s="188">
        <f t="shared" si="98"/>
        <v>0</v>
      </c>
    </row>
    <row r="57" spans="1:303" s="18" customFormat="1" ht="11.25" customHeight="1" thickBot="1" x14ac:dyDescent="0.25">
      <c r="A57" s="38"/>
      <c r="B57" s="415" t="s">
        <v>2</v>
      </c>
      <c r="C57" s="415"/>
      <c r="D57" s="415"/>
      <c r="E57" s="415"/>
      <c r="F57" s="416"/>
      <c r="G57" s="57"/>
      <c r="H57" s="58" t="str">
        <f ca="1">IF(BU55&lt;&gt;"",IF('Outfall 1 Limits'!AX16="C4",IF(I169="Y","&gt;",IF(BU56="Y","&lt;","")),""),"")</f>
        <v/>
      </c>
      <c r="I57" s="58" t="str">
        <f ca="1">IF(BU55&lt;&gt;"",IF('Outfall 1 Limits'!AX16="C4",ROUND(CY61,0),""),"")</f>
        <v/>
      </c>
      <c r="J57" s="130" t="str">
        <f>IF('Outfall 1 Limits'!$AX$20="C4",IF(BV56="Y","&lt;",""),"")</f>
        <v/>
      </c>
      <c r="K57" s="58" t="str">
        <f ca="1">IF(BV55&lt;&gt;"",IF('Outfall 1 Limits'!$AX$20="C4",ROUND(CZ61,0),""),"")</f>
        <v/>
      </c>
      <c r="L57" s="58" t="str">
        <f>IF('Outfall 1 Limits'!$AX$24="C4",IF(BW56="Y","&lt;",""),"")</f>
        <v/>
      </c>
      <c r="M57" s="58" t="str">
        <f ca="1">IF(BW55&lt;&gt;"",IF('Outfall 1 Limits'!$AX$24="C4",ROUND(DA61,0),""),"")</f>
        <v/>
      </c>
      <c r="N57" s="58" t="str">
        <f>IF('Outfall 1 Limits'!$AX$28="C4",IF(BX56="Y","&lt;",""),"")</f>
        <v/>
      </c>
      <c r="O57" s="58" t="str">
        <f ca="1">IF(BX55&lt;&gt;"",IF('Outfall 1 Limits'!$AX$28="C4",ROUND(DB61,0),""),"")</f>
        <v/>
      </c>
      <c r="P57" s="58" t="str">
        <f>IF('Outfall 1 Limits'!$AX$32="C4",IF(BY56="Y","&lt;",""),"")</f>
        <v/>
      </c>
      <c r="Q57" s="58" t="str">
        <f ca="1">IF(BY55&lt;&gt;"",IF('Outfall 1 Limits'!$AX$32="C4",ROUND(DC61,0),""),"")</f>
        <v/>
      </c>
      <c r="R57" s="58" t="str">
        <f>IF('Outfall 1 Limits'!$AX$36="C4",IF(BZ56="Y","&lt;",""),"")</f>
        <v/>
      </c>
      <c r="S57" s="58" t="str">
        <f ca="1">IF(BZ55&lt;&gt;"",IF('Outfall 1 Limits'!$AX$36="C4",ROUND(DD61,0),""),"")</f>
        <v/>
      </c>
      <c r="T57" s="58" t="str">
        <f>IF('Outfall 1 Limits'!$AX$40="C4",IF(CA56="Y","&lt;",""),"")</f>
        <v/>
      </c>
      <c r="U57" s="58" t="str">
        <f ca="1">IF(CA55&lt;&gt;"",IF('Outfall 1 Limits'!$AX$40="C4",ROUND(DE61,0),""),"")</f>
        <v/>
      </c>
      <c r="V57" s="58" t="str">
        <f>IF('Outfall 1 Limits'!$AX$44="C4",IF(CB56="Y","&lt;",""),"")</f>
        <v/>
      </c>
      <c r="W57" s="58" t="str">
        <f ca="1">IF(CB55&lt;&gt;"",IF('Outfall 1 Limits'!$AX$44="C4",ROUND(DF61,0),""),"")</f>
        <v/>
      </c>
      <c r="X57" s="58" t="str">
        <f>IF('Outfall 1 Limits'!$AX$48="C4",IF(CC56="Y","&lt;",""),"")</f>
        <v/>
      </c>
      <c r="Y57" s="58" t="str">
        <f ca="1">IF(CC55&lt;&gt;"",IF('Outfall 1 Limits'!$AX$48="C4",ROUND(DG61,0),""),"")</f>
        <v/>
      </c>
      <c r="Z57" s="58" t="str">
        <f>IF('Outfall 1 Limits'!$AX$52="C4",IF(CD56="Y","&lt;",""),"")</f>
        <v/>
      </c>
      <c r="AA57" s="58" t="str">
        <f ca="1">IF(CD55&lt;&gt;"",IF('Outfall 1 Limits'!$AX$52="C4",ROUND(DH61,0),""),"")</f>
        <v/>
      </c>
      <c r="AB57" s="58" t="str">
        <f>IF('Outfall 1 Limits'!$AX$56="C4",IF(CE56="Y","&lt;",""),"")</f>
        <v/>
      </c>
      <c r="AC57" s="58" t="str">
        <f ca="1">IF(CE55&lt;&gt;"",IF('Outfall 1 Limits'!$AX$56="C4",ROUND(DI61,0),""),"")</f>
        <v/>
      </c>
      <c r="AD57" s="58" t="str">
        <f>IF('Outfall 1 Limits'!$AX$60="C4",IF(CF56="Y","&lt;",""),"")</f>
        <v/>
      </c>
      <c r="AE57" s="58" t="str">
        <f ca="1">IF(CF55&lt;&gt;"",IF('Outfall 1 Limits'!$AX$60="C4",ROUND(DJ61,0),""),"")</f>
        <v/>
      </c>
      <c r="AF57" s="58" t="str">
        <f>IF('Outfall 1 Limits'!$AX$64="C4",IF(CG56="Y","&lt;",""),"")</f>
        <v/>
      </c>
      <c r="AG57" s="58" t="str">
        <f ca="1">IF(CG55&lt;&gt;"",IF('Outfall 1 Limits'!$AX$64="C4",ROUND(DK61,0),""),"")</f>
        <v/>
      </c>
      <c r="AH57" s="58" t="str">
        <f>IF('Outfall 1 Limits'!$AX$68="C4",IF(CH56="Y","&lt;",""),"")</f>
        <v/>
      </c>
      <c r="AI57" s="172" t="str">
        <f ca="1">IF(CH55&lt;&gt;"",IF('Outfall 1 Limits'!$AX$68="C4",ROUND(DL61,0),""),"")</f>
        <v/>
      </c>
      <c r="AJ57" s="236"/>
      <c r="BO57" s="188"/>
      <c r="BP57" s="267">
        <v>2076</v>
      </c>
      <c r="BQ57" s="83" t="s">
        <v>73</v>
      </c>
      <c r="BR57" s="188"/>
      <c r="BS57" s="188"/>
      <c r="BT57" s="229" t="s">
        <v>831</v>
      </c>
      <c r="BU57" s="68">
        <f>SUM(BU17:BU23)</f>
        <v>0</v>
      </c>
      <c r="BV57" s="188">
        <f>SUM(BV17:BV23)</f>
        <v>0</v>
      </c>
      <c r="BW57" s="188">
        <f t="shared" ref="BW57:CH57" si="99">SUM(BW17:BW23)</f>
        <v>0</v>
      </c>
      <c r="BX57" s="188">
        <f t="shared" si="99"/>
        <v>0</v>
      </c>
      <c r="BY57" s="188">
        <f t="shared" si="99"/>
        <v>0</v>
      </c>
      <c r="BZ57" s="188">
        <f t="shared" si="99"/>
        <v>0</v>
      </c>
      <c r="CA57" s="188">
        <f t="shared" si="99"/>
        <v>0</v>
      </c>
      <c r="CB57" s="188">
        <f t="shared" si="99"/>
        <v>0</v>
      </c>
      <c r="CC57" s="188">
        <f t="shared" si="99"/>
        <v>0</v>
      </c>
      <c r="CD57" s="188">
        <f t="shared" si="99"/>
        <v>0</v>
      </c>
      <c r="CE57" s="188">
        <f t="shared" si="99"/>
        <v>0</v>
      </c>
      <c r="CF57" s="188">
        <f t="shared" si="99"/>
        <v>0</v>
      </c>
      <c r="CG57" s="188">
        <f t="shared" si="99"/>
        <v>0</v>
      </c>
      <c r="CH57" s="188">
        <f t="shared" si="99"/>
        <v>0</v>
      </c>
      <c r="CX57" s="229" t="s">
        <v>376</v>
      </c>
      <c r="CY57" s="77"/>
      <c r="CZ57" s="76"/>
      <c r="DA57" s="76"/>
      <c r="DB57" s="76"/>
      <c r="DC57" s="76"/>
      <c r="DD57" s="76"/>
      <c r="DE57" s="76"/>
      <c r="DF57" s="76"/>
      <c r="DG57" s="76"/>
      <c r="DH57" s="76"/>
      <c r="DI57" s="76"/>
      <c r="DJ57" s="76"/>
      <c r="DK57" s="76"/>
      <c r="DL57" s="76"/>
      <c r="EB57" s="2"/>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c r="FN57" s="19"/>
      <c r="FO57" s="19"/>
      <c r="FP57" s="19"/>
      <c r="FQ57" s="19"/>
      <c r="FR57" s="19"/>
      <c r="FS57" s="19"/>
      <c r="FT57" s="19"/>
      <c r="FU57" s="19"/>
      <c r="FV57" s="19"/>
      <c r="FW57" s="19"/>
      <c r="FX57" s="19"/>
      <c r="FY57" s="19"/>
      <c r="FZ57" s="19"/>
      <c r="GA57" s="19"/>
      <c r="GB57" s="19"/>
      <c r="GC57" s="19"/>
      <c r="GD57" s="19"/>
      <c r="GE57" s="19"/>
      <c r="GF57" s="19"/>
      <c r="GG57" s="19"/>
      <c r="GH57" s="19"/>
      <c r="GJ57" s="233" t="s">
        <v>405</v>
      </c>
      <c r="GK57" s="68" t="str">
        <f ca="1">IF(GK56&lt;&gt;"",IF(OR('Outfall 1 Limits'!$AX$16="C1",'Outfall 1 Limits'!$AX$16="L"),IF(GK56&gt;=1,IF('Outfall 1 Limits'!$AN$16=0,ROUND(GK56,0),TEXT(GK56,"0."&amp;REPT("0",LEN('Outfall 1 Limits'!$K$16)-FIND(".",'Outfall 1 Limits'!$K$16)))),ROUND(GK56,1-(1+INT(LOG10(ABS(GK56)))))),ROUND(GK56,$I126)),"")</f>
        <v/>
      </c>
      <c r="GL57" s="29" t="str">
        <f ca="1">IF(GL56&lt;&gt;"",IF(OR('Outfall 1 Limits'!$AX$20="C1",'Outfall 1 Limits'!$AX$20="L"),IF(GL56&gt;=1,IF('Outfall 1 Limits'!$AN$20=0,ROUND(GL56,0),TEXT(GL56,"0."&amp;REPT("0",LEN('Outfall 1 Limits'!$K$20)-FIND(".",'Outfall 1 Limits'!$K$20)))),ROUND(GL56,1-(1+INT(LOG10(ABS(GL56)))))),ROUND(GL56,$K126)),"")</f>
        <v/>
      </c>
      <c r="GM57" s="29" t="str">
        <f ca="1">IF(GM56&lt;&gt;"",IF(OR('Outfall 1 Limits'!$AX$24="C1",'Outfall 1 Limits'!$AX$24="L"),IF(GM56&gt;=1,IF('Outfall 1 Limits'!$AN$24=0,ROUND(GM56,0),TEXT(GM56,"0."&amp;REPT("0",LEN('Outfall 1 Limits'!$K$24)-FIND(".",'Outfall 1 Limits'!$K$24)))),ROUND(GM56,1-(1+INT(LOG10(ABS(GM56)))))),ROUND(GM56,$M126)),"")</f>
        <v/>
      </c>
      <c r="GN57" s="29" t="str">
        <f ca="1">IF(GN56&lt;&gt;"",IF(OR('Outfall 1 Limits'!$AX$28="C1",'Outfall 1 Limits'!$AX$28="L"),IF(GN56&gt;=1,IF('Outfall 1 Limits'!$AN$28=0,ROUND(GN56,0),TEXT(GN56,"0."&amp;REPT("0",LEN('Outfall 1 Limits'!$K$28)-FIND(".",'Outfall 1 Limits'!$K$28)))),ROUND(GN56,1-(1+INT(LOG10(ABS(GN56)))))),ROUND(GN56,$O126)),"")</f>
        <v/>
      </c>
      <c r="GO57" s="29" t="str">
        <f ca="1">IF(GO56&lt;&gt;"",IF(OR('Outfall 1 Limits'!$AX$32="C1",'Outfall 1 Limits'!$AX$32="L"),IF(GO56&gt;=1,IF('Outfall 1 Limits'!$AN$32=0,ROUND(GO56,0),TEXT(GO56,"0."&amp;REPT("0",LEN('Outfall 1 Limits'!$K$32)-FIND(".",'Outfall 1 Limits'!$K$32)))),ROUND(GO56,1-(1+INT(LOG10(ABS(GO56)))))),ROUND(GO56,$Q126)),"")</f>
        <v/>
      </c>
      <c r="GP57" s="29" t="str">
        <f ca="1">IF(GP56&lt;&gt;"",IF(OR('Outfall 1 Limits'!$AX$36="C1",'Outfall 1 Limits'!$AX$36="L"),IF(GP56&gt;=1,IF('Outfall 1 Limits'!$AN$36=0,ROUND(GP56,0),TEXT(GP56,"0."&amp;REPT("0",LEN('Outfall 1 Limits'!$K$36)-FIND(".",'Outfall 1 Limits'!$K$36)))),ROUND(GP56,1-(1+INT(LOG10(ABS(GP56)))))),ROUND(GP56,$S126)),"")</f>
        <v/>
      </c>
      <c r="GQ57" s="29" t="str">
        <f ca="1">IF(GQ56&lt;&gt;"",IF(OR('Outfall 1 Limits'!$AX$40="C1",'Outfall 1 Limits'!$AX$40="L"),IF(GQ56&gt;=1,IF('Outfall 1 Limits'!$AN$40=0,ROUND(GQ56,0),TEXT(GQ56,"0."&amp;REPT("0",LEN('Outfall 1 Limits'!$K$40)-FIND(".",'Outfall 1 Limits'!$K$40)))),ROUND(GQ56,1-(1+INT(LOG10(ABS(GQ56)))))),ROUND(GQ56,$U126)),"")</f>
        <v/>
      </c>
      <c r="GR57" s="29" t="str">
        <f ca="1">IF(GR56&lt;&gt;"",IF(OR('Outfall 1 Limits'!$AX$44="C1",'Outfall 1 Limits'!$AX$44="L"),IF(GR56&gt;=1,IF('Outfall 1 Limits'!$AN$44=0,ROUND(GR56,0),TEXT(GR56,"0."&amp;REPT("0",LEN('Outfall 1 Limits'!$K$44)-FIND(".",'Outfall 1 Limits'!$K$44)))),ROUND(GR56,1-(1+INT(LOG10(ABS(GR56)))))),ROUND(GR56,$W126)),"")</f>
        <v/>
      </c>
      <c r="GS57" s="29" t="str">
        <f ca="1">IF(GS56&lt;&gt;"",IF(OR('Outfall 1 Limits'!$AX$48="C1",'Outfall 1 Limits'!$AX$48="L"),IF(GS56&gt;=1,IF('Outfall 1 Limits'!$AN$48=0,ROUND(GS56,0),TEXT(GS56,"0."&amp;REPT("0",LEN('Outfall 1 Limits'!$K$48)-FIND(".",'Outfall 1 Limits'!$K$48)))),ROUND(GS56,1-(1+INT(LOG10(ABS(GS56)))))),ROUND(GS56,$Y126)),"")</f>
        <v/>
      </c>
      <c r="GT57" s="29" t="str">
        <f ca="1">IF(GT56&lt;&gt;"",IF(OR('Outfall 1 Limits'!$AX$52="C1",'Outfall 1 Limits'!$AX$52="L"),IF(GT56&gt;=1,IF('Outfall 1 Limits'!$AN$52=0,ROUND(GT56,0),TEXT(GT56,"0."&amp;REPT("0",LEN('Outfall 1 Limits'!$K$52)-FIND(".",'Outfall 1 Limits'!$K$52)))),ROUND(GT56,1-(1+INT(LOG10(ABS(GT56)))))),ROUND(GT56,$AA126)),"")</f>
        <v/>
      </c>
      <c r="GU57" s="29" t="str">
        <f ca="1">IF(GU56&lt;&gt;"",IF(OR('Outfall 1 Limits'!$AX$56="C1",'Outfall 1 Limits'!$AX$56="L"),IF(GU56&gt;=1,IF('Outfall 1 Limits'!$AN$56=0,ROUND(GU56,0),TEXT(GU56,"0."&amp;REPT("0",LEN('Outfall 1 Limits'!$K$56)-FIND(".",'Outfall 1 Limits'!$K$56)))),ROUND(GU56,1-(1+INT(LOG10(ABS(GU56)))))),ROUND(GU56,$AC126)),"")</f>
        <v/>
      </c>
      <c r="GV57" s="29" t="str">
        <f ca="1">IF(GV56&lt;&gt;"",IF(OR('Outfall 1 Limits'!$AX$60="C1",'Outfall 1 Limits'!$AX$60="L"),IF(GV56&gt;=1,IF('Outfall 1 Limits'!$AN$60=0,ROUND(GV56,0),TEXT(GV56,"0."&amp;REPT("0",LEN('Outfall 1 Limits'!$K$60)-FIND(".",'Outfall 1 Limits'!$K$60)))),ROUND(GV56,1-(1+INT(LOG10(ABS(GV56)))))),ROUND(GV56,$AE126)),"")</f>
        <v/>
      </c>
      <c r="GW57" s="29" t="str">
        <f ca="1">IF(GW56&lt;&gt;"",IF(OR('Outfall 1 Limits'!$AX$64="C1",'Outfall 1 Limits'!$AX$64="L"),IF(GW56&gt;=1,IF('Outfall 1 Limits'!$AN$64=0,ROUND(GW56,0),TEXT(GW56,"0."&amp;REPT("0",LEN('Outfall 1 Limits'!$K$64)-FIND(".",'Outfall 1 Limits'!$K$64)))),ROUND(GW56,1-(1+INT(LOG10(ABS(GW56)))))),ROUND(GW56,$AG126)),"")</f>
        <v/>
      </c>
      <c r="GX57" s="29" t="str">
        <f ca="1">IF(GX56&lt;&gt;"",IF(OR('Outfall 1 Limits'!$AX$68="C1",'Outfall 1 Limits'!$AX$68="L"),IF(GX56&gt;=1,IF('Outfall 1 Limits'!$AN$68=0,ROUND(GX56,0),TEXT(GX56,"0."&amp;REPT("0",LEN('Outfall 1 Limits'!$K$68)-FIND(".",'Outfall 1 Limits'!$K$68)))),ROUND(GX56,1-(1+INT(LOG10(ABS(GX56)))))),ROUND(GX56,$AI126)),"")</f>
        <v/>
      </c>
      <c r="HN57" s="231" t="s">
        <v>372</v>
      </c>
      <c r="HO57" s="98" t="str">
        <f ca="1">IF(ROWS(INDIRECT("HO"&amp;$D$10):INDIRECT("HO"&amp;$B$10))-COUNTIF(INDIRECT("HO"&amp;$D$10):INDIRECT("HO"&amp;$B$10),"")&gt;0,MIN(INDIRECT("HO"&amp;$D$10):INDIRECT("HO"&amp;$B$10)),"")</f>
        <v/>
      </c>
      <c r="HP57" s="188"/>
      <c r="HQ57" s="188"/>
      <c r="HR57" s="229" t="s">
        <v>372</v>
      </c>
      <c r="HS57" s="68" t="str">
        <f ca="1">IF(ROWS(INDIRECT("HS"&amp;$D$10):INDIRECT("HS"&amp;$B$10))-COUNTIF(INDIRECT("HS"&amp;$D$10):INDIRECT("HS"&amp;$B$10),"")&gt;0,MIN(INDIRECT("HS"&amp;$D$10):INDIRECT("HS"&amp;$B$10)),"")</f>
        <v/>
      </c>
      <c r="HT57" s="188" t="str">
        <f ca="1">IF(ROWS(INDIRECT("HT"&amp;$D$10):INDIRECT("HT"&amp;$B$10))-COUNTIF(INDIRECT("HT"&amp;$D$10):INDIRECT("HT"&amp;$B$10),"")&gt;0,MIN(INDIRECT("HT"&amp;$D$10):INDIRECT("HT"&amp;$B$10)),"")</f>
        <v/>
      </c>
      <c r="HU57" s="188" t="str">
        <f ca="1">IF(ROWS(INDIRECT("HU"&amp;$D$10):INDIRECT("HU"&amp;$B$10))-COUNTIF(INDIRECT("HU"&amp;$D$10):INDIRECT("HU"&amp;$B$10),"")&gt;0,MIN(INDIRECT("HU"&amp;$D$10):INDIRECT("HU"&amp;$B$10)),"")</f>
        <v/>
      </c>
      <c r="HV57" s="188" t="str">
        <f ca="1">IF(ROWS(INDIRECT("HV"&amp;$D$10):INDIRECT("HV"&amp;$B$10))-COUNTIF(INDIRECT("HV"&amp;$D$10):INDIRECT("HV"&amp;$B$10),"")&gt;0,MIN(INDIRECT("HV"&amp;$D$10):INDIRECT("HV"&amp;$B$10)),"")</f>
        <v/>
      </c>
      <c r="HW57" s="188" t="str">
        <f ca="1">IF(ROWS(INDIRECT("HW"&amp;$D$10):INDIRECT("HW"&amp;$B$10))-COUNTIF(INDIRECT("HW"&amp;$D$10):INDIRECT("HW"&amp;$B$10),"")&gt;0,MIN(INDIRECT("HW"&amp;$D$10):INDIRECT("HW"&amp;$B$10)),"")</f>
        <v/>
      </c>
      <c r="HX57" s="188" t="str">
        <f ca="1">IF(ROWS(INDIRECT("HX"&amp;$D$10):INDIRECT("HX"&amp;$B$10))-COUNTIF(INDIRECT("HX"&amp;$D$10):INDIRECT("HX"&amp;$B$10),"")&gt;0,MIN(INDIRECT("HX"&amp;$D$10):INDIRECT("HX"&amp;$B$10)),"")</f>
        <v/>
      </c>
      <c r="HY57" s="188" t="str">
        <f ca="1">IF(ROWS(INDIRECT("HY"&amp;$D$10):INDIRECT("HY"&amp;$B$10))-COUNTIF(INDIRECT("HY"&amp;$D$10):INDIRECT("HY"&amp;$B$10),"")&gt;0,MIN(INDIRECT("HY"&amp;$D$10):INDIRECT("HY"&amp;$B$10)),"")</f>
        <v/>
      </c>
      <c r="HZ57" s="188" t="str">
        <f ca="1">IF(ROWS(INDIRECT("HZ"&amp;$D$10):INDIRECT("HZ"&amp;$B$10))-COUNTIF(INDIRECT("HZ"&amp;$D$10):INDIRECT("HZ"&amp;$B$10),"")&gt;0,MIN(INDIRECT("HZ"&amp;$D$10):INDIRECT("HZ"&amp;$B$10)),"")</f>
        <v/>
      </c>
      <c r="IA57" s="188" t="str">
        <f ca="1">IF(ROWS(INDIRECT("IA"&amp;$D$10):INDIRECT("IA"&amp;$B$10))-COUNTIF(INDIRECT("IA"&amp;$D$10):INDIRECT("IA"&amp;$B$10),"")&gt;0,MIN(INDIRECT("IA"&amp;$D$10):INDIRECT("IA"&amp;$B$10)),"")</f>
        <v/>
      </c>
      <c r="IB57" s="188" t="str">
        <f ca="1">IF(ROWS(INDIRECT("IB"&amp;$D$10):INDIRECT("IB"&amp;$B$10))-COUNTIF(INDIRECT("IB"&amp;$D$10):INDIRECT("IB"&amp;$B$10),"")&gt;0,MIN(INDIRECT("IB"&amp;$D$10):INDIRECT("IB"&amp;$B$10)),"")</f>
        <v/>
      </c>
      <c r="IC57" s="188" t="str">
        <f ca="1">IF(ROWS(INDIRECT("IC"&amp;$D$10):INDIRECT("IC"&amp;$B$10))-COUNTIF(INDIRECT("IC"&amp;$D$10):INDIRECT("IC"&amp;$B$10),"")&gt;0,MIN(INDIRECT("IC"&amp;$D$10):INDIRECT("IC"&amp;$B$10)),"")</f>
        <v/>
      </c>
      <c r="ID57" s="188" t="str">
        <f ca="1">IF(ROWS(INDIRECT("ID"&amp;$D$10):INDIRECT("ID"&amp;$B$10))-COUNTIF(INDIRECT("ID"&amp;$D$10):INDIRECT("ID"&amp;$B$10),"")&gt;0,MIN(INDIRECT("ID"&amp;$D$10):INDIRECT("ID"&amp;$B$10)),"")</f>
        <v/>
      </c>
      <c r="IE57" s="188" t="str">
        <f ca="1">IF(ROWS(INDIRECT("IE"&amp;$D$10):INDIRECT("IE"&amp;$B$10))-COUNTIF(INDIRECT("IE"&amp;$D$10):INDIRECT("IE"&amp;$B$10),"")&gt;0,MIN(INDIRECT("IE"&amp;$D$10):INDIRECT("IE"&amp;$B$10)),"")</f>
        <v/>
      </c>
      <c r="IF57" s="188" t="str">
        <f ca="1">IF(ROWS(INDIRECT("IF"&amp;$D$10):INDIRECT("IF"&amp;$B$10))-COUNTIF(INDIRECT("IF"&amp;$D$10):INDIRECT("IF"&amp;$B$10),"")&gt;0,MIN(INDIRECT("IF"&amp;$D$10):INDIRECT("IF"&amp;$B$10)),"")</f>
        <v/>
      </c>
      <c r="IW57" s="229" t="s">
        <v>371</v>
      </c>
      <c r="IX57" s="155" t="str">
        <f ca="1">IF(ROWS(INDIRECT("FG"&amp;$D$10):INDIRECT("FG"&amp;$B$10))-COUNTIF(INDIRECT("FG"&amp;$D$10):INDIRECT("FG"&amp;$B$10),"")&gt;0,MIN(INDIRECT("FG"&amp;$D$10):INDIRECT("FG"&amp;$B$10)),"")</f>
        <v/>
      </c>
      <c r="IY57" s="188" t="str">
        <f ca="1">IF(ROWS(INDIRECT("FH"&amp;$D$10):INDIRECT("FH"&amp;$B$10))-COUNTIF(INDIRECT("FH"&amp;$D$10):INDIRECT("FH"&amp;$B$10),"")&gt;0,MIN(INDIRECT("FH"&amp;$D$10):INDIRECT("FH"&amp;$B$10)),"")</f>
        <v/>
      </c>
      <c r="IZ57" s="188" t="str">
        <f ca="1">IF(ROWS(INDIRECT("FI"&amp;$D$10):INDIRECT("FI"&amp;$B$10))-COUNTIF(INDIRECT("FI"&amp;$D$10):INDIRECT("FI"&amp;$B$10),"")&gt;0,MIN(INDIRECT("FI"&amp;$D$10):INDIRECT("FI"&amp;$B$10)),"")</f>
        <v/>
      </c>
      <c r="JA57" s="188" t="str">
        <f ca="1">IF(ROWS(INDIRECT("FJ"&amp;$D$10):INDIRECT("FJ"&amp;$B$10))-COUNTIF(INDIRECT("FJ"&amp;$D$10):INDIRECT("FJ"&amp;$B$10),"")&gt;0,MIN(INDIRECT("FJ"&amp;$D$10):INDIRECT("FJ"&amp;$B$10)),"")</f>
        <v/>
      </c>
      <c r="JB57" s="188" t="str">
        <f ca="1">IF(ROWS(INDIRECT("FK"&amp;$D$10):INDIRECT("FK"&amp;$B$10))-COUNTIF(INDIRECT("FK"&amp;$D$10):INDIRECT("FK"&amp;$B$10),"")&gt;0,MIN(INDIRECT("FK"&amp;$D$10):INDIRECT("FK"&amp;$B$10)),"")</f>
        <v/>
      </c>
      <c r="JC57" s="188" t="str">
        <f ca="1">IF(ROWS(INDIRECT("FL"&amp;$D$10):INDIRECT("FL"&amp;$B$10))-COUNTIF(INDIRECT("FL"&amp;$D$10):INDIRECT("FL"&amp;$B$10),"")&gt;0,MIN(INDIRECT("FL"&amp;$D$10):INDIRECT("FL"&amp;$B$10)),"")</f>
        <v/>
      </c>
      <c r="JD57" s="188" t="str">
        <f ca="1">IF(ROWS(INDIRECT("FM"&amp;$D$10):INDIRECT("FM"&amp;$B$10))-COUNTIF(INDIRECT("FM"&amp;$D$10):INDIRECT("FM"&amp;$B$10),"")&gt;0,MIN(INDIRECT("FM"&amp;$D$10):INDIRECT("FM"&amp;$B$10)),"")</f>
        <v/>
      </c>
      <c r="JE57" s="188" t="str">
        <f ca="1">IF(ROWS(INDIRECT("FN"&amp;$D$10):INDIRECT("FN"&amp;$B$10))-COUNTIF(INDIRECT("FN"&amp;$D$10):INDIRECT("FN"&amp;$B$10),"")&gt;0,MIN(INDIRECT("FN"&amp;$D$10):INDIRECT("FN"&amp;$B$10)),"")</f>
        <v/>
      </c>
      <c r="JF57" s="188" t="str">
        <f ca="1">IF(ROWS(INDIRECT("FO"&amp;$D$10):INDIRECT("FO"&amp;$B$10))-COUNTIF(INDIRECT("FO"&amp;$D$10):INDIRECT("FO"&amp;$B$10),"")&gt;0,MIN(INDIRECT("FO"&amp;$D$10):INDIRECT("FO"&amp;$B$10)),"")</f>
        <v/>
      </c>
      <c r="JG57" s="188" t="str">
        <f ca="1">IF(ROWS(INDIRECT("FP"&amp;$D$10):INDIRECT("FP"&amp;$B$10))-COUNTIF(INDIRECT("FP"&amp;$D$10):INDIRECT("FP"&amp;$B$10),"")&gt;0,MIN(INDIRECT("FP"&amp;$D$10):INDIRECT("FP"&amp;$B$10)),"")</f>
        <v/>
      </c>
      <c r="JH57" s="188" t="str">
        <f ca="1">IF(ROWS(INDIRECT("FQ"&amp;$D$10):INDIRECT("FQ"&amp;$B$10))-COUNTIF(INDIRECT("FQ"&amp;$D$10):INDIRECT("FQ"&amp;$B$10),"")&gt;0,MIN(INDIRECT("FQ"&amp;$D$10):INDIRECT("FQ"&amp;$B$10)),"")</f>
        <v/>
      </c>
      <c r="JI57" s="188" t="str">
        <f ca="1">IF(ROWS(INDIRECT("FR"&amp;$D$10):INDIRECT("FR"&amp;$B$10))-COUNTIF(INDIRECT("FR"&amp;$D$10):INDIRECT("FR"&amp;$B$10),"")&gt;0,MIN(INDIRECT("FR"&amp;$D$10):INDIRECT("FR"&amp;$B$10)),"")</f>
        <v/>
      </c>
      <c r="JJ57" s="188" t="str">
        <f ca="1">IF(ROWS(INDIRECT("FS"&amp;$D$10):INDIRECT("FS"&amp;$B$10))-COUNTIF(INDIRECT("FS"&amp;$D$10):INDIRECT("FS"&amp;$B$10),"")&gt;0,MIN(INDIRECT("FS"&amp;$D$10):INDIRECT("FS"&amp;$B$10)),"")</f>
        <v/>
      </c>
      <c r="JK57" s="188" t="str">
        <f ca="1">IF(ROWS(INDIRECT("FT"&amp;$D$10):INDIRECT("FT"&amp;$B$10))-COUNTIF(INDIRECT("FT"&amp;$D$10):INDIRECT("FT"&amp;$B$10),"")&gt;0,MIN(INDIRECT("FT"&amp;$D$10):INDIRECT("FT"&amp;$B$10)),"")</f>
        <v/>
      </c>
      <c r="KA57" s="188"/>
      <c r="KB57" s="2"/>
      <c r="KC57" s="232" t="s">
        <v>1185</v>
      </c>
      <c r="KD57" s="188">
        <f t="shared" ref="KD57:KQ57" si="100">COUNTIF(KD14:KD51,"C")</f>
        <v>0</v>
      </c>
      <c r="KE57" s="188">
        <f t="shared" si="100"/>
        <v>0</v>
      </c>
      <c r="KF57" s="188">
        <f t="shared" si="100"/>
        <v>0</v>
      </c>
      <c r="KG57" s="188">
        <f t="shared" si="100"/>
        <v>0</v>
      </c>
      <c r="KH57" s="188">
        <f t="shared" si="100"/>
        <v>0</v>
      </c>
      <c r="KI57" s="188">
        <f t="shared" si="100"/>
        <v>0</v>
      </c>
      <c r="KJ57" s="188">
        <f t="shared" si="100"/>
        <v>0</v>
      </c>
      <c r="KK57" s="188">
        <f t="shared" si="100"/>
        <v>0</v>
      </c>
      <c r="KL57" s="188">
        <f t="shared" si="100"/>
        <v>0</v>
      </c>
      <c r="KM57" s="188">
        <f t="shared" si="100"/>
        <v>0</v>
      </c>
      <c r="KN57" s="188">
        <f t="shared" si="100"/>
        <v>0</v>
      </c>
      <c r="KO57" s="188">
        <f t="shared" si="100"/>
        <v>0</v>
      </c>
      <c r="KP57" s="188">
        <f t="shared" si="100"/>
        <v>0</v>
      </c>
      <c r="KQ57" s="188">
        <f t="shared" si="100"/>
        <v>0</v>
      </c>
    </row>
    <row r="58" spans="1:303" s="18" customFormat="1" ht="11.25" customHeight="1" thickTop="1" thickBot="1" x14ac:dyDescent="0.25">
      <c r="A58" s="38"/>
      <c r="B58" s="415" t="s">
        <v>1128</v>
      </c>
      <c r="C58" s="415"/>
      <c r="D58" s="415"/>
      <c r="E58" s="415"/>
      <c r="F58" s="416"/>
      <c r="G58" s="57" t="str">
        <f>IF(SUM(G17:G51)&gt;0,ROUND(HN73,G126),"")</f>
        <v/>
      </c>
      <c r="H58" s="58" t="str">
        <f ca="1">IF(BU55&lt;&gt;"",IF(OR('Outfall 1 Limits'!AX16="C1",'Outfall 1 Limits'!AX16="L"),IF(KD74="Y","&lt;",""),""),"")</f>
        <v/>
      </c>
      <c r="I58" s="58" t="str">
        <f ca="1">IF(AND($BU$55&lt;&gt;"",$EC$44&lt;&gt;""),IF(OR('Outfall 1 Limits'!$AX$16="C1",'Outfall 1 Limits'!$AX$16="L"),$EC$44),"")</f>
        <v/>
      </c>
      <c r="J58" s="130" t="str">
        <f ca="1">IF(BV55&lt;&gt;"",IF(OR('Outfall 1 Limits'!$AX$20="C1",'Outfall 1 Limits'!$AX$20="L"),IF(KE74="Y","&lt;",""),""),"")</f>
        <v/>
      </c>
      <c r="K58" s="58" t="str">
        <f ca="1">IF(AND($BV$55&lt;&gt;"",$ED$44&lt;&gt;""),IF(OR('Outfall 1 Limits'!$AX$20="C1",'Outfall 1 Limits'!$AX$20="L"),$ED$44),"")</f>
        <v/>
      </c>
      <c r="L58" s="58" t="str">
        <f ca="1">IF(BW55&lt;&gt;"",IF(OR('Outfall 1 Limits'!$AX$24="C1",'Outfall 1 Limits'!$AX$24="L"),IF(KF74="Y","&lt;",""),""),"")</f>
        <v/>
      </c>
      <c r="M58" s="58" t="str">
        <f ca="1">IF(AND($BW$55&lt;&gt;"",$EE$44&lt;&gt;""),IF(OR('Outfall 1 Limits'!$AX$24="C1",'Outfall 1 Limits'!$AX$24="L"),$EE$44),"")</f>
        <v/>
      </c>
      <c r="N58" s="131" t="str">
        <f ca="1">IF(BX55&lt;&gt;"",IF(OR('Outfall 1 Limits'!$AX$28="C1",'Outfall 1 Limits'!$AX$28="L"),IF(KG74="Y","&lt;",""),""),"")</f>
        <v/>
      </c>
      <c r="O58" s="58" t="str">
        <f ca="1">IF(AND($BX$55&lt;&gt;"",$EF$44&lt;&gt;""),IF(OR('Outfall 1 Limits'!$AX$28="C1",'Outfall 1 Limits'!$AX$28="L"),$EF$44),"")</f>
        <v/>
      </c>
      <c r="P58" s="58" t="str">
        <f ca="1">IF(BY55&lt;&gt;"",IF(OR('Outfall 1 Limits'!$AX$32="C1",'Outfall 1 Limits'!$AX$32="L"),IF(KH74="Y","&lt;",""),""),"")</f>
        <v/>
      </c>
      <c r="Q58" s="58" t="str">
        <f ca="1">IF(AND($BY$55&lt;&gt;"",$EG$44&lt;&gt;""),IF(OR('Outfall 1 Limits'!$AX$32="C1",'Outfall 1 Limits'!$AX$32="L"),$EG$44),"")</f>
        <v/>
      </c>
      <c r="R58" s="131" t="str">
        <f ca="1">IF(BZ55&lt;&gt;"",IF(OR('Outfall 1 Limits'!$AX$36="C1",'Outfall 1 Limits'!$AX$36="L"),IF(KI74="Y","&lt;",""),""),"")</f>
        <v/>
      </c>
      <c r="S58" s="58" t="str">
        <f ca="1">IF(AND($BZ$55&lt;&gt;"",$EH$44&lt;&gt;""),IF(OR('Outfall 1 Limits'!$AX$36="C1",'Outfall 1 Limits'!$AX$36="L"),$EH$44),"")</f>
        <v/>
      </c>
      <c r="T58" s="131" t="str">
        <f ca="1">IF(CA55&lt;&gt;"",IF(OR('Outfall 1 Limits'!$AX$40="C1",'Outfall 1 Limits'!$AX$40="L"),IF(KJ74="Y","&lt;",""),""),"")</f>
        <v/>
      </c>
      <c r="U58" s="58" t="str">
        <f ca="1">IF(AND($CA$55&lt;&gt;"",$EI$44&lt;&gt;""),IF(OR('Outfall 1 Limits'!$AX$40="C1",'Outfall 1 Limits'!$AX$40="L"),$EI$44),"")</f>
        <v/>
      </c>
      <c r="V58" s="131" t="str">
        <f ca="1">IF(CB55&lt;&gt;"",IF(OR('Outfall 1 Limits'!$AX$44="C1",'Outfall 1 Limits'!$AX$44="L"),IF(KK74="Y","&lt;",""),""),"")</f>
        <v/>
      </c>
      <c r="W58" s="58" t="str">
        <f ca="1">IF(AND($CB$55&lt;&gt;"",$EJ$44&lt;&gt;""),IF(OR('Outfall 1 Limits'!$AX$44="C1",'Outfall 1 Limits'!$AX$44="L"),$EJ$44),"")</f>
        <v/>
      </c>
      <c r="X58" s="58" t="str">
        <f ca="1">IF(CC55&lt;&gt;"",IF(OR('Outfall 1 Limits'!$AX$48="C1",'Outfall 1 Limits'!$AX$48="L"),IF(KL74="Y","&lt;",""),""),"")</f>
        <v/>
      </c>
      <c r="Y58" s="58" t="str">
        <f ca="1">IF(AND($CC$55&lt;&gt;"",$EK$44&lt;&gt;""),IF(OR('Outfall 1 Limits'!$AX$48="C1",'Outfall 1 Limits'!$AX$48="L"),$EK$44),"")</f>
        <v/>
      </c>
      <c r="Z58" s="131" t="str">
        <f ca="1">IF(CD55&lt;&gt;"",IF(OR('Outfall 1 Limits'!$AX$52="C1",'Outfall 1 Limits'!$AX$52="L"),IF(KM74="Y","&lt;",""),""),"")</f>
        <v/>
      </c>
      <c r="AA58" s="58" t="str">
        <f ca="1">IF(AND($CD$55&lt;&gt;"",$EL$44&lt;&gt;""),IF(OR('Outfall 1 Limits'!$AX$52="C1",'Outfall 1 Limits'!$AX$52="L"),$EL$44),"")</f>
        <v/>
      </c>
      <c r="AB58" s="58" t="str">
        <f ca="1">IF(CE55&lt;&gt;"",IF(OR('Outfall 1 Limits'!$AX$56="C1",'Outfall 1 Limits'!$AX$56="L"),IF(KN74="Y","&lt;",""),""),"")</f>
        <v/>
      </c>
      <c r="AC58" s="58" t="str">
        <f ca="1">IF(AND($CE$55&lt;&gt;"",$EM$44&lt;&gt;""),IF(OR('Outfall 1 Limits'!$AX$56="C1",'Outfall 1 Limits'!$AX$56="L"),$EM$44),"")</f>
        <v/>
      </c>
      <c r="AD58" s="131" t="str">
        <f ca="1">IF(CF55&lt;&gt;"",IF(OR('Outfall 1 Limits'!$AX$60="C1",'Outfall 1 Limits'!$AX$60="L"),IF(KO74="Y","&lt;",""),""),"")</f>
        <v/>
      </c>
      <c r="AE58" s="58" t="str">
        <f ca="1">IF(AND($CF$55&lt;&gt;"",$EN$44&lt;&gt;""),IF(OR('Outfall 1 Limits'!$AX$60="C1",'Outfall 1 Limits'!$AX$60="L"),$EN$44),"")</f>
        <v/>
      </c>
      <c r="AF58" s="58" t="str">
        <f ca="1">IF(CG55&lt;&gt;"",IF(OR('Outfall 1 Limits'!$AX$64="C1",'Outfall 1 Limits'!$AX$64="L"),IF(KP74="Y","&lt;",""),""),"")</f>
        <v/>
      </c>
      <c r="AG58" s="58" t="str">
        <f ca="1">IF(AND($CG$55&lt;&gt;"",$EO$44&lt;&gt;""),IF(OR('Outfall 1 Limits'!$AX$64="C1",'Outfall 1 Limits'!$AX$64="L"),$EO$44),"")</f>
        <v/>
      </c>
      <c r="AH58" s="131" t="str">
        <f ca="1">IF(CH55&lt;&gt;"",IF(OR('Outfall 1 Limits'!$AX$68="C1",'Outfall 1 Limits'!$AX$68="L"),IF(KQ74="Y","&lt;",""),""),"")</f>
        <v/>
      </c>
      <c r="AI58" s="172" t="str">
        <f ca="1">IF(AND($CH$55&lt;&gt;"",$EP$44&lt;&gt;""),IF(OR('Outfall 1 Limits'!$AX$68="C1",'Outfall 1 Limits'!$AX$68="L"),$EP$44),"")</f>
        <v/>
      </c>
      <c r="AJ58" s="236"/>
      <c r="BO58" s="188"/>
      <c r="BP58" s="267">
        <v>2077</v>
      </c>
      <c r="BQ58" s="83" t="s">
        <v>1160</v>
      </c>
      <c r="BR58" s="188"/>
      <c r="BS58" s="188"/>
      <c r="BT58" s="229" t="s">
        <v>1134</v>
      </c>
      <c r="BU58" s="68" t="str">
        <f>IF(BU57&lt;&gt;0,IF(INT(BU57)=BU57,"N","Y"),"")</f>
        <v/>
      </c>
      <c r="BV58" s="188" t="str">
        <f t="shared" ref="BV58:CH58" si="101">IF(BV57&lt;&gt;0,IF(INT(BV57)=BV57,"N","Y"),"")</f>
        <v/>
      </c>
      <c r="BW58" s="188" t="str">
        <f t="shared" si="101"/>
        <v/>
      </c>
      <c r="BX58" s="188" t="str">
        <f t="shared" si="101"/>
        <v/>
      </c>
      <c r="BY58" s="188" t="str">
        <f t="shared" si="101"/>
        <v/>
      </c>
      <c r="BZ58" s="188" t="str">
        <f t="shared" si="101"/>
        <v/>
      </c>
      <c r="CA58" s="188" t="str">
        <f t="shared" si="101"/>
        <v/>
      </c>
      <c r="CB58" s="188" t="str">
        <f t="shared" si="101"/>
        <v/>
      </c>
      <c r="CC58" s="188" t="str">
        <f t="shared" si="101"/>
        <v/>
      </c>
      <c r="CD58" s="188" t="str">
        <f t="shared" si="101"/>
        <v/>
      </c>
      <c r="CE58" s="188" t="str">
        <f t="shared" si="101"/>
        <v/>
      </c>
      <c r="CF58" s="188" t="str">
        <f t="shared" si="101"/>
        <v/>
      </c>
      <c r="CG58" s="188" t="str">
        <f t="shared" si="101"/>
        <v/>
      </c>
      <c r="CH58" s="188" t="str">
        <f t="shared" si="101"/>
        <v/>
      </c>
      <c r="CX58" s="229" t="s">
        <v>371</v>
      </c>
      <c r="CY58" s="78"/>
      <c r="CZ58" s="76"/>
      <c r="DA58" s="76"/>
      <c r="DB58" s="76"/>
      <c r="DC58" s="76"/>
      <c r="DD58" s="76"/>
      <c r="DE58" s="76"/>
      <c r="DF58" s="76"/>
      <c r="DG58" s="76"/>
      <c r="DH58" s="76"/>
      <c r="DI58" s="76"/>
      <c r="DJ58" s="76"/>
      <c r="DK58" s="76"/>
      <c r="DL58" s="76"/>
      <c r="EB58" s="2"/>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J58" s="231"/>
      <c r="GK58" s="157"/>
      <c r="GL58" s="74"/>
      <c r="GM58" s="74"/>
      <c r="GN58" s="74"/>
      <c r="GO58" s="74"/>
      <c r="GP58" s="74"/>
      <c r="GQ58" s="74"/>
      <c r="GR58" s="74"/>
      <c r="GS58" s="74"/>
      <c r="GT58" s="74"/>
      <c r="GU58" s="74"/>
      <c r="GV58" s="74"/>
      <c r="GW58" s="74"/>
      <c r="GX58" s="74"/>
      <c r="GY58" s="74"/>
      <c r="GZ58" s="74"/>
      <c r="HA58" s="74"/>
      <c r="HB58" s="74"/>
      <c r="HC58" s="74"/>
      <c r="HD58" s="74"/>
      <c r="HE58" s="74"/>
      <c r="HF58" s="74"/>
      <c r="HG58" s="74"/>
      <c r="HH58" s="74"/>
      <c r="HI58" s="74"/>
      <c r="HJ58" s="74"/>
      <c r="HK58" s="74"/>
      <c r="HL58" s="74"/>
      <c r="HM58" s="67"/>
      <c r="HN58" s="231" t="s">
        <v>842</v>
      </c>
      <c r="HO58" s="100" t="str">
        <f ca="1">IF(HO57&gt;HO56,"Y","N")</f>
        <v>N</v>
      </c>
      <c r="HP58" s="188"/>
      <c r="HQ58" s="188"/>
      <c r="HR58" s="229" t="s">
        <v>373</v>
      </c>
      <c r="HS58" s="69" t="str">
        <f ca="1">IF(HS56&lt;&gt;"",IF(HS56=HS57,"N","Y"),"")</f>
        <v/>
      </c>
      <c r="HT58" s="70" t="str">
        <f t="shared" ref="HT58" ca="1" si="102">IF(HT56&lt;&gt;"",IF(HT56=HT57,"N","Y"),"")</f>
        <v/>
      </c>
      <c r="HU58" s="70" t="str">
        <f t="shared" ref="HU58" ca="1" si="103">IF(HU56&lt;&gt;"",IF(HU56=HU57,"N","Y"),"")</f>
        <v/>
      </c>
      <c r="HV58" s="70" t="str">
        <f t="shared" ref="HV58" ca="1" si="104">IF(HV56&lt;&gt;"",IF(HV56=HV57,"N","Y"),"")</f>
        <v/>
      </c>
      <c r="HW58" s="70" t="str">
        <f t="shared" ref="HW58" ca="1" si="105">IF(HW56&lt;&gt;"",IF(HW56=HW57,"N","Y"),"")</f>
        <v/>
      </c>
      <c r="HX58" s="70" t="str">
        <f t="shared" ref="HX58" ca="1" si="106">IF(HX56&lt;&gt;"",IF(HX56=HX57,"N","Y"),"")</f>
        <v/>
      </c>
      <c r="HY58" s="70" t="str">
        <f t="shared" ref="HY58" ca="1" si="107">IF(HY56&lt;&gt;"",IF(HY56=HY57,"N","Y"),"")</f>
        <v/>
      </c>
      <c r="HZ58" s="70" t="str">
        <f t="shared" ref="HZ58" ca="1" si="108">IF(HZ56&lt;&gt;"",IF(HZ56=HZ57,"N","Y"),"")</f>
        <v/>
      </c>
      <c r="IA58" s="70" t="str">
        <f t="shared" ref="IA58" ca="1" si="109">IF(IA56&lt;&gt;"",IF(IA56=IA57,"N","Y"),"")</f>
        <v/>
      </c>
      <c r="IB58" s="70" t="str">
        <f t="shared" ref="IB58" ca="1" si="110">IF(IB56&lt;&gt;"",IF(IB56=IB57,"N","Y"),"")</f>
        <v/>
      </c>
      <c r="IC58" s="70" t="str">
        <f t="shared" ref="IC58" ca="1" si="111">IF(IC56&lt;&gt;"",IF(IC56=IC57,"N","Y"),"")</f>
        <v/>
      </c>
      <c r="ID58" s="70" t="str">
        <f t="shared" ref="ID58" ca="1" si="112">IF(ID56&lt;&gt;"",IF(ID56=ID57,"N","Y"),"")</f>
        <v/>
      </c>
      <c r="IE58" s="70" t="str">
        <f t="shared" ref="IE58" ca="1" si="113">IF(IE56&lt;&gt;"",IF(IE56=IE57,"N","Y"),"")</f>
        <v/>
      </c>
      <c r="IF58" s="70" t="str">
        <f t="shared" ref="IF58" ca="1" si="114">IF(IF56&lt;&gt;"",IF(IF56=IF57,"N","Y"),"")</f>
        <v/>
      </c>
      <c r="IW58" s="229" t="s">
        <v>372</v>
      </c>
      <c r="IX58" s="68" t="str">
        <f ca="1">IF(ROWS(INDIRECT("IX"&amp;$D$10):INDIRECT("IX"&amp;$B$10))-COUNTIF(INDIRECT("IX"&amp;$D$10):INDIRECT("IX"&amp;$B$10),"")&gt;0,MIN(INDIRECT("IX"&amp;$D$10):INDIRECT("IX"&amp;$B$10)),"")</f>
        <v/>
      </c>
      <c r="IY58" s="188" t="str">
        <f ca="1">IF(ROWS(INDIRECT("IY"&amp;$D$10):INDIRECT("IY"&amp;$B$10))-COUNTIF(INDIRECT("IY"&amp;$D$10):INDIRECT("IY"&amp;$B$10),"")&gt;0,MIN(INDIRECT("IY"&amp;$D$10):INDIRECT("IY"&amp;$B$10)),"")</f>
        <v/>
      </c>
      <c r="IZ58" s="188" t="str">
        <f ca="1">IF(ROWS(INDIRECT("IZ"&amp;$D$10):INDIRECT("IZ"&amp;$B$10))-COUNTIF(INDIRECT("IZ"&amp;$D$10):INDIRECT("IZ"&amp;$B$10),"")&gt;0,MIN(INDIRECT("IZ"&amp;$D$10):INDIRECT("IZ"&amp;$B$10)),"")</f>
        <v/>
      </c>
      <c r="JA58" s="188" t="str">
        <f ca="1">IF(ROWS(INDIRECT("JA"&amp;$D$10):INDIRECT("JA"&amp;$B$10))-COUNTIF(INDIRECT("JA"&amp;$D$10):INDIRECT("JA"&amp;$B$10),"")&gt;0,MIN(INDIRECT("JA"&amp;$D$10):INDIRECT("JA"&amp;$B$10)),"")</f>
        <v/>
      </c>
      <c r="JB58" s="188" t="str">
        <f ca="1">IF(ROWS(INDIRECT("JB"&amp;$D$10):INDIRECT("JB"&amp;$B$10))-COUNTIF(INDIRECT("JB"&amp;$D$10):INDIRECT("JB"&amp;$B$10),"")&gt;0,MIN(INDIRECT("JB"&amp;$D$10):INDIRECT("JB"&amp;$B$10)),"")</f>
        <v/>
      </c>
      <c r="JC58" s="188" t="str">
        <f ca="1">IF(ROWS(INDIRECT("JC"&amp;$D$10):INDIRECT("JC"&amp;$B$10))-COUNTIF(INDIRECT("JC"&amp;$D$10):INDIRECT("JC"&amp;$B$10),"")&gt;0,MIN(INDIRECT("JC"&amp;$D$10):INDIRECT("JC"&amp;$B$10)),"")</f>
        <v/>
      </c>
      <c r="JD58" s="188" t="str">
        <f ca="1">IF(ROWS(INDIRECT("JD"&amp;$D$10):INDIRECT("JD"&amp;$B$10))-COUNTIF(INDIRECT("JD"&amp;$D$10):INDIRECT("JD"&amp;$B$10),"")&gt;0,MIN(INDIRECT("JD"&amp;$D$10):INDIRECT("JD"&amp;$B$10)),"")</f>
        <v/>
      </c>
      <c r="JE58" s="188" t="str">
        <f ca="1">IF(ROWS(INDIRECT("JE"&amp;$D$10):INDIRECT("JE"&amp;$B$10))-COUNTIF(INDIRECT("JE"&amp;$D$10):INDIRECT("JE"&amp;$B$10),"")&gt;0,MIN(INDIRECT("JE"&amp;$D$10):INDIRECT("JE"&amp;$B$10)),"")</f>
        <v/>
      </c>
      <c r="JF58" s="188" t="str">
        <f ca="1">IF(ROWS(INDIRECT("JF"&amp;$D$10):INDIRECT("JF"&amp;$B$10))-COUNTIF(INDIRECT("JF"&amp;$D$10):INDIRECT("JF"&amp;$B$10),"")&gt;0,MIN(INDIRECT("JF"&amp;$D$10):INDIRECT("JF"&amp;$B$10)),"")</f>
        <v/>
      </c>
      <c r="JG58" s="188" t="str">
        <f ca="1">IF(ROWS(INDIRECT("JG"&amp;$D$10):INDIRECT("JG"&amp;$B$10))-COUNTIF(INDIRECT("JG"&amp;$D$10):INDIRECT("JG"&amp;$B$10),"")&gt;0,MIN(INDIRECT("JG"&amp;$D$10):INDIRECT("JG"&amp;$B$10)),"")</f>
        <v/>
      </c>
      <c r="JH58" s="188" t="str">
        <f ca="1">IF(ROWS(INDIRECT("JH"&amp;$D$10):INDIRECT("JH"&amp;$B$10))-COUNTIF(INDIRECT("JH"&amp;$D$10):INDIRECT("JH"&amp;$B$10),"")&gt;0,MIN(INDIRECT("JH"&amp;$D$10):INDIRECT("JH"&amp;$B$10)),"")</f>
        <v/>
      </c>
      <c r="JI58" s="188" t="str">
        <f ca="1">IF(ROWS(INDIRECT("JI"&amp;$D$10):INDIRECT("JI"&amp;$B$10))-COUNTIF(INDIRECT("JI"&amp;$D$10):INDIRECT("JI"&amp;$B$10),"")&gt;0,MIN(INDIRECT("JI"&amp;$D$10):INDIRECT("JI"&amp;$B$10)),"")</f>
        <v/>
      </c>
      <c r="JJ58" s="188" t="str">
        <f ca="1">IF(ROWS(INDIRECT("JJ"&amp;$D$10):INDIRECT("JJ"&amp;$B$10))-COUNTIF(INDIRECT("JJ"&amp;$D$10):INDIRECT("JJ"&amp;$B$10),"")&gt;0,MIN(INDIRECT("JJ"&amp;$D$10):INDIRECT("JJ"&amp;$B$10)),"")</f>
        <v/>
      </c>
      <c r="JK58" s="188" t="str">
        <f ca="1">IF(ROWS(INDIRECT("JK"&amp;$D$10):INDIRECT("JK"&amp;$B$10))-COUNTIF(INDIRECT("JK"&amp;$D$10):INDIRECT("JK"&amp;$B$10),"")&gt;0,MIN(INDIRECT("JK"&amp;$D$10):INDIRECT("JK"&amp;$B$10)),"")</f>
        <v/>
      </c>
      <c r="KA58" s="188"/>
      <c r="KB58" s="2"/>
      <c r="KC58" s="232" t="s">
        <v>839</v>
      </c>
      <c r="KD58" s="188">
        <f>SUM(KD55:KD57)</f>
        <v>0</v>
      </c>
      <c r="KE58" s="188">
        <f t="shared" ref="KE58:KQ58" si="115">SUM(KE55:KE57)</f>
        <v>0</v>
      </c>
      <c r="KF58" s="188">
        <f t="shared" si="115"/>
        <v>0</v>
      </c>
      <c r="KG58" s="188">
        <f t="shared" si="115"/>
        <v>0</v>
      </c>
      <c r="KH58" s="188">
        <f t="shared" si="115"/>
        <v>0</v>
      </c>
      <c r="KI58" s="188">
        <f t="shared" si="115"/>
        <v>0</v>
      </c>
      <c r="KJ58" s="188">
        <f t="shared" si="115"/>
        <v>0</v>
      </c>
      <c r="KK58" s="188">
        <f t="shared" si="115"/>
        <v>0</v>
      </c>
      <c r="KL58" s="188">
        <f t="shared" si="115"/>
        <v>0</v>
      </c>
      <c r="KM58" s="188">
        <f t="shared" si="115"/>
        <v>0</v>
      </c>
      <c r="KN58" s="188">
        <f t="shared" si="115"/>
        <v>0</v>
      </c>
      <c r="KO58" s="188">
        <f t="shared" si="115"/>
        <v>0</v>
      </c>
      <c r="KP58" s="188">
        <f t="shared" si="115"/>
        <v>0</v>
      </c>
      <c r="KQ58" s="188">
        <f t="shared" si="115"/>
        <v>0</v>
      </c>
    </row>
    <row r="59" spans="1:303" s="18" customFormat="1" ht="11.25" customHeight="1" thickTop="1" x14ac:dyDescent="0.2">
      <c r="A59" s="38"/>
      <c r="B59" s="415" t="s">
        <v>1129</v>
      </c>
      <c r="C59" s="415"/>
      <c r="D59" s="415"/>
      <c r="E59" s="415"/>
      <c r="F59" s="416"/>
      <c r="G59" s="57" t="str">
        <f ca="1">IF(SUM(G14:G51)&gt;0,ROUND(IF(ROWS(INDIRECT("G"&amp;$D$10):INDIRECT("G"&amp;$B$10))-COUNTIF(INDIRECT("G"&amp;$D$10):INDIRECT("G"&amp;$B$10),"")&gt;0,AVERAGE(INDIRECT("G"&amp;$D$10):INDIRECT("G"&amp;$B$10)),""),G126),"")</f>
        <v/>
      </c>
      <c r="H59" s="58" t="str">
        <f ca="1">IF(BU55&lt;&gt;"",IF(OR('Outfall 1 Limits'!AX16="C1",'Outfall 1 Limits'!AX16="L"),IF(KD60="Y","&lt;",""),""),"")</f>
        <v/>
      </c>
      <c r="I59" s="58" t="str">
        <f ca="1">IF(AND($BU$55&lt;&gt;"",$GK55&lt;&gt;""),IF(OR('Outfall 1 Limits'!$AX$16="C1",'Outfall 1 Limits'!$AX$16="L"),$GK55),"")</f>
        <v/>
      </c>
      <c r="J59" s="130" t="str">
        <f ca="1">IF(BV55&lt;&gt;"",IF(OR('Outfall 1 Limits'!$AX$20="C1",'Outfall 1 Limits'!$AX$20="L"),IF(KE60="Y","&lt;",""),""),"")</f>
        <v/>
      </c>
      <c r="K59" s="58" t="str">
        <f ca="1">IF(AND($BV$55&lt;&gt;"",$GL55&lt;&gt;""),IF(OR('Outfall 1 Limits'!$AX$20="C1",'Outfall 1 Limits'!$AX$20="L"),$GL55),"")</f>
        <v/>
      </c>
      <c r="L59" s="58" t="str">
        <f ca="1">IF(BW55&lt;&gt;"",IF(OR('Outfall 1 Limits'!$AX$24="C1",'Outfall 1 Limits'!$AX$24="L"),IF(KF60="Y","&lt;",""),""),"")</f>
        <v/>
      </c>
      <c r="M59" s="58" t="str">
        <f ca="1">IF(AND($BW$55&lt;&gt;"",$GM55&lt;&gt;""),IF(OR('Outfall 1 Limits'!$AX$24="C1",'Outfall 1 Limits'!$AX$24="L"),$GM55),"")</f>
        <v/>
      </c>
      <c r="N59" s="58" t="str">
        <f ca="1">IF(BX55&lt;&gt;"",IF(OR('Outfall 1 Limits'!$AX$28="C1",'Outfall 1 Limits'!$AX$28="L"),IF(KG60="Y","&lt;",""),""),"")</f>
        <v/>
      </c>
      <c r="O59" s="58" t="str">
        <f ca="1">IF(AND($BX$55&lt;&gt;"",$GN55&lt;&gt;""),IF(OR('Outfall 1 Limits'!$AX$28="C1",'Outfall 1 Limits'!$AX$28="L"),$GN55),"")</f>
        <v/>
      </c>
      <c r="P59" s="58" t="str">
        <f ca="1">IF(BY55&lt;&gt;"",IF(OR('Outfall 1 Limits'!$AX$32="C1",'Outfall 1 Limits'!$AX$32="L"),IF(KH60="Y","&lt;",""),""),"")</f>
        <v/>
      </c>
      <c r="Q59" s="58" t="str">
        <f ca="1">IF(AND($BY$55&lt;&gt;"",$GO55&lt;&gt;""),IF(OR('Outfall 1 Limits'!$AX$32="C1",'Outfall 1 Limits'!$AX$32="L"),$GO55),"")</f>
        <v/>
      </c>
      <c r="R59" s="132" t="str">
        <f ca="1">IF(BZ55&lt;&gt;"",IF(OR('Outfall 1 Limits'!$AX$36="C1",'Outfall 1 Limits'!$AX$36="L"),IF(KI60="Y","&lt;",""),""),"")</f>
        <v/>
      </c>
      <c r="S59" s="58" t="str">
        <f ca="1">IF(AND($BZ$55&lt;&gt;"",$GP55&lt;&gt;""),IF(OR('Outfall 1 Limits'!$AX$36="C1",'Outfall 1 Limits'!$AX$36="L"),$GP55),"")</f>
        <v/>
      </c>
      <c r="T59" s="132" t="str">
        <f ca="1">IF(CA55&lt;&gt;"",IF(OR('Outfall 1 Limits'!$AX$40="C1",'Outfall 1 Limits'!$AX$40="L"),IF(KJ60="Y","&lt;",""),""),"")</f>
        <v/>
      </c>
      <c r="U59" s="58" t="str">
        <f ca="1">IF(AND($CA$55&lt;&gt;"",$GQ55&lt;&gt;""),IF(OR('Outfall 1 Limits'!$AX$40="C1",'Outfall 1 Limits'!$AX$40="L"),$GQ55),"")</f>
        <v/>
      </c>
      <c r="V59" s="132" t="str">
        <f ca="1">IF(CB55&lt;&gt;"",IF(OR('Outfall 1 Limits'!$AX$44="C1",'Outfall 1 Limits'!$AX$44="L"),IF(KK60="Y","&lt;",""),""),"")</f>
        <v/>
      </c>
      <c r="W59" s="58" t="str">
        <f ca="1">IF(AND($CB$55&lt;&gt;"",$GR55&lt;&gt;""),IF(OR('Outfall 1 Limits'!$AX$44="C1",'Outfall 1 Limits'!$AX$44="L"),$GR55),"")</f>
        <v/>
      </c>
      <c r="X59" s="58" t="str">
        <f ca="1">IF(CC55&lt;&gt;"",IF(OR('Outfall 1 Limits'!$AX$48="C1",'Outfall 1 Limits'!$AX$48="L"),IF(KL60="Y","&lt;",""),""),"")</f>
        <v/>
      </c>
      <c r="Y59" s="58" t="str">
        <f ca="1">IF(AND($CC$55&lt;&gt;"",$GS55&lt;&gt;""),IF(OR('Outfall 1 Limits'!$AX$48="C1",'Outfall 1 Limits'!$AX$48="L"),$GS55),"")</f>
        <v/>
      </c>
      <c r="Z59" s="132" t="str">
        <f ca="1">IF(CD55&lt;&gt;"",IF(OR('Outfall 1 Limits'!$AX$52="C1",'Outfall 1 Limits'!$AX$52="L"),IF(KM60="Y","&lt;",""),""),"")</f>
        <v/>
      </c>
      <c r="AA59" s="58" t="str">
        <f ca="1">IF(AND($CD$55&lt;&gt;"",$GT55&lt;&gt;""),IF(OR('Outfall 1 Limits'!$AX$52="C1",'Outfall 1 Limits'!$AX$52="L"),$GT55),"")</f>
        <v/>
      </c>
      <c r="AB59" s="58" t="str">
        <f ca="1">IF(CE55&lt;&gt;"",IF(OR('Outfall 1 Limits'!$AX$56="C1",'Outfall 1 Limits'!$AX$56="L"),IF(KN60="Y","&lt;",""),""),"")</f>
        <v/>
      </c>
      <c r="AC59" s="58" t="str">
        <f ca="1">IF(AND($CE$55&lt;&gt;"",$GU55&lt;&gt;""),IF(OR('Outfall 1 Limits'!$AX$56="C1",'Outfall 1 Limits'!$AX$56="L"),$GU55),"")</f>
        <v/>
      </c>
      <c r="AD59" s="132" t="str">
        <f ca="1">IF(CF55&lt;&gt;"",IF(OR('Outfall 1 Limits'!$AX$60="C1",'Outfall 1 Limits'!$AX$60="L"),IF(KO60="Y","&lt;",""),""),"")</f>
        <v/>
      </c>
      <c r="AE59" s="58" t="str">
        <f ca="1">IF(AND($CF$55&lt;&gt;"",$GV55&lt;&gt;""),IF(OR('Outfall 1 Limits'!$AX$60="C1",'Outfall 1 Limits'!$AX$60="L"),$GV55),"")</f>
        <v/>
      </c>
      <c r="AF59" s="58" t="str">
        <f ca="1">IF(CG55&lt;&gt;"",IF(OR('Outfall 1 Limits'!$AX$64="C1",'Outfall 1 Limits'!$AX$64="L"),IF(KP60="Y","&lt;",""),""),"")</f>
        <v/>
      </c>
      <c r="AG59" s="58" t="str">
        <f ca="1">IF(AND($CG$55&lt;&gt;"",$GW55&lt;&gt;""),IF(OR('Outfall 1 Limits'!$AX$64="C1",'Outfall 1 Limits'!$AX$64="L"),$GW55),"")</f>
        <v/>
      </c>
      <c r="AH59" s="132" t="str">
        <f ca="1">IF(CH55&lt;&gt;"",IF(OR('Outfall 1 Limits'!$AX$68="C1",'Outfall 1 Limits'!$AX$68="L"),IF(KQ60="Y","&lt;",""),""),"")</f>
        <v/>
      </c>
      <c r="AI59" s="172" t="str">
        <f ca="1">IF(AND($CH$55&lt;&gt;"",$GX55&lt;&gt;""),IF(OR('Outfall 1 Limits'!$AX$68="C1",'Outfall 1 Limits'!$AX$68="L"),$GX55),"")</f>
        <v/>
      </c>
      <c r="AJ59" s="236"/>
      <c r="BO59" s="188"/>
      <c r="BP59" s="267">
        <v>2078</v>
      </c>
      <c r="BQ59" s="83" t="s">
        <v>74</v>
      </c>
      <c r="BR59" s="188"/>
      <c r="BS59" s="188"/>
      <c r="BT59" s="229" t="s">
        <v>834</v>
      </c>
      <c r="BU59" s="68">
        <f>SUM(BU24:BU30)</f>
        <v>0</v>
      </c>
      <c r="BV59" s="188">
        <f>SUM(BV24:BV30)</f>
        <v>0</v>
      </c>
      <c r="BW59" s="188">
        <f t="shared" ref="BW59:CH59" si="116">SUM(BW24:BW30)</f>
        <v>0</v>
      </c>
      <c r="BX59" s="188">
        <f t="shared" si="116"/>
        <v>0</v>
      </c>
      <c r="BY59" s="188">
        <f t="shared" si="116"/>
        <v>0</v>
      </c>
      <c r="BZ59" s="188">
        <f t="shared" si="116"/>
        <v>0</v>
      </c>
      <c r="CA59" s="188">
        <f t="shared" si="116"/>
        <v>0</v>
      </c>
      <c r="CB59" s="188">
        <f t="shared" si="116"/>
        <v>0</v>
      </c>
      <c r="CC59" s="188">
        <f t="shared" si="116"/>
        <v>0</v>
      </c>
      <c r="CD59" s="188">
        <f t="shared" si="116"/>
        <v>0</v>
      </c>
      <c r="CE59" s="188">
        <f t="shared" si="116"/>
        <v>0</v>
      </c>
      <c r="CF59" s="188">
        <f t="shared" si="116"/>
        <v>0</v>
      </c>
      <c r="CG59" s="188">
        <f t="shared" si="116"/>
        <v>0</v>
      </c>
      <c r="CH59" s="188">
        <f t="shared" si="116"/>
        <v>0</v>
      </c>
      <c r="CX59" s="229" t="s">
        <v>372</v>
      </c>
      <c r="CY59" s="77"/>
      <c r="CZ59" s="76"/>
      <c r="DA59" s="76"/>
      <c r="DB59" s="76"/>
      <c r="DC59" s="76"/>
      <c r="DD59" s="76"/>
      <c r="DE59" s="76"/>
      <c r="DF59" s="76"/>
      <c r="DG59" s="76"/>
      <c r="DH59" s="76"/>
      <c r="DI59" s="76"/>
      <c r="DJ59" s="76"/>
      <c r="DK59" s="76"/>
      <c r="DL59" s="76"/>
      <c r="EB59" s="2"/>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J59" s="231"/>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188"/>
      <c r="HO59" s="188"/>
      <c r="HP59" s="188"/>
      <c r="HQ59" s="188"/>
      <c r="HR59" s="188"/>
      <c r="HS59" s="188"/>
      <c r="HT59" s="188"/>
      <c r="HU59" s="188"/>
      <c r="HV59" s="188"/>
      <c r="HW59" s="188"/>
      <c r="HX59" s="188"/>
      <c r="HY59" s="188"/>
      <c r="HZ59" s="188"/>
      <c r="IA59" s="188"/>
      <c r="IB59" s="188"/>
      <c r="IC59" s="188"/>
      <c r="ID59" s="188"/>
      <c r="IE59" s="188"/>
      <c r="IF59" s="188"/>
      <c r="IG59" s="188"/>
      <c r="IH59" s="188"/>
      <c r="II59" s="188"/>
      <c r="IJ59" s="188"/>
      <c r="IK59" s="188"/>
      <c r="IL59" s="188"/>
      <c r="IM59" s="188"/>
      <c r="IN59" s="188"/>
      <c r="IO59" s="188"/>
      <c r="IP59" s="188"/>
      <c r="IQ59" s="188"/>
      <c r="IR59" s="188"/>
      <c r="IS59" s="188"/>
      <c r="IT59" s="188"/>
      <c r="IU59" s="188"/>
      <c r="IW59" s="156" t="s">
        <v>1150</v>
      </c>
      <c r="IX59" s="68" t="str">
        <f ca="1">IF(IX57&lt;&gt;"",IF('Outfall 1 Limits'!$AX$16="C1",IF(IX57&gt;=1,IF('Outfall 1 Limits'!$AO$16=0,ROUND(IX57,0),TEXT(IX57,"0."&amp;REPT("0",LEN('Outfall 1 Limits'!$K16)-FIND(".",'Outfall 1 Limits'!$K16)))),ROUND(IX57,1-(1+INT(LOG10(ABS(IX57)))))),ROUND(IX57,$I126)),"")</f>
        <v/>
      </c>
      <c r="IY59" s="188" t="str">
        <f ca="1">IF(IY57&lt;&gt;"",IF('Outfall 1 Limits'!$AX$20="C1",IF(IY57&gt;=1,IF('Outfall 1 Limits'!$AO$20=0,ROUND(IY57,0),TEXT(IY57,"0."&amp;REPT("0",LEN('Outfall 1 Limits'!$K20)-FIND(".",'Outfall 1 Limits'!$K20)))),ROUND(IY57,1-(1+INT(LOG10(ABS(IY57)))))),ROUND(IY57,$K126)),"")</f>
        <v/>
      </c>
      <c r="IZ59" s="188" t="str">
        <f ca="1">IF(IZ57&lt;&gt;"",IF('Outfall 1 Limits'!$AX$24="C1",IF(IZ57&gt;=1,IF('Outfall 1 Limits'!$AO$24=0,ROUND(IZ57,0),TEXT(IZ57,"0."&amp;REPT("0",LEN('Outfall 1 Limits'!$K24)-FIND(".",'Outfall 1 Limits'!$K24)))),ROUND(IZ57,1-(1+INT(LOG10(ABS(IZ57)))))),ROUND(IZ57,$M126)),"")</f>
        <v/>
      </c>
      <c r="JA59" s="188" t="str">
        <f ca="1">IF(JA57&lt;&gt;"",IF('Outfall 1 Limits'!$AX$28="C1",IF(JA57&gt;=1,IF('Outfall 1 Limits'!$AO$28=0,ROUND(JA57,0),TEXT(JA57,"0."&amp;REPT("0",LEN('Outfall 1 Limits'!$K28)-FIND(".",'Outfall 1 Limits'!$K28)))),ROUND(JA57,1-(1+INT(LOG10(ABS(JA57)))))),ROUND(JA57,$O126)),"")</f>
        <v/>
      </c>
      <c r="JB59" s="188" t="str">
        <f ca="1">IF(JB57&lt;&gt;"",IF('Outfall 1 Limits'!$AX$32="C1",IF(JB57&gt;=1,IF('Outfall 1 Limits'!$AO$32=0,ROUND(JB57,0),TEXT(JB57,"0."&amp;REPT("0",LEN('Outfall 1 Limits'!$K32)-FIND(".",'Outfall 1 Limits'!$K32)))),ROUND(JB57,1-(1+INT(LOG10(ABS(JB57)))))),ROUND(JB57,$Q126)),"")</f>
        <v/>
      </c>
      <c r="JC59" s="188" t="str">
        <f ca="1">IF(JC57&lt;&gt;"",IF('Outfall 1 Limits'!$AX$36="C1",IF(JC57&gt;=1,IF('Outfall 1 Limits'!$AO$36=0,ROUND(JC57,0),TEXT(JC57,"0."&amp;REPT("0",LEN('Outfall 1 Limits'!$K36)-FIND(".",'Outfall 1 Limits'!$K36)))),ROUND(JC57,1-(1+INT(LOG10(ABS(JC57)))))),ROUND(JC57,$S126)),"")</f>
        <v/>
      </c>
      <c r="JD59" s="188" t="str">
        <f ca="1">IF(JD57&lt;&gt;"",IF('Outfall 1 Limits'!$AX$40="C1",IF(JD57&gt;=1,IF('Outfall 1 Limits'!$AO$40=0,ROUND(JD57,0),TEXT(JD57,"0."&amp;REPT("0",LEN('Outfall 1 Limits'!$K40)-FIND(".",'Outfall 1 Limits'!$K40)))),ROUND(JD57,1-(1+INT(LOG10(ABS(JD57)))))),ROUND(JD57,$U126)),"")</f>
        <v/>
      </c>
      <c r="JE59" s="188" t="str">
        <f ca="1">IF(JE57&lt;&gt;"",IF('Outfall 1 Limits'!$AX$44="C1",IF(JE57&gt;=1,IF('Outfall 1 Limits'!$AO$44=0,ROUND(JE57,0),TEXT(JE57,"0."&amp;REPT("0",LEN('Outfall 1 Limits'!$K44)-FIND(".",'Outfall 1 Limits'!$K44)))),ROUND(JE57,1-(1+INT(LOG10(ABS(JE57)))))),ROUND(JE57,$W126)),"")</f>
        <v/>
      </c>
      <c r="JF59" s="188" t="str">
        <f ca="1">IF(JF57&lt;&gt;"",IF('Outfall 1 Limits'!$AX$48="C1",IF(JF57&gt;=1,IF('Outfall 1 Limits'!$AO$48=0,ROUND(JF57,0),TEXT(JF57,"0."&amp;REPT("0",LEN('Outfall 1 Limits'!$K48)-FIND(".",'Outfall 1 Limits'!$K48)))),ROUND(JF57,1-(1+INT(LOG10(ABS(JF57)))))),ROUND(JF57,$Y126)),"")</f>
        <v/>
      </c>
      <c r="JG59" s="188" t="str">
        <f ca="1">IF(JG57&lt;&gt;"",IF('Outfall 1 Limits'!$AX$52="C1",IF(JG57&gt;=1,IF('Outfall 1 Limits'!$AO$52=0,ROUND(JG57,0),TEXT(JG57,"0."&amp;REPT("0",LEN('Outfall 1 Limits'!$K52)-FIND(".",'Outfall 1 Limits'!$K52)))),ROUND(JG57,1-(1+INT(LOG10(ABS(JG57)))))),ROUND(JG57,$AA126)),"")</f>
        <v/>
      </c>
      <c r="JH59" s="188" t="str">
        <f ca="1">IF(JH57&lt;&gt;"",IF('Outfall 1 Limits'!$AX$56="C1",IF(JH57&gt;=1,IF('Outfall 1 Limits'!$AO$56=0,ROUND(JH57,0),TEXT(JH57,"0."&amp;REPT("0",LEN('Outfall 1 Limits'!$K56)-FIND(".",'Outfall 1 Limits'!$K56)))),ROUND(JH57,1-(1+INT(LOG10(ABS(JH57)))))),ROUND(JH57,$AC126)),"")</f>
        <v/>
      </c>
      <c r="JI59" s="188" t="str">
        <f ca="1">IF(JI57&lt;&gt;"",IF('Outfall 1 Limits'!$AX$60="C1",IF(JI57&gt;=1,IF('Outfall 1 Limits'!$AO$60=0,ROUND(JI57,0),TEXT(JI57,"0."&amp;REPT("0",LEN('Outfall 1 Limits'!$K60)-FIND(".",'Outfall 1 Limits'!$K60)))),ROUND(JI57,1-(1+INT(LOG10(ABS(JI57)))))),ROUND(JI57,$AE126)),"")</f>
        <v/>
      </c>
      <c r="JJ59" s="188" t="str">
        <f ca="1">IF(JJ57&lt;&gt;"",IF('Outfall 1 Limits'!$AX$64="C1",IF(JJ57&gt;=1,IF('Outfall 1 Limits'!$AO$64=0,ROUND(JJ57,0),TEXT(JJ57,"0."&amp;REPT("0",LEN('Outfall 1 Limits'!$K64)-FIND(".",'Outfall 1 Limits'!$K64)))),ROUND(JJ57,1-(1+INT(LOG10(ABS(JJ57)))))),ROUND(JJ57,$AG126)),"")</f>
        <v/>
      </c>
      <c r="JK59" s="188" t="str">
        <f ca="1">IF(JK57&lt;&gt;"",IF('Outfall 1 Limits'!$AX$68="C1",IF(JK57&gt;=1,IF('Outfall 1 Limits'!$AO$68=0,ROUND(JK57,0),TEXT(JK57,"0."&amp;REPT("0",LEN('Outfall 1 Limits'!$K68)-FIND(".",'Outfall 1 Limits'!$K68)))),ROUND(JK57,1-(1+INT(LOG10(ABS(JK57)))))),ROUND(JK57,$AI126)),"")</f>
        <v/>
      </c>
      <c r="KA59" s="188"/>
      <c r="KB59" s="2"/>
      <c r="KC59" s="232" t="s">
        <v>1182</v>
      </c>
      <c r="KD59" s="188" t="str">
        <f>IF(OR(KD55=KD58,(KD55+KD56)=KD58),"Y",IF(OR(AND(KD56=0,KD57&gt;0),KD57=KD58),"N","Y"))</f>
        <v>Y</v>
      </c>
      <c r="KE59" s="188" t="str">
        <f t="shared" ref="KE59:KQ59" si="117">IF(OR(KE55=KE58,(KE55+KE56)=KE58),"Y",IF(OR(AND(KE56=0,KE57&gt;0),KE57=KE58),"N","Y"))</f>
        <v>Y</v>
      </c>
      <c r="KF59" s="188" t="str">
        <f t="shared" si="117"/>
        <v>Y</v>
      </c>
      <c r="KG59" s="188" t="str">
        <f t="shared" si="117"/>
        <v>Y</v>
      </c>
      <c r="KH59" s="188" t="str">
        <f t="shared" si="117"/>
        <v>Y</v>
      </c>
      <c r="KI59" s="188" t="str">
        <f t="shared" si="117"/>
        <v>Y</v>
      </c>
      <c r="KJ59" s="188" t="str">
        <f t="shared" si="117"/>
        <v>Y</v>
      </c>
      <c r="KK59" s="188" t="str">
        <f t="shared" si="117"/>
        <v>Y</v>
      </c>
      <c r="KL59" s="188" t="str">
        <f t="shared" si="117"/>
        <v>Y</v>
      </c>
      <c r="KM59" s="188" t="str">
        <f t="shared" si="117"/>
        <v>Y</v>
      </c>
      <c r="KN59" s="188" t="str">
        <f t="shared" si="117"/>
        <v>Y</v>
      </c>
      <c r="KO59" s="188" t="str">
        <f t="shared" si="117"/>
        <v>Y</v>
      </c>
      <c r="KP59" s="188" t="str">
        <f t="shared" si="117"/>
        <v>Y</v>
      </c>
      <c r="KQ59" s="188" t="str">
        <f t="shared" si="117"/>
        <v>Y</v>
      </c>
    </row>
    <row r="60" spans="1:303" s="18" customFormat="1" ht="11.25" customHeight="1" thickBot="1" x14ac:dyDescent="0.25">
      <c r="A60" s="38"/>
      <c r="B60" s="415" t="s">
        <v>1127</v>
      </c>
      <c r="C60" s="415"/>
      <c r="D60" s="415"/>
      <c r="E60" s="415"/>
      <c r="F60" s="416"/>
      <c r="G60" s="57" t="str">
        <f ca="1">IF(SUM(G14:G51)&gt;0,ROUND(IF(ROWS(INDIRECT("G"&amp;$D$10):INDIRECT("G"&amp;$B$10))-COUNTIF(INDIRECT("G"&amp;$D$10):INDIRECT("G"&amp;$B$10),"")&gt;0,SUM(INDIRECT("G"&amp;$D$10):INDIRECT("G"&amp;$B$10)),""),G126),"")</f>
        <v/>
      </c>
      <c r="H60" s="58" t="str">
        <f ca="1">IF(BU55&lt;&gt;"",IF(OR('Outfall 1 Limits'!AX16="C1",'Outfall 1 Limits'!AX16="L"),IF(KD60="Y","&lt;",""),""),"")</f>
        <v/>
      </c>
      <c r="I60" s="58" t="str">
        <f ca="1">IF(AND($BU$55&lt;&gt;"",$GK57&lt;&gt;""),IF(OR('Outfall 1 Limits'!$AX$16="C1",'Outfall 1 Limits'!$AX$16="L"),$GK57),"")</f>
        <v/>
      </c>
      <c r="J60" s="130" t="str">
        <f ca="1">IF(BV55&lt;&gt;"",IF(OR('Outfall 1 Limits'!$AX$20="C1",'Outfall 1 Limits'!$AX$20="L"),IF(KE60="Y","&lt;",""),""),"")</f>
        <v/>
      </c>
      <c r="K60" s="58" t="str">
        <f ca="1">IF(AND($BV$55&lt;&gt;"",$GL57&lt;&gt;""),IF(OR('Outfall 1 Limits'!$AX$20="C1",'Outfall 1 Limits'!$AX$20="L"),$GL57),"")</f>
        <v/>
      </c>
      <c r="L60" s="58" t="str">
        <f ca="1">IF(BW55&lt;&gt;"",IF(OR('Outfall 1 Limits'!$AX$24="C1",'Outfall 1 Limits'!$AX$24="L"),IF(KF60="Y","&lt;",""),""),"")</f>
        <v/>
      </c>
      <c r="M60" s="58" t="str">
        <f ca="1">IF(AND($BW$55&lt;&gt;"",$GM57&lt;&gt;""),IF(OR('Outfall 1 Limits'!$AX$24="C1",'Outfall 1 Limits'!$AX$24="L"),$GM57),"")</f>
        <v/>
      </c>
      <c r="N60" s="58" t="str">
        <f ca="1">IF(BX55&lt;&gt;"",IF(OR('Outfall 1 Limits'!$AX$28="C1",'Outfall 1 Limits'!$AX$28="L"),IF(KG60="Y","&lt;",""),""),"")</f>
        <v/>
      </c>
      <c r="O60" s="58" t="str">
        <f ca="1">IF(AND($BX$55&lt;&gt;"",$GN57&lt;&gt;""),IF(OR('Outfall 1 Limits'!$AX$28="C1",'Outfall 1 Limits'!$AX$28="L"),$GN57),"")</f>
        <v/>
      </c>
      <c r="P60" s="58" t="str">
        <f ca="1">IF(BY55&lt;&gt;"",IF(OR('Outfall 1 Limits'!$AX$32="C1",'Outfall 1 Limits'!$AX$32="L"),IF(KH60="Y","&lt;",""),""),"")</f>
        <v/>
      </c>
      <c r="Q60" s="58" t="str">
        <f ca="1">IF(AND($BY$55&lt;&gt;"",$GO57&lt;&gt;""),IF(OR('Outfall 1 Limits'!$AX$32="C1",'Outfall 1 Limits'!$AX$32="L"),$GO57),"")</f>
        <v/>
      </c>
      <c r="R60" s="58" t="str">
        <f ca="1">IF(BZ55&lt;&gt;"",IF(OR('Outfall 1 Limits'!$AX$36="C1",'Outfall 1 Limits'!$AX$36="L"),IF(KI60="Y","&lt;",""),""),"")</f>
        <v/>
      </c>
      <c r="S60" s="58" t="str">
        <f ca="1">IF(AND($BZ$55&lt;&gt;"",$GP57&lt;&gt;""),IF(OR('Outfall 1 Limits'!$AX$36="C1",'Outfall 1 Limits'!$AX$36="L"),$GP57),"")</f>
        <v/>
      </c>
      <c r="T60" s="58" t="str">
        <f ca="1">IF(CA55&lt;&gt;"",IF(OR('Outfall 1 Limits'!$AX$40="C1",'Outfall 1 Limits'!$AX$40="L"),IF(KJ60="Y","&lt;",""),""),"")</f>
        <v/>
      </c>
      <c r="U60" s="58" t="str">
        <f ca="1">IF(AND($CA$55&lt;&gt;"",$GQ57&lt;&gt;""),IF(OR('Outfall 1 Limits'!$AX$40="C1",'Outfall 1 Limits'!$AX$40="L"),$GQ57),"")</f>
        <v/>
      </c>
      <c r="V60" s="58" t="str">
        <f ca="1">IF(CB55&lt;&gt;"",IF(OR('Outfall 1 Limits'!$AX$44="C1",'Outfall 1 Limits'!$AX$44="L"),IF(KK60="Y","&lt;",""),""),"")</f>
        <v/>
      </c>
      <c r="W60" s="58" t="str">
        <f ca="1">IF(AND($CB$55&lt;&gt;"",$GR57&lt;&gt;""),IF(OR('Outfall 1 Limits'!$AX$44="C1",'Outfall 1 Limits'!$AX$44="L"),$GR57),"")</f>
        <v/>
      </c>
      <c r="X60" s="58" t="str">
        <f ca="1">IF(CC55&lt;&gt;"",IF(OR('Outfall 1 Limits'!$AX$48="C1",'Outfall 1 Limits'!$AX$48="L"),IF(KL60="Y","&lt;",""),""),"")</f>
        <v/>
      </c>
      <c r="Y60" s="58" t="str">
        <f ca="1">IF(AND($CC$55&lt;&gt;"",$GS57&lt;&gt;""),IF(OR('Outfall 1 Limits'!$AX$48="C1",'Outfall 1 Limits'!$AX$48="L"),$GS57),"")</f>
        <v/>
      </c>
      <c r="Z60" s="58" t="str">
        <f ca="1">IF(CD55&lt;&gt;"",IF(OR('Outfall 1 Limits'!$AX$52="C1",'Outfall 1 Limits'!$AX$52="L"),IF(KM60="Y","&lt;",""),""),"")</f>
        <v/>
      </c>
      <c r="AA60" s="58" t="str">
        <f ca="1">IF(AND($CD$55&lt;&gt;"",$GT57&lt;&gt;""),IF(OR('Outfall 1 Limits'!$AX$52="C1",'Outfall 1 Limits'!$AX$52="L"),$GT57),"")</f>
        <v/>
      </c>
      <c r="AB60" s="58" t="str">
        <f ca="1">IF(CE55&lt;&gt;"",IF(OR('Outfall 1 Limits'!$AX$56="C1",'Outfall 1 Limits'!$AX$56="L"),IF(KN60="Y","&lt;",""),""),"")</f>
        <v/>
      </c>
      <c r="AC60" s="58" t="str">
        <f ca="1">IF(AND($CE$55&lt;&gt;"",$GU57&lt;&gt;""),IF(OR('Outfall 1 Limits'!$AX$56="C1",'Outfall 1 Limits'!$AX$56="L"),$GU57),"")</f>
        <v/>
      </c>
      <c r="AD60" s="58" t="str">
        <f ca="1">IF(CF55&lt;&gt;"",IF(OR('Outfall 1 Limits'!$AX$60="C1",'Outfall 1 Limits'!$AX$60="L"),IF(KO60="Y","&lt;",""),""),"")</f>
        <v/>
      </c>
      <c r="AE60" s="58" t="str">
        <f ca="1">IF(AND($CF$55&lt;&gt;"",$GV57&lt;&gt;""),IF(OR('Outfall 1 Limits'!$AX$60="C1",'Outfall 1 Limits'!$AX$60="L"),$GV57),"")</f>
        <v/>
      </c>
      <c r="AF60" s="58" t="str">
        <f ca="1">IF(CG55&lt;&gt;"",IF(OR('Outfall 1 Limits'!$AX$64="C1",'Outfall 1 Limits'!$AX$64="L"),IF(KP60="Y","&lt;",""),""),"")</f>
        <v/>
      </c>
      <c r="AG60" s="58" t="str">
        <f ca="1">IF(AND($CG$55&lt;&gt;"",$GW57&lt;&gt;""),IF(OR('Outfall 1 Limits'!$AX$64="C1",'Outfall 1 Limits'!$AX$64="L"),$GW57),"")</f>
        <v/>
      </c>
      <c r="AH60" s="58" t="str">
        <f ca="1">IF(CH55&lt;&gt;"",IF(OR('Outfall 1 Limits'!$AX$68="C1",'Outfall 1 Limits'!$AX$68="L"),IF(KQ60="Y","&lt;",""),""),"")</f>
        <v/>
      </c>
      <c r="AI60" s="172" t="str">
        <f ca="1">IF(AND($CH$55&lt;&gt;"",$GX57&lt;&gt;""),IF(OR('Outfall 1 Limits'!$AX$68="C1",'Outfall 1 Limits'!$AX$68="L"),$GX57),"")</f>
        <v/>
      </c>
      <c r="AJ60" s="236"/>
      <c r="BO60" s="188"/>
      <c r="BP60" s="267">
        <v>2079</v>
      </c>
      <c r="BQ60" s="83" t="s">
        <v>1161</v>
      </c>
      <c r="BR60" s="188"/>
      <c r="BS60" s="188"/>
      <c r="BT60" s="229" t="s">
        <v>1135</v>
      </c>
      <c r="BU60" s="68" t="str">
        <f>IF(BU59&lt;&gt;0,IF(INT(BU59)=BU59,"N","Y"),"")</f>
        <v/>
      </c>
      <c r="BV60" s="188" t="str">
        <f t="shared" ref="BV60:CH60" si="118">IF(BV59&lt;&gt;0,IF(INT(BV59)=BV59,"N","Y"),"")</f>
        <v/>
      </c>
      <c r="BW60" s="188" t="str">
        <f t="shared" si="118"/>
        <v/>
      </c>
      <c r="BX60" s="188" t="str">
        <f t="shared" si="118"/>
        <v/>
      </c>
      <c r="BY60" s="188" t="str">
        <f t="shared" si="118"/>
        <v/>
      </c>
      <c r="BZ60" s="188" t="str">
        <f t="shared" si="118"/>
        <v/>
      </c>
      <c r="CA60" s="188" t="str">
        <f t="shared" si="118"/>
        <v/>
      </c>
      <c r="CB60" s="188" t="str">
        <f t="shared" si="118"/>
        <v/>
      </c>
      <c r="CC60" s="188" t="str">
        <f t="shared" si="118"/>
        <v/>
      </c>
      <c r="CD60" s="188" t="str">
        <f t="shared" si="118"/>
        <v/>
      </c>
      <c r="CE60" s="188" t="str">
        <f t="shared" si="118"/>
        <v/>
      </c>
      <c r="CF60" s="188" t="str">
        <f t="shared" si="118"/>
        <v/>
      </c>
      <c r="CG60" s="188" t="str">
        <f t="shared" si="118"/>
        <v/>
      </c>
      <c r="CH60" s="188" t="str">
        <f t="shared" si="118"/>
        <v/>
      </c>
      <c r="CX60" s="229" t="s">
        <v>373</v>
      </c>
      <c r="CY60" s="77"/>
      <c r="CZ60" s="76"/>
      <c r="DA60" s="76"/>
      <c r="DB60" s="76"/>
      <c r="DC60" s="76"/>
      <c r="DD60" s="76"/>
      <c r="DE60" s="76"/>
      <c r="DF60" s="76"/>
      <c r="DG60" s="76"/>
      <c r="DH60" s="76"/>
      <c r="DI60" s="76"/>
      <c r="DJ60" s="76"/>
      <c r="DK60" s="76"/>
      <c r="DL60" s="76"/>
      <c r="EB60" s="2"/>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c r="FN60" s="19"/>
      <c r="FO60" s="19"/>
      <c r="FP60" s="19"/>
      <c r="FQ60" s="19"/>
      <c r="FR60" s="19"/>
      <c r="FS60" s="19"/>
      <c r="FT60" s="19"/>
      <c r="FU60" s="19"/>
      <c r="FV60" s="19"/>
      <c r="FW60" s="19"/>
      <c r="FX60" s="19"/>
      <c r="FY60" s="19"/>
      <c r="FZ60" s="19"/>
      <c r="GA60" s="19"/>
      <c r="GB60" s="19"/>
      <c r="GC60" s="19"/>
      <c r="GD60" s="19"/>
      <c r="GE60" s="19"/>
      <c r="GF60" s="19"/>
      <c r="GG60" s="19"/>
      <c r="GH60" s="19"/>
      <c r="GJ60" s="231"/>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188"/>
      <c r="HO60" s="188"/>
      <c r="HP60" s="188"/>
      <c r="HQ60" s="188"/>
      <c r="HR60" s="188"/>
      <c r="HS60" s="188"/>
      <c r="HT60" s="188"/>
      <c r="HU60" s="188"/>
      <c r="HV60" s="188"/>
      <c r="HW60" s="188"/>
      <c r="HX60" s="188"/>
      <c r="HY60" s="188"/>
      <c r="HZ60" s="188"/>
      <c r="IA60" s="188"/>
      <c r="IB60" s="188"/>
      <c r="IC60" s="188"/>
      <c r="ID60" s="188"/>
      <c r="IE60" s="188"/>
      <c r="IF60" s="188"/>
      <c r="IG60" s="188"/>
      <c r="IH60" s="188"/>
      <c r="II60" s="188"/>
      <c r="IJ60" s="188"/>
      <c r="IK60" s="188"/>
      <c r="IL60" s="188"/>
      <c r="IM60" s="188"/>
      <c r="IN60" s="188"/>
      <c r="IO60" s="188"/>
      <c r="IP60" s="188"/>
      <c r="IQ60" s="188"/>
      <c r="IR60" s="188"/>
      <c r="IS60" s="188"/>
      <c r="IT60" s="188"/>
      <c r="IU60" s="188"/>
      <c r="IW60" s="229" t="s">
        <v>373</v>
      </c>
      <c r="IX60" s="69" t="str">
        <f t="shared" ref="IX60:JK60" ca="1" si="119">IF(IX57&lt;&gt;"",IF(IX57=IX58,"N","Y"),"")</f>
        <v/>
      </c>
      <c r="IY60" s="70" t="str">
        <f t="shared" ca="1" si="119"/>
        <v/>
      </c>
      <c r="IZ60" s="70" t="str">
        <f t="shared" ca="1" si="119"/>
        <v/>
      </c>
      <c r="JA60" s="70" t="str">
        <f t="shared" ca="1" si="119"/>
        <v/>
      </c>
      <c r="JB60" s="70" t="str">
        <f t="shared" ca="1" si="119"/>
        <v/>
      </c>
      <c r="JC60" s="70" t="str">
        <f t="shared" ca="1" si="119"/>
        <v/>
      </c>
      <c r="JD60" s="70" t="str">
        <f t="shared" ca="1" si="119"/>
        <v/>
      </c>
      <c r="JE60" s="70" t="str">
        <f t="shared" ca="1" si="119"/>
        <v/>
      </c>
      <c r="JF60" s="70" t="str">
        <f t="shared" ca="1" si="119"/>
        <v/>
      </c>
      <c r="JG60" s="70" t="str">
        <f t="shared" ca="1" si="119"/>
        <v/>
      </c>
      <c r="JH60" s="70" t="str">
        <f t="shared" ca="1" si="119"/>
        <v/>
      </c>
      <c r="JI60" s="70" t="str">
        <f t="shared" ca="1" si="119"/>
        <v/>
      </c>
      <c r="JJ60" s="70" t="str">
        <f t="shared" ca="1" si="119"/>
        <v/>
      </c>
      <c r="JK60" s="70" t="str">
        <f t="shared" ca="1" si="119"/>
        <v/>
      </c>
      <c r="KA60" s="188"/>
      <c r="KB60" s="2"/>
      <c r="KC60" s="232" t="s">
        <v>1170</v>
      </c>
      <c r="KD60" s="234" t="e">
        <f t="shared" ref="KD60:KQ60" ca="1" si="120">IF(KD53="Y",KD59,IF(BU54="Y","Y",IF(BU56="Y","Y")))</f>
        <v>#VALUE!</v>
      </c>
      <c r="KE60" s="188" t="e">
        <f t="shared" ca="1" si="120"/>
        <v>#VALUE!</v>
      </c>
      <c r="KF60" s="188" t="e">
        <f t="shared" ca="1" si="120"/>
        <v>#VALUE!</v>
      </c>
      <c r="KG60" s="188" t="e">
        <f t="shared" ca="1" si="120"/>
        <v>#VALUE!</v>
      </c>
      <c r="KH60" s="188" t="e">
        <f t="shared" ca="1" si="120"/>
        <v>#VALUE!</v>
      </c>
      <c r="KI60" s="188" t="e">
        <f t="shared" ca="1" si="120"/>
        <v>#VALUE!</v>
      </c>
      <c r="KJ60" s="188" t="e">
        <f t="shared" ca="1" si="120"/>
        <v>#VALUE!</v>
      </c>
      <c r="KK60" s="188" t="e">
        <f t="shared" ca="1" si="120"/>
        <v>#VALUE!</v>
      </c>
      <c r="KL60" s="188" t="e">
        <f t="shared" ca="1" si="120"/>
        <v>#VALUE!</v>
      </c>
      <c r="KM60" s="188" t="e">
        <f t="shared" ca="1" si="120"/>
        <v>#VALUE!</v>
      </c>
      <c r="KN60" s="188" t="e">
        <f t="shared" ca="1" si="120"/>
        <v>#VALUE!</v>
      </c>
      <c r="KO60" s="188" t="e">
        <f t="shared" ca="1" si="120"/>
        <v>#VALUE!</v>
      </c>
      <c r="KP60" s="188" t="e">
        <f t="shared" ca="1" si="120"/>
        <v>#VALUE!</v>
      </c>
      <c r="KQ60" s="188" t="e">
        <f t="shared" ca="1" si="120"/>
        <v>#VALUE!</v>
      </c>
    </row>
    <row r="61" spans="1:303" s="18" customFormat="1" ht="11.25" customHeight="1" thickTop="1" thickBot="1" x14ac:dyDescent="0.25">
      <c r="A61" s="38"/>
      <c r="B61" s="415" t="s">
        <v>1133</v>
      </c>
      <c r="C61" s="415"/>
      <c r="D61" s="415"/>
      <c r="E61" s="415"/>
      <c r="F61" s="416"/>
      <c r="G61" s="57" t="str">
        <f ca="1">IF(ROWS(INDIRECT("G"&amp;$D$10):INDIRECT("G"&amp;$B$10))-COUNTIF(INDIRECT("G"&amp;$D$10):INDIRECT("G"&amp;$B$10),"")&gt;0,MIN(INDIRECT("G"&amp;$D$10):INDIRECT("G"&amp;$B$10)),"")</f>
        <v/>
      </c>
      <c r="H61" s="58" t="str">
        <f ca="1">IF(BU55&lt;&gt;"",IF(OR('Outfall 1 Limits'!AX16="C1",'Outfall 1 Limits'!AX16="L"),IF(IX60="Y","&lt;",""),""),"")</f>
        <v/>
      </c>
      <c r="I61" s="58" t="str">
        <f ca="1">IF(AND($BU$55&lt;&gt;"",$IX$59&lt;&gt;""),IF(OR('Outfall 1 Limits'!$AX$16="C1",'Outfall 1 Limits'!$AX$16="L"),$IX$59),"")</f>
        <v/>
      </c>
      <c r="J61" s="130" t="str">
        <f ca="1">IF($BV$55&lt;&gt;"",IF(OR('Outfall 1 Limits'!$AX$20="C1",'Outfall 1 Limits'!$AX$20="L"),IF($IY$60="Y","&lt;",""),""),"")</f>
        <v/>
      </c>
      <c r="K61" s="58" t="str">
        <f ca="1">IF(AND($BV$55&lt;&gt;"",$IY$59&lt;&gt;""),IF(OR('Outfall 1 Limits'!$AX$20="C1",'Outfall 1 Limits'!$AX$20="L"),$IY$59),"")</f>
        <v/>
      </c>
      <c r="L61" s="58" t="str">
        <f ca="1">IF($BW$55&lt;&gt;"",IF(OR('Outfall 1 Limits'!$AX$24="C1",'Outfall 1 Limits'!$AX$24="L"),IF($IZ$60="Y","&lt;",""),""),"")</f>
        <v/>
      </c>
      <c r="M61" s="58" t="str">
        <f ca="1">IF(AND($BW$55&lt;&gt;"",$IZ$59&lt;&gt;""),IF(OR('Outfall 1 Limits'!$AX$24="C1",'Outfall 1 Limits'!$AX$24="L"),$IZ$59),"")</f>
        <v/>
      </c>
      <c r="N61" s="58" t="str">
        <f ca="1">IF($BX$55&lt;&gt;"",IF(OR('Outfall 1 Limits'!$AX$28="C1",'Outfall 1 Limits'!$AX$28="L"),IF($JA$60="Y","&lt;",""),""),"")</f>
        <v/>
      </c>
      <c r="O61" s="58" t="str">
        <f ca="1">IF(AND($BX$55&lt;&gt;"",$JA$59&lt;&gt;""),IF(OR('Outfall 1 Limits'!$AX$28="C1",'Outfall 1 Limits'!$AX$28="L"),$JA$59),"")</f>
        <v/>
      </c>
      <c r="P61" s="58" t="str">
        <f ca="1">IF($BY$55&lt;&gt;"",IF(OR('Outfall 1 Limits'!$AX$32="C1",'Outfall 1 Limits'!$AX$32="L"),IF($JB$60="Y","&lt;",""),""),"")</f>
        <v/>
      </c>
      <c r="Q61" s="58" t="str">
        <f ca="1">IF(AND($BY$55&lt;&gt;"",$JB$59&lt;&gt;""),IF(OR('Outfall 1 Limits'!$AX$32="C1",'Outfall 1 Limits'!$AX$32="L"),$JB$59),"")</f>
        <v/>
      </c>
      <c r="R61" s="58" t="str">
        <f ca="1">IF($BZ$55&lt;&gt;"",IF(OR('Outfall 1 Limits'!$AX$36="C1",'Outfall 1 Limits'!$AX$36="L"),IF($JC$60="Y","&lt;",""),""),"")</f>
        <v/>
      </c>
      <c r="S61" s="58" t="str">
        <f ca="1">IF(AND($BZ$55&lt;&gt;"",$JC$59&lt;&gt;""),IF(OR('Outfall 1 Limits'!$AX$36="C1",'Outfall 1 Limits'!$AX$36="L"),$JC$59),"")</f>
        <v/>
      </c>
      <c r="T61" s="58" t="str">
        <f ca="1">IF($CA$55&lt;&gt;"",IF(OR('Outfall 1 Limits'!$AX$40="C1",'Outfall 1 Limits'!$AX$40="L"),IF($JD$60="Y","&lt;",""),""),"")</f>
        <v/>
      </c>
      <c r="U61" s="58" t="str">
        <f ca="1">IF(AND($CA$55&lt;&gt;"",$JD$59&lt;&gt;""),IF(OR('Outfall 1 Limits'!$AX$40="C1",'Outfall 1 Limits'!$AX$40="L"),$JD$59),"")</f>
        <v/>
      </c>
      <c r="V61" s="58" t="str">
        <f ca="1">IF($CB$55&lt;&gt;"",IF(OR('Outfall 1 Limits'!$AX$44="C1",'Outfall 1 Limits'!$AX$44="L"),IF($JE$60="Y","&lt;",""),""),"")</f>
        <v/>
      </c>
      <c r="W61" s="58" t="str">
        <f ca="1">IF(AND($CB$55&lt;&gt;"",$JE$59&lt;&gt;""),IF(OR('Outfall 1 Limits'!$AX$44="C1",'Outfall 1 Limits'!$AX$44="L"),$JE$59),"")</f>
        <v/>
      </c>
      <c r="X61" s="58" t="str">
        <f ca="1">IF($CC$55&lt;&gt;"",IF(OR('Outfall 1 Limits'!$AX$48="C1",'Outfall 1 Limits'!$AX$48="L"),IF($JF$60="Y","&lt;",""),""),"")</f>
        <v/>
      </c>
      <c r="Y61" s="58" t="str">
        <f ca="1">IF(AND($CC$55&lt;&gt;"",$JF$59&lt;&gt;""),IF(OR('Outfall 1 Limits'!$AX$48="C1",'Outfall 1 Limits'!$AX$48="L"),$JF$59),"")</f>
        <v/>
      </c>
      <c r="Z61" s="58" t="str">
        <f ca="1">IF($CD$55&lt;&gt;"",IF(OR('Outfall 1 Limits'!$AX$52="C1",'Outfall 1 Limits'!$AX$52="L"),IF($JG$60="Y","&lt;",""),""),"")</f>
        <v/>
      </c>
      <c r="AA61" s="58" t="str">
        <f ca="1">IF(AND($CD$55&lt;&gt;"",$JG$59&lt;&gt;""),IF(OR('Outfall 1 Limits'!$AX$52="C1",'Outfall 1 Limits'!$AX$52="L"),$JG$59),"")</f>
        <v/>
      </c>
      <c r="AB61" s="58" t="str">
        <f ca="1">IF($CE$55&lt;&gt;"",IF(OR('Outfall 1 Limits'!$AX$56="C1",'Outfall 1 Limits'!$AX$56="L"),IF($JH$60="Y","&lt;",""),""),"")</f>
        <v/>
      </c>
      <c r="AC61" s="58" t="str">
        <f ca="1">IF(AND($CE$55&lt;&gt;"",$JH$59&lt;&gt;""),IF(OR('Outfall 1 Limits'!$AX$56="C1",'Outfall 1 Limits'!$AX$56="L"),$JH$59),"")</f>
        <v/>
      </c>
      <c r="AD61" s="58" t="str">
        <f ca="1">IF($CF$55&lt;&gt;"",IF(OR('Outfall 1 Limits'!$AX$60="C1",'Outfall 1 Limits'!$AX$60="L"),IF($JI$60="Y","&lt;",""),""),"")</f>
        <v/>
      </c>
      <c r="AE61" s="58" t="str">
        <f ca="1">IF(AND($CF$55&lt;&gt;"",$JI$59&lt;&gt;""),IF(OR('Outfall 1 Limits'!$AX$60="C1",'Outfall 1 Limits'!$AX$60="L"),$JI$59),"")</f>
        <v/>
      </c>
      <c r="AF61" s="58" t="str">
        <f ca="1">IF($CG$55&lt;&gt;"",IF(OR('Outfall 1 Limits'!$AX$64="C1",'Outfall 1 Limits'!$AX$64="L"),IF($JJ$60="Y","&lt;",""),""),"")</f>
        <v/>
      </c>
      <c r="AG61" s="58" t="str">
        <f ca="1">IF(AND($CG$55&lt;&gt;"",$JJ$59&lt;&gt;""),IF(OR('Outfall 1 Limits'!$AX$64="C1",'Outfall 1 Limits'!$AX$64="L"),$JJ$59),"")</f>
        <v/>
      </c>
      <c r="AH61" s="58" t="str">
        <f ca="1">IF($CH$55&lt;&gt;"",IF(OR('Outfall 1 Limits'!$AX$68="C1",'Outfall 1 Limits'!$AX$68="L"),IF($JK$60="Y","&lt;",""),""),"")</f>
        <v/>
      </c>
      <c r="AI61" s="172" t="str">
        <f ca="1">IF(AND($CH$55&lt;&gt;"",$JK$59&lt;&gt;""),IF(OR('Outfall 1 Limits'!$AX$68="C1",'Outfall 1 Limits'!$AX$68="L"),$JK$59),"")</f>
        <v/>
      </c>
      <c r="AJ61" s="236"/>
      <c r="BO61" s="188"/>
      <c r="BP61" s="267">
        <v>2080</v>
      </c>
      <c r="BQ61" s="83" t="s">
        <v>75</v>
      </c>
      <c r="BR61" s="188"/>
      <c r="BS61" s="188"/>
      <c r="BT61" s="229" t="s">
        <v>835</v>
      </c>
      <c r="BU61" s="68">
        <f>SUM(BU31:BU37)</f>
        <v>0</v>
      </c>
      <c r="BV61" s="188">
        <f>SUM(BV31:BV37)</f>
        <v>0</v>
      </c>
      <c r="BW61" s="188">
        <f t="shared" ref="BW61:CH61" si="121">SUM(BW31:BW37)</f>
        <v>0</v>
      </c>
      <c r="BX61" s="188">
        <f t="shared" si="121"/>
        <v>0</v>
      </c>
      <c r="BY61" s="188">
        <f t="shared" si="121"/>
        <v>0</v>
      </c>
      <c r="BZ61" s="188">
        <f t="shared" si="121"/>
        <v>0</v>
      </c>
      <c r="CA61" s="188">
        <f t="shared" si="121"/>
        <v>0</v>
      </c>
      <c r="CB61" s="188">
        <f t="shared" si="121"/>
        <v>0</v>
      </c>
      <c r="CC61" s="188">
        <f t="shared" si="121"/>
        <v>0</v>
      </c>
      <c r="CD61" s="188">
        <f t="shared" si="121"/>
        <v>0</v>
      </c>
      <c r="CE61" s="188">
        <f t="shared" si="121"/>
        <v>0</v>
      </c>
      <c r="CF61" s="188">
        <f t="shared" si="121"/>
        <v>0</v>
      </c>
      <c r="CG61" s="188">
        <f t="shared" si="121"/>
        <v>0</v>
      </c>
      <c r="CH61" s="188">
        <f t="shared" si="121"/>
        <v>0</v>
      </c>
      <c r="CX61" s="229" t="s">
        <v>370</v>
      </c>
      <c r="CY61" s="79" t="str">
        <f ca="1">IF(ROWS(INDIRECT("I"&amp;$D$10):INDIRECT("I"&amp;$B$10))-COUNTIF(INDIRECT("I"&amp;$D$10):INDIRECT("I"&amp;$B$10),"")&gt;0,GEOMEAN(INDIRECT("I"&amp;$D$10):INDIRECT("I"&amp;$B$10)),"")</f>
        <v/>
      </c>
      <c r="CZ61" s="80" t="str">
        <f ca="1">IF(ROWS(INDIRECT("K"&amp;$D$10):INDIRECT("K"&amp;$B$10))-COUNTIF(INDIRECT("K"&amp;$D$10):INDIRECT("K"&amp;$B$10),"")&gt;0,GEOMEAN(INDIRECT("K"&amp;$D$10):INDIRECT("K"&amp;$B$10)),"")</f>
        <v/>
      </c>
      <c r="DA61" s="80" t="str">
        <f ca="1">IF(ROWS(INDIRECT("M"&amp;$D$10):INDIRECT("M"&amp;$B$10))-COUNTIF(INDIRECT("M"&amp;$D$10):INDIRECT("M"&amp;$B$10),"")&gt;0,GEOMEAN(INDIRECT("M"&amp;$D$10):INDIRECT("M"&amp;$B$10)),"")</f>
        <v/>
      </c>
      <c r="DB61" s="80" t="str">
        <f ca="1">IF(ROWS(INDIRECT("O"&amp;$D$10):INDIRECT("O"&amp;$B$10))-COUNTIF(INDIRECT("O"&amp;$D$10):INDIRECT("O"&amp;$B$10),"")&gt;0,GEOMEAN(INDIRECT("O"&amp;$D$10):INDIRECT("O"&amp;$B$10)),"")</f>
        <v/>
      </c>
      <c r="DC61" s="80" t="str">
        <f ca="1">IF(ROWS(INDIRECT("Q"&amp;$D$10):INDIRECT("Q"&amp;$B$10))-COUNTIF(INDIRECT("Q"&amp;$D$10):INDIRECT("Q"&amp;$B$10),"")&gt;0,GEOMEAN(INDIRECT("Q"&amp;$D$10):INDIRECT("Q"&amp;$B$10)),"")</f>
        <v/>
      </c>
      <c r="DD61" s="80" t="str">
        <f ca="1">IF(ROWS(INDIRECT("S"&amp;$D$10):INDIRECT("S"&amp;$B$10))-COUNTIF(INDIRECT("S"&amp;$D$10):INDIRECT("S"&amp;$B$10),"")&gt;0,GEOMEAN(INDIRECT("S"&amp;$D$10):INDIRECT("S"&amp;$B$10)),"")</f>
        <v/>
      </c>
      <c r="DE61" s="80" t="str">
        <f ca="1">IF(ROWS(INDIRECT("U"&amp;$D$10):INDIRECT("U"&amp;$B$10))-COUNTIF(INDIRECT("U"&amp;$D$10):INDIRECT("U"&amp;$B$10),"")&gt;0,GEOMEAN(INDIRECT("U"&amp;$D$10):INDIRECT("U"&amp;$B$10)),"")</f>
        <v/>
      </c>
      <c r="DF61" s="80" t="str">
        <f ca="1">IF(ROWS(INDIRECT("W"&amp;$D$10):INDIRECT("W"&amp;$B$10))-COUNTIF(INDIRECT("W"&amp;$D$10):INDIRECT("W"&amp;$B$10),"")&gt;0,GEOMEAN(INDIRECT("W"&amp;$D$10):INDIRECT("W"&amp;$B$10)),"")</f>
        <v/>
      </c>
      <c r="DG61" s="80" t="str">
        <f ca="1">IF(ROWS(INDIRECT("Y"&amp;$D$10):INDIRECT("Y"&amp;$B$10))-COUNTIF(INDIRECT("Y"&amp;$D$10):INDIRECT("Y"&amp;$B$10),"")&gt;0,GEOMEAN(INDIRECT("Y"&amp;$D$10):INDIRECT("Y"&amp;$B$10)),"")</f>
        <v/>
      </c>
      <c r="DH61" s="80" t="str">
        <f ca="1">IF(ROWS(INDIRECT("AA"&amp;$D$10):INDIRECT("AA"&amp;$B$10))-COUNTIF(INDIRECT("AA"&amp;$D$10):INDIRECT("AA"&amp;$B$10),"")&gt;0,GEOMEAN(INDIRECT("AA"&amp;$D$10):INDIRECT("AA"&amp;$B$10)),"")</f>
        <v/>
      </c>
      <c r="DI61" s="80" t="str">
        <f ca="1">IF(ROWS(INDIRECT("AC"&amp;$D$10):INDIRECT("AC"&amp;$B$10))-COUNTIF(INDIRECT("AC"&amp;$D$10):INDIRECT("AC"&amp;$B$10),"")&gt;0,GEOMEAN(INDIRECT("AC"&amp;$D$10):INDIRECT("AC"&amp;$B$10)),"")</f>
        <v/>
      </c>
      <c r="DJ61" s="80" t="str">
        <f ca="1">IF(ROWS(INDIRECT("AE"&amp;$D$10):INDIRECT("AE"&amp;$B$10))-COUNTIF(INDIRECT("AE"&amp;$D$10):INDIRECT("AE"&amp;$B$10),"")&gt;0,GEOMEAN(INDIRECT("AE"&amp;$D$10):INDIRECT("AE"&amp;$B$10)),"")</f>
        <v/>
      </c>
      <c r="DK61" s="80" t="str">
        <f ca="1">IF(ROWS(INDIRECT("AG"&amp;$D$10):INDIRECT("AG"&amp;$B$10))-COUNTIF(INDIRECT("AG"&amp;$D$10):INDIRECT("AG"&amp;$B$10),"")&gt;0,GEOMEAN(INDIRECT("AG"&amp;$D$10):INDIRECT("AG"&amp;$B$10)),"")</f>
        <v/>
      </c>
      <c r="DL61" s="80" t="str">
        <f ca="1">IF(ROWS(INDIRECT("AI"&amp;$D$10):INDIRECT("AI"&amp;$B$10))-COUNTIF(INDIRECT("AI"&amp;$D$10):INDIRECT("AI"&amp;$B$10),"")&gt;0,GEOMEAN(INDIRECT("AI"&amp;$D$10):INDIRECT("AI"&amp;$B$10)),"")</f>
        <v/>
      </c>
      <c r="EB61" s="2"/>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J61" s="231"/>
      <c r="GK61" s="158"/>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188"/>
      <c r="HO61" s="188"/>
      <c r="HP61" s="188"/>
      <c r="HQ61" s="188"/>
      <c r="HR61" s="188"/>
      <c r="HS61" s="188"/>
      <c r="HT61" s="188"/>
      <c r="HU61" s="188"/>
      <c r="HV61" s="188"/>
      <c r="HW61" s="188"/>
      <c r="HX61" s="188"/>
      <c r="HY61" s="188"/>
      <c r="HZ61" s="188"/>
      <c r="IA61" s="188"/>
      <c r="IB61" s="188"/>
      <c r="IC61" s="188"/>
      <c r="ID61" s="188"/>
      <c r="IE61" s="188"/>
      <c r="IF61" s="188"/>
      <c r="IG61" s="188"/>
      <c r="IH61" s="188"/>
      <c r="II61" s="188"/>
      <c r="IJ61" s="188"/>
      <c r="IK61" s="188"/>
      <c r="IL61" s="188"/>
      <c r="IM61" s="188"/>
      <c r="IN61" s="188"/>
      <c r="IO61" s="188"/>
      <c r="IP61" s="188"/>
      <c r="IQ61" s="188"/>
      <c r="IR61" s="188"/>
      <c r="IS61" s="188"/>
      <c r="IT61" s="188"/>
      <c r="IU61" s="188"/>
      <c r="IX61" s="188"/>
      <c r="IY61" s="188"/>
      <c r="IZ61" s="188"/>
      <c r="JA61" s="188"/>
      <c r="JB61" s="188"/>
      <c r="JC61" s="188"/>
      <c r="JD61" s="188"/>
      <c r="JE61" s="188"/>
      <c r="JF61" s="188"/>
      <c r="JG61" s="188"/>
      <c r="JH61" s="188"/>
      <c r="JI61" s="188"/>
      <c r="JJ61" s="188"/>
      <c r="JK61" s="188"/>
      <c r="JL61" s="188"/>
      <c r="JM61" s="188"/>
      <c r="JN61" s="188"/>
      <c r="JO61" s="188"/>
      <c r="JP61" s="188"/>
      <c r="JQ61" s="188"/>
      <c r="JR61" s="188"/>
      <c r="JS61" s="188"/>
      <c r="JT61" s="188"/>
      <c r="JU61" s="188"/>
      <c r="JV61" s="188"/>
      <c r="JW61" s="188"/>
      <c r="JX61" s="188"/>
      <c r="JY61" s="188"/>
      <c r="JZ61" s="188"/>
      <c r="KA61" s="188"/>
      <c r="KB61" s="2"/>
      <c r="KC61" s="232" t="s">
        <v>1171</v>
      </c>
      <c r="KD61" s="188">
        <f t="shared" ref="KD61:KQ61" si="122">IF(EC18=EC13,1,IF(EC18=EC14,2,IF(EC18=EC15,3,IF(EC18=EC16,4,IF(EC18=EC17,5)))))</f>
        <v>1</v>
      </c>
      <c r="KE61" s="188">
        <f t="shared" si="122"/>
        <v>1</v>
      </c>
      <c r="KF61" s="188">
        <f t="shared" si="122"/>
        <v>1</v>
      </c>
      <c r="KG61" s="188">
        <f t="shared" si="122"/>
        <v>1</v>
      </c>
      <c r="KH61" s="188">
        <f t="shared" si="122"/>
        <v>1</v>
      </c>
      <c r="KI61" s="188">
        <f t="shared" si="122"/>
        <v>1</v>
      </c>
      <c r="KJ61" s="188">
        <f t="shared" si="122"/>
        <v>1</v>
      </c>
      <c r="KK61" s="188">
        <f t="shared" si="122"/>
        <v>1</v>
      </c>
      <c r="KL61" s="188">
        <f t="shared" si="122"/>
        <v>1</v>
      </c>
      <c r="KM61" s="188">
        <f t="shared" si="122"/>
        <v>1</v>
      </c>
      <c r="KN61" s="188">
        <f t="shared" si="122"/>
        <v>1</v>
      </c>
      <c r="KO61" s="188">
        <f t="shared" si="122"/>
        <v>1</v>
      </c>
      <c r="KP61" s="188">
        <f t="shared" si="122"/>
        <v>1</v>
      </c>
      <c r="KQ61" s="188">
        <f t="shared" si="122"/>
        <v>1</v>
      </c>
    </row>
    <row r="62" spans="1:303" s="18" customFormat="1" ht="11.25" customHeight="1" thickTop="1" thickBot="1" x14ac:dyDescent="0.25">
      <c r="A62" s="38"/>
      <c r="B62" s="415" t="s">
        <v>1131</v>
      </c>
      <c r="C62" s="415"/>
      <c r="D62" s="415"/>
      <c r="E62" s="415"/>
      <c r="F62" s="416"/>
      <c r="G62" s="59" t="str">
        <f ca="1">IF(ROWS(INDIRECT("G"&amp;$D$10):INDIRECT("G"&amp;$B$10))-COUNTIF(INDIRECT("G"&amp;$D$10):INDIRECT("G"&amp;$B$10),"")&gt;0,MAX(INDIRECT("G"&amp;$D$10):INDIRECT("G"&amp;$B$10)),"")</f>
        <v/>
      </c>
      <c r="H62" s="60" t="str">
        <f ca="1">IF($BU$55&lt;&gt;"",IF(OR('Outfall 1 Limits'!$AX$16="C1",'Outfall 1 Limits'!$AX$16="L"),IF($IX$56="Y","&lt;",""),""),"")</f>
        <v/>
      </c>
      <c r="I62" s="60" t="str">
        <f ca="1">IF(AND($BU$55&lt;&gt;"",$IX$55&lt;&gt;""),IF(OR('Outfall 1 Limits'!$AX$16="C1",'Outfall 1 Limits'!$AX$16="L"),$IX$55),"")</f>
        <v/>
      </c>
      <c r="J62" s="133" t="str">
        <f ca="1">IF($BV$55&lt;&gt;"",IF(OR('Outfall 1 Limits'!$AX$20="C1",'Outfall 1 Limits'!$AX$20="L"),IF($IY$56="Y","&lt;",""),""),"")</f>
        <v/>
      </c>
      <c r="K62" s="60" t="str">
        <f ca="1">IF(AND($BV$55&lt;&gt;"",$IY$55&lt;&gt;""),IF(OR('Outfall 1 Limits'!$AX$20="C1",'Outfall 1 Limits'!$AX$20="L"),$IY$55),"")</f>
        <v/>
      </c>
      <c r="L62" s="60" t="str">
        <f ca="1">IF($BW$55&lt;&gt;"",IF(OR('Outfall 1 Limits'!$AX$24="C1",'Outfall 1 Limits'!$AX$24="L"),IF($IZ$56="Y","&lt;",""),""),"")</f>
        <v/>
      </c>
      <c r="M62" s="60" t="str">
        <f ca="1">IF(AND($BW$55&lt;&gt;"",$IZ$55&lt;&gt;""),IF(OR('Outfall 1 Limits'!$AX$24="C1",'Outfall 1 Limits'!$AX$24="L"),$IZ$55),"")</f>
        <v/>
      </c>
      <c r="N62" s="60" t="str">
        <f ca="1">IF($BX$55&lt;&gt;"",IF(OR('Outfall 1 Limits'!$AX$28="C1",'Outfall 1 Limits'!$AX$28="L"),IF($JA$56="Y","&lt;",""),""),"")</f>
        <v/>
      </c>
      <c r="O62" s="60" t="str">
        <f ca="1">IF(AND($BX$55&lt;&gt;"",$JA$55&lt;&gt;""),IF(OR('Outfall 1 Limits'!$AX$28="C1",'Outfall 1 Limits'!$AX$28="L"),$JA$55),"")</f>
        <v/>
      </c>
      <c r="P62" s="60" t="str">
        <f ca="1">IF($BY$55&lt;&gt;"",IF(OR('Outfall 1 Limits'!$AX$32="C1",'Outfall 1 Limits'!$AX$32="L"),IF($JB$56="Y","&lt;",""),""),"")</f>
        <v/>
      </c>
      <c r="Q62" s="60" t="str">
        <f ca="1">IF(AND($BY$55&lt;&gt;"",$JB$55&lt;&gt;""),IF(OR('Outfall 1 Limits'!$AX$32="C1",'Outfall 1 Limits'!$AX$32="L"),$JB$55),"")</f>
        <v/>
      </c>
      <c r="R62" s="60" t="str">
        <f ca="1">IF($BZ$55&lt;&gt;"",IF(OR('Outfall 1 Limits'!$AX$36="C1",'Outfall 1 Limits'!$AX$36="L"),IF($JC$56="Y","&lt;",""),""),"")</f>
        <v/>
      </c>
      <c r="S62" s="60" t="str">
        <f ca="1">IF(AND($BZ$55&lt;&gt;"",$JC$55&lt;&gt;""),IF(OR('Outfall 1 Limits'!$AX$36="C1",'Outfall 1 Limits'!$AX$36="L"),$JC$55),"")</f>
        <v/>
      </c>
      <c r="T62" s="60" t="str">
        <f ca="1">IF($CA$55&lt;&gt;"",IF(OR('Outfall 1 Limits'!$AX$40="C1",'Outfall 1 Limits'!$AX$40="L"),IF($JD$56="Y","&lt;",""),""),"")</f>
        <v/>
      </c>
      <c r="U62" s="60" t="str">
        <f ca="1">IF(AND($CA$55&lt;&gt;"",$JD$55&lt;&gt;""),IF(OR('Outfall 1 Limits'!$AX$40="C1",'Outfall 1 Limits'!$AX$40="L"),$JD$55),"")</f>
        <v/>
      </c>
      <c r="V62" s="60" t="str">
        <f ca="1">IF($CB$55&lt;&gt;"",IF(OR('Outfall 1 Limits'!$AX$44="C1",'Outfall 1 Limits'!$AX$44="L"),IF($JE$56="Y","&lt;",""),""),"")</f>
        <v/>
      </c>
      <c r="W62" s="60" t="str">
        <f ca="1">IF(AND($CB$55&lt;&gt;"",$JE$55&lt;&gt;""),IF(OR('Outfall 1 Limits'!$AX$44="C1",'Outfall 1 Limits'!$AX$44="L"),$JE$55),"")</f>
        <v/>
      </c>
      <c r="X62" s="60" t="str">
        <f ca="1">IF($CC$55&lt;&gt;"",IF(OR('Outfall 1 Limits'!$AX$48="C1",'Outfall 1 Limits'!$AX$48="L"),IF($JF$56="Y","&lt;",""),""),"")</f>
        <v/>
      </c>
      <c r="Y62" s="60" t="str">
        <f ca="1">IF(AND($CC$55&lt;&gt;"",$JF$55&lt;&gt;""),IF(OR('Outfall 1 Limits'!$AX$48="C1",'Outfall 1 Limits'!$AX$48="L"),$JF$55),"")</f>
        <v/>
      </c>
      <c r="Z62" s="60" t="str">
        <f ca="1">IF($CD$55&lt;&gt;"",IF(OR('Outfall 1 Limits'!$AX$52="C1",'Outfall 1 Limits'!$AX$52="L"),IF($JG$56="Y","&lt;",""),""),"")</f>
        <v/>
      </c>
      <c r="AA62" s="60" t="str">
        <f ca="1">IF(AND($CD$55&lt;&gt;"",$JG$55&lt;&gt;""),IF(OR('Outfall 1 Limits'!$AX$52="C1",'Outfall 1 Limits'!$AX$52="L"),$JG$55),"")</f>
        <v/>
      </c>
      <c r="AB62" s="60" t="str">
        <f ca="1">IF($CE$55&lt;&gt;"",IF(OR('Outfall 1 Limits'!$AX$56="C1",'Outfall 1 Limits'!$AX$56="L"),IF($JH$56="Y","&lt;",""),""),"")</f>
        <v/>
      </c>
      <c r="AC62" s="60" t="str">
        <f ca="1">IF(AND($CE$55&lt;&gt;"",$JH$55&lt;&gt;""),IF(OR('Outfall 1 Limits'!$AX$56="C1",'Outfall 1 Limits'!$AX$56="L"),$JH$55),"")</f>
        <v/>
      </c>
      <c r="AD62" s="60" t="str">
        <f ca="1">IF($CF$55&lt;&gt;"",IF(OR('Outfall 1 Limits'!$AX$60="C1",'Outfall 1 Limits'!$AX$60="L"),IF($JI$56="Y","&lt;",""),""),"")</f>
        <v/>
      </c>
      <c r="AE62" s="60" t="str">
        <f ca="1">IF(AND($CF$55&lt;&gt;"",$JI$55&lt;&gt;""),IF(OR('Outfall 1 Limits'!$AX$60="C1",'Outfall 1 Limits'!$AX$60="L"),$JI$55),"")</f>
        <v/>
      </c>
      <c r="AF62" s="60" t="str">
        <f ca="1">IF($CG$55&lt;&gt;"",IF(OR('Outfall 1 Limits'!$AX$64="C1",'Outfall 1 Limits'!$AX$64="L"),IF($JJ$56="Y","&lt;",""),""),"")</f>
        <v/>
      </c>
      <c r="AG62" s="60" t="str">
        <f ca="1">IF(AND($CG$55&lt;&gt;"",$JJ$55&lt;&gt;""),IF(OR('Outfall 1 Limits'!$AX$64="C1",'Outfall 1 Limits'!$AX$64="L"),$JJ$55),"")</f>
        <v/>
      </c>
      <c r="AH62" s="60" t="str">
        <f ca="1">IF($CH$55&lt;&gt;"",IF(OR('Outfall 1 Limits'!$AX$68="C1",'Outfall 1 Limits'!$AX$68="L"),IF($JK$56="Y","&lt;",""),""),"")</f>
        <v/>
      </c>
      <c r="AI62" s="173" t="str">
        <f ca="1">IF(AND($CH$55&lt;&gt;"",$JK$55&lt;&gt;""),IF(OR('Outfall 1 Limits'!$AX$68="C1",'Outfall 1 Limits'!$AX$68="L"),$JK$55),"")</f>
        <v/>
      </c>
      <c r="AJ62" s="236"/>
      <c r="BO62" s="188"/>
      <c r="BP62" s="267">
        <v>2081</v>
      </c>
      <c r="BQ62" s="83" t="s">
        <v>1158</v>
      </c>
      <c r="BR62" s="188"/>
      <c r="BS62" s="188"/>
      <c r="BT62" s="229" t="s">
        <v>1136</v>
      </c>
      <c r="BU62" s="68" t="str">
        <f>IF(BU61&lt;&gt;0,IF(INT(BU61)=BU61,"N","Y"),"")</f>
        <v/>
      </c>
      <c r="BV62" s="188" t="str">
        <f t="shared" ref="BV62:CH62" si="123">IF(BV61&lt;&gt;0,IF(INT(BV61)=BV61,"N","Y"),"")</f>
        <v/>
      </c>
      <c r="BW62" s="188" t="str">
        <f t="shared" si="123"/>
        <v/>
      </c>
      <c r="BX62" s="188" t="str">
        <f t="shared" si="123"/>
        <v/>
      </c>
      <c r="BY62" s="188" t="str">
        <f t="shared" si="123"/>
        <v/>
      </c>
      <c r="BZ62" s="188" t="str">
        <f t="shared" si="123"/>
        <v/>
      </c>
      <c r="CA62" s="188" t="str">
        <f t="shared" si="123"/>
        <v/>
      </c>
      <c r="CB62" s="188" t="str">
        <f t="shared" si="123"/>
        <v/>
      </c>
      <c r="CC62" s="188" t="str">
        <f t="shared" si="123"/>
        <v/>
      </c>
      <c r="CD62" s="188" t="str">
        <f t="shared" si="123"/>
        <v/>
      </c>
      <c r="CE62" s="188" t="str">
        <f t="shared" si="123"/>
        <v/>
      </c>
      <c r="CF62" s="188" t="str">
        <f t="shared" si="123"/>
        <v/>
      </c>
      <c r="CG62" s="188" t="str">
        <f t="shared" si="123"/>
        <v/>
      </c>
      <c r="CH62" s="188" t="str">
        <f t="shared" si="123"/>
        <v/>
      </c>
      <c r="CY62" s="76"/>
      <c r="CZ62" s="76"/>
      <c r="DA62" s="76"/>
      <c r="DB62" s="76"/>
      <c r="DC62" s="76"/>
      <c r="DD62" s="76"/>
      <c r="DE62" s="76"/>
      <c r="DF62" s="76"/>
      <c r="DG62" s="76"/>
      <c r="DH62" s="76"/>
      <c r="DI62" s="76"/>
      <c r="DJ62" s="76"/>
      <c r="DK62" s="76"/>
      <c r="DL62" s="76"/>
      <c r="DM62" s="76"/>
      <c r="DN62" s="76"/>
      <c r="DO62" s="76"/>
      <c r="DP62" s="76"/>
      <c r="DQ62" s="76"/>
      <c r="DR62" s="76"/>
      <c r="DS62" s="76"/>
      <c r="DT62" s="76"/>
      <c r="DU62" s="76"/>
      <c r="DV62" s="76"/>
      <c r="DW62" s="76"/>
      <c r="DX62" s="76"/>
      <c r="DY62" s="76"/>
      <c r="DZ62" s="76"/>
      <c r="EA62" s="76"/>
      <c r="EB62" s="2"/>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c r="FN62" s="19"/>
      <c r="FO62" s="19"/>
      <c r="FP62" s="19"/>
      <c r="FQ62" s="19"/>
      <c r="FR62" s="19"/>
      <c r="FS62" s="19"/>
      <c r="FT62" s="19"/>
      <c r="FU62" s="19"/>
      <c r="FV62" s="19"/>
      <c r="FW62" s="19"/>
      <c r="FX62" s="19"/>
      <c r="FY62" s="19"/>
      <c r="FZ62" s="19"/>
      <c r="GA62" s="19"/>
      <c r="GB62" s="19"/>
      <c r="GC62" s="19"/>
      <c r="GD62" s="19"/>
      <c r="GE62" s="19"/>
      <c r="GF62" s="19"/>
      <c r="GG62" s="19"/>
      <c r="GH62" s="19"/>
      <c r="GJ62" s="231"/>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188"/>
      <c r="HO62" s="188"/>
      <c r="HP62" s="188"/>
      <c r="HQ62" s="188"/>
      <c r="HR62" s="188"/>
      <c r="HS62" s="188"/>
      <c r="HT62" s="188"/>
      <c r="HU62" s="188"/>
      <c r="HV62" s="188"/>
      <c r="HW62" s="188"/>
      <c r="HX62" s="188"/>
      <c r="HY62" s="188"/>
      <c r="HZ62" s="188"/>
      <c r="IA62" s="188"/>
      <c r="IB62" s="188"/>
      <c r="IC62" s="188"/>
      <c r="ID62" s="188"/>
      <c r="IE62" s="188"/>
      <c r="IF62" s="188"/>
      <c r="IG62" s="188"/>
      <c r="IH62" s="188"/>
      <c r="II62" s="188"/>
      <c r="IJ62" s="188"/>
      <c r="IK62" s="188"/>
      <c r="IL62" s="188"/>
      <c r="IM62" s="188"/>
      <c r="IN62" s="188"/>
      <c r="IO62" s="188"/>
      <c r="IP62" s="188"/>
      <c r="IQ62" s="188"/>
      <c r="IR62" s="188"/>
      <c r="IS62" s="188"/>
      <c r="IT62" s="188"/>
      <c r="IU62" s="188"/>
      <c r="IX62" s="188"/>
      <c r="IY62" s="188"/>
      <c r="IZ62" s="188"/>
      <c r="JA62" s="188"/>
      <c r="JB62" s="188"/>
      <c r="JC62" s="188"/>
      <c r="JD62" s="188"/>
      <c r="JE62" s="188"/>
      <c r="JF62" s="188"/>
      <c r="JG62" s="188"/>
      <c r="JH62" s="188"/>
      <c r="JI62" s="188"/>
      <c r="JJ62" s="188"/>
      <c r="JK62" s="188"/>
      <c r="JL62" s="188"/>
      <c r="JM62" s="188"/>
      <c r="JN62" s="188"/>
      <c r="JO62" s="188"/>
      <c r="JP62" s="188"/>
      <c r="JQ62" s="188"/>
      <c r="JR62" s="188"/>
      <c r="JS62" s="188"/>
      <c r="JT62" s="188"/>
      <c r="JU62" s="188"/>
      <c r="JV62" s="188"/>
      <c r="JW62" s="188"/>
      <c r="JX62" s="188"/>
      <c r="JY62" s="188"/>
      <c r="JZ62" s="188"/>
      <c r="KA62" s="188"/>
      <c r="KB62" s="2"/>
      <c r="KC62" s="232" t="s">
        <v>1186</v>
      </c>
      <c r="KD62" s="188">
        <f t="shared" ref="KD62:KQ62" si="124">IF(KD61=1,COUNTIF(KD17:KD23,"A"),IF(KD61=2,COUNTIF(KD24:KD30,"A"),IF(KD61=3,COUNTIF(KD31:KD37,"A"),IF(KD61=4,COUNTIF(KD38:KD44,"A"),COUNTIF(KD45:KD51,"A")))))</f>
        <v>0</v>
      </c>
      <c r="KE62" s="188">
        <f t="shared" si="124"/>
        <v>0</v>
      </c>
      <c r="KF62" s="188">
        <f t="shared" si="124"/>
        <v>0</v>
      </c>
      <c r="KG62" s="188">
        <f t="shared" si="124"/>
        <v>0</v>
      </c>
      <c r="KH62" s="188">
        <f t="shared" si="124"/>
        <v>0</v>
      </c>
      <c r="KI62" s="188">
        <f t="shared" si="124"/>
        <v>0</v>
      </c>
      <c r="KJ62" s="188">
        <f t="shared" si="124"/>
        <v>0</v>
      </c>
      <c r="KK62" s="188">
        <f t="shared" si="124"/>
        <v>0</v>
      </c>
      <c r="KL62" s="188">
        <f t="shared" si="124"/>
        <v>0</v>
      </c>
      <c r="KM62" s="188">
        <f t="shared" si="124"/>
        <v>0</v>
      </c>
      <c r="KN62" s="188">
        <f t="shared" si="124"/>
        <v>0</v>
      </c>
      <c r="KO62" s="188">
        <f t="shared" si="124"/>
        <v>0</v>
      </c>
      <c r="KP62" s="188">
        <f t="shared" si="124"/>
        <v>0</v>
      </c>
      <c r="KQ62" s="188">
        <f t="shared" si="124"/>
        <v>0</v>
      </c>
    </row>
    <row r="63" spans="1:303" s="18" customFormat="1" ht="11.25" customHeight="1" thickTop="1" x14ac:dyDescent="0.2">
      <c r="A63" s="38"/>
      <c r="B63" s="106"/>
      <c r="C63" s="9"/>
      <c r="D63" s="9"/>
      <c r="E63" s="107"/>
      <c r="F63" s="107"/>
      <c r="G63" s="108"/>
      <c r="H63" s="108"/>
      <c r="I63" s="108"/>
      <c r="J63" s="108"/>
      <c r="K63" s="108"/>
      <c r="L63" s="108"/>
      <c r="M63" s="108"/>
      <c r="N63" s="108"/>
      <c r="O63" s="108"/>
      <c r="P63" s="108"/>
      <c r="Q63" s="108"/>
      <c r="R63" s="108"/>
      <c r="S63" s="108"/>
      <c r="T63" s="108"/>
      <c r="U63" s="108"/>
      <c r="V63" s="108"/>
      <c r="W63" s="108"/>
      <c r="X63" s="201"/>
      <c r="Y63" s="108"/>
      <c r="Z63" s="108"/>
      <c r="AA63" s="108"/>
      <c r="AB63" s="109"/>
      <c r="AC63" s="109"/>
      <c r="AD63" s="109"/>
      <c r="AE63" s="109"/>
      <c r="AF63" s="109"/>
      <c r="AG63" s="109"/>
      <c r="AH63" s="109"/>
      <c r="AI63" s="109"/>
      <c r="AJ63" s="237"/>
      <c r="AK63" s="109"/>
      <c r="AL63" s="5"/>
      <c r="AM63" s="189"/>
      <c r="AN63" s="120"/>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121"/>
      <c r="BO63" s="188"/>
      <c r="BP63" s="267">
        <v>2082</v>
      </c>
      <c r="BQ63" s="83" t="s">
        <v>76</v>
      </c>
      <c r="BR63" s="188"/>
      <c r="BS63" s="188"/>
      <c r="BT63" s="229" t="s">
        <v>836</v>
      </c>
      <c r="BU63" s="68">
        <f>SUM(BU38:BU44)</f>
        <v>0</v>
      </c>
      <c r="BV63" s="188">
        <f>SUM(BV38:BV44)</f>
        <v>0</v>
      </c>
      <c r="BW63" s="188">
        <f t="shared" ref="BW63:CH63" si="125">SUM(BW38:BW44)</f>
        <v>0</v>
      </c>
      <c r="BX63" s="188">
        <f t="shared" si="125"/>
        <v>0</v>
      </c>
      <c r="BY63" s="188">
        <f t="shared" si="125"/>
        <v>0</v>
      </c>
      <c r="BZ63" s="188">
        <f t="shared" si="125"/>
        <v>0</v>
      </c>
      <c r="CA63" s="188">
        <f t="shared" si="125"/>
        <v>0</v>
      </c>
      <c r="CB63" s="188">
        <f t="shared" si="125"/>
        <v>0</v>
      </c>
      <c r="CC63" s="188">
        <f t="shared" si="125"/>
        <v>0</v>
      </c>
      <c r="CD63" s="188">
        <f t="shared" si="125"/>
        <v>0</v>
      </c>
      <c r="CE63" s="188">
        <f t="shared" si="125"/>
        <v>0</v>
      </c>
      <c r="CF63" s="188">
        <f t="shared" si="125"/>
        <v>0</v>
      </c>
      <c r="CG63" s="188">
        <f t="shared" si="125"/>
        <v>0</v>
      </c>
      <c r="CH63" s="188">
        <f t="shared" si="125"/>
        <v>0</v>
      </c>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2"/>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c r="FN63" s="19"/>
      <c r="FO63" s="19"/>
      <c r="FP63" s="19"/>
      <c r="FQ63" s="19"/>
      <c r="FR63" s="19"/>
      <c r="FS63" s="19"/>
      <c r="FT63" s="19"/>
      <c r="FU63" s="19"/>
      <c r="FV63" s="19"/>
      <c r="FW63" s="19"/>
      <c r="FX63" s="19"/>
      <c r="FY63" s="19"/>
      <c r="FZ63" s="19"/>
      <c r="GA63" s="19"/>
      <c r="GB63" s="19"/>
      <c r="GC63" s="19"/>
      <c r="GD63" s="19"/>
      <c r="GE63" s="19"/>
      <c r="GF63" s="19"/>
      <c r="GG63" s="19"/>
      <c r="GH63" s="19"/>
      <c r="GJ63" s="231"/>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188"/>
      <c r="HO63" s="188"/>
      <c r="HP63" s="188"/>
      <c r="HQ63" s="188"/>
      <c r="HR63" s="188"/>
      <c r="HS63" s="188"/>
      <c r="HT63" s="188"/>
      <c r="HU63" s="188"/>
      <c r="HV63" s="188"/>
      <c r="HW63" s="188"/>
      <c r="HX63" s="188"/>
      <c r="HY63" s="188"/>
      <c r="HZ63" s="188"/>
      <c r="IA63" s="188"/>
      <c r="IB63" s="188"/>
      <c r="IC63" s="188"/>
      <c r="ID63" s="188"/>
      <c r="IE63" s="188"/>
      <c r="IF63" s="188"/>
      <c r="IG63" s="188"/>
      <c r="IH63" s="188"/>
      <c r="II63" s="188"/>
      <c r="IJ63" s="188"/>
      <c r="IK63" s="188"/>
      <c r="IL63" s="188"/>
      <c r="IM63" s="188"/>
      <c r="IN63" s="188"/>
      <c r="IO63" s="188"/>
      <c r="IP63" s="188"/>
      <c r="IQ63" s="188"/>
      <c r="IR63" s="188"/>
      <c r="IS63" s="188"/>
      <c r="IT63" s="188"/>
      <c r="IU63" s="188"/>
      <c r="IX63" s="188"/>
      <c r="IY63" s="188"/>
      <c r="IZ63" s="188"/>
      <c r="JA63" s="188"/>
      <c r="JB63" s="188"/>
      <c r="JC63" s="188"/>
      <c r="JD63" s="188"/>
      <c r="JE63" s="188"/>
      <c r="JF63" s="188"/>
      <c r="JG63" s="188"/>
      <c r="JH63" s="188"/>
      <c r="JI63" s="188"/>
      <c r="JJ63" s="188"/>
      <c r="JK63" s="188"/>
      <c r="JL63" s="188"/>
      <c r="JM63" s="188"/>
      <c r="JN63" s="188"/>
      <c r="JO63" s="188"/>
      <c r="JP63" s="188"/>
      <c r="JQ63" s="188"/>
      <c r="JR63" s="188"/>
      <c r="JS63" s="188"/>
      <c r="JT63" s="188"/>
      <c r="JU63" s="188"/>
      <c r="JV63" s="188"/>
      <c r="JW63" s="188"/>
      <c r="JX63" s="188"/>
      <c r="JY63" s="188"/>
      <c r="JZ63" s="188"/>
      <c r="KA63" s="188"/>
      <c r="KB63" s="2"/>
      <c r="KC63" s="232" t="s">
        <v>1187</v>
      </c>
      <c r="KD63" s="188">
        <f t="shared" ref="KD63:KQ63" si="126">IF(KD61=1,COUNTIF(KD17:KD23,"B"),IF(KD61=2,COUNTIF(KD24:KD30,"B"),IF(KD61=3,COUNTIF(KD31:KD37,"B"),IF(KD61=4,COUNTIF(KD38:KD44,"B"),COUNTIF(KD45:KD51,"B")))))</f>
        <v>0</v>
      </c>
      <c r="KE63" s="188">
        <f t="shared" si="126"/>
        <v>0</v>
      </c>
      <c r="KF63" s="188">
        <f t="shared" si="126"/>
        <v>0</v>
      </c>
      <c r="KG63" s="188">
        <f t="shared" si="126"/>
        <v>0</v>
      </c>
      <c r="KH63" s="188">
        <f t="shared" si="126"/>
        <v>0</v>
      </c>
      <c r="KI63" s="188">
        <f t="shared" si="126"/>
        <v>0</v>
      </c>
      <c r="KJ63" s="188">
        <f t="shared" si="126"/>
        <v>0</v>
      </c>
      <c r="KK63" s="188">
        <f t="shared" si="126"/>
        <v>0</v>
      </c>
      <c r="KL63" s="188">
        <f t="shared" si="126"/>
        <v>0</v>
      </c>
      <c r="KM63" s="188">
        <f t="shared" si="126"/>
        <v>0</v>
      </c>
      <c r="KN63" s="188">
        <f t="shared" si="126"/>
        <v>0</v>
      </c>
      <c r="KO63" s="188">
        <f t="shared" si="126"/>
        <v>0</v>
      </c>
      <c r="KP63" s="188">
        <f t="shared" si="126"/>
        <v>0</v>
      </c>
      <c r="KQ63" s="188">
        <f t="shared" si="126"/>
        <v>0</v>
      </c>
    </row>
    <row r="64" spans="1:303" s="18" customFormat="1" ht="11.25" customHeight="1" x14ac:dyDescent="0.2">
      <c r="A64" s="38"/>
      <c r="B64" s="451" t="s">
        <v>300</v>
      </c>
      <c r="C64" s="451"/>
      <c r="D64" s="451"/>
      <c r="E64" s="451"/>
      <c r="F64" s="451"/>
      <c r="G64" s="451"/>
      <c r="H64" s="451"/>
      <c r="I64" s="451"/>
      <c r="J64" s="451"/>
      <c r="K64" s="451"/>
      <c r="L64" s="451"/>
      <c r="M64" s="451"/>
      <c r="N64" s="451"/>
      <c r="O64" s="451"/>
      <c r="P64" s="451"/>
      <c r="Q64" s="451"/>
      <c r="R64" s="451"/>
      <c r="S64" s="451"/>
      <c r="T64" s="451"/>
      <c r="U64" s="451"/>
      <c r="V64" s="110"/>
      <c r="W64" s="110"/>
      <c r="X64" s="202"/>
      <c r="Y64" s="110"/>
      <c r="Z64" s="110"/>
      <c r="AA64" s="110"/>
      <c r="AB64" s="110"/>
      <c r="AC64" s="110"/>
      <c r="AD64" s="110"/>
      <c r="AE64" s="110"/>
      <c r="AF64" s="110"/>
      <c r="AG64" s="110"/>
      <c r="AH64" s="110"/>
      <c r="AI64" s="110"/>
      <c r="AJ64" s="238"/>
      <c r="AK64" s="110"/>
      <c r="AL64" s="110"/>
      <c r="AM64" s="110"/>
      <c r="AN64" s="15"/>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22"/>
      <c r="BO64" s="188"/>
      <c r="BP64" s="267">
        <v>2083</v>
      </c>
      <c r="BQ64" s="83" t="s">
        <v>1159</v>
      </c>
      <c r="BR64" s="188"/>
      <c r="BS64" s="188"/>
      <c r="BT64" s="229" t="s">
        <v>1137</v>
      </c>
      <c r="BU64" s="68" t="str">
        <f>IF(BU63&lt;&gt;0,IF(INT(BU63)=BU63,"N","Y"),"")</f>
        <v/>
      </c>
      <c r="BV64" s="188" t="str">
        <f t="shared" ref="BV64:CH64" si="127">IF(BV63&lt;&gt;0,IF(INT(BV63)=BV63,"N","Y"),"")</f>
        <v/>
      </c>
      <c r="BW64" s="188" t="str">
        <f t="shared" si="127"/>
        <v/>
      </c>
      <c r="BX64" s="188" t="str">
        <f t="shared" si="127"/>
        <v/>
      </c>
      <c r="BY64" s="188" t="str">
        <f t="shared" si="127"/>
        <v/>
      </c>
      <c r="BZ64" s="188" t="str">
        <f t="shared" si="127"/>
        <v/>
      </c>
      <c r="CA64" s="188" t="str">
        <f t="shared" si="127"/>
        <v/>
      </c>
      <c r="CB64" s="188" t="str">
        <f t="shared" si="127"/>
        <v/>
      </c>
      <c r="CC64" s="188" t="str">
        <f t="shared" si="127"/>
        <v/>
      </c>
      <c r="CD64" s="188" t="str">
        <f t="shared" si="127"/>
        <v/>
      </c>
      <c r="CE64" s="188" t="str">
        <f t="shared" si="127"/>
        <v/>
      </c>
      <c r="CF64" s="188" t="str">
        <f t="shared" si="127"/>
        <v/>
      </c>
      <c r="CG64" s="188" t="str">
        <f t="shared" si="127"/>
        <v/>
      </c>
      <c r="CH64" s="188" t="str">
        <f t="shared" si="127"/>
        <v/>
      </c>
      <c r="CY64" s="76"/>
      <c r="CZ64" s="76"/>
      <c r="DA64" s="76"/>
      <c r="DB64" s="76"/>
      <c r="DC64" s="76"/>
      <c r="DD64" s="76"/>
      <c r="DE64" s="76"/>
      <c r="DF64" s="76"/>
      <c r="DG64" s="76"/>
      <c r="DH64" s="76"/>
      <c r="DI64" s="76"/>
      <c r="DJ64" s="76"/>
      <c r="DK64" s="76"/>
      <c r="DL64" s="76"/>
      <c r="DM64" s="76"/>
      <c r="DN64" s="76"/>
      <c r="DO64" s="76"/>
      <c r="DP64" s="76"/>
      <c r="DQ64" s="76"/>
      <c r="DR64" s="76"/>
      <c r="DS64" s="76"/>
      <c r="DT64" s="76"/>
      <c r="DU64" s="76"/>
      <c r="DV64" s="76"/>
      <c r="DW64" s="76"/>
      <c r="DX64" s="76"/>
      <c r="DY64" s="76"/>
      <c r="DZ64" s="76"/>
      <c r="EA64" s="76"/>
      <c r="EB64" s="2"/>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c r="FN64" s="19"/>
      <c r="FO64" s="19"/>
      <c r="FP64" s="19"/>
      <c r="FQ64" s="19"/>
      <c r="FR64" s="19"/>
      <c r="FS64" s="19"/>
      <c r="FT64" s="19"/>
      <c r="FU64" s="19"/>
      <c r="FV64" s="19"/>
      <c r="FW64" s="19"/>
      <c r="FX64" s="19"/>
      <c r="FY64" s="19"/>
      <c r="FZ64" s="19"/>
      <c r="GA64" s="19"/>
      <c r="GB64" s="19"/>
      <c r="GC64" s="19"/>
      <c r="GD64" s="19"/>
      <c r="GE64" s="19"/>
      <c r="GF64" s="19"/>
      <c r="GG64" s="19"/>
      <c r="GH64" s="19"/>
      <c r="GI64" s="19"/>
      <c r="GJ64" s="1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188"/>
      <c r="HO64" s="188"/>
      <c r="HP64" s="188"/>
      <c r="HQ64" s="188"/>
      <c r="HR64" s="188"/>
      <c r="HS64" s="188"/>
      <c r="HT64" s="188"/>
      <c r="HU64" s="188"/>
      <c r="HV64" s="188"/>
      <c r="HW64" s="188"/>
      <c r="HX64" s="188"/>
      <c r="HY64" s="188"/>
      <c r="HZ64" s="188"/>
      <c r="IA64" s="188"/>
      <c r="IB64" s="188"/>
      <c r="IC64" s="188"/>
      <c r="ID64" s="188"/>
      <c r="IE64" s="188"/>
      <c r="IF64" s="188"/>
      <c r="IG64" s="188"/>
      <c r="IH64" s="188"/>
      <c r="II64" s="188"/>
      <c r="IJ64" s="188"/>
      <c r="IK64" s="188"/>
      <c r="IL64" s="188"/>
      <c r="IM64" s="188"/>
      <c r="IN64" s="188"/>
      <c r="IO64" s="188"/>
      <c r="IP64" s="188"/>
      <c r="IQ64" s="188"/>
      <c r="IR64" s="188"/>
      <c r="IS64" s="188"/>
      <c r="IT64" s="188"/>
      <c r="IU64" s="188"/>
      <c r="IX64" s="188"/>
      <c r="IY64" s="188"/>
      <c r="IZ64" s="188"/>
      <c r="JA64" s="188"/>
      <c r="JB64" s="188"/>
      <c r="JC64" s="188"/>
      <c r="JD64" s="188"/>
      <c r="JE64" s="188"/>
      <c r="JF64" s="188"/>
      <c r="JG64" s="188"/>
      <c r="JH64" s="188"/>
      <c r="JI64" s="188"/>
      <c r="JJ64" s="188"/>
      <c r="JK64" s="188"/>
      <c r="JL64" s="188"/>
      <c r="JM64" s="188"/>
      <c r="JN64" s="188"/>
      <c r="JO64" s="188"/>
      <c r="JP64" s="188"/>
      <c r="JQ64" s="188"/>
      <c r="JR64" s="188"/>
      <c r="JS64" s="188"/>
      <c r="JT64" s="188"/>
      <c r="JU64" s="188"/>
      <c r="JV64" s="188"/>
      <c r="JW64" s="188"/>
      <c r="JX64" s="188"/>
      <c r="JY64" s="188"/>
      <c r="JZ64" s="188"/>
      <c r="KA64" s="188"/>
      <c r="KB64" s="2"/>
      <c r="KC64" s="232" t="s">
        <v>1188</v>
      </c>
      <c r="KD64" s="188">
        <f t="shared" ref="KD64:KQ64" si="128">IF(KD61=1,COUNTIF(KD17:KD23,"C"),IF(KD61=2,COUNTIF(KD24:KD30,"A"),IF(KD61=3,COUNTIF(KD31:KD37,"C"),IF(KD61=4,COUNTIF(KD38:KD44,"C"),COUNTIF(KD45:KD51,"C")))))</f>
        <v>0</v>
      </c>
      <c r="KE64" s="188">
        <f t="shared" si="128"/>
        <v>0</v>
      </c>
      <c r="KF64" s="188">
        <f t="shared" si="128"/>
        <v>0</v>
      </c>
      <c r="KG64" s="188">
        <f t="shared" si="128"/>
        <v>0</v>
      </c>
      <c r="KH64" s="188">
        <f t="shared" si="128"/>
        <v>0</v>
      </c>
      <c r="KI64" s="188">
        <f t="shared" si="128"/>
        <v>0</v>
      </c>
      <c r="KJ64" s="188">
        <f t="shared" si="128"/>
        <v>0</v>
      </c>
      <c r="KK64" s="188">
        <f t="shared" si="128"/>
        <v>0</v>
      </c>
      <c r="KL64" s="188">
        <f t="shared" si="128"/>
        <v>0</v>
      </c>
      <c r="KM64" s="188">
        <f t="shared" si="128"/>
        <v>0</v>
      </c>
      <c r="KN64" s="188">
        <f t="shared" si="128"/>
        <v>0</v>
      </c>
      <c r="KO64" s="188">
        <f t="shared" si="128"/>
        <v>0</v>
      </c>
      <c r="KP64" s="188">
        <f t="shared" si="128"/>
        <v>0</v>
      </c>
      <c r="KQ64" s="188">
        <f t="shared" si="128"/>
        <v>0</v>
      </c>
    </row>
    <row r="65" spans="1:318" s="18" customFormat="1" ht="9" customHeight="1" x14ac:dyDescent="0.2">
      <c r="A65" s="38"/>
      <c r="B65" s="451"/>
      <c r="C65" s="451"/>
      <c r="D65" s="451"/>
      <c r="E65" s="451"/>
      <c r="F65" s="451"/>
      <c r="G65" s="451"/>
      <c r="H65" s="451"/>
      <c r="I65" s="451"/>
      <c r="J65" s="451"/>
      <c r="K65" s="451"/>
      <c r="L65" s="451"/>
      <c r="M65" s="451"/>
      <c r="N65" s="451"/>
      <c r="O65" s="451"/>
      <c r="P65" s="451"/>
      <c r="Q65" s="451"/>
      <c r="R65" s="451"/>
      <c r="S65" s="451"/>
      <c r="T65" s="451"/>
      <c r="U65" s="451"/>
      <c r="V65" s="110"/>
      <c r="W65" s="110"/>
      <c r="X65" s="202"/>
      <c r="Y65" s="110"/>
      <c r="Z65" s="110"/>
      <c r="AA65" s="110"/>
      <c r="AB65" s="110"/>
      <c r="AC65" s="110"/>
      <c r="AD65" s="110"/>
      <c r="AE65" s="110"/>
      <c r="AF65" s="110"/>
      <c r="AG65" s="110"/>
      <c r="AH65" s="110"/>
      <c r="AI65" s="110"/>
      <c r="AJ65" s="238"/>
      <c r="AK65" s="110"/>
      <c r="AL65" s="110"/>
      <c r="AM65" s="110"/>
      <c r="AN65" s="15"/>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22"/>
      <c r="BO65" s="188"/>
      <c r="BP65" s="267">
        <v>2084</v>
      </c>
      <c r="BQ65" s="83" t="s">
        <v>77</v>
      </c>
      <c r="BR65" s="188"/>
      <c r="BS65" s="188"/>
      <c r="BT65" s="229" t="s">
        <v>837</v>
      </c>
      <c r="BU65" s="68">
        <f>SUM(BU45:BU51)</f>
        <v>0</v>
      </c>
      <c r="BV65" s="188">
        <f>SUM(BV45:BV51)</f>
        <v>0</v>
      </c>
      <c r="BW65" s="188">
        <f t="shared" ref="BW65:CH65" si="129">SUM(BW45:BW51)</f>
        <v>0</v>
      </c>
      <c r="BX65" s="188">
        <f t="shared" si="129"/>
        <v>0</v>
      </c>
      <c r="BY65" s="188">
        <f t="shared" si="129"/>
        <v>0</v>
      </c>
      <c r="BZ65" s="188">
        <f t="shared" si="129"/>
        <v>0</v>
      </c>
      <c r="CA65" s="188">
        <f t="shared" si="129"/>
        <v>0</v>
      </c>
      <c r="CB65" s="188">
        <f t="shared" si="129"/>
        <v>0</v>
      </c>
      <c r="CC65" s="188">
        <f t="shared" si="129"/>
        <v>0</v>
      </c>
      <c r="CD65" s="188">
        <f t="shared" si="129"/>
        <v>0</v>
      </c>
      <c r="CE65" s="188">
        <f t="shared" si="129"/>
        <v>0</v>
      </c>
      <c r="CF65" s="188">
        <f t="shared" si="129"/>
        <v>0</v>
      </c>
      <c r="CG65" s="188">
        <f t="shared" si="129"/>
        <v>0</v>
      </c>
      <c r="CH65" s="188">
        <f t="shared" si="129"/>
        <v>0</v>
      </c>
      <c r="CY65" s="76"/>
      <c r="CZ65" s="76"/>
      <c r="DA65" s="76"/>
      <c r="DB65" s="76"/>
      <c r="DC65" s="76"/>
      <c r="DD65" s="76"/>
      <c r="DE65" s="76"/>
      <c r="DF65" s="76"/>
      <c r="DG65" s="76"/>
      <c r="DH65" s="76"/>
      <c r="DI65" s="76"/>
      <c r="DJ65" s="76"/>
      <c r="DK65" s="76"/>
      <c r="DL65" s="76"/>
      <c r="DM65" s="76"/>
      <c r="DN65" s="76"/>
      <c r="DO65" s="76"/>
      <c r="DP65" s="76"/>
      <c r="DQ65" s="76"/>
      <c r="DR65" s="76"/>
      <c r="DS65" s="76"/>
      <c r="DT65" s="76"/>
      <c r="DU65" s="76"/>
      <c r="DV65" s="76"/>
      <c r="DW65" s="76"/>
      <c r="DX65" s="76"/>
      <c r="DY65" s="76"/>
      <c r="DZ65" s="76"/>
      <c r="EA65" s="76"/>
      <c r="EB65" s="2"/>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c r="FN65" s="19"/>
      <c r="FO65" s="19"/>
      <c r="FP65" s="19"/>
      <c r="FQ65" s="19"/>
      <c r="FR65" s="19"/>
      <c r="FS65" s="19"/>
      <c r="FT65" s="19"/>
      <c r="FU65" s="19"/>
      <c r="FV65" s="19"/>
      <c r="FW65" s="19"/>
      <c r="FX65" s="19"/>
      <c r="FY65" s="19"/>
      <c r="FZ65" s="19"/>
      <c r="GA65" s="19"/>
      <c r="GB65" s="19"/>
      <c r="GC65" s="19"/>
      <c r="GD65" s="19"/>
      <c r="GE65" s="19"/>
      <c r="GF65" s="19"/>
      <c r="GG65" s="19"/>
      <c r="GH65" s="19"/>
      <c r="GI65" s="19"/>
      <c r="GJ65" s="1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188"/>
      <c r="HO65" s="188"/>
      <c r="HP65" s="188"/>
      <c r="HQ65" s="188"/>
      <c r="HR65" s="188"/>
      <c r="HS65" s="188"/>
      <c r="HT65" s="188"/>
      <c r="HU65" s="188"/>
      <c r="HV65" s="188"/>
      <c r="HW65" s="188"/>
      <c r="HX65" s="188"/>
      <c r="HY65" s="188"/>
      <c r="HZ65" s="188"/>
      <c r="IA65" s="188"/>
      <c r="IB65" s="188"/>
      <c r="IC65" s="188"/>
      <c r="ID65" s="188"/>
      <c r="IE65" s="188"/>
      <c r="IF65" s="188"/>
      <c r="IG65" s="188"/>
      <c r="IH65" s="188"/>
      <c r="II65" s="188"/>
      <c r="IJ65" s="188"/>
      <c r="IK65" s="188"/>
      <c r="IL65" s="188"/>
      <c r="IM65" s="188"/>
      <c r="IN65" s="188"/>
      <c r="IO65" s="188"/>
      <c r="IP65" s="188"/>
      <c r="IQ65" s="188"/>
      <c r="IR65" s="188"/>
      <c r="IS65" s="188"/>
      <c r="IT65" s="188"/>
      <c r="IU65" s="188"/>
      <c r="IX65" s="188"/>
      <c r="IY65" s="188"/>
      <c r="IZ65" s="188"/>
      <c r="JA65" s="188"/>
      <c r="JB65" s="188"/>
      <c r="JC65" s="188"/>
      <c r="JD65" s="188"/>
      <c r="JE65" s="188"/>
      <c r="JF65" s="188"/>
      <c r="JG65" s="188"/>
      <c r="JH65" s="188"/>
      <c r="JI65" s="188"/>
      <c r="JJ65" s="188"/>
      <c r="JK65" s="188"/>
      <c r="JL65" s="188"/>
      <c r="JM65" s="188"/>
      <c r="JN65" s="188"/>
      <c r="JO65" s="188"/>
      <c r="JP65" s="188"/>
      <c r="JQ65" s="188"/>
      <c r="JR65" s="188"/>
      <c r="JS65" s="188"/>
      <c r="JT65" s="188"/>
      <c r="JU65" s="188"/>
      <c r="JV65" s="188"/>
      <c r="JW65" s="188"/>
      <c r="JX65" s="188"/>
      <c r="JY65" s="188"/>
      <c r="JZ65" s="188"/>
      <c r="KA65" s="188"/>
      <c r="KB65" s="2"/>
      <c r="KC65" s="232" t="s">
        <v>839</v>
      </c>
      <c r="KD65" s="188">
        <f>SUM(KD62:KD64)</f>
        <v>0</v>
      </c>
      <c r="KE65" s="188">
        <f t="shared" ref="KE65:KQ65" si="130">SUM(KE62:KE64)</f>
        <v>0</v>
      </c>
      <c r="KF65" s="188">
        <f t="shared" si="130"/>
        <v>0</v>
      </c>
      <c r="KG65" s="188">
        <f t="shared" si="130"/>
        <v>0</v>
      </c>
      <c r="KH65" s="188">
        <f t="shared" si="130"/>
        <v>0</v>
      </c>
      <c r="KI65" s="188">
        <f t="shared" si="130"/>
        <v>0</v>
      </c>
      <c r="KJ65" s="188">
        <f t="shared" si="130"/>
        <v>0</v>
      </c>
      <c r="KK65" s="188">
        <f t="shared" si="130"/>
        <v>0</v>
      </c>
      <c r="KL65" s="188">
        <f t="shared" si="130"/>
        <v>0</v>
      </c>
      <c r="KM65" s="188">
        <f t="shared" si="130"/>
        <v>0</v>
      </c>
      <c r="KN65" s="188">
        <f t="shared" si="130"/>
        <v>0</v>
      </c>
      <c r="KO65" s="188">
        <f t="shared" si="130"/>
        <v>0</v>
      </c>
      <c r="KP65" s="188">
        <f t="shared" si="130"/>
        <v>0</v>
      </c>
      <c r="KQ65" s="188">
        <f t="shared" si="130"/>
        <v>0</v>
      </c>
    </row>
    <row r="66" spans="1:318" s="18" customFormat="1" ht="13.5" thickBot="1" x14ac:dyDescent="0.25">
      <c r="A66" s="38"/>
      <c r="B66" s="451"/>
      <c r="C66" s="451"/>
      <c r="D66" s="451"/>
      <c r="E66" s="451"/>
      <c r="F66" s="451"/>
      <c r="G66" s="451"/>
      <c r="H66" s="451"/>
      <c r="I66" s="451"/>
      <c r="J66" s="451"/>
      <c r="K66" s="451"/>
      <c r="L66" s="451"/>
      <c r="M66" s="451"/>
      <c r="N66" s="451"/>
      <c r="O66" s="451"/>
      <c r="P66" s="451"/>
      <c r="Q66" s="451"/>
      <c r="R66" s="451"/>
      <c r="S66" s="451"/>
      <c r="T66" s="451"/>
      <c r="U66" s="451"/>
      <c r="V66" s="110"/>
      <c r="W66" s="110"/>
      <c r="X66" s="202"/>
      <c r="Y66" s="110"/>
      <c r="Z66" s="110"/>
      <c r="AA66" s="110"/>
      <c r="AB66" s="110"/>
      <c r="AC66" s="110"/>
      <c r="AD66" s="110"/>
      <c r="AE66" s="110"/>
      <c r="AF66" s="110"/>
      <c r="AG66" s="110"/>
      <c r="AH66" s="110"/>
      <c r="AI66" s="110"/>
      <c r="AJ66" s="238"/>
      <c r="AK66" s="110"/>
      <c r="AL66" s="110"/>
      <c r="AM66" s="110"/>
      <c r="AN66" s="15"/>
      <c r="AO66" s="189"/>
      <c r="AP66" s="189"/>
      <c r="AQ66" s="189"/>
      <c r="AR66" s="189"/>
      <c r="AS66" s="189"/>
      <c r="AT66" s="189"/>
      <c r="AU66" s="189"/>
      <c r="AV66" s="189"/>
      <c r="AW66" s="189"/>
      <c r="AX66" s="189"/>
      <c r="AY66" s="189"/>
      <c r="AZ66" s="189"/>
      <c r="BA66" s="189"/>
      <c r="BB66" s="189"/>
      <c r="BC66" s="189"/>
      <c r="BD66" s="189"/>
      <c r="BE66" s="189"/>
      <c r="BF66" s="189"/>
      <c r="BG66" s="189"/>
      <c r="BH66" s="189"/>
      <c r="BI66" s="189"/>
      <c r="BJ66" s="189"/>
      <c r="BK66" s="189"/>
      <c r="BL66" s="189"/>
      <c r="BM66" s="122"/>
      <c r="BO66" s="188"/>
      <c r="BP66" s="267">
        <v>2085</v>
      </c>
      <c r="BQ66" s="83" t="s">
        <v>1156</v>
      </c>
      <c r="BR66" s="188"/>
      <c r="BS66" s="188"/>
      <c r="BT66" s="229" t="s">
        <v>1138</v>
      </c>
      <c r="BU66" s="69" t="str">
        <f>IF(BU65&lt;&gt;0,IF(INT(BU65)=BU65,"N","Y"),"")</f>
        <v/>
      </c>
      <c r="BV66" s="70" t="str">
        <f t="shared" ref="BV66:CH66" si="131">IF(BV65&lt;&gt;0,IF(INT(BV65)=BV65,"N","Y"),"")</f>
        <v/>
      </c>
      <c r="BW66" s="70" t="str">
        <f t="shared" si="131"/>
        <v/>
      </c>
      <c r="BX66" s="70" t="str">
        <f t="shared" si="131"/>
        <v/>
      </c>
      <c r="BY66" s="70" t="str">
        <f t="shared" si="131"/>
        <v/>
      </c>
      <c r="BZ66" s="70" t="str">
        <f t="shared" si="131"/>
        <v/>
      </c>
      <c r="CA66" s="70" t="str">
        <f t="shared" si="131"/>
        <v/>
      </c>
      <c r="CB66" s="70" t="str">
        <f t="shared" si="131"/>
        <v/>
      </c>
      <c r="CC66" s="70" t="str">
        <f t="shared" si="131"/>
        <v/>
      </c>
      <c r="CD66" s="70" t="str">
        <f t="shared" si="131"/>
        <v/>
      </c>
      <c r="CE66" s="70" t="str">
        <f t="shared" si="131"/>
        <v/>
      </c>
      <c r="CF66" s="70" t="str">
        <f t="shared" si="131"/>
        <v/>
      </c>
      <c r="CG66" s="70" t="str">
        <f t="shared" si="131"/>
        <v/>
      </c>
      <c r="CH66" s="70" t="str">
        <f t="shared" si="131"/>
        <v/>
      </c>
      <c r="CY66" s="76"/>
      <c r="CZ66" s="76"/>
      <c r="DA66" s="76"/>
      <c r="DB66" s="76"/>
      <c r="DC66" s="76"/>
      <c r="DD66" s="76"/>
      <c r="DE66" s="76"/>
      <c r="DF66" s="76"/>
      <c r="DG66" s="76"/>
      <c r="DH66" s="76"/>
      <c r="DI66" s="76"/>
      <c r="DJ66" s="76"/>
      <c r="DK66" s="76"/>
      <c r="DL66" s="76"/>
      <c r="DM66" s="76"/>
      <c r="DN66" s="76"/>
      <c r="DO66" s="76"/>
      <c r="DP66" s="76"/>
      <c r="DQ66" s="76"/>
      <c r="DR66" s="76"/>
      <c r="DS66" s="76"/>
      <c r="DT66" s="76"/>
      <c r="DU66" s="76"/>
      <c r="DV66" s="76"/>
      <c r="DW66" s="76"/>
      <c r="DX66" s="76"/>
      <c r="DY66" s="76"/>
      <c r="DZ66" s="76"/>
      <c r="EA66" s="76"/>
      <c r="EB66" s="2"/>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c r="FN66" s="19"/>
      <c r="FO66" s="19"/>
      <c r="FP66" s="19"/>
      <c r="FQ66" s="19"/>
      <c r="FR66" s="19"/>
      <c r="FS66" s="19"/>
      <c r="FT66" s="19"/>
      <c r="FU66" s="19"/>
      <c r="FV66" s="19"/>
      <c r="FW66" s="19"/>
      <c r="FX66" s="19"/>
      <c r="FY66" s="19"/>
      <c r="FZ66" s="19"/>
      <c r="GA66" s="19"/>
      <c r="GB66" s="19"/>
      <c r="GC66" s="19"/>
      <c r="GD66" s="19"/>
      <c r="GE66" s="19"/>
      <c r="GF66" s="19"/>
      <c r="GG66" s="19"/>
      <c r="GH66" s="19"/>
      <c r="GI66" s="19"/>
      <c r="GK66" s="217"/>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188"/>
      <c r="HO66" s="188"/>
      <c r="HP66" s="188"/>
      <c r="HQ66" s="188"/>
      <c r="HR66" s="188"/>
      <c r="HS66" s="188"/>
      <c r="HT66" s="188"/>
      <c r="HU66" s="188"/>
      <c r="HV66" s="188"/>
      <c r="HW66" s="188"/>
      <c r="HX66" s="188"/>
      <c r="HY66" s="188"/>
      <c r="HZ66" s="188"/>
      <c r="IA66" s="188"/>
      <c r="IB66" s="188"/>
      <c r="IC66" s="188"/>
      <c r="ID66" s="188"/>
      <c r="IE66" s="188"/>
      <c r="IF66" s="188"/>
      <c r="IG66" s="188"/>
      <c r="IH66" s="188"/>
      <c r="II66" s="188"/>
      <c r="IJ66" s="188"/>
      <c r="IK66" s="188"/>
      <c r="IL66" s="188"/>
      <c r="IM66" s="188"/>
      <c r="IN66" s="188"/>
      <c r="IO66" s="188"/>
      <c r="IP66" s="188"/>
      <c r="IQ66" s="188"/>
      <c r="IR66" s="188"/>
      <c r="IS66" s="188"/>
      <c r="IT66" s="188"/>
      <c r="IU66" s="188"/>
      <c r="IX66" s="188"/>
      <c r="IY66" s="188"/>
      <c r="IZ66" s="188"/>
      <c r="JA66" s="188"/>
      <c r="JB66" s="188"/>
      <c r="JC66" s="188"/>
      <c r="JD66" s="188"/>
      <c r="JE66" s="188"/>
      <c r="JF66" s="188"/>
      <c r="JG66" s="188"/>
      <c r="JH66" s="188"/>
      <c r="JI66" s="188"/>
      <c r="JJ66" s="188"/>
      <c r="JK66" s="188"/>
      <c r="JL66" s="188"/>
      <c r="JM66" s="188"/>
      <c r="JN66" s="188"/>
      <c r="JO66" s="188"/>
      <c r="JP66" s="188"/>
      <c r="JQ66" s="188"/>
      <c r="JR66" s="188"/>
      <c r="JS66" s="188"/>
      <c r="JT66" s="188"/>
      <c r="JU66" s="188"/>
      <c r="JV66" s="188"/>
      <c r="JW66" s="188"/>
      <c r="JX66" s="188"/>
      <c r="JY66" s="188"/>
      <c r="JZ66" s="188"/>
      <c r="KA66" s="188"/>
      <c r="KB66" s="2"/>
      <c r="KC66" s="232" t="s">
        <v>1182</v>
      </c>
      <c r="KD66" s="188" t="str">
        <f>IF(OR(KD62=KD65,(KD62+KD63)=KD65),"Y",IF(OR(AND(KD63=0,KD64&gt;0),KD64=KD65),"N","Y"))</f>
        <v>Y</v>
      </c>
      <c r="KE66" s="188" t="str">
        <f t="shared" ref="KE66:KQ66" si="132">IF(OR(KE62=KE65,(KE62+KE63)=KE65),"Y",IF(OR(AND(KE63=0,KE64&gt;0),KE64=KE65),"N","Y"))</f>
        <v>Y</v>
      </c>
      <c r="KF66" s="188" t="str">
        <f t="shared" si="132"/>
        <v>Y</v>
      </c>
      <c r="KG66" s="188" t="str">
        <f t="shared" si="132"/>
        <v>Y</v>
      </c>
      <c r="KH66" s="188" t="str">
        <f t="shared" si="132"/>
        <v>Y</v>
      </c>
      <c r="KI66" s="188" t="str">
        <f t="shared" si="132"/>
        <v>Y</v>
      </c>
      <c r="KJ66" s="188" t="str">
        <f t="shared" si="132"/>
        <v>Y</v>
      </c>
      <c r="KK66" s="188" t="str">
        <f t="shared" si="132"/>
        <v>Y</v>
      </c>
      <c r="KL66" s="188" t="str">
        <f t="shared" si="132"/>
        <v>Y</v>
      </c>
      <c r="KM66" s="188" t="str">
        <f t="shared" si="132"/>
        <v>Y</v>
      </c>
      <c r="KN66" s="188" t="str">
        <f t="shared" si="132"/>
        <v>Y</v>
      </c>
      <c r="KO66" s="188" t="str">
        <f t="shared" si="132"/>
        <v>Y</v>
      </c>
      <c r="KP66" s="188" t="str">
        <f t="shared" si="132"/>
        <v>Y</v>
      </c>
      <c r="KQ66" s="188" t="str">
        <f t="shared" si="132"/>
        <v>Y</v>
      </c>
    </row>
    <row r="67" spans="1:318" s="18" customFormat="1" ht="13.5" thickTop="1" x14ac:dyDescent="0.2">
      <c r="A67" s="38"/>
      <c r="B67" s="111"/>
      <c r="C67" s="112"/>
      <c r="D67" s="112"/>
      <c r="E67" s="111"/>
      <c r="F67" s="111"/>
      <c r="G67" s="111"/>
      <c r="H67" s="111"/>
      <c r="I67" s="111"/>
      <c r="J67" s="111"/>
      <c r="K67" s="111"/>
      <c r="L67" s="111"/>
      <c r="M67" s="111"/>
      <c r="N67" s="111"/>
      <c r="O67" s="111"/>
      <c r="P67" s="111"/>
      <c r="Q67" s="111"/>
      <c r="R67" s="111"/>
      <c r="S67" s="111"/>
      <c r="T67" s="111"/>
      <c r="U67" s="111"/>
      <c r="V67" s="111"/>
      <c r="W67" s="111"/>
      <c r="X67" s="203"/>
      <c r="Y67" s="111"/>
      <c r="Z67" s="111"/>
      <c r="AA67" s="111"/>
      <c r="AB67" s="111"/>
      <c r="AC67" s="111"/>
      <c r="AD67" s="111"/>
      <c r="AE67" s="111"/>
      <c r="AF67" s="111"/>
      <c r="AG67" s="111"/>
      <c r="AH67" s="111"/>
      <c r="AI67" s="111"/>
      <c r="AJ67" s="239"/>
      <c r="AK67" s="111"/>
      <c r="AL67" s="5"/>
      <c r="AM67" s="189"/>
      <c r="AN67" s="15"/>
      <c r="AO67" s="189"/>
      <c r="AP67" s="189"/>
      <c r="AQ67" s="189"/>
      <c r="AR67" s="189"/>
      <c r="AS67" s="189"/>
      <c r="AT67" s="189"/>
      <c r="AU67" s="189"/>
      <c r="AV67" s="189"/>
      <c r="AW67" s="189"/>
      <c r="AX67" s="189"/>
      <c r="AY67" s="189"/>
      <c r="AZ67" s="189"/>
      <c r="BA67" s="189"/>
      <c r="BB67" s="189"/>
      <c r="BC67" s="189"/>
      <c r="BD67" s="189"/>
      <c r="BE67" s="189"/>
      <c r="BF67" s="189"/>
      <c r="BG67" s="189"/>
      <c r="BH67" s="189"/>
      <c r="BI67" s="189"/>
      <c r="BJ67" s="189"/>
      <c r="BK67" s="189"/>
      <c r="BL67" s="189"/>
      <c r="BM67" s="122"/>
      <c r="BO67" s="188"/>
      <c r="BP67" s="267">
        <v>2086</v>
      </c>
      <c r="BQ67" s="83" t="s">
        <v>78</v>
      </c>
      <c r="BR67" s="188"/>
      <c r="BS67" s="188"/>
      <c r="BT67" s="232" t="s">
        <v>1172</v>
      </c>
      <c r="BU67" s="188">
        <f>ROWS(BU17:BU23)-COUNTIF(BU17:BU23,"")</f>
        <v>0</v>
      </c>
      <c r="BV67" s="188">
        <f t="shared" ref="BV67:BX67" si="133">ROWS(BV17:BV23)-COUNTIF(BV17:BV23,"")</f>
        <v>0</v>
      </c>
      <c r="BW67" s="188">
        <f t="shared" si="133"/>
        <v>0</v>
      </c>
      <c r="BX67" s="188">
        <f t="shared" si="133"/>
        <v>0</v>
      </c>
      <c r="BY67" s="188">
        <f t="shared" ref="BY67:CH67" si="134">ROWS(BY17:BY23)-COUNTIF(BY17:BY23,"")</f>
        <v>0</v>
      </c>
      <c r="BZ67" s="188">
        <f t="shared" si="134"/>
        <v>0</v>
      </c>
      <c r="CA67" s="188">
        <f t="shared" si="134"/>
        <v>0</v>
      </c>
      <c r="CB67" s="188">
        <f t="shared" si="134"/>
        <v>0</v>
      </c>
      <c r="CC67" s="188">
        <f t="shared" si="134"/>
        <v>0</v>
      </c>
      <c r="CD67" s="188">
        <f t="shared" si="134"/>
        <v>0</v>
      </c>
      <c r="CE67" s="188">
        <f t="shared" si="134"/>
        <v>0</v>
      </c>
      <c r="CF67" s="188">
        <f t="shared" si="134"/>
        <v>0</v>
      </c>
      <c r="CG67" s="188">
        <f t="shared" si="134"/>
        <v>0</v>
      </c>
      <c r="CH67" s="188">
        <f t="shared" si="134"/>
        <v>0</v>
      </c>
      <c r="CY67" s="76"/>
      <c r="CZ67" s="76"/>
      <c r="DA67" s="76"/>
      <c r="DB67" s="76"/>
      <c r="DC67" s="76"/>
      <c r="DD67" s="76"/>
      <c r="DE67" s="76"/>
      <c r="DF67" s="76"/>
      <c r="DG67" s="76"/>
      <c r="DH67" s="76"/>
      <c r="DI67" s="76"/>
      <c r="DJ67" s="76"/>
      <c r="DK67" s="76"/>
      <c r="DL67" s="76"/>
      <c r="DM67" s="76"/>
      <c r="DN67" s="76"/>
      <c r="DO67" s="76"/>
      <c r="DP67" s="76"/>
      <c r="DQ67" s="76"/>
      <c r="DR67" s="76"/>
      <c r="DS67" s="76"/>
      <c r="DT67" s="76"/>
      <c r="DU67" s="76"/>
      <c r="DV67" s="76"/>
      <c r="DW67" s="76"/>
      <c r="DX67" s="76"/>
      <c r="DY67" s="76"/>
      <c r="DZ67" s="76"/>
      <c r="EA67" s="76"/>
      <c r="EB67" s="2"/>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c r="FN67" s="19"/>
      <c r="FO67" s="19"/>
      <c r="FP67" s="19"/>
      <c r="FQ67" s="19"/>
      <c r="FR67" s="19"/>
      <c r="FS67" s="19"/>
      <c r="FT67" s="19"/>
      <c r="FU67" s="19"/>
      <c r="FV67" s="19"/>
      <c r="FW67" s="19"/>
      <c r="FX67" s="19"/>
      <c r="FY67" s="19"/>
      <c r="FZ67" s="19"/>
      <c r="GA67" s="19"/>
      <c r="GB67" s="19"/>
      <c r="GC67" s="19"/>
      <c r="GD67" s="19"/>
      <c r="GE67" s="19"/>
      <c r="GF67" s="19"/>
      <c r="GG67" s="19"/>
      <c r="GH67" s="19"/>
      <c r="GI67" s="19"/>
      <c r="GJ67" s="2"/>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188" t="s">
        <v>1088</v>
      </c>
      <c r="HO67" s="188"/>
      <c r="HP67" s="188"/>
      <c r="HQ67" s="188"/>
      <c r="HR67" s="188"/>
      <c r="HS67" s="188"/>
      <c r="HT67" s="188"/>
      <c r="HU67" s="188"/>
      <c r="HV67" s="188"/>
      <c r="HW67" s="188"/>
      <c r="HX67" s="188"/>
      <c r="HY67" s="188"/>
      <c r="HZ67" s="188"/>
      <c r="IA67" s="188"/>
      <c r="IB67" s="188"/>
      <c r="IC67" s="188"/>
      <c r="ID67" s="188"/>
      <c r="IE67" s="188"/>
      <c r="IF67" s="188"/>
      <c r="IG67" s="188"/>
      <c r="IH67" s="188"/>
      <c r="II67" s="188"/>
      <c r="IJ67" s="188"/>
      <c r="IK67" s="188"/>
      <c r="IL67" s="188"/>
      <c r="IM67" s="188"/>
      <c r="IN67" s="188"/>
      <c r="IO67" s="188"/>
      <c r="IP67" s="188"/>
      <c r="IQ67" s="188"/>
      <c r="IR67" s="188"/>
      <c r="IS67" s="188"/>
      <c r="IT67" s="188"/>
      <c r="IU67" s="188"/>
      <c r="IX67" s="188"/>
      <c r="IY67" s="188"/>
      <c r="IZ67" s="188"/>
      <c r="JA67" s="188"/>
      <c r="JB67" s="188"/>
      <c r="JC67" s="188"/>
      <c r="JD67" s="188"/>
      <c r="JE67" s="188"/>
      <c r="JF67" s="188"/>
      <c r="JG67" s="188"/>
      <c r="JH67" s="188"/>
      <c r="JI67" s="188"/>
      <c r="JJ67" s="188"/>
      <c r="JK67" s="188"/>
      <c r="JL67" s="188"/>
      <c r="JM67" s="188"/>
      <c r="JN67" s="188"/>
      <c r="JO67" s="188"/>
      <c r="JP67" s="188"/>
      <c r="JQ67" s="188"/>
      <c r="JR67" s="188"/>
      <c r="JS67" s="188"/>
      <c r="JT67" s="188"/>
      <c r="JU67" s="188"/>
      <c r="JV67" s="188"/>
      <c r="JW67" s="188"/>
      <c r="JX67" s="188"/>
      <c r="JY67" s="188"/>
      <c r="JZ67" s="188"/>
      <c r="KA67" s="188"/>
      <c r="KB67" s="2"/>
      <c r="KC67" s="232" t="s">
        <v>1189</v>
      </c>
      <c r="KD67" s="234" t="e">
        <f t="shared" ref="KD67:KQ67" ca="1" si="135">IF(KD53="Y",KD66,IF(BU54="Y","Y",IF(EC27="Y","Y")))</f>
        <v>#VALUE!</v>
      </c>
      <c r="KE67" s="188" t="e">
        <f t="shared" ca="1" si="135"/>
        <v>#VALUE!</v>
      </c>
      <c r="KF67" s="188" t="e">
        <f t="shared" ca="1" si="135"/>
        <v>#VALUE!</v>
      </c>
      <c r="KG67" s="188" t="e">
        <f t="shared" ca="1" si="135"/>
        <v>#VALUE!</v>
      </c>
      <c r="KH67" s="188" t="e">
        <f t="shared" ca="1" si="135"/>
        <v>#VALUE!</v>
      </c>
      <c r="KI67" s="188" t="e">
        <f t="shared" ca="1" si="135"/>
        <v>#VALUE!</v>
      </c>
      <c r="KJ67" s="188" t="e">
        <f t="shared" ca="1" si="135"/>
        <v>#VALUE!</v>
      </c>
      <c r="KK67" s="188" t="e">
        <f t="shared" ca="1" si="135"/>
        <v>#VALUE!</v>
      </c>
      <c r="KL67" s="188" t="e">
        <f t="shared" ca="1" si="135"/>
        <v>#VALUE!</v>
      </c>
      <c r="KM67" s="188" t="e">
        <f t="shared" ca="1" si="135"/>
        <v>#VALUE!</v>
      </c>
      <c r="KN67" s="188" t="e">
        <f t="shared" ca="1" si="135"/>
        <v>#VALUE!</v>
      </c>
      <c r="KO67" s="188" t="e">
        <f t="shared" ca="1" si="135"/>
        <v>#VALUE!</v>
      </c>
      <c r="KP67" s="188" t="e">
        <f t="shared" ca="1" si="135"/>
        <v>#VALUE!</v>
      </c>
      <c r="KQ67" s="188" t="e">
        <f t="shared" ca="1" si="135"/>
        <v>#VALUE!</v>
      </c>
    </row>
    <row r="68" spans="1:318" s="18" customFormat="1" ht="12.75" customHeight="1" x14ac:dyDescent="0.2">
      <c r="A68" s="38"/>
      <c r="B68" s="418"/>
      <c r="C68" s="418"/>
      <c r="D68" s="418"/>
      <c r="E68" s="418"/>
      <c r="F68" s="113" t="s">
        <v>1078</v>
      </c>
      <c r="G68" s="113"/>
      <c r="H68" s="453"/>
      <c r="I68" s="453"/>
      <c r="J68" s="453"/>
      <c r="K68" s="453"/>
      <c r="L68" s="453"/>
      <c r="M68" s="453"/>
      <c r="N68" s="114"/>
      <c r="O68" s="115" t="s">
        <v>1079</v>
      </c>
      <c r="P68" s="452"/>
      <c r="Q68" s="452"/>
      <c r="R68" s="452"/>
      <c r="S68" s="452"/>
      <c r="T68" s="452"/>
      <c r="U68" s="452"/>
      <c r="V68" s="39"/>
      <c r="W68" s="115"/>
      <c r="X68" s="204"/>
      <c r="Y68" s="114"/>
      <c r="Z68" s="114"/>
      <c r="AA68" s="114"/>
      <c r="AB68" s="114"/>
      <c r="AC68" s="114"/>
      <c r="AD68" s="114"/>
      <c r="AE68" s="114"/>
      <c r="AF68" s="114"/>
      <c r="AG68" s="114"/>
      <c r="AH68" s="116"/>
      <c r="AI68" s="116"/>
      <c r="AJ68" s="240"/>
      <c r="AK68" s="116"/>
      <c r="AL68" s="5"/>
      <c r="AM68" s="189"/>
      <c r="AN68" s="15"/>
      <c r="AO68" s="189"/>
      <c r="AP68" s="189"/>
      <c r="AQ68" s="189"/>
      <c r="AR68" s="189"/>
      <c r="AS68" s="189"/>
      <c r="AT68" s="189"/>
      <c r="AU68" s="189"/>
      <c r="AV68" s="189"/>
      <c r="AW68" s="189"/>
      <c r="AX68" s="189"/>
      <c r="AY68" s="189"/>
      <c r="AZ68" s="189"/>
      <c r="BA68" s="189"/>
      <c r="BB68" s="189"/>
      <c r="BC68" s="189"/>
      <c r="BD68" s="189"/>
      <c r="BE68" s="189"/>
      <c r="BF68" s="189"/>
      <c r="BG68" s="189"/>
      <c r="BH68" s="189"/>
      <c r="BI68" s="189"/>
      <c r="BJ68" s="189"/>
      <c r="BK68" s="189"/>
      <c r="BL68" s="189"/>
      <c r="BM68" s="122"/>
      <c r="BO68" s="188"/>
      <c r="BP68" s="267">
        <v>2087</v>
      </c>
      <c r="BQ68" s="83" t="s">
        <v>1162</v>
      </c>
      <c r="BR68" s="188"/>
      <c r="BS68" s="188"/>
      <c r="BT68" s="156" t="s">
        <v>1173</v>
      </c>
      <c r="BU68" s="188" t="str">
        <f>IF(BU67&gt;0,IF(BU67=(BU57+(BU67*0.01)),"Y","N"),"")</f>
        <v/>
      </c>
      <c r="BV68" s="188" t="str">
        <f t="shared" ref="BV68:BX68" si="136">IF(BV67&gt;0,IF(BV67=(BV57+(BV67*0.01)),"Y","N"),"")</f>
        <v/>
      </c>
      <c r="BW68" s="188" t="str">
        <f t="shared" si="136"/>
        <v/>
      </c>
      <c r="BX68" s="188" t="str">
        <f t="shared" si="136"/>
        <v/>
      </c>
      <c r="BY68" s="188" t="str">
        <f t="shared" ref="BY68:CH68" si="137">IF(BY67&gt;0,IF(BY67=(BY57+(BY67*0.01)),"Y","N"),"")</f>
        <v/>
      </c>
      <c r="BZ68" s="188" t="str">
        <f t="shared" si="137"/>
        <v/>
      </c>
      <c r="CA68" s="188" t="str">
        <f t="shared" si="137"/>
        <v/>
      </c>
      <c r="CB68" s="188" t="str">
        <f t="shared" si="137"/>
        <v/>
      </c>
      <c r="CC68" s="188" t="str">
        <f t="shared" si="137"/>
        <v/>
      </c>
      <c r="CD68" s="188" t="str">
        <f t="shared" si="137"/>
        <v/>
      </c>
      <c r="CE68" s="188" t="str">
        <f t="shared" si="137"/>
        <v/>
      </c>
      <c r="CF68" s="188" t="str">
        <f t="shared" si="137"/>
        <v/>
      </c>
      <c r="CG68" s="188" t="str">
        <f t="shared" si="137"/>
        <v/>
      </c>
      <c r="CH68" s="188" t="str">
        <f t="shared" si="137"/>
        <v/>
      </c>
      <c r="CY68" s="76"/>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76"/>
      <c r="DX68" s="76"/>
      <c r="DY68" s="76"/>
      <c r="DZ68" s="76"/>
      <c r="EA68" s="76"/>
      <c r="EB68" s="2"/>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235"/>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188" t="str">
        <f>IF(SUM(G17:G23)&gt;0,AVERAGE(G17:G23),"")</f>
        <v/>
      </c>
      <c r="HO68" s="188"/>
      <c r="HP68" s="188"/>
      <c r="HQ68" s="188"/>
      <c r="HR68" s="188"/>
      <c r="HS68" s="188"/>
      <c r="HT68" s="188"/>
      <c r="HU68" s="188"/>
      <c r="HV68" s="188"/>
      <c r="HW68" s="188"/>
      <c r="HX68" s="188"/>
      <c r="HY68" s="188"/>
      <c r="HZ68" s="188"/>
      <c r="IA68" s="188"/>
      <c r="IB68" s="188"/>
      <c r="IC68" s="188"/>
      <c r="ID68" s="188"/>
      <c r="IE68" s="188"/>
      <c r="IF68" s="188"/>
      <c r="IG68" s="188"/>
      <c r="IH68" s="188"/>
      <c r="II68" s="188"/>
      <c r="IJ68" s="188"/>
      <c r="IK68" s="188"/>
      <c r="IL68" s="188"/>
      <c r="IM68" s="188"/>
      <c r="IN68" s="188"/>
      <c r="IO68" s="188"/>
      <c r="IP68" s="188"/>
      <c r="IQ68" s="188"/>
      <c r="IR68" s="188"/>
      <c r="IS68" s="188"/>
      <c r="IT68" s="188"/>
      <c r="IU68" s="188"/>
      <c r="IX68" s="188"/>
      <c r="IY68" s="188"/>
      <c r="IZ68" s="188"/>
      <c r="JA68" s="188"/>
      <c r="JB68" s="188"/>
      <c r="JC68" s="188"/>
      <c r="JD68" s="188"/>
      <c r="JE68" s="188"/>
      <c r="JF68" s="188"/>
      <c r="JG68" s="188"/>
      <c r="JH68" s="188"/>
      <c r="JI68" s="188"/>
      <c r="JJ68" s="188"/>
      <c r="JK68" s="188"/>
      <c r="JL68" s="188"/>
      <c r="JM68" s="188"/>
      <c r="JN68" s="188"/>
      <c r="JO68" s="188"/>
      <c r="JP68" s="188"/>
      <c r="JQ68" s="188"/>
      <c r="JR68" s="188"/>
      <c r="JS68" s="188"/>
      <c r="JT68" s="188"/>
      <c r="JU68" s="188"/>
      <c r="JV68" s="188"/>
      <c r="JW68" s="188"/>
      <c r="JX68" s="188"/>
      <c r="JY68" s="188"/>
      <c r="JZ68" s="188"/>
      <c r="KA68" s="188"/>
      <c r="KB68" s="2"/>
      <c r="KC68" s="232" t="s">
        <v>1190</v>
      </c>
      <c r="KD68" s="188">
        <f t="shared" ref="KD68:KQ68" si="138">IF(EC36=EC31,1,IF(EC36=EC32,2,IF(EC36=EC33,3,IF(EC36=EC34,4,IF(EC36=EC35,5)))))</f>
        <v>1</v>
      </c>
      <c r="KE68" s="188">
        <f t="shared" si="138"/>
        <v>1</v>
      </c>
      <c r="KF68" s="188">
        <f t="shared" si="138"/>
        <v>1</v>
      </c>
      <c r="KG68" s="188">
        <f t="shared" si="138"/>
        <v>1</v>
      </c>
      <c r="KH68" s="188">
        <f t="shared" si="138"/>
        <v>1</v>
      </c>
      <c r="KI68" s="188">
        <f t="shared" si="138"/>
        <v>1</v>
      </c>
      <c r="KJ68" s="188">
        <f t="shared" si="138"/>
        <v>1</v>
      </c>
      <c r="KK68" s="188">
        <f t="shared" si="138"/>
        <v>1</v>
      </c>
      <c r="KL68" s="188">
        <f t="shared" si="138"/>
        <v>1</v>
      </c>
      <c r="KM68" s="188">
        <f t="shared" si="138"/>
        <v>1</v>
      </c>
      <c r="KN68" s="188">
        <f t="shared" si="138"/>
        <v>1</v>
      </c>
      <c r="KO68" s="188">
        <f t="shared" si="138"/>
        <v>1</v>
      </c>
      <c r="KP68" s="188">
        <f t="shared" si="138"/>
        <v>1</v>
      </c>
      <c r="KQ68" s="188">
        <f t="shared" si="138"/>
        <v>1</v>
      </c>
    </row>
    <row r="69" spans="1:318" s="18" customFormat="1" ht="12.75" customHeight="1" x14ac:dyDescent="0.2">
      <c r="A69" s="38"/>
      <c r="B69" s="418"/>
      <c r="C69" s="418"/>
      <c r="D69" s="418"/>
      <c r="E69" s="418"/>
      <c r="F69" s="115" t="s">
        <v>1080</v>
      </c>
      <c r="G69" s="115"/>
      <c r="H69" s="444"/>
      <c r="I69" s="444"/>
      <c r="J69" s="444"/>
      <c r="K69" s="444"/>
      <c r="L69" s="444"/>
      <c r="M69" s="444"/>
      <c r="N69" s="114"/>
      <c r="O69" s="115" t="s">
        <v>1081</v>
      </c>
      <c r="P69" s="450"/>
      <c r="Q69" s="450"/>
      <c r="R69" s="450"/>
      <c r="S69" s="450"/>
      <c r="T69" s="450"/>
      <c r="U69" s="450"/>
      <c r="V69" s="39"/>
      <c r="W69" s="115"/>
      <c r="X69" s="204"/>
      <c r="Y69" s="126"/>
      <c r="Z69" s="114"/>
      <c r="AA69" s="114"/>
      <c r="AB69" s="114"/>
      <c r="AC69" s="114"/>
      <c r="AD69" s="114"/>
      <c r="AE69" s="114"/>
      <c r="AF69" s="114"/>
      <c r="AG69" s="114"/>
      <c r="AH69" s="116"/>
      <c r="AI69" s="116"/>
      <c r="AJ69" s="240"/>
      <c r="AK69" s="116"/>
      <c r="AL69" s="5"/>
      <c r="AM69" s="189"/>
      <c r="AN69" s="15"/>
      <c r="AO69" s="189"/>
      <c r="AP69" s="189"/>
      <c r="AQ69" s="189"/>
      <c r="AR69" s="189"/>
      <c r="AS69" s="189"/>
      <c r="AT69" s="189"/>
      <c r="AU69" s="189"/>
      <c r="AV69" s="189"/>
      <c r="AW69" s="189"/>
      <c r="AX69" s="189"/>
      <c r="AY69" s="189"/>
      <c r="AZ69" s="189"/>
      <c r="BA69" s="189"/>
      <c r="BB69" s="189"/>
      <c r="BC69" s="189"/>
      <c r="BD69" s="189"/>
      <c r="BE69" s="189"/>
      <c r="BF69" s="189"/>
      <c r="BG69" s="189"/>
      <c r="BH69" s="189"/>
      <c r="BI69" s="189"/>
      <c r="BJ69" s="189"/>
      <c r="BK69" s="189"/>
      <c r="BL69" s="189"/>
      <c r="BM69" s="122"/>
      <c r="BO69" s="188"/>
      <c r="BP69" s="267">
        <v>2088</v>
      </c>
      <c r="BQ69" s="188"/>
      <c r="BR69" s="188"/>
      <c r="BS69" s="188"/>
      <c r="BT69" s="232" t="s">
        <v>1174</v>
      </c>
      <c r="BU69" s="188">
        <f>ROWS(BU24:BU30)-COUNTIF(BU24:BU30,"")</f>
        <v>0</v>
      </c>
      <c r="BV69" s="188">
        <f t="shared" ref="BV69:BX69" si="139">ROWS(BV24:BV30)-COUNTIF(BV24:BV30,"")</f>
        <v>0</v>
      </c>
      <c r="BW69" s="188">
        <f t="shared" si="139"/>
        <v>0</v>
      </c>
      <c r="BX69" s="188">
        <f t="shared" si="139"/>
        <v>0</v>
      </c>
      <c r="BY69" s="188">
        <f t="shared" ref="BY69:CH69" si="140">ROWS(BY24:BY30)-COUNTIF(BY24:BY30,"")</f>
        <v>0</v>
      </c>
      <c r="BZ69" s="188">
        <f t="shared" si="140"/>
        <v>0</v>
      </c>
      <c r="CA69" s="188">
        <f t="shared" si="140"/>
        <v>0</v>
      </c>
      <c r="CB69" s="188">
        <f t="shared" si="140"/>
        <v>0</v>
      </c>
      <c r="CC69" s="188">
        <f t="shared" si="140"/>
        <v>0</v>
      </c>
      <c r="CD69" s="188">
        <f t="shared" si="140"/>
        <v>0</v>
      </c>
      <c r="CE69" s="188">
        <f t="shared" si="140"/>
        <v>0</v>
      </c>
      <c r="CF69" s="188">
        <f t="shared" si="140"/>
        <v>0</v>
      </c>
      <c r="CG69" s="188">
        <f t="shared" si="140"/>
        <v>0</v>
      </c>
      <c r="CH69" s="188">
        <f t="shared" si="140"/>
        <v>0</v>
      </c>
      <c r="CY69" s="76"/>
      <c r="CZ69" s="76"/>
      <c r="DA69" s="76"/>
      <c r="DB69" s="76"/>
      <c r="DC69" s="76"/>
      <c r="DD69" s="76"/>
      <c r="DE69" s="76"/>
      <c r="DF69" s="76"/>
      <c r="DG69" s="76"/>
      <c r="DH69" s="76"/>
      <c r="DI69" s="76"/>
      <c r="DJ69" s="76"/>
      <c r="DK69" s="76"/>
      <c r="DL69" s="76"/>
      <c r="DM69" s="76"/>
      <c r="DN69" s="76"/>
      <c r="DO69" s="76"/>
      <c r="DP69" s="76"/>
      <c r="DQ69" s="76"/>
      <c r="DR69" s="76"/>
      <c r="DS69" s="76"/>
      <c r="DT69" s="76"/>
      <c r="DU69" s="76"/>
      <c r="DV69" s="76"/>
      <c r="DW69" s="76"/>
      <c r="DX69" s="76"/>
      <c r="DY69" s="76"/>
      <c r="DZ69" s="76"/>
      <c r="EA69" s="76"/>
      <c r="EB69" s="2"/>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c r="FN69" s="19"/>
      <c r="FO69" s="19"/>
      <c r="FP69" s="19"/>
      <c r="FQ69" s="19"/>
      <c r="FR69" s="19"/>
      <c r="FS69" s="19"/>
      <c r="FT69" s="19"/>
      <c r="FU69" s="19"/>
      <c r="FV69" s="19"/>
      <c r="FW69" s="19"/>
      <c r="FX69" s="19"/>
      <c r="FY69" s="19"/>
      <c r="FZ69" s="19"/>
      <c r="GA69" s="19"/>
      <c r="GB69" s="19"/>
      <c r="GC69" s="19"/>
      <c r="GD69" s="19"/>
      <c r="GE69" s="19"/>
      <c r="GF69" s="19"/>
      <c r="GG69" s="19"/>
      <c r="GH69" s="19"/>
      <c r="GI69" s="19"/>
      <c r="GJ69" s="235"/>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188" t="str">
        <f>IF(SUM(G24:G30)&gt;0,AVERAGE(G24:G30),"")</f>
        <v/>
      </c>
      <c r="HO69" s="188"/>
      <c r="HP69" s="188"/>
      <c r="HQ69" s="188"/>
      <c r="HR69" s="188"/>
      <c r="HS69" s="188"/>
      <c r="HT69" s="188"/>
      <c r="HU69" s="188"/>
      <c r="HV69" s="188"/>
      <c r="HW69" s="188"/>
      <c r="HX69" s="188"/>
      <c r="HY69" s="188"/>
      <c r="HZ69" s="188"/>
      <c r="IA69" s="188"/>
      <c r="IB69" s="188"/>
      <c r="IC69" s="188"/>
      <c r="ID69" s="188"/>
      <c r="IE69" s="188"/>
      <c r="IF69" s="188"/>
      <c r="IG69" s="188"/>
      <c r="IH69" s="188"/>
      <c r="II69" s="188"/>
      <c r="IJ69" s="188"/>
      <c r="IK69" s="188"/>
      <c r="IL69" s="188"/>
      <c r="IM69" s="188"/>
      <c r="IN69" s="188"/>
      <c r="IO69" s="188"/>
      <c r="IP69" s="188"/>
      <c r="IQ69" s="188"/>
      <c r="IR69" s="188"/>
      <c r="IS69" s="188"/>
      <c r="IT69" s="188"/>
      <c r="IU69" s="188"/>
      <c r="IX69" s="188"/>
      <c r="IY69" s="188"/>
      <c r="IZ69" s="188"/>
      <c r="JA69" s="188"/>
      <c r="JB69" s="188"/>
      <c r="JC69" s="188"/>
      <c r="JD69" s="188"/>
      <c r="JE69" s="188"/>
      <c r="JF69" s="188"/>
      <c r="JG69" s="188"/>
      <c r="JH69" s="188"/>
      <c r="JI69" s="188"/>
      <c r="JJ69" s="188"/>
      <c r="JK69" s="188"/>
      <c r="JL69" s="188"/>
      <c r="JM69" s="188"/>
      <c r="JN69" s="188"/>
      <c r="JO69" s="188"/>
      <c r="JP69" s="188"/>
      <c r="JQ69" s="188"/>
      <c r="JR69" s="188"/>
      <c r="JS69" s="188"/>
      <c r="JT69" s="188"/>
      <c r="JU69" s="188"/>
      <c r="JV69" s="188"/>
      <c r="JW69" s="188"/>
      <c r="JX69" s="188"/>
      <c r="JY69" s="188"/>
      <c r="JZ69" s="188"/>
      <c r="KA69" s="188"/>
      <c r="KB69" s="2"/>
      <c r="KC69" s="232" t="s">
        <v>1186</v>
      </c>
      <c r="KD69" s="188">
        <f t="shared" ref="KD69:KQ69" si="141">IF(KD68=1,COUNTIF(KD17:KD23,"A"),IF(KD68=2,COUNTIF(KD24:KD30,"A"),IF(KD68=3,COUNTIF(KD31:KD37,"A"),IF(KD68=4,COUNTIF(KD38:KD44,"A"),COUNTIF(KD45:KD51,"A")))))</f>
        <v>0</v>
      </c>
      <c r="KE69" s="234">
        <f t="shared" si="141"/>
        <v>0</v>
      </c>
      <c r="KF69" s="188">
        <f t="shared" si="141"/>
        <v>0</v>
      </c>
      <c r="KG69" s="188">
        <f t="shared" si="141"/>
        <v>0</v>
      </c>
      <c r="KH69" s="188">
        <f t="shared" si="141"/>
        <v>0</v>
      </c>
      <c r="KI69" s="188">
        <f t="shared" si="141"/>
        <v>0</v>
      </c>
      <c r="KJ69" s="188">
        <f t="shared" si="141"/>
        <v>0</v>
      </c>
      <c r="KK69" s="188">
        <f t="shared" si="141"/>
        <v>0</v>
      </c>
      <c r="KL69" s="188">
        <f t="shared" si="141"/>
        <v>0</v>
      </c>
      <c r="KM69" s="188">
        <f t="shared" si="141"/>
        <v>0</v>
      </c>
      <c r="KN69" s="188">
        <f t="shared" si="141"/>
        <v>0</v>
      </c>
      <c r="KO69" s="188">
        <f t="shared" si="141"/>
        <v>0</v>
      </c>
      <c r="KP69" s="188">
        <f t="shared" si="141"/>
        <v>0</v>
      </c>
      <c r="KQ69" s="188">
        <f t="shared" si="141"/>
        <v>0</v>
      </c>
    </row>
    <row r="70" spans="1:318" s="18" customFormat="1" ht="13.5" thickBot="1" x14ac:dyDescent="0.25">
      <c r="A70" s="38"/>
      <c r="B70" s="117"/>
      <c r="C70" s="65"/>
      <c r="D70" s="65"/>
      <c r="E70" s="117"/>
      <c r="F70" s="117"/>
      <c r="G70" s="117"/>
      <c r="H70" s="117"/>
      <c r="I70" s="117"/>
      <c r="J70" s="117"/>
      <c r="K70" s="117"/>
      <c r="L70" s="117"/>
      <c r="M70" s="117"/>
      <c r="N70" s="117"/>
      <c r="O70" s="117"/>
      <c r="P70" s="117"/>
      <c r="Q70" s="117"/>
      <c r="R70" s="117"/>
      <c r="S70" s="117"/>
      <c r="T70" s="117"/>
      <c r="U70" s="117"/>
      <c r="V70" s="117"/>
      <c r="W70" s="117"/>
      <c r="X70" s="205"/>
      <c r="Y70" s="117"/>
      <c r="Z70" s="117"/>
      <c r="AA70" s="117"/>
      <c r="AB70" s="117"/>
      <c r="AC70" s="117"/>
      <c r="AD70" s="117"/>
      <c r="AE70" s="117"/>
      <c r="AF70" s="117"/>
      <c r="AG70" s="117"/>
      <c r="AH70" s="117"/>
      <c r="AI70" s="117"/>
      <c r="AJ70" s="241"/>
      <c r="AK70" s="117"/>
      <c r="AL70" s="118"/>
      <c r="AM70" s="118"/>
      <c r="AN70" s="123"/>
      <c r="AO70" s="124"/>
      <c r="AP70" s="124"/>
      <c r="AQ70" s="124"/>
      <c r="AR70" s="124"/>
      <c r="AS70" s="124"/>
      <c r="AT70" s="124"/>
      <c r="AU70" s="124"/>
      <c r="AV70" s="124"/>
      <c r="AW70" s="124"/>
      <c r="AX70" s="124"/>
      <c r="AY70" s="124"/>
      <c r="AZ70" s="124"/>
      <c r="BA70" s="124"/>
      <c r="BB70" s="124"/>
      <c r="BC70" s="124"/>
      <c r="BD70" s="124"/>
      <c r="BE70" s="124"/>
      <c r="BF70" s="124"/>
      <c r="BG70" s="124"/>
      <c r="BH70" s="124"/>
      <c r="BI70" s="124"/>
      <c r="BJ70" s="124"/>
      <c r="BK70" s="124"/>
      <c r="BL70" s="124"/>
      <c r="BM70" s="125"/>
      <c r="BO70" s="188"/>
      <c r="BP70" s="267">
        <v>2089</v>
      </c>
      <c r="BQ70" s="188"/>
      <c r="BR70" s="188"/>
      <c r="BS70" s="188"/>
      <c r="BT70" s="156" t="s">
        <v>1175</v>
      </c>
      <c r="BU70" s="188" t="str">
        <f>IF(BU69&gt;0,IF(BU69=(BU59+(BU69*0.01)),"Y","N"),"")</f>
        <v/>
      </c>
      <c r="BV70" s="188" t="str">
        <f t="shared" ref="BV70:BX70" si="142">IF(BV69&gt;0,IF(BV69=(BV59+(BV69*0.01)),"Y","N"),"")</f>
        <v/>
      </c>
      <c r="BW70" s="188" t="str">
        <f t="shared" si="142"/>
        <v/>
      </c>
      <c r="BX70" s="188" t="str">
        <f t="shared" si="142"/>
        <v/>
      </c>
      <c r="BY70" s="188" t="str">
        <f t="shared" ref="BY70:CH70" si="143">IF(BY69&gt;0,IF(BY69=(BY59+(BY69*0.01)),"Y","N"),"")</f>
        <v/>
      </c>
      <c r="BZ70" s="188" t="str">
        <f t="shared" si="143"/>
        <v/>
      </c>
      <c r="CA70" s="188" t="str">
        <f t="shared" si="143"/>
        <v/>
      </c>
      <c r="CB70" s="188" t="str">
        <f t="shared" si="143"/>
        <v/>
      </c>
      <c r="CC70" s="188" t="str">
        <f t="shared" si="143"/>
        <v/>
      </c>
      <c r="CD70" s="188" t="str">
        <f t="shared" si="143"/>
        <v/>
      </c>
      <c r="CE70" s="188" t="str">
        <f t="shared" si="143"/>
        <v/>
      </c>
      <c r="CF70" s="188" t="str">
        <f t="shared" si="143"/>
        <v/>
      </c>
      <c r="CG70" s="188" t="str">
        <f t="shared" si="143"/>
        <v/>
      </c>
      <c r="CH70" s="188" t="str">
        <f t="shared" si="143"/>
        <v/>
      </c>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2"/>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c r="FN70" s="19"/>
      <c r="FO70" s="19"/>
      <c r="FP70" s="19"/>
      <c r="FQ70" s="19"/>
      <c r="FR70" s="19"/>
      <c r="FS70" s="19"/>
      <c r="FT70" s="19"/>
      <c r="FU70" s="19"/>
      <c r="FV70" s="19"/>
      <c r="FW70" s="19"/>
      <c r="FX70" s="19"/>
      <c r="FY70" s="19"/>
      <c r="FZ70" s="19"/>
      <c r="GA70" s="19"/>
      <c r="GB70" s="19"/>
      <c r="GC70" s="19"/>
      <c r="GD70" s="19"/>
      <c r="GE70" s="19"/>
      <c r="GF70" s="19"/>
      <c r="GG70" s="19"/>
      <c r="GH70" s="19"/>
      <c r="GI70" s="19"/>
      <c r="GJ70" s="235"/>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188" t="str">
        <f>IF(SUM(G31:G37)&gt;0,AVERAGE(G31:G37),"")</f>
        <v/>
      </c>
      <c r="HO70" s="188"/>
      <c r="HP70" s="188"/>
      <c r="HQ70" s="188"/>
      <c r="HR70" s="188"/>
      <c r="HS70" s="188"/>
      <c r="HT70" s="188"/>
      <c r="HU70" s="188"/>
      <c r="HV70" s="188"/>
      <c r="HW70" s="188"/>
      <c r="HX70" s="188"/>
      <c r="HY70" s="188"/>
      <c r="HZ70" s="188"/>
      <c r="IA70" s="188"/>
      <c r="IB70" s="188"/>
      <c r="IC70" s="188"/>
      <c r="ID70" s="188"/>
      <c r="IE70" s="188"/>
      <c r="IF70" s="188"/>
      <c r="IG70" s="188"/>
      <c r="IH70" s="188"/>
      <c r="II70" s="188"/>
      <c r="IJ70" s="188"/>
      <c r="IK70" s="188"/>
      <c r="IL70" s="188"/>
      <c r="IM70" s="188"/>
      <c r="IN70" s="188"/>
      <c r="IO70" s="188"/>
      <c r="IP70" s="188"/>
      <c r="IQ70" s="188"/>
      <c r="IR70" s="188"/>
      <c r="IS70" s="188"/>
      <c r="IT70" s="188"/>
      <c r="IU70" s="188"/>
      <c r="IX70" s="188"/>
      <c r="IY70" s="188"/>
      <c r="IZ70" s="188"/>
      <c r="JA70" s="188"/>
      <c r="JB70" s="188"/>
      <c r="JC70" s="188"/>
      <c r="JD70" s="188"/>
      <c r="JE70" s="188"/>
      <c r="JF70" s="188"/>
      <c r="JG70" s="188"/>
      <c r="JH70" s="188"/>
      <c r="JI70" s="188"/>
      <c r="JJ70" s="188"/>
      <c r="JK70" s="188"/>
      <c r="JL70" s="188"/>
      <c r="JM70" s="188"/>
      <c r="JN70" s="188"/>
      <c r="JO70" s="188"/>
      <c r="JP70" s="188"/>
      <c r="JQ70" s="188"/>
      <c r="JR70" s="188"/>
      <c r="JS70" s="188"/>
      <c r="JT70" s="188"/>
      <c r="JU70" s="188"/>
      <c r="JV70" s="188"/>
      <c r="JW70" s="188"/>
      <c r="JX70" s="188"/>
      <c r="JY70" s="188"/>
      <c r="JZ70" s="188"/>
      <c r="KA70" s="188"/>
      <c r="KB70" s="2"/>
      <c r="KC70" s="232" t="s">
        <v>1187</v>
      </c>
      <c r="KD70" s="188">
        <f t="shared" ref="KD70:KQ70" si="144">IF(KD68=1,COUNTIF(KD17:KD23,"B"),IF(KD68=2,COUNTIF(KD24:KD30,"B"),IF(KD68=3,COUNTIF(KD31:KD37,"B"),IF(KD68=4,COUNTIF(KD38:KD44,"B"),COUNTIF(KD45:KD51,"B")))))</f>
        <v>0</v>
      </c>
      <c r="KE70" s="188">
        <f t="shared" si="144"/>
        <v>0</v>
      </c>
      <c r="KF70" s="188">
        <f t="shared" si="144"/>
        <v>0</v>
      </c>
      <c r="KG70" s="188">
        <f t="shared" si="144"/>
        <v>0</v>
      </c>
      <c r="KH70" s="188">
        <f t="shared" si="144"/>
        <v>0</v>
      </c>
      <c r="KI70" s="188">
        <f t="shared" si="144"/>
        <v>0</v>
      </c>
      <c r="KJ70" s="188">
        <f t="shared" si="144"/>
        <v>0</v>
      </c>
      <c r="KK70" s="188">
        <f t="shared" si="144"/>
        <v>0</v>
      </c>
      <c r="KL70" s="188">
        <f t="shared" si="144"/>
        <v>0</v>
      </c>
      <c r="KM70" s="188">
        <f t="shared" si="144"/>
        <v>0</v>
      </c>
      <c r="KN70" s="188">
        <f t="shared" si="144"/>
        <v>0</v>
      </c>
      <c r="KO70" s="188">
        <f t="shared" si="144"/>
        <v>0</v>
      </c>
      <c r="KP70" s="188">
        <f t="shared" si="144"/>
        <v>0</v>
      </c>
      <c r="KQ70" s="188">
        <f t="shared" si="144"/>
        <v>0</v>
      </c>
    </row>
    <row r="71" spans="1:318" ht="13.5" thickTop="1" x14ac:dyDescent="0.2">
      <c r="A71" s="446"/>
      <c r="B71" s="446"/>
      <c r="C71" s="446"/>
      <c r="D71" s="446"/>
      <c r="E71" s="446"/>
      <c r="F71" s="446"/>
      <c r="G71" s="446"/>
      <c r="H71" s="446"/>
      <c r="I71" s="446"/>
      <c r="J71" s="446"/>
      <c r="K71" s="446"/>
      <c r="L71" s="446"/>
      <c r="M71" s="446"/>
      <c r="N71" s="446"/>
      <c r="O71" s="446"/>
      <c r="P71" s="446"/>
      <c r="Q71" s="446"/>
      <c r="R71" s="446"/>
      <c r="S71" s="446"/>
      <c r="T71" s="446"/>
      <c r="U71" s="446"/>
      <c r="V71" s="446"/>
      <c r="W71" s="446"/>
      <c r="X71" s="446"/>
      <c r="Y71" s="446"/>
      <c r="Z71" s="446"/>
      <c r="AA71" s="446"/>
      <c r="AB71" s="446"/>
      <c r="AC71" s="446"/>
      <c r="AD71" s="446"/>
      <c r="AE71" s="446"/>
      <c r="AF71" s="446"/>
      <c r="AG71" s="446"/>
      <c r="AH71" s="446"/>
      <c r="AI71" s="446"/>
      <c r="AJ71" s="446"/>
      <c r="AK71" s="1"/>
      <c r="AN71" s="1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P71" s="267">
        <v>2090</v>
      </c>
      <c r="BT71" s="160" t="s">
        <v>1177</v>
      </c>
      <c r="BU71" s="7">
        <f>ROWS(BU31:BU37)-COUNTIF(BU31:BU37,"")</f>
        <v>0</v>
      </c>
      <c r="BV71" s="7">
        <f t="shared" ref="BV71:BX71" si="145">ROWS(BV31:BV37)-COUNTIF(BV31:BV37,"")</f>
        <v>0</v>
      </c>
      <c r="BW71" s="7">
        <f t="shared" si="145"/>
        <v>0</v>
      </c>
      <c r="BX71" s="7">
        <f t="shared" si="145"/>
        <v>0</v>
      </c>
      <c r="BY71" s="7">
        <f t="shared" ref="BY71:CH71" si="146">ROWS(BY31:BY37)-COUNTIF(BY31:BY37,"")</f>
        <v>0</v>
      </c>
      <c r="BZ71" s="7">
        <f t="shared" si="146"/>
        <v>0</v>
      </c>
      <c r="CA71" s="7">
        <f t="shared" si="146"/>
        <v>0</v>
      </c>
      <c r="CB71" s="7">
        <f t="shared" si="146"/>
        <v>0</v>
      </c>
      <c r="CC71" s="7">
        <f t="shared" si="146"/>
        <v>0</v>
      </c>
      <c r="CD71" s="7">
        <f t="shared" si="146"/>
        <v>0</v>
      </c>
      <c r="CE71" s="7">
        <f t="shared" si="146"/>
        <v>0</v>
      </c>
      <c r="CF71" s="7">
        <f t="shared" si="146"/>
        <v>0</v>
      </c>
      <c r="CG71" s="7">
        <f t="shared" si="146"/>
        <v>0</v>
      </c>
      <c r="CH71" s="7">
        <f t="shared" si="146"/>
        <v>0</v>
      </c>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105"/>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7" t="str">
        <f>IF(SUM(G38:G44)&gt;0,AVERAGE(G38:G44),"")</f>
        <v/>
      </c>
      <c r="HO71" s="7"/>
      <c r="HP71" s="7"/>
      <c r="HQ71" s="7"/>
      <c r="HR71" s="7"/>
      <c r="KC71" s="160" t="s">
        <v>1188</v>
      </c>
      <c r="KD71" s="7">
        <f t="shared" ref="KD71:KQ71" si="147">IF(KD68=1,COUNTIF(KD17:KD23,"C"),IF(KD68=2,COUNTIF(KD24:KD30,"A"),IF(KD68=3,COUNTIF(KD31:KD37,"C"),IF(KD68=4,COUNTIF(KD38:KD44,"C"),COUNTIF(KD45:KD51,"C")))))</f>
        <v>0</v>
      </c>
      <c r="KE71" s="165">
        <f t="shared" si="147"/>
        <v>0</v>
      </c>
      <c r="KF71" s="7">
        <f t="shared" si="147"/>
        <v>0</v>
      </c>
      <c r="KG71" s="7">
        <f t="shared" si="147"/>
        <v>0</v>
      </c>
      <c r="KH71" s="7">
        <f t="shared" si="147"/>
        <v>0</v>
      </c>
      <c r="KI71" s="7">
        <f t="shared" si="147"/>
        <v>0</v>
      </c>
      <c r="KJ71" s="7">
        <f t="shared" si="147"/>
        <v>0</v>
      </c>
      <c r="KK71" s="7">
        <f t="shared" si="147"/>
        <v>0</v>
      </c>
      <c r="KL71" s="7">
        <f t="shared" si="147"/>
        <v>0</v>
      </c>
      <c r="KM71" s="7">
        <f t="shared" si="147"/>
        <v>0</v>
      </c>
      <c r="KN71" s="7">
        <f t="shared" si="147"/>
        <v>0</v>
      </c>
      <c r="KO71" s="7">
        <f t="shared" si="147"/>
        <v>0</v>
      </c>
      <c r="KP71" s="7">
        <f t="shared" si="147"/>
        <v>0</v>
      </c>
      <c r="KQ71" s="7">
        <f t="shared" si="147"/>
        <v>0</v>
      </c>
    </row>
    <row r="72" spans="1:318" x14ac:dyDescent="0.2">
      <c r="A72" s="447"/>
      <c r="B72" s="417" t="s">
        <v>952</v>
      </c>
      <c r="C72" s="417"/>
      <c r="D72" s="417"/>
      <c r="E72" s="417"/>
      <c r="F72" s="417"/>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448"/>
      <c r="BP72" s="267">
        <v>2091</v>
      </c>
      <c r="BT72" s="156" t="s">
        <v>1176</v>
      </c>
      <c r="BU72" s="7" t="str">
        <f>IF(BU71&gt;0,IF(BU71=(BU61+(BU71*0.01)),"Y","N"),"")</f>
        <v/>
      </c>
      <c r="BV72" s="7" t="str">
        <f t="shared" ref="BV72:BX72" si="148">IF(BV71&gt;0,IF(BV71=(BV61+(BV71*0.01)),"Y","N"),"")</f>
        <v/>
      </c>
      <c r="BW72" s="7" t="str">
        <f t="shared" si="148"/>
        <v/>
      </c>
      <c r="BX72" s="7" t="str">
        <f t="shared" si="148"/>
        <v/>
      </c>
      <c r="BY72" s="7" t="str">
        <f t="shared" ref="BY72:CH72" si="149">IF(BY71&gt;0,IF(BY71=(BY61+(BY71*0.01)),"Y","N"),"")</f>
        <v/>
      </c>
      <c r="BZ72" s="7" t="str">
        <f t="shared" si="149"/>
        <v/>
      </c>
      <c r="CA72" s="7" t="str">
        <f t="shared" si="149"/>
        <v/>
      </c>
      <c r="CB72" s="7" t="str">
        <f t="shared" si="149"/>
        <v/>
      </c>
      <c r="CC72" s="7" t="str">
        <f t="shared" si="149"/>
        <v/>
      </c>
      <c r="CD72" s="7" t="str">
        <f t="shared" si="149"/>
        <v/>
      </c>
      <c r="CE72" s="7" t="str">
        <f t="shared" si="149"/>
        <v/>
      </c>
      <c r="CF72" s="7" t="str">
        <f t="shared" si="149"/>
        <v/>
      </c>
      <c r="CG72" s="7" t="str">
        <f t="shared" si="149"/>
        <v/>
      </c>
      <c r="CH72" s="7" t="str">
        <f t="shared" si="149"/>
        <v/>
      </c>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105"/>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7" t="str">
        <f>IF(SUM(G45:G51)&gt;0,AVERAGE(G45:G51),"")</f>
        <v/>
      </c>
      <c r="HO72" s="7"/>
      <c r="HP72" s="7"/>
      <c r="HQ72" s="7"/>
      <c r="HR72" s="7"/>
      <c r="KC72" s="160" t="s">
        <v>839</v>
      </c>
      <c r="KD72" s="7">
        <f>SUM(KD69:KD71)</f>
        <v>0</v>
      </c>
      <c r="KE72" s="7">
        <f t="shared" ref="KE72:KQ72" si="150">SUM(KE69:KE71)</f>
        <v>0</v>
      </c>
      <c r="KF72" s="7">
        <f t="shared" si="150"/>
        <v>0</v>
      </c>
      <c r="KG72" s="7">
        <f t="shared" si="150"/>
        <v>0</v>
      </c>
      <c r="KH72" s="7">
        <f t="shared" si="150"/>
        <v>0</v>
      </c>
      <c r="KI72" s="7">
        <f t="shared" si="150"/>
        <v>0</v>
      </c>
      <c r="KJ72" s="7">
        <f t="shared" si="150"/>
        <v>0</v>
      </c>
      <c r="KK72" s="7">
        <f t="shared" si="150"/>
        <v>0</v>
      </c>
      <c r="KL72" s="7">
        <f t="shared" si="150"/>
        <v>0</v>
      </c>
      <c r="KM72" s="7">
        <f t="shared" si="150"/>
        <v>0</v>
      </c>
      <c r="KN72" s="7">
        <f t="shared" si="150"/>
        <v>0</v>
      </c>
      <c r="KO72" s="7">
        <f t="shared" si="150"/>
        <v>0</v>
      </c>
      <c r="KP72" s="7">
        <f t="shared" si="150"/>
        <v>0</v>
      </c>
      <c r="KQ72" s="7">
        <f t="shared" si="150"/>
        <v>0</v>
      </c>
    </row>
    <row r="73" spans="1:318" ht="12.75" customHeight="1" x14ac:dyDescent="0.2">
      <c r="A73" s="447"/>
      <c r="B73" s="414" t="s">
        <v>953</v>
      </c>
      <c r="C73" s="414"/>
      <c r="D73" s="414"/>
      <c r="E73" s="414"/>
      <c r="F73" s="414"/>
      <c r="G73" s="243"/>
      <c r="H73" s="243" t="str">
        <f>IF(KD$81="Y","&lt;","")</f>
        <v/>
      </c>
      <c r="I73" s="243" t="str">
        <f>IF(SUM(I17:I23)&lt;&gt;0,IF(OR('Outfall 1 Limits'!$AX$16="C1",'Outfall 1 Limits'!$AX$16="C3"),IF('Outfall 1 Limits'!$AR$16&lt;&gt;0,TEXT(EC13,"0."&amp;REPT("0",LEN('Outfall 1 Limits'!$AD$16)-FIND(".",'Outfall 1 Limits'!$AD$16))),ROUND(EC13,$I$126)),""),"")</f>
        <v/>
      </c>
      <c r="J73" s="243" t="str">
        <f>IF(KE$81="Y","&lt;","")</f>
        <v/>
      </c>
      <c r="K73" s="243" t="str">
        <f>IF(SUM(K17:K23)&lt;&gt;0,IF(OR('Outfall 1 Limits'!$AX$20="C1",'Outfall 1 Limits'!$AX$20="C3"),IF('Outfall 1 Limits'!$AR$20&lt;&gt;0,TEXT(ED13,"0."&amp;REPT("0",LEN('Outfall 1 Limits'!$AD$20)-FIND(".",'Outfall 1 Limits'!$AD$20))),ROUND(ED13,$K$126)),""),"")</f>
        <v/>
      </c>
      <c r="L73" s="243" t="str">
        <f>IF(KF$81="Y","&lt;","")</f>
        <v/>
      </c>
      <c r="M73" s="243" t="str">
        <f>IF(SUM(M17:M23)&lt;&gt;0,IF(OR('Outfall 1 Limits'!$AX$24="C1",'Outfall 1 Limits'!$AX$24="C3"),IF('Outfall 1 Limits'!$AR$24&lt;&gt;0,TEXT(EE13,"0."&amp;REPT("0",LEN('Outfall 1 Limits'!$AD$24)-FIND(".",'Outfall 1 Limits'!$AD$24))),ROUND(EE13,M126)),""),"")</f>
        <v/>
      </c>
      <c r="N73" s="243" t="str">
        <f>IF(KG$81="Y","&lt;","")</f>
        <v/>
      </c>
      <c r="O73" s="243" t="str">
        <f>IF(SUM(O17:O23)&lt;&gt;0,IF(OR('Outfall 1 Limits'!$AX$28="C1",'Outfall 1 Limits'!$AX$28="C3"),IF('Outfall 1 Limits'!$AR$28&lt;&gt;0,TEXT(EF13,"0."&amp;REPT("0",LEN('Outfall 1 Limits'!$AD$28)-FIND(".",'Outfall 1 Limits'!$AD$28))),ROUND(EF13,O126)),""),"")</f>
        <v/>
      </c>
      <c r="P73" s="243" t="str">
        <f>IF(KH$81="Y","&lt;","")</f>
        <v/>
      </c>
      <c r="Q73" s="243" t="str">
        <f>IF(SUM(Q17:Q23)&lt;&gt;0,IF(OR('Outfall 1 Limits'!$AX$32="C1",'Outfall 1 Limits'!$AX$32="C3"),IF('Outfall 1 Limits'!$AR$32&lt;&gt;0,TEXT(EG13,"0."&amp;REPT("0",LEN('Outfall 1 Limits'!$AD$32)-FIND(".",'Outfall 1 Limits'!$AD$32))),ROUND(EG13,Q126)),""),"")</f>
        <v/>
      </c>
      <c r="R73" s="243" t="str">
        <f>IF(KI$81="Y","&lt;","")</f>
        <v/>
      </c>
      <c r="S73" s="243" t="str">
        <f>IF(SUM(S17:S23)&lt;&gt;0,IF(OR('Outfall 1 Limits'!$AX$36="C1",'Outfall 1 Limits'!$AX$36="C3"),IF('Outfall 1 Limits'!$AR$36&lt;&gt;0,TEXT(EH13,"0."&amp;REPT("0",LEN('Outfall 1 Limits'!$AD$36)-FIND(".",'Outfall 1 Limits'!$AD$36))),ROUND(EH13,S126)),""),"")</f>
        <v/>
      </c>
      <c r="T73" s="243" t="str">
        <f>IF(KJ$81="Y","&lt;","")</f>
        <v/>
      </c>
      <c r="U73" s="243" t="str">
        <f>IF(SUM(U17:U23)&lt;&gt;0,IF(OR('Outfall 1 Limits'!$AX$40="C1",'Outfall 1 Limits'!$AX$40="C3"),IF('Outfall 1 Limits'!$AR$40&lt;&gt;0,TEXT(EI13,"0."&amp;REPT("0",LEN('Outfall 1 Limits'!$AD$40)-FIND(".",'Outfall 1 Limits'!$AD$40))),ROUND(EI13,U126)),""),"")</f>
        <v/>
      </c>
      <c r="V73" s="243" t="str">
        <f>IF(KK$81="Y","&lt;","")</f>
        <v/>
      </c>
      <c r="W73" s="243" t="str">
        <f>IF(SUM(W17:W23)&lt;&gt;0,IF(OR('Outfall 1 Limits'!$AX$44="C1",'Outfall 1 Limits'!$AX$44="C3"),IF('Outfall 1 Limits'!$AR$44&lt;&gt;0,TEXT(EJ13,"0."&amp;REPT("0",LEN('Outfall 1 Limits'!$AD$44)-FIND(".",'Outfall 1 Limits'!$AD$44))),ROUND(EJ13,W126)),""),"")</f>
        <v/>
      </c>
      <c r="X73" s="243" t="str">
        <f>IF(KL$81="Y","&lt;","")</f>
        <v/>
      </c>
      <c r="Y73" s="243" t="str">
        <f>IF(SUM(Y17:Y23)&lt;&gt;0,IF(OR('Outfall 1 Limits'!$AX$48="C1",'Outfall 1 Limits'!$AX$48="C3"),IF('Outfall 1 Limits'!$AR$48&lt;&gt;0,TEXT(EK13,"0."&amp;REPT("0",LEN('Outfall 1 Limits'!$AD$48)-FIND(".",'Outfall 1 Limits'!$AD$48))),ROUND(EK13,Y126)),""),"")</f>
        <v/>
      </c>
      <c r="Z73" s="243" t="str">
        <f>IF(KM$81="Y","&lt;","")</f>
        <v/>
      </c>
      <c r="AA73" s="243" t="str">
        <f>IF(SUM(AA17:AA23)&lt;&gt;0,IF(OR('Outfall 1 Limits'!$AX$52="C1",'Outfall 1 Limits'!$AX$52="C3"),IF('Outfall 1 Limits'!$AR$52&lt;&gt;0,TEXT(EL13,"0."&amp;REPT("0",LEN('Outfall 1 Limits'!$AD$52)-FIND(".",'Outfall 1 Limits'!$AD$52))),ROUND(EL13,AA126)),""),"")</f>
        <v/>
      </c>
      <c r="AB73" s="243" t="str">
        <f>IF(KN$81="Y","&lt;","")</f>
        <v/>
      </c>
      <c r="AC73" s="243" t="str">
        <f>IF(SUM(AC17:AC23)&lt;&gt;0,IF(OR('Outfall 1 Limits'!$AX$56="C1",'Outfall 1 Limits'!$AX$56="C3"),IF('Outfall 1 Limits'!$AR$56&lt;&gt;0,TEXT(EM13,"0."&amp;REPT("0",LEN('Outfall 1 Limits'!$AD$56)-FIND(".",'Outfall 1 Limits'!$AD$56))),ROUND(EM13,AC126)),""),"")</f>
        <v/>
      </c>
      <c r="AD73" s="243" t="str">
        <f>IF(KO$81="Y","&lt;","")</f>
        <v/>
      </c>
      <c r="AE73" s="243" t="str">
        <f>IF(SUM(AE17:AE23)&lt;&gt;0,IF(OR('Outfall 1 Limits'!$AX$60="C1",'Outfall 1 Limits'!$AX$60="C3"),IF('Outfall 1 Limits'!$AR$60&lt;&gt;0,TEXT(EN13,"0."&amp;REPT("0",LEN('Outfall 1 Limits'!$AD$60)-FIND(".",'Outfall 1 Limits'!$AD$60))),ROUND(EN13,AE126)),""),"")</f>
        <v/>
      </c>
      <c r="AF73" s="243" t="str">
        <f>IF(KP$81="Y","&lt;","")</f>
        <v/>
      </c>
      <c r="AG73" s="243" t="str">
        <f>IF(SUM(AG17:AG23)&lt;&gt;0,IF(OR('Outfall 1 Limits'!$AX$64="C1",'Outfall 1 Limits'!$AX$64="C3"),IF('Outfall 1 Limits'!$AR$64&lt;&gt;0,TEXT(EO13,"0."&amp;REPT("0",LEN('Outfall 1 Limits'!$AD$64)-FIND(".",'Outfall 1 Limits'!$AD$64))),ROUND(EO13,AG126)),""),"")</f>
        <v/>
      </c>
      <c r="AH73" s="243" t="str">
        <f>IF(KQ$81="Y","&lt;","")</f>
        <v/>
      </c>
      <c r="AI73" s="243" t="str">
        <f>IF(SUM(AI17:AI23)&lt;&gt;0,IF(OR('Outfall 1 Limits'!$AX$68="C1",'Outfall 1 Limits'!$AX$68="C3"),IF('Outfall 1 Limits'!$AR$68&lt;&gt;0,TEXT(EP13,"0."&amp;REPT("0",LEN('Outfall 1 Limits'!$AD$68)-FIND(".",'Outfall 1 Limits'!$AD$68))),ROUND(EP13,AI126)),""),"")</f>
        <v/>
      </c>
      <c r="AJ73" s="448"/>
      <c r="AN73"/>
      <c r="BP73" s="267">
        <v>2092</v>
      </c>
      <c r="BT73" s="160" t="s">
        <v>1178</v>
      </c>
      <c r="BU73" s="7">
        <f>ROWS(BU38:BU44)-COUNTIF(BU38:BU44,"")</f>
        <v>0</v>
      </c>
      <c r="BV73" s="7">
        <f t="shared" ref="BV73:BX73" si="151">ROWS(BV38:BV44)-COUNTIF(BV38:BV44,"")</f>
        <v>0</v>
      </c>
      <c r="BW73" s="7">
        <f t="shared" si="151"/>
        <v>0</v>
      </c>
      <c r="BX73" s="7">
        <f t="shared" si="151"/>
        <v>0</v>
      </c>
      <c r="BY73" s="7">
        <f t="shared" ref="BY73:CH73" si="152">ROWS(BY38:BY44)-COUNTIF(BY38:BY44,"")</f>
        <v>0</v>
      </c>
      <c r="BZ73" s="7">
        <f t="shared" si="152"/>
        <v>0</v>
      </c>
      <c r="CA73" s="7">
        <f t="shared" si="152"/>
        <v>0</v>
      </c>
      <c r="CB73" s="7">
        <f t="shared" si="152"/>
        <v>0</v>
      </c>
      <c r="CC73" s="7">
        <f t="shared" si="152"/>
        <v>0</v>
      </c>
      <c r="CD73" s="7">
        <f t="shared" si="152"/>
        <v>0</v>
      </c>
      <c r="CE73" s="7">
        <f t="shared" si="152"/>
        <v>0</v>
      </c>
      <c r="CF73" s="7">
        <f t="shared" si="152"/>
        <v>0</v>
      </c>
      <c r="CG73" s="7">
        <f t="shared" si="152"/>
        <v>0</v>
      </c>
      <c r="CH73" s="7">
        <f t="shared" si="152"/>
        <v>0</v>
      </c>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105"/>
      <c r="GK73" s="101"/>
      <c r="GL73" s="101"/>
      <c r="GM73" s="101"/>
      <c r="GN73" s="101"/>
      <c r="GO73" s="101"/>
      <c r="GP73" s="101"/>
      <c r="GQ73" s="101"/>
      <c r="GR73" s="101"/>
      <c r="GS73" s="101"/>
      <c r="GT73" s="101"/>
      <c r="GU73" s="101"/>
      <c r="GV73" s="101"/>
      <c r="GW73" s="101"/>
      <c r="GX73" s="101"/>
      <c r="GY73" s="101"/>
      <c r="GZ73" s="101"/>
      <c r="HA73" s="101"/>
      <c r="HB73" s="101"/>
      <c r="HC73" s="101"/>
      <c r="HD73" s="101"/>
      <c r="HE73" s="101"/>
      <c r="HF73" s="101"/>
      <c r="HG73" s="101"/>
      <c r="HH73" s="101"/>
      <c r="HI73" s="101"/>
      <c r="HJ73" s="101"/>
      <c r="HK73" s="101"/>
      <c r="HL73" s="101"/>
      <c r="HM73" s="101"/>
      <c r="HN73" s="102" t="str">
        <f>IF(SUM(HN68:HN72)&gt;0,IF(E51&lt;&gt;"",MAX(HN68:HN72),MAX(HN68:HN71)),"")</f>
        <v/>
      </c>
      <c r="HO73" s="7"/>
      <c r="HP73" s="7"/>
      <c r="HQ73" s="7"/>
      <c r="HR73" s="7"/>
      <c r="KC73" s="160" t="s">
        <v>1182</v>
      </c>
      <c r="KD73" s="7" t="str">
        <f>IF(OR(KD69=KD72,(KD69+KD70)=KD72),"Y",IF(OR(AND(KD70=0,KD71&gt;0),KD71=KD72),"N","Y"))</f>
        <v>Y</v>
      </c>
      <c r="KE73" s="7" t="str">
        <f t="shared" ref="KE73:KQ73" si="153">IF(OR(KE69=KE72,(KE69+KE70)=KE72),"Y",IF(OR(AND(KE70=0,KE71&gt;0),KE71=KE72),"N","Y"))</f>
        <v>Y</v>
      </c>
      <c r="KF73" s="7" t="str">
        <f t="shared" si="153"/>
        <v>Y</v>
      </c>
      <c r="KG73" s="7" t="str">
        <f t="shared" si="153"/>
        <v>Y</v>
      </c>
      <c r="KH73" s="7" t="str">
        <f t="shared" si="153"/>
        <v>Y</v>
      </c>
      <c r="KI73" s="7" t="str">
        <f t="shared" si="153"/>
        <v>Y</v>
      </c>
      <c r="KJ73" s="7" t="str">
        <f t="shared" si="153"/>
        <v>Y</v>
      </c>
      <c r="KK73" s="7" t="str">
        <f t="shared" si="153"/>
        <v>Y</v>
      </c>
      <c r="KL73" s="7" t="str">
        <f t="shared" si="153"/>
        <v>Y</v>
      </c>
      <c r="KM73" s="7" t="str">
        <f t="shared" si="153"/>
        <v>Y</v>
      </c>
      <c r="KN73" s="7" t="str">
        <f t="shared" si="153"/>
        <v>Y</v>
      </c>
      <c r="KO73" s="7" t="str">
        <f t="shared" si="153"/>
        <v>Y</v>
      </c>
      <c r="KP73" s="7" t="str">
        <f t="shared" si="153"/>
        <v>Y</v>
      </c>
      <c r="KQ73" s="7" t="str">
        <f t="shared" si="153"/>
        <v>Y</v>
      </c>
    </row>
    <row r="74" spans="1:318" s="7" customFormat="1" ht="12.75" customHeight="1" x14ac:dyDescent="0.2">
      <c r="A74" s="447"/>
      <c r="B74" s="414" t="s">
        <v>954</v>
      </c>
      <c r="C74" s="414"/>
      <c r="D74" s="414"/>
      <c r="E74" s="414"/>
      <c r="F74" s="414"/>
      <c r="G74" s="243"/>
      <c r="H74" s="243" t="str">
        <f>IF(KD$87="Y","&lt;","")</f>
        <v/>
      </c>
      <c r="I74" s="243" t="str">
        <f>IF(SUM(I24:I30)&lt;&gt;0,IF(OR('Outfall 1 Limits'!$AX$16="C1",'Outfall 1 Limits'!$AX$16="C3"),IF('Outfall 1 Limits'!$AR$16&lt;&gt;0,TEXT(EC14,"0."&amp;REPT("0",LEN('Outfall 1 Limits'!$AD$16)-FIND(".",'Outfall 1 Limits'!$AD$16))),ROUND(EC14,$I$126)),""),"")</f>
        <v/>
      </c>
      <c r="J74" s="243" t="str">
        <f>IF(KE$87="Y","&lt;","")</f>
        <v/>
      </c>
      <c r="K74" s="243" t="str">
        <f>IF(SUM(K24:K30)&lt;&gt;0,IF(OR('Outfall 1 Limits'!$AX$20="C1",'Outfall 1 Limits'!$AX$20="C3"),IF('Outfall 1 Limits'!$AR$20&lt;&gt;0,TEXT(ED14,"0."&amp;REPT("0",LEN('Outfall 1 Limits'!$AD$20)-FIND(".",'Outfall 1 Limits'!$AD$20))),ROUND(ED14,$K$126)),""),"")</f>
        <v/>
      </c>
      <c r="L74" s="243" t="str">
        <f>IF(KF$87="Y","&lt;","")</f>
        <v/>
      </c>
      <c r="M74" s="243" t="str">
        <f>IF(SUM(M24:M30)&lt;&gt;0,IF(OR('Outfall 1 Limits'!$AX$24="C1",'Outfall 1 Limits'!$AX$24="C3"),IF('Outfall 1 Limits'!$AR$24&lt;&gt;0,TEXT(EE14,"0."&amp;REPT("0",LEN('Outfall 1 Limits'!$AD$24)-FIND(".",'Outfall 1 Limits'!$AD$24))),ROUND(EE14,M126)),""),"")</f>
        <v/>
      </c>
      <c r="N74" s="243" t="str">
        <f>IF(KG$87="Y","&lt;","")</f>
        <v/>
      </c>
      <c r="O74" s="243" t="str">
        <f>IF(SUM(O24:O30)&lt;&gt;0,IF(OR('Outfall 1 Limits'!$AX$28="C1",'Outfall 1 Limits'!$AX$28="C3"),IF('Outfall 1 Limits'!$AR$28&lt;&gt;0,TEXT(EF14,"0."&amp;REPT("0",LEN('Outfall 1 Limits'!$AD$28)-FIND(".",'Outfall 1 Limits'!$AD$28))),ROUND(EF14,O126)),""),"")</f>
        <v/>
      </c>
      <c r="P74" s="243" t="str">
        <f>IF(KH$87="Y","&lt;","")</f>
        <v/>
      </c>
      <c r="Q74" s="243" t="str">
        <f>IF(SUM(Q24:Q30)&lt;&gt;0,IF(OR('Outfall 1 Limits'!$AX$32="C1",'Outfall 1 Limits'!$AX$32="C3"),IF('Outfall 1 Limits'!$AR$32&lt;&gt;0,TEXT(EG14,"0."&amp;REPT("0",LEN('Outfall 1 Limits'!$AD$32)-FIND(".",'Outfall 1 Limits'!$AD$32))),ROUND(EG14,Q126)),""),"")</f>
        <v/>
      </c>
      <c r="R74" s="243" t="str">
        <f>IF(KI$87="Y","&lt;","")</f>
        <v/>
      </c>
      <c r="S74" s="243" t="str">
        <f>IF(SUM(S24:S30)&lt;&gt;0,IF(OR('Outfall 1 Limits'!$AX$36="C1",'Outfall 1 Limits'!$AX$36="C3"),IF('Outfall 1 Limits'!$AR$36&lt;&gt;0,TEXT(EH14,"0."&amp;REPT("0",LEN('Outfall 1 Limits'!$AD$36)-FIND(".",'Outfall 1 Limits'!$AD$36))),ROUND(EH14,S126)),""),"")</f>
        <v/>
      </c>
      <c r="T74" s="243" t="str">
        <f>IF(KJ$87="Y","&lt;","")</f>
        <v/>
      </c>
      <c r="U74" s="243" t="str">
        <f>IF(SUM(U24:U30)&lt;&gt;0,IF(OR('Outfall 1 Limits'!$AX$40="C1",'Outfall 1 Limits'!$AX$40="C3"),IF('Outfall 1 Limits'!$AR$40&lt;&gt;0,TEXT(EI14,"0."&amp;REPT("0",LEN('Outfall 1 Limits'!$AD$40)-FIND(".",'Outfall 1 Limits'!$AD$40))),ROUND(EI14,U126)),""),"")</f>
        <v/>
      </c>
      <c r="V74" s="243" t="str">
        <f>IF(KK$87="Y","&lt;","")</f>
        <v/>
      </c>
      <c r="W74" s="243" t="str">
        <f>IF(SUM(W24:W30)&lt;&gt;0,IF(OR('Outfall 1 Limits'!$AX$44="C1",'Outfall 1 Limits'!$AX$44="C3"),IF('Outfall 1 Limits'!$AR$44&lt;&gt;0,TEXT(EJ14,"0."&amp;REPT("0",LEN('Outfall 1 Limits'!$AD$44)-FIND(".",'Outfall 1 Limits'!$AD$44))),ROUND(EJ14,W126)),""),"")</f>
        <v/>
      </c>
      <c r="X74" s="243" t="str">
        <f>IF(KL$87="Y","&lt;","")</f>
        <v/>
      </c>
      <c r="Y74" s="243" t="str">
        <f>IF(SUM(Y24:Y30)&lt;&gt;0,IF(OR('Outfall 1 Limits'!$AX$48="C1",'Outfall 1 Limits'!$AX$48="C3"),IF('Outfall 1 Limits'!$AR$48&lt;&gt;0,TEXT(EK14,"0."&amp;REPT("0",LEN('Outfall 1 Limits'!$AD$48)-FIND(".",'Outfall 1 Limits'!$AD$48))),ROUND(EK14,Y126)),""),"")</f>
        <v/>
      </c>
      <c r="Z74" s="243" t="str">
        <f>IF(KM$87="Y","&lt;","")</f>
        <v/>
      </c>
      <c r="AA74" s="243" t="str">
        <f>IF(SUM(AA24:AA30)&lt;&gt;0,IF(OR('Outfall 1 Limits'!$AX$52="C1",'Outfall 1 Limits'!$AX$52="C3"),IF('Outfall 1 Limits'!$AR$52&lt;&gt;0,TEXT(EL14,"0."&amp;REPT("0",LEN('Outfall 1 Limits'!$AD$52)-FIND(".",'Outfall 1 Limits'!$AD$52))),ROUND(EL14,AA126)),""),"")</f>
        <v/>
      </c>
      <c r="AB74" s="243" t="str">
        <f>IF(KN$87="Y","&lt;","")</f>
        <v/>
      </c>
      <c r="AC74" s="243" t="str">
        <f>IF(SUM(AC24:AC30)&lt;&gt;0,IF(OR('Outfall 1 Limits'!$AX$56="C1",'Outfall 1 Limits'!$AX$56="C3"),IF('Outfall 1 Limits'!$AR$56&lt;&gt;0,TEXT(EM14,"0."&amp;REPT("0",LEN('Outfall 1 Limits'!$AD$56)-FIND(".",'Outfall 1 Limits'!$AD$56))),ROUND(EM14,AC126)),""),"")</f>
        <v/>
      </c>
      <c r="AD74" s="243" t="str">
        <f>IF(KO$87="Y","&lt;","")</f>
        <v/>
      </c>
      <c r="AE74" s="243" t="str">
        <f>IF(SUM(AE24:AE30)&lt;&gt;0,IF(OR('Outfall 1 Limits'!$AX$60="C1",'Outfall 1 Limits'!$AX$60="C3"),IF('Outfall 1 Limits'!$AR$60&lt;&gt;0,TEXT(EN14,"0."&amp;REPT("0",LEN('Outfall 1 Limits'!$AD$60)-FIND(".",'Outfall 1 Limits'!$AD$60))),ROUND(EN14,AE126)),""),"")</f>
        <v/>
      </c>
      <c r="AF74" s="243" t="str">
        <f>IF(KP$87="Y","&lt;","")</f>
        <v/>
      </c>
      <c r="AG74" s="243" t="str">
        <f>IF(SUM(AG24:AG30)&lt;&gt;0,IF(OR('Outfall 1 Limits'!$AX$64="C1",'Outfall 1 Limits'!$AX$64="C3"),IF('Outfall 1 Limits'!$AR$64&lt;&gt;0,TEXT(EO14,"0."&amp;REPT("0",LEN('Outfall 1 Limits'!$AD$64)-FIND(".",'Outfall 1 Limits'!$AD$64))),ROUND(EO14,AG126)),""),"")</f>
        <v/>
      </c>
      <c r="AH74" s="243" t="str">
        <f>IF(KQ$87="Y","&lt;","")</f>
        <v/>
      </c>
      <c r="AI74" s="243" t="str">
        <f>IF(SUM(AI24:AI30)&lt;&gt;0,IF(OR('Outfall 1 Limits'!$AX$68="C1",'Outfall 1 Limits'!$AX$68="C3"),IF('Outfall 1 Limits'!$AR$68&lt;&gt;0,TEXT(EP14,"0."&amp;REPT("0",LEN('Outfall 1 Limits'!$AD$68)-FIND(".",'Outfall 1 Limits'!$AD$68))),ROUND(EP14,AI126)),""),"")</f>
        <v/>
      </c>
      <c r="AJ74" s="448"/>
      <c r="AK74"/>
      <c r="AL74"/>
      <c r="AM74"/>
      <c r="AN74"/>
      <c r="AO74"/>
      <c r="AP74"/>
      <c r="AQ74"/>
      <c r="AR74"/>
      <c r="AS74"/>
      <c r="AT74"/>
      <c r="AU74"/>
      <c r="AV74"/>
      <c r="AW74"/>
      <c r="AX74"/>
      <c r="AY74"/>
      <c r="AZ74"/>
      <c r="BA74"/>
      <c r="BB74"/>
      <c r="BC74"/>
      <c r="BD74"/>
      <c r="BE74"/>
      <c r="BF74"/>
      <c r="BG74"/>
      <c r="BH74"/>
      <c r="BI74"/>
      <c r="BJ74"/>
      <c r="BK74"/>
      <c r="BL74"/>
      <c r="BM74"/>
      <c r="BP74" s="267">
        <v>2093</v>
      </c>
      <c r="BT74" s="156" t="s">
        <v>1179</v>
      </c>
      <c r="BU74" s="7" t="str">
        <f>IF(BU73&gt;0,IF(BU73=(BU63+(BU73*0.01)),"Y","N"),"")</f>
        <v/>
      </c>
      <c r="BV74" s="7" t="str">
        <f t="shared" ref="BV74:BX74" si="154">IF(BV73&gt;0,IF(BV73=(BV63+(BV73*0.01)),"Y","N"),"")</f>
        <v/>
      </c>
      <c r="BW74" s="7" t="str">
        <f t="shared" si="154"/>
        <v/>
      </c>
      <c r="BX74" s="7" t="str">
        <f t="shared" si="154"/>
        <v/>
      </c>
      <c r="BY74" s="7" t="str">
        <f t="shared" ref="BY74:CH74" si="155">IF(BY73&gt;0,IF(BY73=(BY63+(BY73*0.01)),"Y","N"),"")</f>
        <v/>
      </c>
      <c r="BZ74" s="7" t="str">
        <f t="shared" si="155"/>
        <v/>
      </c>
      <c r="CA74" s="7" t="str">
        <f t="shared" si="155"/>
        <v/>
      </c>
      <c r="CB74" s="7" t="str">
        <f t="shared" si="155"/>
        <v/>
      </c>
      <c r="CC74" s="7" t="str">
        <f t="shared" si="155"/>
        <v/>
      </c>
      <c r="CD74" s="7" t="str">
        <f t="shared" si="155"/>
        <v/>
      </c>
      <c r="CE74" s="7" t="str">
        <f t="shared" si="155"/>
        <v/>
      </c>
      <c r="CF74" s="7" t="str">
        <f t="shared" si="155"/>
        <v/>
      </c>
      <c r="CG74" s="7" t="str">
        <f t="shared" si="155"/>
        <v/>
      </c>
      <c r="CH74" s="7" t="str">
        <f t="shared" si="155"/>
        <v/>
      </c>
      <c r="CI74"/>
      <c r="CJ74"/>
      <c r="CK74"/>
      <c r="CL74"/>
      <c r="CM74"/>
      <c r="CN74"/>
      <c r="CO74"/>
      <c r="CP74"/>
      <c r="CQ74"/>
      <c r="CR74"/>
      <c r="CS74"/>
      <c r="CT74"/>
      <c r="CU74"/>
      <c r="CV74"/>
      <c r="CW74"/>
      <c r="CX74"/>
      <c r="CY74" s="22"/>
      <c r="CZ74" s="22"/>
      <c r="DA74" s="22"/>
      <c r="DB74" s="22"/>
      <c r="DC74" s="22"/>
      <c r="DD74" s="22"/>
      <c r="DE74" s="22"/>
      <c r="DF74" s="22"/>
      <c r="DG74" s="22"/>
      <c r="DH74" s="22"/>
      <c r="DI74" s="22"/>
      <c r="DJ74" s="22"/>
      <c r="DK74" s="22"/>
      <c r="DL74" s="22"/>
      <c r="DM74" s="22"/>
      <c r="DN74" s="22"/>
      <c r="DO74" s="22"/>
      <c r="DP74" s="22"/>
      <c r="DQ74" s="22"/>
      <c r="DR74" s="22"/>
      <c r="DS74" s="22"/>
      <c r="DT74" s="22"/>
      <c r="DU74" s="22"/>
      <c r="DV74" s="22"/>
      <c r="DW74" s="22"/>
      <c r="DX74" s="22"/>
      <c r="DY74" s="22"/>
      <c r="DZ74" s="22"/>
      <c r="EA74" s="22"/>
      <c r="EB74" s="1"/>
      <c r="EC7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105"/>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KC74" s="160" t="s">
        <v>1191</v>
      </c>
      <c r="KD74" s="165" t="e">
        <f t="shared" ref="KD74:KQ74" ca="1" si="156">IF(KD53="Y",KD73,IF(BU54="Y","Y",IF(EC45="Y","Y")))</f>
        <v>#VALUE!</v>
      </c>
      <c r="KE74" s="7" t="e">
        <f t="shared" ca="1" si="156"/>
        <v>#VALUE!</v>
      </c>
      <c r="KF74" s="7" t="e">
        <f t="shared" ca="1" si="156"/>
        <v>#VALUE!</v>
      </c>
      <c r="KG74" s="7" t="e">
        <f t="shared" ca="1" si="156"/>
        <v>#VALUE!</v>
      </c>
      <c r="KH74" s="7" t="e">
        <f t="shared" ca="1" si="156"/>
        <v>#VALUE!</v>
      </c>
      <c r="KI74" s="7" t="e">
        <f t="shared" ca="1" si="156"/>
        <v>#VALUE!</v>
      </c>
      <c r="KJ74" s="7" t="e">
        <f t="shared" ca="1" si="156"/>
        <v>#VALUE!</v>
      </c>
      <c r="KK74" s="7" t="e">
        <f t="shared" ca="1" si="156"/>
        <v>#VALUE!</v>
      </c>
      <c r="KL74" s="7" t="e">
        <f t="shared" ca="1" si="156"/>
        <v>#VALUE!</v>
      </c>
      <c r="KM74" s="7" t="e">
        <f t="shared" ca="1" si="156"/>
        <v>#VALUE!</v>
      </c>
      <c r="KN74" s="7" t="e">
        <f t="shared" ca="1" si="156"/>
        <v>#VALUE!</v>
      </c>
      <c r="KO74" s="7" t="e">
        <f t="shared" ca="1" si="156"/>
        <v>#VALUE!</v>
      </c>
      <c r="KP74" s="7" t="e">
        <f t="shared" ca="1" si="156"/>
        <v>#VALUE!</v>
      </c>
      <c r="KQ74" s="7" t="e">
        <f t="shared" ca="1" si="156"/>
        <v>#VALUE!</v>
      </c>
      <c r="KR74"/>
      <c r="KS74"/>
      <c r="KT74"/>
      <c r="KU74"/>
      <c r="KV74"/>
      <c r="KW74"/>
      <c r="KX74"/>
      <c r="KY74"/>
      <c r="KZ74"/>
      <c r="LA74"/>
      <c r="LB74"/>
      <c r="LC74"/>
      <c r="LD74"/>
      <c r="LE74"/>
      <c r="LF74"/>
    </row>
    <row r="75" spans="1:318" s="7" customFormat="1" x14ac:dyDescent="0.2">
      <c r="A75" s="447"/>
      <c r="B75" s="414" t="s">
        <v>955</v>
      </c>
      <c r="C75" s="414"/>
      <c r="D75" s="414"/>
      <c r="E75" s="414"/>
      <c r="F75" s="414"/>
      <c r="G75" s="243"/>
      <c r="H75" s="243" t="str">
        <f>IF(KD$93="Y","&lt;","")</f>
        <v/>
      </c>
      <c r="I75" s="243" t="str">
        <f>IF(SUM(I31:I37)&lt;&gt;0,IF(OR('Outfall 1 Limits'!$AX$16="C1",'Outfall 1 Limits'!$AX$16="C3"),IF('Outfall 1 Limits'!$AR$16&lt;&gt;0,TEXT(EC15,"0."&amp;REPT("0",LEN('Outfall 1 Limits'!$AD$16)-FIND(".",'Outfall 1 Limits'!$AD$16))),ROUND(EC15,$I$126)),""),"")</f>
        <v/>
      </c>
      <c r="J75" s="243" t="str">
        <f>IF(KE$93="Y","&lt;","")</f>
        <v/>
      </c>
      <c r="K75" s="243" t="str">
        <f>IF(SUM(K31:K37)&lt;&gt;0,IF(OR('Outfall 1 Limits'!$AX$20="C1",'Outfall 1 Limits'!$AX$20="C3"),IF('Outfall 1 Limits'!$AR$20&lt;&gt;0,TEXT(ED15,"0."&amp;REPT("0",LEN('Outfall 1 Limits'!$AD$20)-FIND(".",'Outfall 1 Limits'!$AD$20))),ROUND(ED15,$K$126)),""),"")</f>
        <v/>
      </c>
      <c r="L75" s="243" t="str">
        <f>IF(KF$93="Y","&lt;","")</f>
        <v/>
      </c>
      <c r="M75" s="243" t="str">
        <f>IF(SUM(M31:M37)&lt;&gt;0,IF(OR('Outfall 1 Limits'!$AX$24="C1",'Outfall 1 Limits'!$AX$24="C3"),IF('Outfall 1 Limits'!$AR$24&lt;&gt;0,TEXT(EE15,"0."&amp;REPT("0",LEN('Outfall 1 Limits'!$AD$24)-FIND(".",'Outfall 1 Limits'!$AD$24))),ROUND(EE15,M126)),""),"")</f>
        <v/>
      </c>
      <c r="N75" s="243" t="str">
        <f>IF(KG$93="Y","&lt;","")</f>
        <v/>
      </c>
      <c r="O75" s="243" t="str">
        <f>IF(SUM(O31:O37)&lt;&gt;0,IF(OR('Outfall 1 Limits'!$AX$28="C1",'Outfall 1 Limits'!$AX$28="C3"),IF('Outfall 1 Limits'!$AR$28&lt;&gt;0,TEXT(EF15,"0."&amp;REPT("0",LEN('Outfall 1 Limits'!$AD$28)-FIND(".",'Outfall 1 Limits'!$AD$28))),ROUND(EF15,O126)),""),"")</f>
        <v/>
      </c>
      <c r="P75" s="243" t="str">
        <f>IF(KH$93="Y","&lt;","")</f>
        <v/>
      </c>
      <c r="Q75" s="243" t="str">
        <f>IF(SUM(Q31:Q37)&lt;&gt;0,IF(OR('Outfall 1 Limits'!$AX$32="C1",'Outfall 1 Limits'!$AX$32="C3"),IF('Outfall 1 Limits'!$AR$32&lt;&gt;0,TEXT(EG15,"0."&amp;REPT("0",LEN('Outfall 1 Limits'!$AD$32)-FIND(".",'Outfall 1 Limits'!$AD$32))),ROUND(EG15,Q126)),""),"")</f>
        <v/>
      </c>
      <c r="R75" s="243" t="str">
        <f>IF(KI$93="Y","&lt;","")</f>
        <v/>
      </c>
      <c r="S75" s="243" t="str">
        <f>IF(SUM(S31:S37)&lt;&gt;0,IF(OR('Outfall 1 Limits'!$AX$36="C1",'Outfall 1 Limits'!$AX$36="C3"),IF('Outfall 1 Limits'!$AR$36&lt;&gt;0,TEXT(EH15,"0."&amp;REPT("0",LEN('Outfall 1 Limits'!$AD$36)-FIND(".",'Outfall 1 Limits'!$AD$36))),ROUND(EH15,S126)),""),"")</f>
        <v/>
      </c>
      <c r="T75" s="243" t="str">
        <f>IF(KJ$93="Y","&lt;","")</f>
        <v/>
      </c>
      <c r="U75" s="243" t="str">
        <f>IF(SUM(U31:U37)&lt;&gt;0,IF(OR('Outfall 1 Limits'!$AX$40="C1",'Outfall 1 Limits'!$AX$40="C3"),IF('Outfall 1 Limits'!$AR$40&lt;&gt;0,TEXT(EI15,"0."&amp;REPT("0",LEN('Outfall 1 Limits'!$AD$40)-FIND(".",'Outfall 1 Limits'!$AD$40))),ROUND(EI15,U126)),""),"")</f>
        <v/>
      </c>
      <c r="V75" s="243" t="str">
        <f>IF(KK$93="Y","&lt;","")</f>
        <v/>
      </c>
      <c r="W75" s="243" t="str">
        <f>IF(SUM(W31:W37)&lt;&gt;0,IF(OR('Outfall 1 Limits'!$AX$44="C1",'Outfall 1 Limits'!$AX$44="C3"),IF('Outfall 1 Limits'!$AR$44&lt;&gt;0,TEXT(EJ15,"0."&amp;REPT("0",LEN('Outfall 1 Limits'!$AD$44)-FIND(".",'Outfall 1 Limits'!$AD$44))),ROUND(EJ15,W126)),""),"")</f>
        <v/>
      </c>
      <c r="X75" s="243" t="str">
        <f>IF(KL$93="Y","&lt;","")</f>
        <v/>
      </c>
      <c r="Y75" s="243" t="str">
        <f>IF(SUM(Y31:Y37)&lt;&gt;0,IF(OR('Outfall 1 Limits'!$AX$48="C1",'Outfall 1 Limits'!$AX$48="C3"),IF('Outfall 1 Limits'!$AR$48&lt;&gt;0,TEXT(EK15,"0."&amp;REPT("0",LEN('Outfall 1 Limits'!$AD$48)-FIND(".",'Outfall 1 Limits'!$AD$48))),ROUND(EK15,Y126)),""),"")</f>
        <v/>
      </c>
      <c r="Z75" s="243" t="str">
        <f>IF(KM$93="Y","&lt;","")</f>
        <v/>
      </c>
      <c r="AA75" s="243" t="str">
        <f>IF(SUM(AA31:AA37)&lt;&gt;0,IF(OR('Outfall 1 Limits'!$AX$52="C1",'Outfall 1 Limits'!$AX$52="C3"),IF('Outfall 1 Limits'!$AR$52&lt;&gt;0,TEXT(EL15,"0."&amp;REPT("0",LEN('Outfall 1 Limits'!$AD$52)-FIND(".",'Outfall 1 Limits'!$AD$52))),ROUND(EL15,AA126)),""),"")</f>
        <v/>
      </c>
      <c r="AB75" s="243" t="str">
        <f>IF(KN$93="Y","&lt;","")</f>
        <v/>
      </c>
      <c r="AC75" s="243" t="str">
        <f>IF(SUM(AC31:AC37)&lt;&gt;0,IF(OR('Outfall 1 Limits'!$AX$56="C1",'Outfall 1 Limits'!$AX$56="C3"),IF('Outfall 1 Limits'!$AR$56&lt;&gt;0,TEXT(EM15,"0."&amp;REPT("0",LEN('Outfall 1 Limits'!$AD$56)-FIND(".",'Outfall 1 Limits'!$AD$56))),ROUND(EM15,AC126)),""),"")</f>
        <v/>
      </c>
      <c r="AD75" s="243" t="str">
        <f>IF(KO$93="Y","&lt;","")</f>
        <v/>
      </c>
      <c r="AE75" s="243" t="str">
        <f>IF(SUM(AE31:AE37)&lt;&gt;0,IF(OR('Outfall 1 Limits'!$AX$60="C1",'Outfall 1 Limits'!$AX$60="C3"),IF('Outfall 1 Limits'!$AR$60&lt;&gt;0,TEXT(EN15,"0."&amp;REPT("0",LEN('Outfall 1 Limits'!$AD$60)-FIND(".",'Outfall 1 Limits'!$AD$60))),ROUND(EN15,AE126)),""),"")</f>
        <v/>
      </c>
      <c r="AF75" s="243" t="str">
        <f>IF(KP$93="Y","&lt;","")</f>
        <v/>
      </c>
      <c r="AG75" s="243" t="str">
        <f>IF(SUM(AG31:AG37)&lt;&gt;0,IF(OR('Outfall 1 Limits'!$AX$64="C1",'Outfall 1 Limits'!$AX$64="C3"),IF('Outfall 1 Limits'!$AR$64&lt;&gt;0,TEXT(EO15,"0."&amp;REPT("0",LEN('Outfall 1 Limits'!$AD$64)-FIND(".",'Outfall 1 Limits'!$AD$64))),ROUND(EO15,AG126)),""),"")</f>
        <v/>
      </c>
      <c r="AH75" s="243" t="str">
        <f>IF(KQ$93="Y","&lt;","")</f>
        <v/>
      </c>
      <c r="AI75" s="243" t="str">
        <f>IF(SUM(AI31:AI37)&lt;&gt;0,IF(OR('Outfall 1 Limits'!$AX$68="C1",'Outfall 1 Limits'!$AX$68="C3"),IF('Outfall 1 Limits'!$AR$68&lt;&gt;0,TEXT(EP15,"0."&amp;REPT("0",LEN('Outfall 1 Limits'!$AD$68)-FIND(".",'Outfall 1 Limits'!$AD$68))),ROUND(EP15,AI126)),""),"")</f>
        <v/>
      </c>
      <c r="AJ75" s="448"/>
      <c r="AK75"/>
      <c r="AL75"/>
      <c r="AM75"/>
      <c r="AN75"/>
      <c r="AO75"/>
      <c r="AP75"/>
      <c r="AQ75"/>
      <c r="AR75"/>
      <c r="AS75"/>
      <c r="AT75"/>
      <c r="AU75"/>
      <c r="AV75"/>
      <c r="AW75"/>
      <c r="AX75"/>
      <c r="AY75"/>
      <c r="AZ75"/>
      <c r="BA75"/>
      <c r="BB75"/>
      <c r="BC75"/>
      <c r="BD75"/>
      <c r="BE75"/>
      <c r="BF75"/>
      <c r="BG75"/>
      <c r="BH75"/>
      <c r="BI75"/>
      <c r="BJ75"/>
      <c r="BK75"/>
      <c r="BL75"/>
      <c r="BM75"/>
      <c r="BP75" s="267">
        <v>2094</v>
      </c>
      <c r="BT75" s="160" t="s">
        <v>1180</v>
      </c>
      <c r="BU75" s="7">
        <f>ROWS(BU45:BU51)-COUNTIF(BU45:BU51,"")</f>
        <v>0</v>
      </c>
      <c r="BV75" s="7">
        <f t="shared" ref="BV75:BX75" si="157">ROWS(BV45:BV51)-COUNTIF(BV45:BV51,"")</f>
        <v>0</v>
      </c>
      <c r="BW75" s="7">
        <f t="shared" si="157"/>
        <v>0</v>
      </c>
      <c r="BX75" s="7">
        <f t="shared" si="157"/>
        <v>0</v>
      </c>
      <c r="BY75" s="7">
        <f t="shared" ref="BY75:CH75" si="158">ROWS(BY45:BY51)-COUNTIF(BY45:BY51,"")</f>
        <v>0</v>
      </c>
      <c r="BZ75" s="7">
        <f t="shared" si="158"/>
        <v>0</v>
      </c>
      <c r="CA75" s="7">
        <f t="shared" si="158"/>
        <v>0</v>
      </c>
      <c r="CB75" s="7">
        <f t="shared" si="158"/>
        <v>0</v>
      </c>
      <c r="CC75" s="7">
        <f t="shared" si="158"/>
        <v>0</v>
      </c>
      <c r="CD75" s="7">
        <f t="shared" si="158"/>
        <v>0</v>
      </c>
      <c r="CE75" s="7">
        <f t="shared" si="158"/>
        <v>0</v>
      </c>
      <c r="CF75" s="7">
        <f t="shared" si="158"/>
        <v>0</v>
      </c>
      <c r="CG75" s="7">
        <f t="shared" si="158"/>
        <v>0</v>
      </c>
      <c r="CH75" s="7">
        <f t="shared" si="158"/>
        <v>0</v>
      </c>
      <c r="CI75"/>
      <c r="CJ75"/>
      <c r="CK75"/>
      <c r="CL75"/>
      <c r="CM75"/>
      <c r="CN75"/>
      <c r="CO75"/>
      <c r="CP75"/>
      <c r="CQ75"/>
      <c r="CR75"/>
      <c r="CS75"/>
      <c r="CT75"/>
      <c r="CU75"/>
      <c r="CV75"/>
      <c r="CW75"/>
      <c r="CX75"/>
      <c r="CY75" s="22"/>
      <c r="CZ75" s="22"/>
      <c r="DA75" s="22"/>
      <c r="DB75" s="22"/>
      <c r="DC75" s="22"/>
      <c r="DD75" s="22"/>
      <c r="DE75" s="22"/>
      <c r="DF75" s="22"/>
      <c r="DG75" s="22"/>
      <c r="DH75" s="22"/>
      <c r="DI75" s="22"/>
      <c r="DJ75" s="22"/>
      <c r="DK75" s="22"/>
      <c r="DL75" s="22"/>
      <c r="DM75" s="22"/>
      <c r="DN75" s="22"/>
      <c r="DO75" s="22"/>
      <c r="DP75" s="22"/>
      <c r="DQ75" s="22"/>
      <c r="DR75" s="22"/>
      <c r="DS75" s="22"/>
      <c r="DT75" s="22"/>
      <c r="DU75" s="22"/>
      <c r="DV75" s="22"/>
      <c r="DW75" s="22"/>
      <c r="DX75" s="22"/>
      <c r="DY75" s="22"/>
      <c r="DZ75" s="22"/>
      <c r="EA75" s="22"/>
      <c r="EB75" s="1"/>
      <c r="EC75"/>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105"/>
      <c r="GK75" s="103"/>
      <c r="GL75" s="103"/>
      <c r="GM75" s="103"/>
      <c r="GN75" s="103"/>
      <c r="GO75" s="103"/>
      <c r="GP75" s="103"/>
      <c r="GQ75" s="103"/>
      <c r="GR75" s="103"/>
      <c r="GS75" s="103"/>
      <c r="GT75" s="103"/>
      <c r="GU75" s="103"/>
      <c r="GV75" s="103"/>
      <c r="GW75" s="103"/>
      <c r="GX75" s="103"/>
      <c r="GY75" s="103"/>
      <c r="GZ75" s="103"/>
      <c r="HA75" s="103"/>
      <c r="HB75" s="103"/>
      <c r="HC75" s="103"/>
      <c r="HD75" s="103"/>
      <c r="HE75" s="103"/>
      <c r="HF75" s="103"/>
      <c r="HG75" s="103"/>
      <c r="HH75" s="103"/>
      <c r="HI75" s="103"/>
      <c r="HJ75" s="103"/>
      <c r="HK75" s="103"/>
      <c r="HL75" s="103"/>
      <c r="HM75" s="103"/>
      <c r="KC75" s="169" t="s">
        <v>1192</v>
      </c>
      <c r="KR75"/>
      <c r="KS75"/>
      <c r="KT75"/>
      <c r="KU75"/>
      <c r="KV75"/>
      <c r="KW75"/>
      <c r="KX75"/>
      <c r="KY75"/>
      <c r="KZ75"/>
      <c r="LA75"/>
      <c r="LB75"/>
      <c r="LC75"/>
      <c r="LD75"/>
      <c r="LE75"/>
      <c r="LF75"/>
    </row>
    <row r="76" spans="1:318" s="7" customFormat="1" x14ac:dyDescent="0.2">
      <c r="A76" s="447"/>
      <c r="B76" s="414" t="s">
        <v>956</v>
      </c>
      <c r="C76" s="414"/>
      <c r="D76" s="414"/>
      <c r="E76" s="414"/>
      <c r="F76" s="414"/>
      <c r="G76" s="243"/>
      <c r="H76" s="243" t="str">
        <f>IF(KD$99="Y","&lt;","")</f>
        <v/>
      </c>
      <c r="I76" s="243" t="str">
        <f>IF(SUM(I38:I44)&lt;&gt;0,IF(OR('Outfall 1 Limits'!$AX$16="C1",'Outfall 1 Limits'!$AX$16="C3"),IF('Outfall 1 Limits'!$AR$16&lt;&gt;0,TEXT(EC16,"0."&amp;REPT("0",LEN('Outfall 1 Limits'!$AD$16)-FIND(".",'Outfall 1 Limits'!$AD$16))),ROUND(EC16,$I$126)),""),"")</f>
        <v/>
      </c>
      <c r="J76" s="244" t="str">
        <f>IF(KE$99="Y","&lt;","")</f>
        <v/>
      </c>
      <c r="K76" s="243" t="str">
        <f>IF(SUM(K38:K44)&lt;&gt;0,IF(OR('Outfall 1 Limits'!$AX$20="C1",'Outfall 1 Limits'!$AX$20="C3"),IF('Outfall 1 Limits'!$AR$20&lt;&gt;0,TEXT(ED16,"0."&amp;REPT("0",LEN('Outfall 1 Limits'!$AD$20)-FIND(".",'Outfall 1 Limits'!$AD$20))),ROUND(ED16,$K$126)),""),"")</f>
        <v/>
      </c>
      <c r="L76" s="243" t="str">
        <f>IF(KF$99="Y","&lt;","")</f>
        <v/>
      </c>
      <c r="M76" s="243" t="str">
        <f>IF(SUM(M38:M44)&lt;&gt;0,IF(OR('Outfall 1 Limits'!$AX$24="C1",'Outfall 1 Limits'!$AX$24="C3"),IF('Outfall 1 Limits'!$AR$24&lt;&gt;0,TEXT(EE16,"0."&amp;REPT("0",LEN('Outfall 1 Limits'!$AD$24)-FIND(".",'Outfall 1 Limits'!$AD$24))),ROUND(EE16,M126)),""),"")</f>
        <v/>
      </c>
      <c r="N76" s="243" t="str">
        <f>IF(KG$99="Y","&lt;","")</f>
        <v/>
      </c>
      <c r="O76" s="243" t="str">
        <f>IF(SUM(O38:O44)&lt;&gt;0,IF(OR('Outfall 1 Limits'!$AX$28="C1",'Outfall 1 Limits'!$AX$28="C3"),IF('Outfall 1 Limits'!$AR$28&lt;&gt;0,TEXT(EF16,"0."&amp;REPT("0",LEN('Outfall 1 Limits'!$AD$28)-FIND(".",'Outfall 1 Limits'!$AD$28))),ROUND(EF16,O126)),""),"")</f>
        <v/>
      </c>
      <c r="P76" s="243" t="str">
        <f>IF(KH$99="Y","&lt;","")</f>
        <v/>
      </c>
      <c r="Q76" s="243" t="str">
        <f>IF(SUM(Q38:Q44)&lt;&gt;0,IF(OR('Outfall 1 Limits'!$AX$32="C1",'Outfall 1 Limits'!$AX$32="C3"),IF('Outfall 1 Limits'!$AR$32&lt;&gt;0,TEXT(EG16,"0."&amp;REPT("0",LEN('Outfall 1 Limits'!$AD$32)-FIND(".",'Outfall 1 Limits'!$AD$32))),ROUND(EG16,Q126)),""),"")</f>
        <v/>
      </c>
      <c r="R76" s="243" t="str">
        <f>IF(KI$99="Y","&lt;","")</f>
        <v/>
      </c>
      <c r="S76" s="243" t="str">
        <f>IF(SUM(S38:S44)&lt;&gt;0,IF(OR('Outfall 1 Limits'!$AX$36="C1",'Outfall 1 Limits'!$AX$36="C3"),IF('Outfall 1 Limits'!$AR$36&lt;&gt;0,TEXT(EH16,"0."&amp;REPT("0",LEN('Outfall 1 Limits'!$AD$36)-FIND(".",'Outfall 1 Limits'!$AD$36))),ROUND(EH16,S126)),""),"")</f>
        <v/>
      </c>
      <c r="T76" s="243" t="str">
        <f>IF(KJ$99="Y","&lt;","")</f>
        <v/>
      </c>
      <c r="U76" s="243" t="str">
        <f>IF(SUM(U38:U44)&lt;&gt;0,IF(OR('Outfall 1 Limits'!$AX$40="C1",'Outfall 1 Limits'!$AX$40="C3"),IF('Outfall 1 Limits'!$AR$40&lt;&gt;0,TEXT(EI16,"0."&amp;REPT("0",LEN('Outfall 1 Limits'!$AD$40)-FIND(".",'Outfall 1 Limits'!$AD$40))),ROUND(EI16,U126)),""),"")</f>
        <v/>
      </c>
      <c r="V76" s="243" t="str">
        <f>IF(KK$99="Y","&lt;","")</f>
        <v/>
      </c>
      <c r="W76" s="243" t="str">
        <f>IF(SUM(W38:W44)&lt;&gt;0,IF(OR('Outfall 1 Limits'!$AX$44="C1",'Outfall 1 Limits'!$AX$44="C3"),IF('Outfall 1 Limits'!$AR$44&lt;&gt;0,TEXT(EJ16,"0."&amp;REPT("0",LEN('Outfall 1 Limits'!$AD$44)-FIND(".",'Outfall 1 Limits'!$AD$44))),ROUND(EJ16,W126)),""),"")</f>
        <v/>
      </c>
      <c r="X76" s="243" t="str">
        <f>IF(KL$99="Y","&lt;","")</f>
        <v/>
      </c>
      <c r="Y76" s="243" t="str">
        <f>IF(SUM(Y38:Y44)&lt;&gt;0,IF(OR('Outfall 1 Limits'!$AX$48="C1",'Outfall 1 Limits'!$AX$48="C3"),IF('Outfall 1 Limits'!$AR$48&lt;&gt;0,TEXT(EK16,"0."&amp;REPT("0",LEN('Outfall 1 Limits'!$AD$48)-FIND(".",'Outfall 1 Limits'!$AD$48))),ROUND(EK16,Y126)),""),"")</f>
        <v/>
      </c>
      <c r="Z76" s="243" t="str">
        <f>IF(KM$99="Y","&lt;","")</f>
        <v/>
      </c>
      <c r="AA76" s="243" t="str">
        <f>IF(SUM(AA38:AA44)&lt;&gt;0,IF(OR('Outfall 1 Limits'!$AX$52="C1",'Outfall 1 Limits'!$AX$52="C3"),IF('Outfall 1 Limits'!$AR$52&lt;&gt;0,TEXT(EL16,"0."&amp;REPT("0",LEN('Outfall 1 Limits'!$AD$52)-FIND(".",'Outfall 1 Limits'!$AD$52))),ROUND(EL16,AA126)),""),"")</f>
        <v/>
      </c>
      <c r="AB76" s="243" t="str">
        <f>IF(KN$99="Y","&lt;","")</f>
        <v/>
      </c>
      <c r="AC76" s="243" t="str">
        <f>IF(SUM(AC38:AC44)&lt;&gt;0,IF(OR('Outfall 1 Limits'!$AX$56="C1",'Outfall 1 Limits'!$AX$56="C3"),IF('Outfall 1 Limits'!$AR$56&lt;&gt;0,TEXT(EM16,"0."&amp;REPT("0",LEN('Outfall 1 Limits'!$AD$56)-FIND(".",'Outfall 1 Limits'!$AD$56))),ROUND(EM16,AC126)),""),"")</f>
        <v/>
      </c>
      <c r="AD76" s="243" t="str">
        <f>IF(KO$99="Y","&lt;","")</f>
        <v/>
      </c>
      <c r="AE76" s="243" t="str">
        <f>IF(SUM(AE38:AE44)&lt;&gt;0,IF(OR('Outfall 1 Limits'!$AX$60="C1",'Outfall 1 Limits'!$AX$60="C3"),IF('Outfall 1 Limits'!$AR$60&lt;&gt;0,TEXT(EN16,"0."&amp;REPT("0",LEN('Outfall 1 Limits'!$AD$60)-FIND(".",'Outfall 1 Limits'!$AD$60))),ROUND(EN16,AE126)),""),"")</f>
        <v/>
      </c>
      <c r="AF76" s="243" t="str">
        <f>IF(KP$99="Y","&lt;","")</f>
        <v/>
      </c>
      <c r="AG76" s="243" t="str">
        <f>IF(SUM(AG38:AG44)&lt;&gt;0,IF(OR('Outfall 1 Limits'!$AX$64="C1",'Outfall 1 Limits'!$AX$64="C3"),IF('Outfall 1 Limits'!$AR$64&lt;&gt;0,TEXT(EO16,"0."&amp;REPT("0",LEN('Outfall 1 Limits'!$AD$64)-FIND(".",'Outfall 1 Limits'!$AD$64))),ROUND(EO16,AG126)),""),"")</f>
        <v/>
      </c>
      <c r="AH76" s="243" t="str">
        <f>IF(KQ$99="Y","&lt;","")</f>
        <v/>
      </c>
      <c r="AI76" s="243" t="str">
        <f>IF(SUM(AI38:AI44)&lt;&gt;0,IF(OR('Outfall 1 Limits'!$AX$68="C1",'Outfall 1 Limits'!$AX$68="C3"),IF('Outfall 1 Limits'!$AR$68&lt;&gt;0,TEXT(EP16,"0."&amp;REPT("0",LEN('Outfall 1 Limits'!$AD$68)-FIND(".",'Outfall 1 Limits'!$AD$68))),ROUND(EP16,AI126)),""),"")</f>
        <v/>
      </c>
      <c r="AJ76" s="448"/>
      <c r="AK76"/>
      <c r="AL76"/>
      <c r="AM76"/>
      <c r="AN76"/>
      <c r="AO76"/>
      <c r="AP76"/>
      <c r="AQ76"/>
      <c r="AR76"/>
      <c r="AS76"/>
      <c r="AT76"/>
      <c r="AU76"/>
      <c r="AV76"/>
      <c r="AW76"/>
      <c r="AX76"/>
      <c r="AY76"/>
      <c r="AZ76"/>
      <c r="BA76"/>
      <c r="BB76"/>
      <c r="BC76"/>
      <c r="BD76"/>
      <c r="BE76"/>
      <c r="BF76"/>
      <c r="BG76"/>
      <c r="BH76"/>
      <c r="BI76"/>
      <c r="BJ76"/>
      <c r="BK76"/>
      <c r="BL76"/>
      <c r="BM76"/>
      <c r="BP76" s="267">
        <v>2095</v>
      </c>
      <c r="BT76" s="156" t="s">
        <v>1181</v>
      </c>
      <c r="BU76" s="7" t="str">
        <f>IF(BU75&gt;0,IF(BU75=(BU65+(BU75*0.01)),"Y","N"),"")</f>
        <v/>
      </c>
      <c r="BV76" s="7" t="str">
        <f t="shared" ref="BV76:BX76" si="159">IF(BV75&gt;0,IF(BV75=(BV65+(BV75*0.01)),"Y","N"),"")</f>
        <v/>
      </c>
      <c r="BW76" s="7" t="str">
        <f t="shared" si="159"/>
        <v/>
      </c>
      <c r="BX76" s="7" t="str">
        <f t="shared" si="159"/>
        <v/>
      </c>
      <c r="BY76" s="7" t="str">
        <f>IF(BY75&gt;0,IF(BY75=(BY65+(BY75*0.01)),"Y","N"),"")</f>
        <v/>
      </c>
      <c r="BZ76" s="7" t="str">
        <f>IF(BZ75&gt;0,IF(BZ75=(BZ65+(BZ75*0.01)),"Y","N"),"")</f>
        <v/>
      </c>
      <c r="CA76" s="7" t="str">
        <f>IF(CA75&gt;0,IF(CA75=(CA65+(CA75*0.01)),"Y","N"),"")</f>
        <v/>
      </c>
      <c r="CB76" s="7" t="str">
        <f>IF(CB75&gt;0,IF(CB75=(CB65+(CB75*0.01)),"Y","N"),"")</f>
        <v/>
      </c>
      <c r="CX76"/>
      <c r="CY76" s="22"/>
      <c r="CZ76" s="22"/>
      <c r="DA76" s="22"/>
      <c r="DB76" s="22"/>
      <c r="DC76" s="22"/>
      <c r="DD76" s="22"/>
      <c r="DE76" s="22"/>
      <c r="DF76" s="22"/>
      <c r="DG76" s="22"/>
      <c r="DH76" s="22"/>
      <c r="DI76" s="22"/>
      <c r="DJ76" s="22"/>
      <c r="DK76" s="22"/>
      <c r="DL76" s="22"/>
      <c r="DM76" s="22"/>
      <c r="DN76" s="22"/>
      <c r="DO76" s="22"/>
      <c r="DP76" s="22"/>
      <c r="DQ76" s="22"/>
      <c r="DR76" s="22"/>
      <c r="DS76" s="22"/>
      <c r="DT76" s="22"/>
      <c r="DU76" s="22"/>
      <c r="DV76" s="22"/>
      <c r="DW76" s="22"/>
      <c r="DX76" s="22"/>
      <c r="DY76" s="22"/>
      <c r="DZ76" s="22"/>
      <c r="EA76" s="22"/>
      <c r="EB76" s="1"/>
      <c r="EC76"/>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105"/>
      <c r="GK76" s="103"/>
      <c r="GL76" s="103"/>
      <c r="GM76" s="103"/>
      <c r="GN76" s="103"/>
      <c r="GO76" s="103"/>
      <c r="GP76" s="103"/>
      <c r="GQ76" s="103"/>
      <c r="GR76" s="103"/>
      <c r="GS76" s="103"/>
      <c r="GT76" s="103"/>
      <c r="GU76" s="103"/>
      <c r="GV76" s="103"/>
      <c r="GW76" s="103"/>
      <c r="GX76" s="103"/>
      <c r="GY76" s="103"/>
      <c r="GZ76" s="103"/>
      <c r="HA76" s="103"/>
      <c r="HB76" s="103"/>
      <c r="HC76" s="103"/>
      <c r="HD76" s="103"/>
      <c r="HE76" s="103"/>
      <c r="HF76" s="103"/>
      <c r="HG76" s="103"/>
      <c r="HH76" s="103"/>
      <c r="HI76" s="103"/>
      <c r="HJ76" s="103"/>
      <c r="HK76" s="103"/>
      <c r="HL76" s="103"/>
      <c r="HM76" s="103"/>
      <c r="KC76" s="160" t="s">
        <v>1193</v>
      </c>
      <c r="KD76" s="7">
        <f>COUNTIF(KD17:KD23,"A")</f>
        <v>0</v>
      </c>
      <c r="KE76" s="7">
        <f t="shared" ref="KE76:KQ76" si="160">COUNTIF(KE17:KE23,"A")</f>
        <v>0</v>
      </c>
      <c r="KF76" s="7">
        <f t="shared" si="160"/>
        <v>0</v>
      </c>
      <c r="KG76" s="7">
        <f t="shared" si="160"/>
        <v>0</v>
      </c>
      <c r="KH76" s="7">
        <f t="shared" si="160"/>
        <v>0</v>
      </c>
      <c r="KI76" s="7">
        <f t="shared" si="160"/>
        <v>0</v>
      </c>
      <c r="KJ76" s="7">
        <f t="shared" si="160"/>
        <v>0</v>
      </c>
      <c r="KK76" s="7">
        <f t="shared" si="160"/>
        <v>0</v>
      </c>
      <c r="KL76" s="7">
        <f t="shared" si="160"/>
        <v>0</v>
      </c>
      <c r="KM76" s="7">
        <f t="shared" si="160"/>
        <v>0</v>
      </c>
      <c r="KN76" s="7">
        <f t="shared" si="160"/>
        <v>0</v>
      </c>
      <c r="KO76" s="7">
        <f t="shared" si="160"/>
        <v>0</v>
      </c>
      <c r="KP76" s="7">
        <f t="shared" si="160"/>
        <v>0</v>
      </c>
      <c r="KQ76" s="7">
        <f t="shared" si="160"/>
        <v>0</v>
      </c>
      <c r="KR76"/>
      <c r="KS76"/>
      <c r="KT76"/>
      <c r="KU76"/>
      <c r="KV76"/>
      <c r="KW76"/>
      <c r="KX76"/>
      <c r="KY76"/>
      <c r="KZ76"/>
      <c r="LA76"/>
      <c r="LB76"/>
      <c r="LC76"/>
      <c r="LD76"/>
      <c r="LE76"/>
      <c r="LF76"/>
    </row>
    <row r="77" spans="1:318" s="7" customFormat="1" x14ac:dyDescent="0.2">
      <c r="A77" s="447"/>
      <c r="B77" s="414" t="s">
        <v>957</v>
      </c>
      <c r="C77" s="414"/>
      <c r="D77" s="414"/>
      <c r="E77" s="414"/>
      <c r="F77" s="414"/>
      <c r="G77" s="243"/>
      <c r="H77" s="243" t="str">
        <f>IF(E51&lt;&gt;"",IF(KD$105="Y","&lt;",""),"")</f>
        <v/>
      </c>
      <c r="I77" s="243" t="str">
        <f>IF(E51&lt;&gt;"",IF(SUM(I45:I51)&lt;&gt;0,IF(OR('Outfall 1 Limits'!$AX$16="C1",'Outfall 1 Limits'!$AX$16="C3"),IF('Outfall 1 Limits'!$AR$16&lt;&gt;0,TEXT(EC17,"0."&amp;REPT("0",LEN('Outfall 1 Limits'!$AD$16)-FIND(".",'Outfall 1 Limits'!$AD$16))),ROUND(EC17,$I$126)),""),""),"")</f>
        <v/>
      </c>
      <c r="J77" s="243" t="str">
        <f>IF($E$51&lt;&gt;"",IF(KE$105="Y","&lt;",""),"")</f>
        <v/>
      </c>
      <c r="K77" s="243" t="str">
        <f>IF(E51&lt;&gt;"",IF(SUM(K45:K51)&lt;&gt;0,IF(OR('Outfall 1 Limits'!$AX$20="C1",'Outfall 1 Limits'!$AX$20="C3"),IF('Outfall 1 Limits'!$AR$20&lt;&gt;0,TEXT(ED17,"0."&amp;REPT("0",LEN('Outfall 1 Limits'!$AD$20)-FIND(".",'Outfall 1 Limits'!$AD$20))),ROUND(ED17,$K$126)),""),""),"")</f>
        <v/>
      </c>
      <c r="L77" s="243" t="str">
        <f>IF($E$51&lt;&gt;"",IF(KF$105="Y","&lt;",""),"")</f>
        <v/>
      </c>
      <c r="M77" s="243" t="str">
        <f>IF(E51&lt;&gt;"",IF(SUM(M45:M51)&lt;&gt;0,IF(OR('Outfall 1 Limits'!$AX$24="C1",'Outfall 1 Limits'!$AX$24="C3"),IF('Outfall 1 Limits'!$AR$24&lt;&gt;0,TEXT(EE17,"0."&amp;REPT("0",LEN('Outfall 1 Limits'!$AD$24)-FIND(".",'Outfall 1 Limits'!$AD$24))),ROUND(EE17,M126)),""),""),"")</f>
        <v/>
      </c>
      <c r="N77" s="243" t="str">
        <f>IF($E$51&lt;&gt;"",IF(KG$105="Y","&lt;",""),"")</f>
        <v/>
      </c>
      <c r="O77" s="243" t="str">
        <f>IF(E51&lt;&gt;"",IF(SUM(O45:O51)&lt;&gt;0,IF(OR('Outfall 1 Limits'!$AX$28="C1",'Outfall 1 Limits'!$AX$28="C3"),IF('Outfall 1 Limits'!$AR$28&lt;&gt;0,TEXT(EF17,"0."&amp;REPT("0",LEN('Outfall 1 Limits'!$AD$28)-FIND(".",'Outfall 1 Limits'!$AD$28))),ROUND(EF17,O126)),""),""),"")</f>
        <v/>
      </c>
      <c r="P77" s="243" t="str">
        <f>IF($E$51&lt;&gt;"",IF(KH$105="Y","&lt;",""),"")</f>
        <v/>
      </c>
      <c r="Q77" s="243" t="str">
        <f>IF(E51&lt;&gt;"",IF(SUM(Q45:Q51)&lt;&gt;0,IF(OR('Outfall 1 Limits'!$AX$32="C1",'Outfall 1 Limits'!$AX$32="C3"),IF('Outfall 1 Limits'!$AR$32&lt;&gt;0,TEXT(EG17,"0."&amp;REPT("0",LEN('Outfall 1 Limits'!$AD$32)-FIND(".",'Outfall 1 Limits'!$AD$32))),ROUND(EG17,Q126)),""),""),"")</f>
        <v/>
      </c>
      <c r="R77" s="243" t="str">
        <f>IF($E$51&lt;&gt;"",IF(KI$105="Y","&lt;",""),"")</f>
        <v/>
      </c>
      <c r="S77" s="243" t="str">
        <f>IF(E51&lt;&gt;"",IF(SUM(S45:S51)&lt;&gt;0,IF(OR('Outfall 1 Limits'!$AX$36="C1",'Outfall 1 Limits'!$AX$36="C3"),IF('Outfall 1 Limits'!$AR$36&lt;&gt;0,TEXT(EH17,"0."&amp;REPT("0",LEN('Outfall 1 Limits'!$AD$36)-FIND(".",'Outfall 1 Limits'!$AD$36))),ROUND(EH17,S126)),""),""),"")</f>
        <v/>
      </c>
      <c r="T77" s="243" t="str">
        <f>IF($E$51&lt;&gt;"",IF(KJ$105="Y","&lt;",""),"")</f>
        <v/>
      </c>
      <c r="U77" s="243" t="str">
        <f>IF(E51&lt;&gt;"",IF(SUM(U45:U51)&lt;&gt;0,IF(OR('Outfall 1 Limits'!$AX$40="C1",'Outfall 1 Limits'!$AX$40="C3"),IF('Outfall 1 Limits'!$AR$40&lt;&gt;0,TEXT(EI17,"0."&amp;REPT("0",LEN('Outfall 1 Limits'!$AD$40)-FIND(".",'Outfall 1 Limits'!$AD$40))),ROUND(EI17,U126)),""),""),"")</f>
        <v/>
      </c>
      <c r="V77" s="243" t="str">
        <f>IF($E$51&lt;&gt;"",IF(KK$105="Y","&lt;",""),"")</f>
        <v/>
      </c>
      <c r="W77" s="243" t="str">
        <f>IF(E51&lt;&gt;"",IF(SUM(W45:W51)&lt;&gt;0,IF(OR('Outfall 1 Limits'!$AX$44="C1",'Outfall 1 Limits'!$AX$44="C3"),IF('Outfall 1 Limits'!$AR$44&lt;&gt;0,TEXT(EJ17,"0."&amp;REPT("0",LEN('Outfall 1 Limits'!$AD$44)-FIND(".",'Outfall 1 Limits'!$AD$44))),ROUND(EJ17,W126)),""),""),"")</f>
        <v/>
      </c>
      <c r="X77" s="243" t="str">
        <f>IF($E$51&lt;&gt;"",IF(KL$105="Y","&lt;",""),"")</f>
        <v/>
      </c>
      <c r="Y77" s="243" t="str">
        <f>IF(E51&lt;&gt;"",IF(SUM(Y45:Y51)&lt;&gt;0,IF(OR('Outfall 1 Limits'!$AX$48="C1",'Outfall 1 Limits'!$AX$48="C3"),IF('Outfall 1 Limits'!$AR$48&lt;&gt;0,TEXT(EK17,"0."&amp;REPT("0",LEN('Outfall 1 Limits'!$AD$48)-FIND(".",'Outfall 1 Limits'!$AD$48))),ROUND(EK17,Y126)),""),""),"")</f>
        <v/>
      </c>
      <c r="Z77" s="243" t="str">
        <f>IF($E$51&lt;&gt;"",IF(KM$105="Y","&lt;",""),"")</f>
        <v/>
      </c>
      <c r="AA77" s="243" t="str">
        <f>IF(E51&lt;&gt;"",IF(SUM(AA45:AA51)&lt;&gt;0,IF(OR('Outfall 1 Limits'!$AX$52="C1",'Outfall 1 Limits'!$AX$52="C3"),IF('Outfall 1 Limits'!$AR$52&lt;&gt;0,TEXT(EL17,"0."&amp;REPT("0",LEN('Outfall 1 Limits'!$AD$52)-FIND(".",'Outfall 1 Limits'!$AD$52))),ROUND(EL17,AA126)),""),""),"")</f>
        <v/>
      </c>
      <c r="AB77" s="243" t="str">
        <f>IF($E$51&lt;&gt;"",IF(KN$105="Y","&lt;",""),"")</f>
        <v/>
      </c>
      <c r="AC77" s="243" t="str">
        <f>IF(E51&lt;&gt;"",IF(SUM(AC45:AC51)&lt;&gt;0,IF(OR('Outfall 1 Limits'!$AX$56="C1",'Outfall 1 Limits'!$AX$56="C3"),IF('Outfall 1 Limits'!$AR$56&lt;&gt;0,TEXT(EM17,"0."&amp;REPT("0",LEN('Outfall 1 Limits'!$AD$56)-FIND(".",'Outfall 1 Limits'!$AD$56))),ROUND(EM17,AC126)),""),""),"")</f>
        <v/>
      </c>
      <c r="AD77" s="243" t="str">
        <f>IF($E$51&lt;&gt;"",IF(KO$105="Y","&lt;",""),"")</f>
        <v/>
      </c>
      <c r="AE77" s="243" t="str">
        <f>IF(E51&lt;&gt;"",IF(SUM(AE45:AE51)&lt;&gt;0,IF(OR('Outfall 1 Limits'!$AX$60="C1",'Outfall 1 Limits'!$AX$60="C3"),IF('Outfall 1 Limits'!$AR$60&lt;&gt;0,TEXT(EN17,"0."&amp;REPT("0",LEN('Outfall 1 Limits'!$AD$60)-FIND(".",'Outfall 1 Limits'!$AD$60))),ROUND(EN17,AE126)),""),""),"")</f>
        <v/>
      </c>
      <c r="AF77" s="243" t="str">
        <f>IF($E$51&lt;&gt;"",IF(KP$105="Y","&lt;",""),"")</f>
        <v/>
      </c>
      <c r="AG77" s="243" t="str">
        <f>IF(E51&lt;&gt;"",IF(SUM(AG45:AG51)&lt;&gt;0,IF(OR('Outfall 1 Limits'!$AX$64="C1",'Outfall 1 Limits'!$AX$64="C3"),IF('Outfall 1 Limits'!$AR$64&lt;&gt;0,TEXT(EO17,"0."&amp;REPT("0",LEN('Outfall 1 Limits'!$AD$64)-FIND(".",'Outfall 1 Limits'!$AD$64))),ROUND(EO17,AG126)),""),""),"")</f>
        <v/>
      </c>
      <c r="AH77" s="243" t="str">
        <f>IF($E$51&lt;&gt;"",IF(KQ$105="Y","&lt;",""),"")</f>
        <v/>
      </c>
      <c r="AI77" s="243" t="str">
        <f>IF(E51&lt;&gt;"",IF(SUM(AI45:AI51)&lt;&gt;0,IF(OR('Outfall 1 Limits'!$AX$68="C1",'Outfall 1 Limits'!$AX$68="C3"),IF('Outfall 1 Limits'!$AR$68&lt;&gt;0,TEXT(EP17,"0."&amp;REPT("0",LEN('Outfall 1 Limits'!$AD$68)-FIND(".",'Outfall 1 Limits'!$AD$68))),ROUND(EP17,AI126)),""),""),"")</f>
        <v/>
      </c>
      <c r="AJ77" s="448"/>
      <c r="AK77"/>
      <c r="AL77"/>
      <c r="AM77"/>
      <c r="AN77"/>
      <c r="AO77"/>
      <c r="AP77"/>
      <c r="AQ77"/>
      <c r="AR77"/>
      <c r="AS77"/>
      <c r="AT77"/>
      <c r="AU77"/>
      <c r="AV77"/>
      <c r="AW77"/>
      <c r="AX77"/>
      <c r="AY77"/>
      <c r="AZ77"/>
      <c r="BA77"/>
      <c r="BB77"/>
      <c r="BC77"/>
      <c r="BD77"/>
      <c r="BE77"/>
      <c r="BF77"/>
      <c r="BG77"/>
      <c r="BH77"/>
      <c r="BI77"/>
      <c r="BJ77"/>
      <c r="BK77"/>
      <c r="BL77"/>
      <c r="BM77"/>
      <c r="BP77" s="267">
        <v>2096</v>
      </c>
      <c r="CX77"/>
      <c r="CY77" s="22"/>
      <c r="CZ77" s="22"/>
      <c r="DA77" s="22"/>
      <c r="DB77" s="22"/>
      <c r="DC77" s="22"/>
      <c r="DD77" s="22"/>
      <c r="DE77" s="22"/>
      <c r="DF77" s="22"/>
      <c r="DG77" s="22"/>
      <c r="DH77" s="22"/>
      <c r="DI77" s="22"/>
      <c r="DJ77" s="22"/>
      <c r="DK77" s="22"/>
      <c r="DL77" s="22"/>
      <c r="DM77" s="22"/>
      <c r="DN77" s="22"/>
      <c r="DO77" s="22"/>
      <c r="DP77" s="22"/>
      <c r="DQ77" s="22"/>
      <c r="DR77" s="22"/>
      <c r="DS77" s="22"/>
      <c r="DT77" s="22"/>
      <c r="DU77" s="22"/>
      <c r="DV77" s="22"/>
      <c r="DW77" s="22"/>
      <c r="DX77" s="22"/>
      <c r="DY77" s="22"/>
      <c r="DZ77" s="22"/>
      <c r="EA77" s="22"/>
      <c r="EB77" s="1"/>
      <c r="EC77"/>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105"/>
      <c r="GK77" s="103"/>
      <c r="GL77" s="103"/>
      <c r="GM77" s="103"/>
      <c r="GN77" s="103"/>
      <c r="GO77" s="103"/>
      <c r="GP77" s="103"/>
      <c r="GQ77" s="103"/>
      <c r="GR77" s="103"/>
      <c r="GS77" s="103"/>
      <c r="GT77" s="103"/>
      <c r="GU77" s="103"/>
      <c r="GV77" s="103"/>
      <c r="GW77" s="103"/>
      <c r="GX77" s="103"/>
      <c r="GY77" s="103"/>
      <c r="GZ77" s="103"/>
      <c r="HA77" s="103"/>
      <c r="HB77" s="103"/>
      <c r="HC77" s="103"/>
      <c r="HD77" s="103"/>
      <c r="HE77" s="103"/>
      <c r="HF77" s="103"/>
      <c r="HG77" s="103"/>
      <c r="HH77" s="103"/>
      <c r="HI77" s="103"/>
      <c r="HJ77" s="103"/>
      <c r="HK77" s="103"/>
      <c r="HL77" s="103"/>
      <c r="HM77" s="103"/>
      <c r="KC77" s="160" t="s">
        <v>1194</v>
      </c>
      <c r="KD77" s="7">
        <f>COUNTIF(KD17:KD23,"B")</f>
        <v>0</v>
      </c>
      <c r="KE77" s="7">
        <f t="shared" ref="KE77:KQ77" si="161">COUNTIF(KE17:KE23,"B")</f>
        <v>0</v>
      </c>
      <c r="KF77" s="7">
        <f t="shared" si="161"/>
        <v>0</v>
      </c>
      <c r="KG77" s="7">
        <f t="shared" si="161"/>
        <v>0</v>
      </c>
      <c r="KH77" s="7">
        <f t="shared" si="161"/>
        <v>0</v>
      </c>
      <c r="KI77" s="7">
        <f t="shared" si="161"/>
        <v>0</v>
      </c>
      <c r="KJ77" s="7">
        <f t="shared" si="161"/>
        <v>0</v>
      </c>
      <c r="KK77" s="7">
        <f t="shared" si="161"/>
        <v>0</v>
      </c>
      <c r="KL77" s="7">
        <f t="shared" si="161"/>
        <v>0</v>
      </c>
      <c r="KM77" s="7">
        <f t="shared" si="161"/>
        <v>0</v>
      </c>
      <c r="KN77" s="7">
        <f t="shared" si="161"/>
        <v>0</v>
      </c>
      <c r="KO77" s="7">
        <f t="shared" si="161"/>
        <v>0</v>
      </c>
      <c r="KP77" s="7">
        <f t="shared" si="161"/>
        <v>0</v>
      </c>
      <c r="KQ77" s="7">
        <f t="shared" si="161"/>
        <v>0</v>
      </c>
      <c r="KR77"/>
      <c r="KS77"/>
      <c r="KT77"/>
      <c r="KU77"/>
      <c r="KV77"/>
      <c r="KW77"/>
      <c r="KX77"/>
      <c r="KY77"/>
      <c r="KZ77"/>
      <c r="LA77"/>
      <c r="LB77"/>
      <c r="LC77"/>
      <c r="LD77"/>
      <c r="LE77"/>
      <c r="LF77"/>
    </row>
    <row r="78" spans="1:318" s="7" customFormat="1" x14ac:dyDescent="0.2">
      <c r="A78" s="447"/>
      <c r="B78" s="414" t="s">
        <v>958</v>
      </c>
      <c r="C78" s="414"/>
      <c r="D78" s="414"/>
      <c r="E78" s="414"/>
      <c r="F78" s="414"/>
      <c r="G78" s="243" t="str">
        <f>IF(SUM(G17:G23)&gt;0,ROUND(HN68,$G$126),"")</f>
        <v/>
      </c>
      <c r="H78" s="243" t="str">
        <f>IF(KD$81="Y","&lt;","")</f>
        <v/>
      </c>
      <c r="I78" s="243" t="str">
        <f>IF(EC31&lt;&gt;"",IF(OR('Outfall 1 Limits'!$AX$16="C1",'Outfall 1 Limits'!$AX$16="L"),IF(EC31&gt;=1,IF('Outfall 1 Limits'!$AO$16=0,ROUND(EC31,0),TEXT(EC31,"0."&amp;REPT("0",LEN('Outfall 1 Limits'!$O16)-FIND(".",'Outfall 1 Limits'!$O16)))),ROUND(EC31,1-(1+INT(LOG10(ABS(EC31)))))),ROUND(EC31,$I126)),"")</f>
        <v/>
      </c>
      <c r="J78" s="243" t="str">
        <f>IF(KE$81="Y","&lt;","")</f>
        <v/>
      </c>
      <c r="K78" s="243" t="str">
        <f>IF(ED31&lt;&gt;"",IF(OR('Outfall 1 Limits'!$AX$20="C1",'Outfall 1 Limits'!$AX$20="L"),IF(ED31&gt;=1,IF('Outfall 1 Limits'!$AO$20=0,ROUND(ED31,0),TEXT(ED31,"0."&amp;REPT("0",LEN('Outfall 1 Limits'!$O20)-FIND(".",'Outfall 1 Limits'!$O20)))),ROUND(ED31,1-(1+INT(LOG10(ABS(ED31)))))),ROUND(ED31,$K126)),"")</f>
        <v/>
      </c>
      <c r="L78" s="243" t="str">
        <f>IF(KF$81="Y","&lt;","")</f>
        <v/>
      </c>
      <c r="M78" s="243" t="str">
        <f>IF(EE31&lt;&gt;"",IF(OR('Outfall 1 Limits'!$AX$24="C1",'Outfall 1 Limits'!$AX$24="L"),IF(EE31&gt;=1,IF('Outfall 1 Limits'!$AO$24=0,ROUND(EE31,0),TEXT(EE31,"0."&amp;REPT("0",LEN('Outfall 1 Limits'!$O24)-FIND(".",'Outfall 1 Limits'!$O24)))),ROUND(EE31,1-(1+INT(LOG10(ABS(EE31)))))),ROUND(EE31,$M126)),"")</f>
        <v/>
      </c>
      <c r="N78" s="243" t="str">
        <f>IF(KG$81="Y","&lt;","")</f>
        <v/>
      </c>
      <c r="O78" s="243" t="str">
        <f>IF(EF31&lt;&gt;"",IF(OR('Outfall 1 Limits'!$AX$28="C1",'Outfall 1 Limits'!$AX$28="L"),IF(EF31&gt;=1,IF('Outfall 1 Limits'!$AO$28=0,ROUND(EF31,0),TEXT(EF31,"0."&amp;REPT("0",LEN('Outfall 1 Limits'!$O28)-FIND(".",'Outfall 1 Limits'!$O28)))),ROUND(EF31,1-(1+INT(LOG10(ABS(EF31)))))),ROUND(EF31,$O126)),"")</f>
        <v/>
      </c>
      <c r="P78" s="243" t="str">
        <f>IF(KH$81="Y","&lt;","")</f>
        <v/>
      </c>
      <c r="Q78" s="243" t="str">
        <f>IF(EG31&lt;&gt;"",IF(OR('Outfall 1 Limits'!$AX$32="C1",'Outfall 1 Limits'!$AX$32="L"),IF(EG31&gt;=1,IF('Outfall 1 Limits'!$AO$32=0,ROUND(EG31,0),TEXT(EG31,"0."&amp;REPT("0",LEN('Outfall 1 Limits'!$O32)-FIND(".",'Outfall 1 Limits'!$O32)))),ROUND(EG31,1-(1+INT(LOG10(ABS(EG31)))))),ROUND(EG31,$Q126)),"")</f>
        <v/>
      </c>
      <c r="R78" s="243" t="str">
        <f>IF(KI$81="Y","&lt;","")</f>
        <v/>
      </c>
      <c r="S78" s="243" t="str">
        <f>IF(EH31&lt;&gt;"",IF(OR('Outfall 1 Limits'!$AX$36="C1",'Outfall 1 Limits'!$AX$36="L"),IF(EH31&gt;=1,IF('Outfall 1 Limits'!$AO$36=0,ROUND(EH31,0),TEXT(EH31,"0."&amp;REPT("0",LEN('Outfall 1 Limits'!$O36)-FIND(".",'Outfall 1 Limits'!$O36)))),ROUND(EH31,1-(1+INT(LOG10(ABS(EH31)))))),ROUND(EH31,$S126)),"")</f>
        <v/>
      </c>
      <c r="T78" s="243" t="str">
        <f>IF(KJ$81="Y","&lt;","")</f>
        <v/>
      </c>
      <c r="U78" s="243" t="str">
        <f>IF(EI31&lt;&gt;"",IF(OR('Outfall 1 Limits'!$AX$40="C1",'Outfall 1 Limits'!$AX$40="L"),IF(EI31&gt;=1,IF('Outfall 1 Limits'!$AO$40=0,ROUND(EI31,0),TEXT(EI31,"0."&amp;REPT("0",LEN('Outfall 1 Limits'!$O40)-FIND(".",'Outfall 1 Limits'!$O40)))),ROUND(EI31,1-(1+INT(LOG10(ABS(EI31)))))),ROUND(EI31,$U126)),"")</f>
        <v/>
      </c>
      <c r="V78" s="243" t="str">
        <f>IF(KK$81="Y","&lt;","")</f>
        <v/>
      </c>
      <c r="W78" s="243" t="str">
        <f>IF(EJ31&lt;&gt;"",IF(OR('Outfall 1 Limits'!$AX$44="C1",'Outfall 1 Limits'!$AX$44="L"),IF(EJ31&gt;=1,IF('Outfall 1 Limits'!$AO$44=0,ROUND(EJ31,0),TEXT(EJ31,"0."&amp;REPT("0",LEN('Outfall 1 Limits'!$O44)-FIND(".",'Outfall 1 Limits'!$O44)))),ROUND(EJ31,1-(1+INT(LOG10(ABS(EJ31)))))),ROUND(EJ31,$W126)),"")</f>
        <v/>
      </c>
      <c r="X78" s="243" t="str">
        <f>IF(KL$81="Y","&lt;","")</f>
        <v/>
      </c>
      <c r="Y78" s="243" t="str">
        <f>IF(EK31&lt;&gt;"",IF(OR('Outfall 1 Limits'!$AX$48="C1",'Outfall 1 Limits'!$AX$48="L"),IF(EK31&gt;=1,IF('Outfall 1 Limits'!$AO$48=0,ROUND(EK31,0),TEXT(EK31,"0."&amp;REPT("0",LEN('Outfall 1 Limits'!$O48)-FIND(".",'Outfall 1 Limits'!$O48)))),ROUND(EK31,1-(1+INT(LOG10(ABS(EK31)))))),ROUND(EK31,$Y126)),"")</f>
        <v/>
      </c>
      <c r="Z78" s="243" t="str">
        <f>IF(KM$81="Y","&lt;","")</f>
        <v/>
      </c>
      <c r="AA78" s="243" t="str">
        <f>IF(EL31&lt;&gt;"",IF(OR('Outfall 1 Limits'!$AX$52="C1",'Outfall 1 Limits'!$AX$52="L"),IF(EL31&gt;=1,IF('Outfall 1 Limits'!$AO$52=0,ROUND(EL31,0),TEXT(EL31,"0."&amp;REPT("0",LEN('Outfall 1 Limits'!$O52)-FIND(".",'Outfall 1 Limits'!$O52)))),ROUND(EL31,1-(1+INT(LOG10(ABS(EL31)))))),ROUND(EL31,$AA126)),"")</f>
        <v/>
      </c>
      <c r="AB78" s="243" t="str">
        <f>IF(KN$81="Y","&lt;","")</f>
        <v/>
      </c>
      <c r="AC78" s="243" t="str">
        <f>IF(EM31&lt;&gt;"",IF(OR('Outfall 1 Limits'!$AX$56="C1",'Outfall 1 Limits'!$AX$56="L"),IF(EM31&gt;=1,IF('Outfall 1 Limits'!$AO$56=0,ROUND(EM31,0),TEXT(EM31,"0."&amp;REPT("0",LEN('Outfall 1 Limits'!$O56)-FIND(".",'Outfall 1 Limits'!$O56)))),ROUND(EM31,1-(1+INT(LOG10(ABS(EM31)))))),ROUND(EM31,$AC126)),"")</f>
        <v/>
      </c>
      <c r="AD78" s="243" t="str">
        <f>IF(KO$81="Y","&lt;","")</f>
        <v/>
      </c>
      <c r="AE78" s="243" t="str">
        <f>IF(EN31&lt;&gt;"",IF(OR('Outfall 1 Limits'!$AX$60="C1",'Outfall 1 Limits'!$AX$60="L"),IF(EN31&gt;=1,IF('Outfall 1 Limits'!$AO$60=0,ROUND(EN31,0),TEXT(EN31,"0."&amp;REPT("0",LEN('Outfall 1 Limits'!$O60)-FIND(".",'Outfall 1 Limits'!$O60)))),ROUND(EN31,1-(1+INT(LOG10(ABS(EN31)))))),ROUND(EN31,$AE126)),"")</f>
        <v/>
      </c>
      <c r="AF78" s="243" t="str">
        <f>IF(KP$81="Y","&lt;","")</f>
        <v/>
      </c>
      <c r="AG78" s="243" t="str">
        <f>IF(EO31&lt;&gt;"",IF(OR('Outfall 1 Limits'!$AX$64="C1",'Outfall 1 Limits'!$AX$64="L"),IF(EO31&gt;=1,IF('Outfall 1 Limits'!$AO$64=0,ROUND(EO31,0),TEXT(EO31,"0."&amp;REPT("0",LEN('Outfall 1 Limits'!$O64)-FIND(".",'Outfall 1 Limits'!$O64)))),ROUND(EO31,1-(1+INT(LOG10(ABS(EO31)))))),ROUND(EO31,$AG126)),"")</f>
        <v/>
      </c>
      <c r="AH78" s="243" t="str">
        <f>IF(KQ$81="Y","&lt;","")</f>
        <v/>
      </c>
      <c r="AI78" s="243" t="str">
        <f>IF(EP31&lt;&gt;"",IF(OR('Outfall 1 Limits'!$AX$68="C1",'Outfall 1 Limits'!$AX$68="L"),IF(EP31&gt;=1,IF('Outfall 1 Limits'!$AO$68=0,ROUND(EP31,0),TEXT(EP31,"0."&amp;REPT("0",LEN('Outfall 1 Limits'!$O68)-FIND(".",'Outfall 1 Limits'!$O68)))),ROUND(EP31,1-(1+INT(LOG10(ABS(EP31)))))),ROUND(EP31,$AI126)),"")</f>
        <v/>
      </c>
      <c r="AJ78" s="448"/>
      <c r="AK78"/>
      <c r="AL78"/>
      <c r="AM78"/>
      <c r="AN78"/>
      <c r="AO78"/>
      <c r="AP78"/>
      <c r="AQ78"/>
      <c r="AR78"/>
      <c r="AS78"/>
      <c r="AT78"/>
      <c r="AU78"/>
      <c r="AV78"/>
      <c r="AW78"/>
      <c r="AX78"/>
      <c r="AY78"/>
      <c r="AZ78"/>
      <c r="BA78"/>
      <c r="BB78"/>
      <c r="BC78"/>
      <c r="BD78"/>
      <c r="BE78"/>
      <c r="BF78"/>
      <c r="BG78"/>
      <c r="BH78"/>
      <c r="BI78"/>
      <c r="BJ78"/>
      <c r="BK78"/>
      <c r="BL78"/>
      <c r="BM78"/>
      <c r="BP78" s="267">
        <v>2097</v>
      </c>
      <c r="CX78"/>
      <c r="CY78" s="22"/>
      <c r="CZ78" s="22"/>
      <c r="DA78" s="22"/>
      <c r="DB78" s="22"/>
      <c r="DC78" s="22"/>
      <c r="DD78" s="22"/>
      <c r="DE78" s="22"/>
      <c r="DF78" s="22"/>
      <c r="DG78" s="22"/>
      <c r="DH78" s="22"/>
      <c r="DI78" s="22"/>
      <c r="DJ78" s="22"/>
      <c r="DK78" s="22"/>
      <c r="DL78" s="22"/>
      <c r="DM78" s="22"/>
      <c r="DN78" s="22"/>
      <c r="DO78" s="22"/>
      <c r="DP78" s="22"/>
      <c r="DQ78" s="22"/>
      <c r="DR78" s="22"/>
      <c r="DS78" s="22"/>
      <c r="DT78" s="22"/>
      <c r="DU78" s="22"/>
      <c r="DV78" s="22"/>
      <c r="DW78" s="22"/>
      <c r="DX78" s="22"/>
      <c r="DY78" s="22"/>
      <c r="DZ78" s="22"/>
      <c r="EA78" s="22"/>
      <c r="EB78" s="1"/>
      <c r="EC78"/>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105"/>
      <c r="GK78" s="103"/>
      <c r="GL78" s="103"/>
      <c r="GM78" s="103"/>
      <c r="GN78" s="103"/>
      <c r="GO78" s="103"/>
      <c r="GP78" s="103"/>
      <c r="GQ78" s="103"/>
      <c r="GR78" s="103"/>
      <c r="GS78" s="103"/>
      <c r="GT78" s="103"/>
      <c r="GU78" s="103"/>
      <c r="GV78" s="103"/>
      <c r="GW78" s="103"/>
      <c r="GX78" s="103"/>
      <c r="GY78" s="103"/>
      <c r="GZ78" s="103"/>
      <c r="HA78" s="103"/>
      <c r="HB78" s="103"/>
      <c r="HC78" s="103"/>
      <c r="HD78" s="103"/>
      <c r="HE78" s="103"/>
      <c r="HF78" s="103"/>
      <c r="HG78" s="103"/>
      <c r="HH78" s="103"/>
      <c r="HI78" s="103"/>
      <c r="HJ78" s="103"/>
      <c r="HK78" s="103"/>
      <c r="HL78" s="103"/>
      <c r="HM78" s="103"/>
      <c r="KC78" s="160" t="s">
        <v>1195</v>
      </c>
      <c r="KD78" s="7">
        <f>COUNTIF(KD17:KD23,"C")</f>
        <v>0</v>
      </c>
      <c r="KE78" s="7">
        <f t="shared" ref="KE78:KQ78" si="162">COUNTIF(KE17:KE23,"C")</f>
        <v>0</v>
      </c>
      <c r="KF78" s="7">
        <f t="shared" si="162"/>
        <v>0</v>
      </c>
      <c r="KG78" s="7">
        <f t="shared" si="162"/>
        <v>0</v>
      </c>
      <c r="KH78" s="7">
        <f t="shared" si="162"/>
        <v>0</v>
      </c>
      <c r="KI78" s="7">
        <f t="shared" si="162"/>
        <v>0</v>
      </c>
      <c r="KJ78" s="7">
        <f t="shared" si="162"/>
        <v>0</v>
      </c>
      <c r="KK78" s="7">
        <f t="shared" si="162"/>
        <v>0</v>
      </c>
      <c r="KL78" s="7">
        <f t="shared" si="162"/>
        <v>0</v>
      </c>
      <c r="KM78" s="7">
        <f t="shared" si="162"/>
        <v>0</v>
      </c>
      <c r="KN78" s="7">
        <f t="shared" si="162"/>
        <v>0</v>
      </c>
      <c r="KO78" s="7">
        <f t="shared" si="162"/>
        <v>0</v>
      </c>
      <c r="KP78" s="7">
        <f t="shared" si="162"/>
        <v>0</v>
      </c>
      <c r="KQ78" s="7">
        <f t="shared" si="162"/>
        <v>0</v>
      </c>
      <c r="KR78"/>
      <c r="KS78"/>
      <c r="KT78"/>
      <c r="KU78"/>
      <c r="KV78"/>
      <c r="KW78"/>
      <c r="KX78"/>
      <c r="KY78"/>
      <c r="KZ78"/>
      <c r="LA78"/>
      <c r="LB78"/>
      <c r="LC78"/>
      <c r="LD78"/>
      <c r="LE78"/>
      <c r="LF78"/>
    </row>
    <row r="79" spans="1:318" s="7" customFormat="1" x14ac:dyDescent="0.2">
      <c r="A79" s="447"/>
      <c r="B79" s="414" t="s">
        <v>959</v>
      </c>
      <c r="C79" s="414"/>
      <c r="D79" s="414"/>
      <c r="E79" s="414"/>
      <c r="F79" s="414"/>
      <c r="G79" s="243" t="str">
        <f>IF(SUM(G24:G30)&gt;0,ROUND(HN69,$G$126),"")</f>
        <v/>
      </c>
      <c r="H79" s="243" t="str">
        <f>IF(KD$87="Y","&lt;","")</f>
        <v/>
      </c>
      <c r="I79" s="243" t="str">
        <f>IF(EC32&lt;&gt;"",IF(OR('Outfall 1 Limits'!$AX$16="C1",'Outfall 1 Limits'!$AX$16="L"),IF(EC32&gt;=1,IF('Outfall 1 Limits'!$AO$16=0,ROUND(EC32,0),TEXT(EC32,"0."&amp;REPT("0",LEN('Outfall 1 Limits'!$O16)-FIND(".",'Outfall 1 Limits'!$O16)))),ROUND(EC32,1-(1+INT(LOG10(ABS(EC32)))))),ROUND(EC32,$I126)),"")</f>
        <v/>
      </c>
      <c r="J79" s="243" t="str">
        <f>IF(KE$87="Y","&lt;","")</f>
        <v/>
      </c>
      <c r="K79" s="243" t="str">
        <f>IF(ED32&lt;&gt;"",IF(OR('Outfall 1 Limits'!$AX$20="C1",'Outfall 1 Limits'!$AX$20="L"),IF(ED32&gt;=1,IF('Outfall 1 Limits'!$AO$20=0,ROUND(ED32,0),TEXT(ED32,"0."&amp;REPT("0",LEN('Outfall 1 Limits'!$O20)-FIND(".",'Outfall 1 Limits'!$O20)))),ROUND(ED32,1-(1+INT(LOG10(ABS(ED32)))))),ROUND(ED32,$K126)),"")</f>
        <v/>
      </c>
      <c r="L79" s="243" t="str">
        <f>IF(KF$87="Y","&lt;","")</f>
        <v/>
      </c>
      <c r="M79" s="243" t="str">
        <f>IF(EE32&lt;&gt;"",IF(OR('Outfall 1 Limits'!$AX$24="C1",'Outfall 1 Limits'!$AX$24="L"),IF(EE32&gt;=1,IF('Outfall 1 Limits'!$AO$24=0,ROUND(EE32,0),TEXT(EE32,"0."&amp;REPT("0",LEN('Outfall 1 Limits'!$O24)-FIND(".",'Outfall 1 Limits'!$O24)))),ROUND(EE32,1-(1+INT(LOG10(ABS(EE32)))))),ROUND(EE32,$M126)),"")</f>
        <v/>
      </c>
      <c r="N79" s="243" t="str">
        <f>IF(KG$87="Y","&lt;","")</f>
        <v/>
      </c>
      <c r="O79" s="243" t="str">
        <f>IF(EF32&lt;&gt;"",IF(OR('Outfall 1 Limits'!$AX$28="C1",'Outfall 1 Limits'!$AX$28="L"),IF(EF32&gt;=1,IF('Outfall 1 Limits'!$AO$28=0,ROUND(EF32,0),TEXT(EF32,"0."&amp;REPT("0",LEN('Outfall 1 Limits'!$O28)-FIND(".",'Outfall 1 Limits'!$O28)))),ROUND(EF32,1-(1+INT(LOG10(ABS(EF32)))))),ROUND(EF32,$O126)),"")</f>
        <v/>
      </c>
      <c r="P79" s="243" t="str">
        <f>IF(KH$87="Y","&lt;","")</f>
        <v/>
      </c>
      <c r="Q79" s="243" t="str">
        <f>IF(EG32&lt;&gt;"",IF(OR('Outfall 1 Limits'!$AX$32="C1",'Outfall 1 Limits'!$AX$32="L"),IF(EG32&gt;=1,IF('Outfall 1 Limits'!$AO$32=0,ROUND(EG32,0),TEXT(EG32,"0."&amp;REPT("0",LEN('Outfall 1 Limits'!$O32)-FIND(".",'Outfall 1 Limits'!$O32)))),ROUND(EG32,1-(1+INT(LOG10(ABS(EG32)))))),ROUND(EG32,$Q126)),"")</f>
        <v/>
      </c>
      <c r="R79" s="243" t="str">
        <f>IF(KI$87="Y","&lt;","")</f>
        <v/>
      </c>
      <c r="S79" s="243" t="str">
        <f>IF(EH32&lt;&gt;"",IF(OR('Outfall 1 Limits'!$AX$36="C1",'Outfall 1 Limits'!$AX$36="L"),IF(EH32&gt;=1,IF('Outfall 1 Limits'!$AO$36=0,ROUND(EH32,0),TEXT(EH32,"0."&amp;REPT("0",LEN('Outfall 1 Limits'!$O36)-FIND(".",'Outfall 1 Limits'!$O36)))),ROUND(EH32,1-(1+INT(LOG10(ABS(EH32)))))),ROUND(EH32,$S126)),"")</f>
        <v/>
      </c>
      <c r="T79" s="243" t="str">
        <f>IF(KJ$87="Y","&lt;","")</f>
        <v/>
      </c>
      <c r="U79" s="243" t="str">
        <f>IF(EI32&lt;&gt;"",IF(OR('Outfall 1 Limits'!$AX$40="C1",'Outfall 1 Limits'!$AX$40="L"),IF(EI32&gt;=1,IF('Outfall 1 Limits'!$AO$40=0,ROUND(EI32,0),TEXT(EI32,"0."&amp;REPT("0",LEN('Outfall 1 Limits'!$O40)-FIND(".",'Outfall 1 Limits'!$O40)))),ROUND(EI32,1-(1+INT(LOG10(ABS(EI32)))))),ROUND(EI32,$U126)),"")</f>
        <v/>
      </c>
      <c r="V79" s="243" t="str">
        <f>IF(KK$87="Y","&lt;","")</f>
        <v/>
      </c>
      <c r="W79" s="243" t="str">
        <f>IF(EJ32&lt;&gt;"",IF(OR('Outfall 1 Limits'!$AX$44="C1",'Outfall 1 Limits'!$AX$44="L"),IF(EJ32&gt;=1,IF('Outfall 1 Limits'!$AO$44=0,ROUND(EJ32,0),TEXT(EJ32,"0."&amp;REPT("0",LEN('Outfall 1 Limits'!$O44)-FIND(".",'Outfall 1 Limits'!$O44)))),ROUND(EJ32,1-(1+INT(LOG10(ABS(EJ32)))))),ROUND(EJ32,$W126)),"")</f>
        <v/>
      </c>
      <c r="X79" s="243" t="str">
        <f>IF(KL$87="Y","&lt;","")</f>
        <v/>
      </c>
      <c r="Y79" s="243" t="str">
        <f>IF(EK32&lt;&gt;"",IF(OR('Outfall 1 Limits'!$AX$48="C1",'Outfall 1 Limits'!$AX$48="L"),IF(EK32&gt;=1,IF('Outfall 1 Limits'!$AO$48=0,ROUND(EK32,0),TEXT(EK32,"0."&amp;REPT("0",LEN('Outfall 1 Limits'!$O48)-FIND(".",'Outfall 1 Limits'!$O48)))),ROUND(EK32,1-(1+INT(LOG10(ABS(EK32)))))),ROUND(EK32,$Y126)),"")</f>
        <v/>
      </c>
      <c r="Z79" s="243" t="str">
        <f>IF(KM$87="Y","&lt;","")</f>
        <v/>
      </c>
      <c r="AA79" s="243" t="str">
        <f>IF(EL32&lt;&gt;"",IF(OR('Outfall 1 Limits'!$AX$52="C1",'Outfall 1 Limits'!$AX$52="L"),IF(EL32&gt;=1,IF('Outfall 1 Limits'!$AO$52=0,ROUND(EL32,0),TEXT(EL32,"0."&amp;REPT("0",LEN('Outfall 1 Limits'!$O52)-FIND(".",'Outfall 1 Limits'!$O52)))),ROUND(EL32,1-(1+INT(LOG10(ABS(EL32)))))),ROUND(EL32,$AA126)),"")</f>
        <v/>
      </c>
      <c r="AB79" s="243" t="str">
        <f>IF(KN$87="Y","&lt;","")</f>
        <v/>
      </c>
      <c r="AC79" s="243" t="str">
        <f>IF(EM32&lt;&gt;"",IF(OR('Outfall 1 Limits'!$AX$56="C1",'Outfall 1 Limits'!$AX$56="L"),IF(EM32&gt;=1,IF('Outfall 1 Limits'!$AO$56=0,ROUND(EM32,0),TEXT(EM32,"0."&amp;REPT("0",LEN('Outfall 1 Limits'!$O56)-FIND(".",'Outfall 1 Limits'!$O56)))),ROUND(EM32,1-(1+INT(LOG10(ABS(EM32)))))),ROUND(EM32,$AC126)),"")</f>
        <v/>
      </c>
      <c r="AD79" s="243" t="str">
        <f>IF(KO$87="Y","&lt;","")</f>
        <v/>
      </c>
      <c r="AE79" s="243" t="str">
        <f>IF(EN32&lt;&gt;"",IF(OR('Outfall 1 Limits'!$AX$60="C1",'Outfall 1 Limits'!$AX$60="L"),IF(EN32&gt;=1,IF('Outfall 1 Limits'!$AO$60=0,ROUND(EN32,0),TEXT(EN32,"0."&amp;REPT("0",LEN('Outfall 1 Limits'!$O60)-FIND(".",'Outfall 1 Limits'!$O60)))),ROUND(EN32,1-(1+INT(LOG10(ABS(EN32)))))),ROUND(EN32,$AE126)),"")</f>
        <v/>
      </c>
      <c r="AF79" s="243" t="str">
        <f>IF(KP$87="Y","&lt;","")</f>
        <v/>
      </c>
      <c r="AG79" s="243" t="str">
        <f>IF(EO32&lt;&gt;"",IF(OR('Outfall 1 Limits'!$AX$64="C1",'Outfall 1 Limits'!$AX$64="L"),IF(EO32&gt;=1,IF('Outfall 1 Limits'!$AO$64=0,ROUND(EO32,0),TEXT(EO32,"0."&amp;REPT("0",LEN('Outfall 1 Limits'!$O64)-FIND(".",'Outfall 1 Limits'!$O64)))),ROUND(EO32,1-(1+INT(LOG10(ABS(EO32)))))),ROUND(EO32,$AG126)),"")</f>
        <v/>
      </c>
      <c r="AH79" s="243" t="str">
        <f>IF(KQ$87="Y","&lt;","")</f>
        <v/>
      </c>
      <c r="AI79" s="243" t="str">
        <f>IF(EP32&lt;&gt;"",IF(OR('Outfall 1 Limits'!$AX$68="C1",'Outfall 1 Limits'!$AX$68="L"),IF(EP32&gt;=1,IF('Outfall 1 Limits'!$AO$68=0,ROUND(EP32,0),TEXT(EP32,"0."&amp;REPT("0",LEN('Outfall 1 Limits'!$O68)-FIND(".",'Outfall 1 Limits'!$O68)))),ROUND(EP32,1-(1+INT(LOG10(ABS(EP32)))))),ROUND(EP32,$AI126)),"")</f>
        <v/>
      </c>
      <c r="AJ79" s="448"/>
      <c r="AK79"/>
      <c r="AL79"/>
      <c r="AM79"/>
      <c r="AN79"/>
      <c r="AO79"/>
      <c r="AP79"/>
      <c r="AQ79"/>
      <c r="AR79"/>
      <c r="AS79"/>
      <c r="AT79"/>
      <c r="AU79"/>
      <c r="AV79"/>
      <c r="AW79"/>
      <c r="AX79"/>
      <c r="AY79"/>
      <c r="AZ79"/>
      <c r="BA79"/>
      <c r="BB79"/>
      <c r="BC79"/>
      <c r="BD79"/>
      <c r="BE79"/>
      <c r="BF79"/>
      <c r="BG79"/>
      <c r="BH79"/>
      <c r="BI79"/>
      <c r="BJ79"/>
      <c r="BK79"/>
      <c r="BL79"/>
      <c r="BM79"/>
      <c r="BP79" s="267">
        <v>2098</v>
      </c>
      <c r="CX79"/>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1"/>
      <c r="EC79"/>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105"/>
      <c r="GK79" s="103"/>
      <c r="GL79" s="103"/>
      <c r="GM79" s="103"/>
      <c r="GN79" s="103"/>
      <c r="GO79" s="103"/>
      <c r="GP79" s="103"/>
      <c r="GQ79" s="103"/>
      <c r="GR79" s="103"/>
      <c r="GS79" s="103"/>
      <c r="GT79" s="103"/>
      <c r="GU79" s="103"/>
      <c r="GV79" s="103"/>
      <c r="GW79" s="103"/>
      <c r="GX79" s="103"/>
      <c r="GY79" s="103"/>
      <c r="GZ79" s="103"/>
      <c r="HA79" s="103"/>
      <c r="HB79" s="103"/>
      <c r="HC79" s="103"/>
      <c r="HD79" s="103"/>
      <c r="HE79" s="103"/>
      <c r="HF79" s="103"/>
      <c r="HG79" s="103"/>
      <c r="HH79" s="103"/>
      <c r="HI79" s="103"/>
      <c r="HJ79" s="103"/>
      <c r="HK79" s="103"/>
      <c r="HL79" s="103"/>
      <c r="HM79" s="103"/>
      <c r="KC79" s="160" t="s">
        <v>839</v>
      </c>
      <c r="KD79" s="7">
        <f>SUM(KD76:KD78)</f>
        <v>0</v>
      </c>
      <c r="KE79" s="7">
        <f t="shared" ref="KE79:KQ79" si="163">SUM(KE76:KE78)</f>
        <v>0</v>
      </c>
      <c r="KF79" s="7">
        <f t="shared" si="163"/>
        <v>0</v>
      </c>
      <c r="KG79" s="7">
        <f t="shared" si="163"/>
        <v>0</v>
      </c>
      <c r="KH79" s="7">
        <f t="shared" si="163"/>
        <v>0</v>
      </c>
      <c r="KI79" s="7">
        <f t="shared" si="163"/>
        <v>0</v>
      </c>
      <c r="KJ79" s="7">
        <f t="shared" si="163"/>
        <v>0</v>
      </c>
      <c r="KK79" s="7">
        <f t="shared" si="163"/>
        <v>0</v>
      </c>
      <c r="KL79" s="7">
        <f t="shared" si="163"/>
        <v>0</v>
      </c>
      <c r="KM79" s="7">
        <f t="shared" si="163"/>
        <v>0</v>
      </c>
      <c r="KN79" s="7">
        <f t="shared" si="163"/>
        <v>0</v>
      </c>
      <c r="KO79" s="7">
        <f t="shared" si="163"/>
        <v>0</v>
      </c>
      <c r="KP79" s="7">
        <f t="shared" si="163"/>
        <v>0</v>
      </c>
      <c r="KQ79" s="7">
        <f t="shared" si="163"/>
        <v>0</v>
      </c>
      <c r="KR79"/>
      <c r="KS79"/>
      <c r="KT79"/>
      <c r="KU79"/>
      <c r="KV79"/>
      <c r="KW79"/>
      <c r="KX79"/>
      <c r="KY79"/>
      <c r="KZ79"/>
      <c r="LA79"/>
      <c r="LB79"/>
      <c r="LC79"/>
      <c r="LD79"/>
      <c r="LE79"/>
      <c r="LF79"/>
    </row>
    <row r="80" spans="1:318" s="7" customFormat="1" x14ac:dyDescent="0.2">
      <c r="A80" s="447"/>
      <c r="B80" s="414" t="s">
        <v>960</v>
      </c>
      <c r="C80" s="414"/>
      <c r="D80" s="414"/>
      <c r="E80" s="414"/>
      <c r="F80" s="414"/>
      <c r="G80" s="243" t="str">
        <f>IF(SUM(G31:G37)&gt;0,ROUND(HN70,$G$126),"")</f>
        <v/>
      </c>
      <c r="H80" s="243" t="str">
        <f>IF(KD$93="Y","&lt;","")</f>
        <v/>
      </c>
      <c r="I80" s="243" t="str">
        <f>IF(EC33&lt;&gt;"",IF(OR('Outfall 1 Limits'!$AX$16="C1",'Outfall 1 Limits'!$AX$16="L"),IF(EC33&gt;=1,IF('Outfall 1 Limits'!$AO$16=0,ROUND(EC33,0),TEXT(EC33,"0."&amp;REPT("0",LEN('Outfall 1 Limits'!$O16)-FIND(".",'Outfall 1 Limits'!$O16)))),ROUND(EC33,1-(1+INT(LOG10(ABS(EC33)))))),ROUND(EC33,$I126)),"")</f>
        <v/>
      </c>
      <c r="J80" s="243" t="str">
        <f>IF(KE$93="Y","&lt;","")</f>
        <v/>
      </c>
      <c r="K80" s="243" t="str">
        <f>IF(ED33&lt;&gt;"",IF(OR('Outfall 1 Limits'!$AX$20="C1",'Outfall 1 Limits'!$AX$20="L"),IF(ED31&gt;=1,IF('Outfall 1 Limits'!$AO$20=0,ROUND(ED33,0),TEXT(ED33,"0."&amp;REPT("0",LEN('Outfall 1 Limits'!$O20)-FIND(".",'Outfall 1 Limits'!$O20)))),ROUND(ED33,1-(1+INT(LOG10(ABS(ED33)))))),ROUND(ED33,$K126)),"")</f>
        <v/>
      </c>
      <c r="L80" s="243" t="str">
        <f>IF(KF$93="Y","&lt;","")</f>
        <v/>
      </c>
      <c r="M80" s="243" t="str">
        <f>IF(EE33&lt;&gt;"",IF(OR('Outfall 1 Limits'!$AX$24="C1",'Outfall 1 Limits'!$AX$24="L"),IF(EE33&gt;=1,IF('Outfall 1 Limits'!$AO$24=0,ROUND(EE33,0),TEXT(EE33,"0."&amp;REPT("0",LEN('Outfall 1 Limits'!$O24)-FIND(".",'Outfall 1 Limits'!$O24)))),ROUND(EE33,1-(1+INT(LOG10(ABS(EE33)))))),ROUND(EE33,$M126)),"")</f>
        <v/>
      </c>
      <c r="N80" s="243" t="str">
        <f>IF(KG$93="Y","&lt;","")</f>
        <v/>
      </c>
      <c r="O80" s="243" t="str">
        <f>IF(EF33&lt;&gt;"",IF(OR('Outfall 1 Limits'!$AX$28="C1",'Outfall 1 Limits'!$AX$28="L"),IF(EF33&gt;=1,IF('Outfall 1 Limits'!$AO$28=0,ROUND(EF33,0),TEXT(EF33,"0."&amp;REPT("0",LEN('Outfall 1 Limits'!$O28)-FIND(".",'Outfall 1 Limits'!$O28)))),ROUND(EF33,1-(1+INT(LOG10(ABS(EF33)))))),ROUND(EF33,$O126)),"")</f>
        <v/>
      </c>
      <c r="P80" s="243" t="str">
        <f>IF(KH$93="Y","&lt;","")</f>
        <v/>
      </c>
      <c r="Q80" s="243" t="str">
        <f>IF(EG33&lt;&gt;"",IF(OR('Outfall 1 Limits'!$AX$32="C1",'Outfall 1 Limits'!$AX$32="L"),IF(EG33&gt;=1,IF('Outfall 1 Limits'!$AO$32=0,ROUND(EG33,0),TEXT(EG33,"0."&amp;REPT("0",LEN('Outfall 1 Limits'!$O32)-FIND(".",'Outfall 1 Limits'!$O32)))),ROUND(EG33,1-(1+INT(LOG10(ABS(EG33)))))),ROUND(EG33,$Q126)),"")</f>
        <v/>
      </c>
      <c r="R80" s="243" t="str">
        <f>IF(KI$93="Y","&lt;","")</f>
        <v/>
      </c>
      <c r="S80" s="243" t="str">
        <f>IF(EH33&lt;&gt;"",IF(OR('Outfall 1 Limits'!$AX$36="C1",'Outfall 1 Limits'!$AX$36="L"),IF(EH33&gt;=1,IF('Outfall 1 Limits'!$AO$36=0,ROUND(EH33,0),TEXT(EH33,"0."&amp;REPT("0",LEN('Outfall 1 Limits'!$O36)-FIND(".",'Outfall 1 Limits'!$O36)))),ROUND(EH33,1-(1+INT(LOG10(ABS(EH33)))))),ROUND(EH33,$S126)),"")</f>
        <v/>
      </c>
      <c r="T80" s="243" t="str">
        <f>IF(KJ$93="Y","&lt;","")</f>
        <v/>
      </c>
      <c r="U80" s="243" t="str">
        <f>IF(EI33&lt;&gt;"",IF(OR('Outfall 1 Limits'!$AX$40="C1",'Outfall 1 Limits'!$AX$40="L"),IF(EI33&gt;=1,IF('Outfall 1 Limits'!$AO$40=0,ROUND(EI33,0),TEXT(EI33,"0."&amp;REPT("0",LEN('Outfall 1 Limits'!$O40)-FIND(".",'Outfall 1 Limits'!$O40)))),ROUND(EI33,1-(1+INT(LOG10(ABS(EI33)))))),ROUND(EI33,$U126)),"")</f>
        <v/>
      </c>
      <c r="V80" s="243" t="str">
        <f>IF(KK$93="Y","&lt;","")</f>
        <v/>
      </c>
      <c r="W80" s="243" t="str">
        <f>IF(EJ33&lt;&gt;"",IF(OR('Outfall 1 Limits'!$AX$44="C1",'Outfall 1 Limits'!$AX$44="L"),IF(EJ33&gt;=1,IF('Outfall 1 Limits'!$AO$44=0,ROUND(EJ33,0),TEXT(EJ33,"0."&amp;REPT("0",LEN('Outfall 1 Limits'!$O44)-FIND(".",'Outfall 1 Limits'!$O44)))),ROUND(EJ33,1-(1+INT(LOG10(ABS(EJ33)))))),ROUND(EJ33,$W126)),"")</f>
        <v/>
      </c>
      <c r="X80" s="243" t="str">
        <f>IF(KL$93="Y","&lt;","")</f>
        <v/>
      </c>
      <c r="Y80" s="243" t="str">
        <f>IF(EK33&lt;&gt;"",IF(OR('Outfall 1 Limits'!$AX$48="C1",'Outfall 1 Limits'!$AX$48="L"),IF(EK33&gt;=1,IF('Outfall 1 Limits'!$AO$48=0,ROUND(EK33,0),TEXT(EK33,"0."&amp;REPT("0",LEN('Outfall 1 Limits'!$O48)-FIND(".",'Outfall 1 Limits'!$O48)))),ROUND(EK33,1-(1+INT(LOG10(ABS(EK33)))))),ROUND(EK33,$Y126)),"")</f>
        <v/>
      </c>
      <c r="Z80" s="243" t="str">
        <f>IF(KM$93="Y","&lt;","")</f>
        <v/>
      </c>
      <c r="AA80" s="243" t="str">
        <f>IF(EL33&lt;&gt;"",IF(OR('Outfall 1 Limits'!$AX$52="C1",'Outfall 1 Limits'!$AX$52="L"),IF(EL33&gt;=1,IF('Outfall 1 Limits'!$AO$52=0,ROUND(EL33,0),TEXT(EL33,"0."&amp;REPT("0",LEN('Outfall 1 Limits'!$O52)-FIND(".",'Outfall 1 Limits'!$O52)))),ROUND(EL33,1-(1+INT(LOG10(ABS(EL33)))))),ROUND(EL33,$AA126)),"")</f>
        <v/>
      </c>
      <c r="AB80" s="243" t="str">
        <f>IF(KN$93="Y","&lt;","")</f>
        <v/>
      </c>
      <c r="AC80" s="243" t="str">
        <f>IF(EM33&lt;&gt;"",IF(OR('Outfall 1 Limits'!$AX$56="C1",'Outfall 1 Limits'!$AX$56="L"),IF(EM33&gt;=1,IF('Outfall 1 Limits'!$AO$56=0,ROUND(EM33,0),TEXT(EM33,"0."&amp;REPT("0",LEN('Outfall 1 Limits'!$O56)-FIND(".",'Outfall 1 Limits'!$O56)))),ROUND(EM33,1-(1+INT(LOG10(ABS(EM33)))))),ROUND(EM33,$AC126)),"")</f>
        <v/>
      </c>
      <c r="AD80" s="243" t="str">
        <f>IF(KO$93="Y","&lt;","")</f>
        <v/>
      </c>
      <c r="AE80" s="243" t="str">
        <f>IF(EN33&lt;&gt;"",IF(OR('Outfall 1 Limits'!$AX$60="C1",'Outfall 1 Limits'!$AX$60="L"),IF(EN33&gt;=1,IF('Outfall 1 Limits'!$AO$60=0,ROUND(EN33,0),TEXT(EN33,"0."&amp;REPT("0",LEN('Outfall 1 Limits'!$O60)-FIND(".",'Outfall 1 Limits'!$O60)))),ROUND(EN33,1-(1+INT(LOG10(ABS(EN33)))))),ROUND(EN33,$AE126)),"")</f>
        <v/>
      </c>
      <c r="AF80" s="243" t="str">
        <f>IF(KP$93="Y","&lt;","")</f>
        <v/>
      </c>
      <c r="AG80" s="243" t="str">
        <f>IF(EO33&lt;&gt;"",IF(OR('Outfall 1 Limits'!$AX$64="C1",'Outfall 1 Limits'!$AX$64="L"),IF(EO33&gt;=1,IF('Outfall 1 Limits'!$AO$64=0,ROUND(EO33,0),TEXT(EO33,"0."&amp;REPT("0",LEN('Outfall 1 Limits'!$O64)-FIND(".",'Outfall 1 Limits'!$O64)))),ROUND(EO33,1-(1+INT(LOG10(ABS(EO33)))))),ROUND(EO33,$AG126)),"")</f>
        <v/>
      </c>
      <c r="AH80" s="243" t="str">
        <f>IF(KQ$93="Y","&lt;","")</f>
        <v/>
      </c>
      <c r="AI80" s="243" t="str">
        <f>IF(EP33&lt;&gt;"",IF(OR('Outfall 1 Limits'!$AX$68="C1",'Outfall 1 Limits'!$AX$68="L"),IF(EP33&gt;=1,IF('Outfall 1 Limits'!$AO$68=0,ROUND(EP33,0),TEXT(EP33,"0."&amp;REPT("0",LEN('Outfall 1 Limits'!$O68)-FIND(".",'Outfall 1 Limits'!$O68)))),ROUND(EP33,1-(1+INT(LOG10(ABS(EP33)))))),ROUND(EP33,$AI126)),"")</f>
        <v/>
      </c>
      <c r="AJ80" s="448"/>
      <c r="AK80"/>
      <c r="AL80"/>
      <c r="AM80"/>
      <c r="AN80"/>
      <c r="AO80"/>
      <c r="AP80"/>
      <c r="AQ80"/>
      <c r="AR80"/>
      <c r="AS80"/>
      <c r="AT80"/>
      <c r="AU80"/>
      <c r="AV80"/>
      <c r="AW80"/>
      <c r="AX80"/>
      <c r="AY80"/>
      <c r="AZ80"/>
      <c r="BA80"/>
      <c r="BB80"/>
      <c r="BC80"/>
      <c r="BD80"/>
      <c r="BE80"/>
      <c r="BF80"/>
      <c r="BG80"/>
      <c r="BH80"/>
      <c r="BI80"/>
      <c r="BJ80"/>
      <c r="BK80"/>
      <c r="BL80"/>
      <c r="BM80"/>
      <c r="BP80" s="267">
        <v>2099</v>
      </c>
      <c r="CX80"/>
      <c r="CY80" s="22"/>
      <c r="CZ80" s="22"/>
      <c r="DA80" s="22"/>
      <c r="DB80" s="22"/>
      <c r="DC80" s="22"/>
      <c r="DD80" s="22"/>
      <c r="DE80" s="22"/>
      <c r="DF80" s="22"/>
      <c r="DG80" s="22"/>
      <c r="DH80" s="22"/>
      <c r="DI80" s="22"/>
      <c r="DJ80" s="22"/>
      <c r="DK80" s="22"/>
      <c r="DL80" s="22"/>
      <c r="DM80" s="22"/>
      <c r="DN80" s="22"/>
      <c r="DO80" s="22"/>
      <c r="DP80" s="22"/>
      <c r="DQ80" s="22"/>
      <c r="DR80" s="22"/>
      <c r="DS80" s="22"/>
      <c r="DT80" s="22"/>
      <c r="DU80" s="22"/>
      <c r="DV80" s="22"/>
      <c r="DW80" s="22"/>
      <c r="DX80" s="22"/>
      <c r="DY80" s="22"/>
      <c r="DZ80" s="22"/>
      <c r="EA80" s="22"/>
      <c r="EB80" s="1"/>
      <c r="EC80"/>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105"/>
      <c r="GK80" s="104"/>
      <c r="GL80" s="104"/>
      <c r="GM80" s="104"/>
      <c r="GN80" s="104"/>
      <c r="GO80" s="104"/>
      <c r="GP80" s="104"/>
      <c r="GQ80" s="104"/>
      <c r="GR80" s="104"/>
      <c r="GS80" s="104"/>
      <c r="GT80" s="104"/>
      <c r="GU80" s="104"/>
      <c r="GV80" s="104"/>
      <c r="GW80" s="104"/>
      <c r="GX80" s="104"/>
      <c r="GY80" s="104"/>
      <c r="GZ80" s="104"/>
      <c r="HA80" s="104"/>
      <c r="HB80" s="104"/>
      <c r="HC80" s="104"/>
      <c r="HD80" s="104"/>
      <c r="HE80" s="104"/>
      <c r="HF80" s="104"/>
      <c r="HG80" s="104"/>
      <c r="HH80" s="104"/>
      <c r="HI80" s="104"/>
      <c r="HJ80" s="104"/>
      <c r="HK80" s="104"/>
      <c r="HL80" s="104"/>
      <c r="HM80" s="104"/>
      <c r="KC80" s="160" t="s">
        <v>1182</v>
      </c>
      <c r="KD80" s="7" t="str">
        <f>IF(KD79&lt;&gt;0,IF(OR(KD76=KD79,(KD76+KD77)=KD79),"Y",IF(OR(AND(KD77=0,KD78&gt;0),KD78=KD79),"N","Y")),"")</f>
        <v/>
      </c>
      <c r="KE80" s="7" t="str">
        <f t="shared" ref="KE80:KQ80" si="164">IF(KE79&lt;&gt;0,IF(OR(KE76=KE79,(KE76+KE77)=KE79),"Y",IF(OR(AND(KE77=0,KE78&gt;0),KE78=KE79),"N","Y")),"")</f>
        <v/>
      </c>
      <c r="KF80" s="7" t="str">
        <f t="shared" si="164"/>
        <v/>
      </c>
      <c r="KG80" s="7" t="str">
        <f t="shared" si="164"/>
        <v/>
      </c>
      <c r="KH80" s="7" t="str">
        <f t="shared" si="164"/>
        <v/>
      </c>
      <c r="KI80" s="7" t="str">
        <f t="shared" si="164"/>
        <v/>
      </c>
      <c r="KJ80" s="7" t="str">
        <f t="shared" si="164"/>
        <v/>
      </c>
      <c r="KK80" s="7" t="str">
        <f t="shared" si="164"/>
        <v/>
      </c>
      <c r="KL80" s="7" t="str">
        <f t="shared" si="164"/>
        <v/>
      </c>
      <c r="KM80" s="7" t="str">
        <f t="shared" si="164"/>
        <v/>
      </c>
      <c r="KN80" s="7" t="str">
        <f t="shared" si="164"/>
        <v/>
      </c>
      <c r="KO80" s="7" t="str">
        <f t="shared" si="164"/>
        <v/>
      </c>
      <c r="KP80" s="7" t="str">
        <f t="shared" si="164"/>
        <v/>
      </c>
      <c r="KQ80" s="7" t="str">
        <f t="shared" si="164"/>
        <v/>
      </c>
      <c r="KR80"/>
      <c r="KS80"/>
      <c r="KT80"/>
      <c r="KU80"/>
      <c r="KV80"/>
      <c r="KW80"/>
      <c r="KX80"/>
      <c r="KY80"/>
      <c r="KZ80"/>
      <c r="LA80"/>
      <c r="LB80"/>
      <c r="LC80"/>
      <c r="LD80"/>
      <c r="LE80"/>
      <c r="LF80"/>
    </row>
    <row r="81" spans="1:318" s="7" customFormat="1" x14ac:dyDescent="0.2">
      <c r="A81" s="447"/>
      <c r="B81" s="414" t="s">
        <v>961</v>
      </c>
      <c r="C81" s="414"/>
      <c r="D81" s="414"/>
      <c r="E81" s="414"/>
      <c r="F81" s="414"/>
      <c r="G81" s="243" t="str">
        <f>IF(SUM(G38:G44)&gt;0,ROUND(HN71,$G$126),"")</f>
        <v/>
      </c>
      <c r="H81" s="243" t="str">
        <f>IF(KD$99="Y","&lt;","")</f>
        <v/>
      </c>
      <c r="I81" s="243" t="str">
        <f>IF(EC34&lt;&gt;"",IF(OR('Outfall 1 Limits'!$AX$16="C1",'Outfall 1 Limits'!$AX$16="L"),IF(EC34&gt;=1,IF('Outfall 1 Limits'!$AO$16=0,ROUND(EC34,0),TEXT(EC34,"0."&amp;REPT("0",LEN('Outfall 1 Limits'!$O16)-FIND(".",'Outfall 1 Limits'!$O16)))),ROUND(EC34,1-(1+INT(LOG10(ABS(EC34)))))),ROUND(EC34,$I126)),"")</f>
        <v/>
      </c>
      <c r="J81" s="243" t="str">
        <f>IF(KE$99="Y","&lt;","")</f>
        <v/>
      </c>
      <c r="K81" s="243" t="str">
        <f>IF(ED34&lt;&gt;"",IF(OR('Outfall 1 Limits'!$AX$20="C1",'Outfall 1 Limits'!$AX$20="L"),IF(ED34&gt;=1,IF('Outfall 1 Limits'!$AO$20=0,ROUND(ED34,0),TEXT(ED34,"0."&amp;REPT("0",LEN('Outfall 1 Limits'!$O20)-FIND(".",'Outfall 1 Limits'!$O20)))),ROUND(ED34,1-(1+INT(LOG10(ABS(ED34)))))),ROUND(ED34,$K126)),"")</f>
        <v/>
      </c>
      <c r="L81" s="243" t="str">
        <f>IF(KF$99="Y","&lt;","")</f>
        <v/>
      </c>
      <c r="M81" s="243" t="str">
        <f>IF(EE34&lt;&gt;"",IF(OR('Outfall 1 Limits'!$AX$24="C1",'Outfall 1 Limits'!$AX$24="L"),IF(EE34&gt;=1,IF('Outfall 1 Limits'!$AO$24=0,ROUND(EE34,0),TEXT(EE34,"0."&amp;REPT("0",LEN('Outfall 1 Limits'!$O24)-FIND(".",'Outfall 1 Limits'!$O24)))),ROUND(EE34,1-(1+INT(LOG10(ABS(EE34)))))),ROUND(EE34,$M126)),"")</f>
        <v/>
      </c>
      <c r="N81" s="243" t="str">
        <f>IF(KG$99="Y","&lt;","")</f>
        <v/>
      </c>
      <c r="O81" s="243" t="str">
        <f>IF(EF34&lt;&gt;"",IF(OR('Outfall 1 Limits'!$AX$28="C1",'Outfall 1 Limits'!$AX$28="L"),IF(EF34&gt;=1,IF('Outfall 1 Limits'!$AO$28=0,ROUND(EF34,0),TEXT(EF34,"0."&amp;REPT("0",LEN('Outfall 1 Limits'!$O28)-FIND(".",'Outfall 1 Limits'!$O28)))),ROUND(EF34,1-(1+INT(LOG10(ABS(EF34)))))),ROUND(EF34,$O126)),"")</f>
        <v/>
      </c>
      <c r="P81" s="243" t="str">
        <f>IF(KH$99="Y","&lt;","")</f>
        <v/>
      </c>
      <c r="Q81" s="243" t="str">
        <f>IF(EG34&lt;&gt;"",IF(OR('Outfall 1 Limits'!$AX$32="C1",'Outfall 1 Limits'!$AX$32="L"),IF(EG34&gt;=1,IF('Outfall 1 Limits'!$AO$32=0,ROUND(EG34,0),TEXT(EG34,"0."&amp;REPT("0",LEN('Outfall 1 Limits'!$O32)-FIND(".",'Outfall 1 Limits'!$O32)))),ROUND(EG34,1-(1+INT(LOG10(ABS(EG34)))))),ROUND(EG34,$Q126)),"")</f>
        <v/>
      </c>
      <c r="R81" s="243" t="str">
        <f>IF(KI$99="Y","&lt;","")</f>
        <v/>
      </c>
      <c r="S81" s="243" t="str">
        <f>IF(EH34&lt;&gt;"",IF(OR('Outfall 1 Limits'!$AX$36="C1",'Outfall 1 Limits'!$AX$36="L"),IF(EH34&gt;=1,IF('Outfall 1 Limits'!$AO$36=0,ROUND(EH34,0),TEXT(EH34,"0."&amp;REPT("0",LEN('Outfall 1 Limits'!$O36)-FIND(".",'Outfall 1 Limits'!$O36)))),ROUND(EH34,1-(1+INT(LOG10(ABS(EH34)))))),ROUND(EH34,$S126)),"")</f>
        <v/>
      </c>
      <c r="T81" s="243" t="str">
        <f>IF(KJ$99="Y","&lt;","")</f>
        <v/>
      </c>
      <c r="U81" s="243" t="str">
        <f>IF(EI34&lt;&gt;"",IF(OR('Outfall 1 Limits'!$AX$40="C1",'Outfall 1 Limits'!$AX$40="L"),IF(EI34&gt;=1,IF('Outfall 1 Limits'!$AO$40=0,ROUND(EI34,0),TEXT(EI34,"0."&amp;REPT("0",LEN('Outfall 1 Limits'!$O40)-FIND(".",'Outfall 1 Limits'!$O40)))),ROUND(EI34,1-(1+INT(LOG10(ABS(EI34)))))),ROUND(EI34,$U126)),"")</f>
        <v/>
      </c>
      <c r="V81" s="243" t="str">
        <f>IF(KK$99="Y","&lt;","")</f>
        <v/>
      </c>
      <c r="W81" s="243" t="str">
        <f>IF(EJ34&lt;&gt;"",IF(OR('Outfall 1 Limits'!$AX$44="C1",'Outfall 1 Limits'!$AX$44="L"),IF(EJ34&gt;=1,IF('Outfall 1 Limits'!$AO$44=0,ROUND(EJ34,0),TEXT(EJ34,"0."&amp;REPT("0",LEN('Outfall 1 Limits'!$O44)-FIND(".",'Outfall 1 Limits'!$O44)))),ROUND(EJ34,1-(1+INT(LOG10(ABS(EJ34)))))),ROUND(EJ34,$W126)),"")</f>
        <v/>
      </c>
      <c r="X81" s="243" t="str">
        <f>IF(KL$99="Y","&lt;","")</f>
        <v/>
      </c>
      <c r="Y81" s="243" t="str">
        <f>IF(EK34&lt;&gt;"",IF(OR('Outfall 1 Limits'!$AX$48="C1",'Outfall 1 Limits'!$AX$48="L"),IF(EK34&gt;=1,IF('Outfall 1 Limits'!$AO$48=0,ROUND(EK34,0),TEXT(EK34,"0."&amp;REPT("0",LEN('Outfall 1 Limits'!$O48)-FIND(".",'Outfall 1 Limits'!$O48)))),ROUND(EK34,1-(1+INT(LOG10(ABS(EK34)))))),ROUND(EK34,$Y126)),"")</f>
        <v/>
      </c>
      <c r="Z81" s="243" t="str">
        <f>IF(KM$99="Y","&lt;","")</f>
        <v/>
      </c>
      <c r="AA81" s="243" t="str">
        <f>IF(EL34&lt;&gt;"",IF(OR('Outfall 1 Limits'!$AX$52="C1",'Outfall 1 Limits'!$AX$52="L"),IF(EL34&gt;=1,IF('Outfall 1 Limits'!$AO$52=0,ROUND(EL34,0),TEXT(EL34,"0."&amp;REPT("0",LEN('Outfall 1 Limits'!$O52)-FIND(".",'Outfall 1 Limits'!$O52)))),ROUND(EL34,1-(1+INT(LOG10(ABS(EL34)))))),ROUND(EL34,$AA126)),"")</f>
        <v/>
      </c>
      <c r="AB81" s="243" t="str">
        <f>IF(KN$99="Y","&lt;","")</f>
        <v/>
      </c>
      <c r="AC81" s="243" t="str">
        <f>IF(EM34&lt;&gt;"",IF(OR('Outfall 1 Limits'!$AX$56="C1",'Outfall 1 Limits'!$AX$56="L"),IF(EM34&gt;=1,IF('Outfall 1 Limits'!$AO$56=0,ROUND(EM34,0),TEXT(EM34,"0."&amp;REPT("0",LEN('Outfall 1 Limits'!$O56)-FIND(".",'Outfall 1 Limits'!$O56)))),ROUND(EM34,1-(1+INT(LOG10(ABS(EM34)))))),ROUND(EM34,$AC126)),"")</f>
        <v/>
      </c>
      <c r="AD81" s="243" t="str">
        <f>IF(KO$99="Y","&lt;","")</f>
        <v/>
      </c>
      <c r="AE81" s="243" t="str">
        <f>IF(EN34&lt;&gt;"",IF(OR('Outfall 1 Limits'!$AX$60="C1",'Outfall 1 Limits'!$AX$60="L"),IF(EN34&gt;=1,IF('Outfall 1 Limits'!$AO$60=0,ROUND(EN34,0),TEXT(EN34,"0."&amp;REPT("0",LEN('Outfall 1 Limits'!$O60)-FIND(".",'Outfall 1 Limits'!$O60)))),ROUND(EN34,1-(1+INT(LOG10(ABS(EN34)))))),ROUND(EN34,$AE126)),"")</f>
        <v/>
      </c>
      <c r="AF81" s="243" t="str">
        <f>IF(KP$99="Y","&lt;","")</f>
        <v/>
      </c>
      <c r="AG81" s="243" t="str">
        <f>IF(EO34&lt;&gt;"",IF(OR('Outfall 1 Limits'!$AX$64="C1",'Outfall 1 Limits'!$AX$64="L"),IF(EO34&gt;=1,IF('Outfall 1 Limits'!$AO$64=0,ROUND(EO34,0),TEXT(EO34,"0."&amp;REPT("0",LEN('Outfall 1 Limits'!$O64)-FIND(".",'Outfall 1 Limits'!$O64)))),ROUND(EO34,1-(1+INT(LOG10(ABS(EO34)))))),ROUND(EO34,$AG126)),"")</f>
        <v/>
      </c>
      <c r="AH81" s="243" t="str">
        <f>IF(KQ$99="Y","&lt;","")</f>
        <v/>
      </c>
      <c r="AI81" s="243" t="str">
        <f>IF(EP34&lt;&gt;"",IF(OR('Outfall 1 Limits'!$AX$68="C1",'Outfall 1 Limits'!$AX$68="L"),IF(EP34&gt;=1,IF('Outfall 1 Limits'!$AO$68=0,ROUND(EP34,0),TEXT(EP34,"0."&amp;REPT("0",LEN('Outfall 1 Limits'!$O68)-FIND(".",'Outfall 1 Limits'!$O68)))),ROUND(EP34,1-(1+INT(LOG10(ABS(EP34)))))),ROUND(EP34,$AI126)),"")</f>
        <v/>
      </c>
      <c r="AJ81" s="448"/>
      <c r="AK81"/>
      <c r="AL81"/>
      <c r="AM81"/>
      <c r="AN81"/>
      <c r="AO81"/>
      <c r="AP81"/>
      <c r="AQ81"/>
      <c r="AR81"/>
      <c r="AS81"/>
      <c r="AT81"/>
      <c r="AU81"/>
      <c r="AV81"/>
      <c r="AW81"/>
      <c r="AX81"/>
      <c r="AY81"/>
      <c r="AZ81"/>
      <c r="BA81"/>
      <c r="BB81"/>
      <c r="BC81"/>
      <c r="BD81"/>
      <c r="BE81"/>
      <c r="BF81"/>
      <c r="BG81"/>
      <c r="BH81"/>
      <c r="BI81"/>
      <c r="BJ81"/>
      <c r="BK81"/>
      <c r="BL81"/>
      <c r="BM81"/>
      <c r="CX81"/>
      <c r="CY81" s="22"/>
      <c r="CZ81" s="22"/>
      <c r="DA81" s="22"/>
      <c r="DB81" s="22"/>
      <c r="DC81" s="22"/>
      <c r="DD81" s="22"/>
      <c r="DE81" s="22"/>
      <c r="DF81" s="22"/>
      <c r="DG81" s="22"/>
      <c r="DH81" s="22"/>
      <c r="DI81" s="22"/>
      <c r="DJ81" s="22"/>
      <c r="DK81" s="22"/>
      <c r="DL81" s="22"/>
      <c r="DM81" s="22"/>
      <c r="DN81" s="22"/>
      <c r="DO81" s="22"/>
      <c r="DP81" s="22"/>
      <c r="DQ81" s="22"/>
      <c r="DR81" s="22"/>
      <c r="DS81" s="22"/>
      <c r="DT81" s="22"/>
      <c r="DU81" s="22"/>
      <c r="DV81" s="22"/>
      <c r="DW81" s="22"/>
      <c r="DX81" s="22"/>
      <c r="DY81" s="22"/>
      <c r="DZ81" s="22"/>
      <c r="EA81" s="22"/>
      <c r="EB81" s="1"/>
      <c r="EC81"/>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105"/>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KC81" s="160" t="s">
        <v>1196</v>
      </c>
      <c r="KD81" s="165" t="str">
        <f>IF(KD53="Y",KD80,IF(BU58="Y","Y","N"))</f>
        <v>N</v>
      </c>
      <c r="KE81" s="7" t="str">
        <f t="shared" ref="KE81:KQ81" si="165">IF(KE53="Y",KE80,IF(BV58="Y","Y","N"))</f>
        <v>N</v>
      </c>
      <c r="KF81" s="7" t="str">
        <f t="shared" si="165"/>
        <v>N</v>
      </c>
      <c r="KG81" s="7" t="str">
        <f t="shared" si="165"/>
        <v>N</v>
      </c>
      <c r="KH81" s="7" t="str">
        <f t="shared" si="165"/>
        <v>N</v>
      </c>
      <c r="KI81" s="7" t="str">
        <f t="shared" si="165"/>
        <v>N</v>
      </c>
      <c r="KJ81" s="7" t="str">
        <f t="shared" si="165"/>
        <v>N</v>
      </c>
      <c r="KK81" s="7" t="str">
        <f t="shared" si="165"/>
        <v>N</v>
      </c>
      <c r="KL81" s="7" t="str">
        <f t="shared" si="165"/>
        <v>N</v>
      </c>
      <c r="KM81" s="7" t="str">
        <f t="shared" si="165"/>
        <v>N</v>
      </c>
      <c r="KN81" s="7" t="str">
        <f t="shared" si="165"/>
        <v>N</v>
      </c>
      <c r="KO81" s="7" t="str">
        <f t="shared" si="165"/>
        <v>N</v>
      </c>
      <c r="KP81" s="7" t="str">
        <f t="shared" si="165"/>
        <v>N</v>
      </c>
      <c r="KQ81" s="7" t="str">
        <f t="shared" si="165"/>
        <v>N</v>
      </c>
      <c r="KR81"/>
      <c r="KS81"/>
      <c r="KT81"/>
      <c r="KU81"/>
      <c r="KV81"/>
      <c r="KW81"/>
      <c r="KX81"/>
      <c r="KY81"/>
      <c r="KZ81"/>
      <c r="LA81"/>
      <c r="LB81"/>
      <c r="LC81"/>
      <c r="LD81"/>
      <c r="LE81"/>
      <c r="LF81"/>
    </row>
    <row r="82" spans="1:318" s="7" customFormat="1" x14ac:dyDescent="0.2">
      <c r="A82" s="447"/>
      <c r="B82" s="414" t="s">
        <v>962</v>
      </c>
      <c r="C82" s="414"/>
      <c r="D82" s="414"/>
      <c r="E82" s="414"/>
      <c r="F82" s="414"/>
      <c r="G82" s="243" t="str">
        <f>IF(E51&lt;&gt;"",IF(SUM(G45:G51)&gt;0,ROUND(HN72,$G$126),""),"")</f>
        <v/>
      </c>
      <c r="H82" s="243" t="str">
        <f>IF(E51&lt;&gt;"",IF(KD$105="Y","&lt;",""),"")</f>
        <v/>
      </c>
      <c r="I82" s="243" t="str">
        <f>IF(E51&lt;&gt;"",IF(EC35&lt;&gt;"",IF(OR('Outfall 1 Limits'!$AX$16="C1",'Outfall 1 Limits'!$AX$16="L"),IF(EC35&gt;=1,IF('Outfall 1 Limits'!$AO$16=0,ROUND(EC35,0),TEXT(EC35,"0."&amp;REPT("0",LEN('Outfall 1 Limits'!$O16)-FIND(".",'Outfall 1 Limits'!$O16)))),ROUND(EC35,1-(1+INT(LOG10(ABS(EC35)))))),ROUND(EC35,$I126)),""),"")</f>
        <v/>
      </c>
      <c r="J82" s="243" t="str">
        <f>IF($E$51&lt;&gt;"",IF(KE$105="Y","&lt;",""),"")</f>
        <v/>
      </c>
      <c r="K82" s="243" t="str">
        <f>IF(E51&lt;&gt;"",IF(ED35&lt;&gt;"",IF(OR('Outfall 1 Limits'!$AX$20="C1",'Outfall 1 Limits'!$AX$20="L"),IF(ED35&gt;=1,IF('Outfall 1 Limits'!$AO$20=0,ROUND(ED35,0),TEXT(ED35,"0."&amp;REPT("0",LEN('Outfall 1 Limits'!$O20)-FIND(".",'Outfall 1 Limits'!$O20)))),ROUND(ED35,1-(1+INT(LOG10(ABS(ED35)))))),ROUND(ED35,$K126)),""),"")</f>
        <v/>
      </c>
      <c r="L82" s="243" t="str">
        <f>IF($E$51&lt;&gt;"",IF(KF$105="Y","&lt;",""),"")</f>
        <v/>
      </c>
      <c r="M82" s="243" t="str">
        <f>IF(E51&lt;&gt;"",IF(EE35&lt;&gt;"",IF(OR('Outfall 1 Limits'!$AX$24="C1",'Outfall 1 Limits'!$AX$24="L"),IF(EE35&gt;=1,IF('Outfall 1 Limits'!$AO$24=0,ROUND(EE35,0),TEXT(EE35,"0."&amp;REPT("0",LEN('Outfall 1 Limits'!$O24)-FIND(".",'Outfall 1 Limits'!$O24)))),ROUND(EE35,1-(1+INT(LOG10(ABS(EE35)))))),ROUND(EE35,$M126)),""),"")</f>
        <v/>
      </c>
      <c r="N82" s="243" t="str">
        <f>IF($E$51&lt;&gt;"",IF(KG$105="Y","&lt;",""),"")</f>
        <v/>
      </c>
      <c r="O82" s="243" t="str">
        <f>IF(E51&lt;&gt;"",IF(EF35&lt;&gt;"",IF(OR('Outfall 1 Limits'!$AX$28="C1",'Outfall 1 Limits'!$AX$28="L"),IF(EF35&gt;=1,IF('Outfall 1 Limits'!$AO$28=0,ROUND(EF35,0),TEXT(EF35,"0."&amp;REPT("0",LEN('Outfall 1 Limits'!$O28)-FIND(".",'Outfall 1 Limits'!$O28)))),ROUND(EF35,1-(1+INT(LOG10(ABS(EF35)))))),ROUND(EF35,$O126)),""),"")</f>
        <v/>
      </c>
      <c r="P82" s="243" t="str">
        <f>IF($E$51&lt;&gt;"",IF(KH$105="Y","&lt;",""),"")</f>
        <v/>
      </c>
      <c r="Q82" s="243" t="str">
        <f>IF(E51&lt;&gt;"",IF(EG35&lt;&gt;"",IF(OR('Outfall 1 Limits'!$AX$32="C1",'Outfall 1 Limits'!$AX$32="L"),IF(EG35&gt;=1,IF('Outfall 1 Limits'!$AO$32=0,ROUND(EG35,0),TEXT(EG35,"0."&amp;REPT("0",LEN('Outfall 1 Limits'!$O32)-FIND(".",'Outfall 1 Limits'!$O32)))),ROUND(EG35,1-(1+INT(LOG10(ABS(EG35)))))),ROUND(EG35,$Q126)),""),"")</f>
        <v/>
      </c>
      <c r="R82" s="243" t="str">
        <f>IF($E$51&lt;&gt;"",IF(KI$105="Y","&lt;",""),"")</f>
        <v/>
      </c>
      <c r="S82" s="243" t="str">
        <f>IF(E51&lt;&gt;"",IF(EH35&lt;&gt;"",IF(OR('Outfall 1 Limits'!$AX$36="C1",'Outfall 1 Limits'!$AX$36="L"),IF(EH35&gt;=1,IF('Outfall 1 Limits'!$AO$36=0,ROUND(EH35,0),TEXT(EH35,"0."&amp;REPT("0",LEN('Outfall 1 Limits'!$O36)-FIND(".",'Outfall 1 Limits'!$O36)))),ROUND(EH35,1-(1+INT(LOG10(ABS(EH35)))))),ROUND(EH35,$S126)),""),"")</f>
        <v/>
      </c>
      <c r="T82" s="243" t="str">
        <f>IF($E$51&lt;&gt;"",IF(KJ$105="Y","&lt;",""),"")</f>
        <v/>
      </c>
      <c r="U82" s="243" t="str">
        <f>IF(E51&lt;&gt;"",IF(EI35&lt;&gt;"",IF(OR('Outfall 1 Limits'!$AX$40="C1",'Outfall 1 Limits'!$AX$40="L"),IF(EI35&gt;=1,IF('Outfall 1 Limits'!$AO$40=0,ROUND(EI35,0),TEXT(EI35,"0."&amp;REPT("0",LEN('Outfall 1 Limits'!$O40)-FIND(".",'Outfall 1 Limits'!$O40)))),ROUND(EI35,1-(1+INT(LOG10(ABS(EI35)))))),ROUND(EI35,$U126)),""),"")</f>
        <v/>
      </c>
      <c r="V82" s="243" t="str">
        <f>IF($E$51&lt;&gt;"",IF(KK$105="Y","&lt;",""),"")</f>
        <v/>
      </c>
      <c r="W82" s="243" t="str">
        <f>IF(E51&lt;&gt;"",IF(EJ35&lt;&gt;"",IF(OR('Outfall 1 Limits'!$AX$44="C1",'Outfall 1 Limits'!$AX$44="L"),IF(EJ35&gt;=1,IF('Outfall 1 Limits'!$AO$44=0,ROUND(EJ35,0),TEXT(EJ35,"0."&amp;REPT("0",LEN('Outfall 1 Limits'!$O44)-FIND(".",'Outfall 1 Limits'!$O44)))),ROUND(EJ35,1-(1+INT(LOG10(ABS(EJ35)))))),ROUND(EJ35,$W126)),""),"")</f>
        <v/>
      </c>
      <c r="X82" s="243" t="str">
        <f>IF($E$51&lt;&gt;"",IF(KL$105="Y","&lt;",""),"")</f>
        <v/>
      </c>
      <c r="Y82" s="243" t="str">
        <f>IF(E51&lt;&gt;"",IF(EK35&lt;&gt;"",IF(OR('Outfall 1 Limits'!$AX$48="C1",'Outfall 1 Limits'!$AX$48="L"),IF(EK35&gt;=1,IF('Outfall 1 Limits'!$AO$48=0,ROUND(EK35,0),TEXT(EK35,"0."&amp;REPT("0",LEN('Outfall 1 Limits'!$O48)-FIND(".",'Outfall 1 Limits'!$O48)))),ROUND(EK35,1-(1+INT(LOG10(ABS(EK35)))))),ROUND(EK35,$Y126)),""),"")</f>
        <v/>
      </c>
      <c r="Z82" s="243" t="str">
        <f>IF($E$51&lt;&gt;"",IF(KM$105="Y","&lt;",""),"")</f>
        <v/>
      </c>
      <c r="AA82" s="243" t="str">
        <f>IF(E51&lt;&gt;"",IF(EL35&lt;&gt;"",IF(OR('Outfall 1 Limits'!$AX$52="C1",'Outfall 1 Limits'!$AX$52="L"),IF(EL35&gt;=1,IF('Outfall 1 Limits'!$AO$52=0,ROUND(EL35,0),TEXT(EL35,"0."&amp;REPT("0",LEN('Outfall 1 Limits'!$O52)-FIND(".",'Outfall 1 Limits'!$O52)))),ROUND(EL35,1-(1+INT(LOG10(ABS(EL35)))))),ROUND(EL35,$AA126)),""),"")</f>
        <v/>
      </c>
      <c r="AB82" s="243" t="str">
        <f>IF($E$51&lt;&gt;"",IF(KN$105="Y","&lt;",""),"")</f>
        <v/>
      </c>
      <c r="AC82" s="243" t="str">
        <f>IF(E51&lt;&gt;"",IF(EM35&lt;&gt;"",IF(OR('Outfall 1 Limits'!$AX$56="C1",'Outfall 1 Limits'!$AX$56="L"),IF(EM35&gt;=1,IF('Outfall 1 Limits'!$AO$56=0,ROUND(EM35,0),TEXT(EM35,"0."&amp;REPT("0",LEN('Outfall 1 Limits'!$O56)-FIND(".",'Outfall 1 Limits'!$O56)))),ROUND(EM35,1-(1+INT(LOG10(ABS(EM35)))))),ROUND(EM35,$AC126)),""),"")</f>
        <v/>
      </c>
      <c r="AD82" s="243" t="str">
        <f>IF($E$51&lt;&gt;"",IF(KO$105="Y","&lt;",""),"")</f>
        <v/>
      </c>
      <c r="AE82" s="243" t="str">
        <f>IF(E51&lt;&gt;"",IF(EN35&lt;&gt;"",IF(OR('Outfall 1 Limits'!$AX$60="C1",'Outfall 1 Limits'!$AX$60="L"),IF(EN35&gt;=1,IF('Outfall 1 Limits'!$AO$60=0,ROUND(EN35,0),TEXT(EN35,"0."&amp;REPT("0",LEN('Outfall 1 Limits'!$O60)-FIND(".",'Outfall 1 Limits'!$O60)))),ROUND(EN35,1-(1+INT(LOG10(ABS(EN35)))))),ROUND(EN35,$AE126)),""),"")</f>
        <v/>
      </c>
      <c r="AF82" s="243" t="str">
        <f>IF($E$51&lt;&gt;"",IF(KP$105="Y","&lt;",""),"")</f>
        <v/>
      </c>
      <c r="AG82" s="243" t="str">
        <f>IF(E51&lt;&gt;"",IF(EO35&lt;&gt;"",IF(OR('Outfall 1 Limits'!$AX$64="C1",'Outfall 1 Limits'!$AX$64="L"),IF(EO35&gt;=1,IF('Outfall 1 Limits'!$AO$64=0,ROUND(EO35,0),TEXT(EO35,"0."&amp;REPT("0",LEN('Outfall 1 Limits'!$O64)-FIND(".",'Outfall 1 Limits'!$O64)))),ROUND(EO35,1-(1+INT(LOG10(ABS(EO35)))))),ROUND(EO35,$AG126)),""),"")</f>
        <v/>
      </c>
      <c r="AH82" s="243" t="str">
        <f>IF($E$51&lt;&gt;"",IF(KQ$105="Y","&lt;",""),"")</f>
        <v/>
      </c>
      <c r="AI82" s="243" t="str">
        <f>IF(E51&lt;&gt;"",IF(EP35&lt;&gt;"",IF(OR('Outfall 1 Limits'!$AX$68="C1",'Outfall 1 Limits'!$AX$68="L"),IF(EP35&gt;=1,IF('Outfall 1 Limits'!$AO$68=0,ROUND(EP35,0),TEXT(EP35,"0."&amp;REPT("0",LEN('Outfall 1 Limits'!$O68)-FIND(".",'Outfall 1 Limits'!$O68)))),ROUND(EP35,1-(1+INT(LOG10(ABS(EP35)))))),ROUND(EP35,$AI126)),""),"")</f>
        <v/>
      </c>
      <c r="AJ82" s="448"/>
      <c r="AK82"/>
      <c r="AL82"/>
      <c r="AM82"/>
      <c r="AN82"/>
      <c r="AO82"/>
      <c r="AP82"/>
      <c r="AQ82"/>
      <c r="AR82"/>
      <c r="AS82"/>
      <c r="AT82"/>
      <c r="AU82"/>
      <c r="AV82"/>
      <c r="AW82"/>
      <c r="AX82"/>
      <c r="AY82"/>
      <c r="AZ82"/>
      <c r="BA82"/>
      <c r="BB82"/>
      <c r="BC82"/>
      <c r="BD82"/>
      <c r="BE82"/>
      <c r="BF82"/>
      <c r="BG82"/>
      <c r="BH82"/>
      <c r="BI82"/>
      <c r="BJ82"/>
      <c r="BK82"/>
      <c r="BL82"/>
      <c r="BM82"/>
      <c r="CX8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1"/>
      <c r="EC82"/>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105"/>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KC82" s="160" t="s">
        <v>1197</v>
      </c>
      <c r="KD82" s="7">
        <f>COUNTIF(KD24:KD30,"A")</f>
        <v>0</v>
      </c>
      <c r="KE82" s="7">
        <f t="shared" ref="KE82:KQ82" si="166">COUNTIF(KE24:KE30,"A")</f>
        <v>0</v>
      </c>
      <c r="KF82" s="7">
        <f t="shared" si="166"/>
        <v>0</v>
      </c>
      <c r="KG82" s="7">
        <f t="shared" si="166"/>
        <v>0</v>
      </c>
      <c r="KH82" s="7">
        <f t="shared" si="166"/>
        <v>0</v>
      </c>
      <c r="KI82" s="7">
        <f t="shared" si="166"/>
        <v>0</v>
      </c>
      <c r="KJ82" s="7">
        <f t="shared" si="166"/>
        <v>0</v>
      </c>
      <c r="KK82" s="7">
        <f t="shared" si="166"/>
        <v>0</v>
      </c>
      <c r="KL82" s="7">
        <f t="shared" si="166"/>
        <v>0</v>
      </c>
      <c r="KM82" s="7">
        <f t="shared" si="166"/>
        <v>0</v>
      </c>
      <c r="KN82" s="7">
        <f t="shared" si="166"/>
        <v>0</v>
      </c>
      <c r="KO82" s="7">
        <f t="shared" si="166"/>
        <v>0</v>
      </c>
      <c r="KP82" s="7">
        <f t="shared" si="166"/>
        <v>0</v>
      </c>
      <c r="KQ82" s="7">
        <f t="shared" si="166"/>
        <v>0</v>
      </c>
      <c r="KR82"/>
      <c r="KS82"/>
      <c r="KT82"/>
      <c r="KU82"/>
      <c r="KV82"/>
      <c r="KW82"/>
      <c r="KX82"/>
      <c r="KY82"/>
      <c r="KZ82"/>
      <c r="LA82"/>
      <c r="LB82"/>
      <c r="LC82"/>
      <c r="LD82"/>
      <c r="LE82"/>
      <c r="LF82"/>
    </row>
    <row r="83" spans="1:318" s="7" customFormat="1" ht="11.25" customHeight="1" x14ac:dyDescent="0.2">
      <c r="A83" s="447"/>
      <c r="B83" s="449"/>
      <c r="C83" s="449"/>
      <c r="D83" s="449"/>
      <c r="E83" s="449"/>
      <c r="F83" s="449"/>
      <c r="G83" s="449"/>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CX83"/>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1"/>
      <c r="EC83"/>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105"/>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KC83" s="160" t="s">
        <v>1198</v>
      </c>
      <c r="KD83" s="7">
        <f>COUNTIF(KD24:KD30,"B")</f>
        <v>0</v>
      </c>
      <c r="KE83" s="7">
        <f t="shared" ref="KE83:KQ83" si="167">COUNTIF(KE24:KE30,"B")</f>
        <v>0</v>
      </c>
      <c r="KF83" s="7">
        <f t="shared" si="167"/>
        <v>0</v>
      </c>
      <c r="KG83" s="7">
        <f t="shared" si="167"/>
        <v>0</v>
      </c>
      <c r="KH83" s="7">
        <f t="shared" si="167"/>
        <v>0</v>
      </c>
      <c r="KI83" s="7">
        <f t="shared" si="167"/>
        <v>0</v>
      </c>
      <c r="KJ83" s="7">
        <f t="shared" si="167"/>
        <v>0</v>
      </c>
      <c r="KK83" s="7">
        <f t="shared" si="167"/>
        <v>0</v>
      </c>
      <c r="KL83" s="7">
        <f t="shared" si="167"/>
        <v>0</v>
      </c>
      <c r="KM83" s="7">
        <f t="shared" si="167"/>
        <v>0</v>
      </c>
      <c r="KN83" s="7">
        <f t="shared" si="167"/>
        <v>0</v>
      </c>
      <c r="KO83" s="7">
        <f t="shared" si="167"/>
        <v>0</v>
      </c>
      <c r="KP83" s="7">
        <f t="shared" si="167"/>
        <v>0</v>
      </c>
      <c r="KQ83" s="7">
        <f t="shared" si="167"/>
        <v>0</v>
      </c>
      <c r="KR83"/>
      <c r="KS83"/>
      <c r="KT83"/>
      <c r="KU83"/>
      <c r="KV83"/>
      <c r="KW83"/>
      <c r="KX83"/>
      <c r="KY83"/>
      <c r="KZ83"/>
      <c r="LA83"/>
      <c r="LB83"/>
      <c r="LC83"/>
      <c r="LD83"/>
      <c r="LE83"/>
      <c r="LF83"/>
    </row>
    <row r="84" spans="1:318" s="7" customFormat="1" ht="11.25" hidden="1" customHeight="1" x14ac:dyDescent="0.2">
      <c r="A84"/>
      <c r="X84" s="206"/>
      <c r="AJ84" s="197"/>
      <c r="CX84"/>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1"/>
      <c r="EC8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105"/>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KC84" s="160" t="s">
        <v>1199</v>
      </c>
      <c r="KD84" s="7">
        <f>COUNTIF(KD24:KD30,"C")</f>
        <v>0</v>
      </c>
      <c r="KE84" s="7">
        <f t="shared" ref="KE84:KQ84" si="168">COUNTIF(KE24:KE30,"C")</f>
        <v>0</v>
      </c>
      <c r="KF84" s="7">
        <f t="shared" si="168"/>
        <v>0</v>
      </c>
      <c r="KG84" s="7">
        <f t="shared" si="168"/>
        <v>0</v>
      </c>
      <c r="KH84" s="7">
        <f t="shared" si="168"/>
        <v>0</v>
      </c>
      <c r="KI84" s="7">
        <f t="shared" si="168"/>
        <v>0</v>
      </c>
      <c r="KJ84" s="7">
        <f t="shared" si="168"/>
        <v>0</v>
      </c>
      <c r="KK84" s="7">
        <f t="shared" si="168"/>
        <v>0</v>
      </c>
      <c r="KL84" s="7">
        <f t="shared" si="168"/>
        <v>0</v>
      </c>
      <c r="KM84" s="7">
        <f t="shared" si="168"/>
        <v>0</v>
      </c>
      <c r="KN84" s="7">
        <f t="shared" si="168"/>
        <v>0</v>
      </c>
      <c r="KO84" s="7">
        <f t="shared" si="168"/>
        <v>0</v>
      </c>
      <c r="KP84" s="7">
        <f t="shared" si="168"/>
        <v>0</v>
      </c>
      <c r="KQ84" s="7">
        <f t="shared" si="168"/>
        <v>0</v>
      </c>
      <c r="KR84"/>
      <c r="KS84"/>
      <c r="KT84"/>
      <c r="KU84"/>
      <c r="KV84"/>
      <c r="KW84"/>
      <c r="KX84"/>
      <c r="KY84"/>
      <c r="KZ84"/>
      <c r="LA84"/>
      <c r="LB84"/>
      <c r="LC84"/>
      <c r="LD84"/>
      <c r="LE84"/>
      <c r="LF84"/>
    </row>
    <row r="85" spans="1:318" s="7" customFormat="1" ht="11.25" hidden="1" customHeight="1" x14ac:dyDescent="0.2">
      <c r="A85"/>
      <c r="D85" s="14"/>
      <c r="E85"/>
      <c r="F85"/>
      <c r="G85" s="33" t="s">
        <v>406</v>
      </c>
      <c r="H85"/>
      <c r="I85"/>
      <c r="J85"/>
      <c r="K85"/>
      <c r="L85"/>
      <c r="M85"/>
      <c r="N85"/>
      <c r="O85"/>
      <c r="P85"/>
      <c r="Q85"/>
      <c r="R85"/>
      <c r="S85"/>
      <c r="T85"/>
      <c r="U85"/>
      <c r="V85"/>
      <c r="W85"/>
      <c r="X85" s="206"/>
      <c r="Y85"/>
      <c r="Z85"/>
      <c r="AA85"/>
      <c r="AB85"/>
      <c r="AC85"/>
      <c r="AD85"/>
      <c r="AE85"/>
      <c r="AF85"/>
      <c r="AG85"/>
      <c r="AH85"/>
      <c r="AI85"/>
      <c r="AJ85" s="196"/>
      <c r="AK85"/>
      <c r="AL85"/>
      <c r="AM85"/>
      <c r="AN85" s="17"/>
      <c r="AO85"/>
      <c r="AP85"/>
      <c r="AQ85"/>
      <c r="AR85"/>
      <c r="AS85"/>
      <c r="AT85"/>
      <c r="AU85"/>
      <c r="AV85"/>
      <c r="AW85"/>
      <c r="AX85"/>
      <c r="AY85"/>
      <c r="AZ85"/>
      <c r="BA85"/>
      <c r="BB85"/>
      <c r="BC85"/>
      <c r="BD85"/>
      <c r="BE85"/>
      <c r="BF85"/>
      <c r="BG85"/>
      <c r="BH85"/>
      <c r="BI85"/>
      <c r="BJ85"/>
      <c r="BK85"/>
      <c r="BL85"/>
      <c r="BM85"/>
      <c r="CX85"/>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1"/>
      <c r="EC85"/>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105"/>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KC85" s="160" t="s">
        <v>839</v>
      </c>
      <c r="KD85" s="7">
        <f>SUM(KD82:KD84)</f>
        <v>0</v>
      </c>
      <c r="KE85" s="7">
        <f t="shared" ref="KE85:KQ85" si="169">SUM(KE82:KE84)</f>
        <v>0</v>
      </c>
      <c r="KF85" s="7">
        <f t="shared" si="169"/>
        <v>0</v>
      </c>
      <c r="KG85" s="7">
        <f t="shared" si="169"/>
        <v>0</v>
      </c>
      <c r="KH85" s="7">
        <f t="shared" si="169"/>
        <v>0</v>
      </c>
      <c r="KI85" s="7">
        <f t="shared" si="169"/>
        <v>0</v>
      </c>
      <c r="KJ85" s="7">
        <f t="shared" si="169"/>
        <v>0</v>
      </c>
      <c r="KK85" s="7">
        <f t="shared" si="169"/>
        <v>0</v>
      </c>
      <c r="KL85" s="7">
        <f t="shared" si="169"/>
        <v>0</v>
      </c>
      <c r="KM85" s="7">
        <f t="shared" si="169"/>
        <v>0</v>
      </c>
      <c r="KN85" s="7">
        <f t="shared" si="169"/>
        <v>0</v>
      </c>
      <c r="KO85" s="7">
        <f t="shared" si="169"/>
        <v>0</v>
      </c>
      <c r="KP85" s="7">
        <f t="shared" si="169"/>
        <v>0</v>
      </c>
      <c r="KQ85" s="7">
        <f t="shared" si="169"/>
        <v>0</v>
      </c>
      <c r="KR85"/>
      <c r="KS85"/>
      <c r="KT85"/>
      <c r="KU85"/>
      <c r="KV85"/>
      <c r="KW85"/>
      <c r="KX85"/>
      <c r="KY85"/>
      <c r="KZ85"/>
      <c r="LA85"/>
      <c r="LB85"/>
      <c r="LC85"/>
      <c r="LD85"/>
      <c r="LE85"/>
      <c r="LF85"/>
    </row>
    <row r="86" spans="1:318" s="7" customFormat="1" ht="11.25" hidden="1" customHeight="1" thickBot="1" x14ac:dyDescent="0.25">
      <c r="A86"/>
      <c r="X86" s="206"/>
      <c r="AJ86" s="197"/>
      <c r="CX86"/>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1"/>
      <c r="EC86"/>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105"/>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KC86" s="160" t="s">
        <v>1182</v>
      </c>
      <c r="KD86" s="7" t="str">
        <f>IF(KD85&lt;&gt;0,IF(OR(KD82=KD85,(KD82+KD83)=KD85),"Y",IF(OR(AND(KD83=0,KD84&gt;0),KD84=KD85),"N","Y")),"")</f>
        <v/>
      </c>
      <c r="KE86" s="7" t="str">
        <f t="shared" ref="KE86:KQ86" si="170">IF(KE85&lt;&gt;0,IF(OR(KE82=KE85,(KE82+KE83)=KE85),"Y",IF(OR(AND(KE83=0,KE84&gt;0),KE84=KE85),"N","Y")),"")</f>
        <v/>
      </c>
      <c r="KF86" s="7" t="str">
        <f t="shared" si="170"/>
        <v/>
      </c>
      <c r="KG86" s="7" t="str">
        <f t="shared" si="170"/>
        <v/>
      </c>
      <c r="KH86" s="7" t="str">
        <f t="shared" si="170"/>
        <v/>
      </c>
      <c r="KI86" s="7" t="str">
        <f t="shared" si="170"/>
        <v/>
      </c>
      <c r="KJ86" s="7" t="str">
        <f t="shared" si="170"/>
        <v/>
      </c>
      <c r="KK86" s="7" t="str">
        <f t="shared" si="170"/>
        <v/>
      </c>
      <c r="KL86" s="7" t="str">
        <f t="shared" si="170"/>
        <v/>
      </c>
      <c r="KM86" s="7" t="str">
        <f t="shared" si="170"/>
        <v/>
      </c>
      <c r="KN86" s="7" t="str">
        <f t="shared" si="170"/>
        <v/>
      </c>
      <c r="KO86" s="7" t="str">
        <f t="shared" si="170"/>
        <v/>
      </c>
      <c r="KP86" s="7" t="str">
        <f t="shared" si="170"/>
        <v/>
      </c>
      <c r="KQ86" s="7" t="str">
        <f t="shared" si="170"/>
        <v/>
      </c>
      <c r="KR86"/>
      <c r="KS86"/>
      <c r="KT86"/>
      <c r="KU86"/>
      <c r="KV86"/>
      <c r="KW86"/>
      <c r="KX86"/>
      <c r="KY86"/>
      <c r="KZ86"/>
      <c r="LA86"/>
      <c r="LB86"/>
      <c r="LC86"/>
      <c r="LD86"/>
      <c r="LE86"/>
      <c r="LF86"/>
    </row>
    <row r="87" spans="1:318" s="7" customFormat="1" ht="11.25" hidden="1" customHeight="1" thickTop="1" x14ac:dyDescent="0.2">
      <c r="A87"/>
      <c r="G87" s="66" t="str">
        <f>G11</f>
        <v>Flow</v>
      </c>
      <c r="H87" s="67"/>
      <c r="I87" s="67" t="str">
        <f>H11</f>
        <v/>
      </c>
      <c r="J87" s="67"/>
      <c r="K87" s="67" t="str">
        <f>J11</f>
        <v/>
      </c>
      <c r="L87" s="67"/>
      <c r="M87" s="67" t="str">
        <f>L11</f>
        <v/>
      </c>
      <c r="N87" s="67"/>
      <c r="O87" s="67" t="str">
        <f>N11</f>
        <v/>
      </c>
      <c r="P87" s="67"/>
      <c r="Q87" s="67" t="str">
        <f>P11</f>
        <v/>
      </c>
      <c r="R87" s="67"/>
      <c r="S87" s="67" t="str">
        <f>R11</f>
        <v/>
      </c>
      <c r="T87" s="67"/>
      <c r="U87" s="67" t="str">
        <f>T11</f>
        <v/>
      </c>
      <c r="V87" s="67"/>
      <c r="W87" s="67" t="str">
        <f>V11</f>
        <v/>
      </c>
      <c r="X87" s="81"/>
      <c r="Y87" s="67" t="str">
        <f>X11</f>
        <v/>
      </c>
      <c r="Z87" s="67"/>
      <c r="AA87" s="67" t="str">
        <f>Z11</f>
        <v/>
      </c>
      <c r="AB87" s="67"/>
      <c r="AC87" s="67" t="str">
        <f>AB11</f>
        <v/>
      </c>
      <c r="AD87" s="67"/>
      <c r="AE87" s="67" t="str">
        <f>AD11</f>
        <v/>
      </c>
      <c r="AF87" s="67"/>
      <c r="AG87" s="67" t="str">
        <f>AF11</f>
        <v/>
      </c>
      <c r="AH87" s="67"/>
      <c r="AI87" s="67" t="str">
        <f>AH11</f>
        <v/>
      </c>
      <c r="AJ87" s="198"/>
      <c r="AK87"/>
      <c r="AL87"/>
      <c r="AM87"/>
      <c r="AN87"/>
      <c r="AO87"/>
      <c r="AP87"/>
      <c r="AQ87"/>
      <c r="AR87"/>
      <c r="AS87"/>
      <c r="AT87"/>
      <c r="AU87"/>
      <c r="AV87"/>
      <c r="AW87"/>
      <c r="AX87"/>
      <c r="AY87"/>
      <c r="AZ87"/>
      <c r="BA87"/>
      <c r="BB87"/>
      <c r="BC87"/>
      <c r="BD87"/>
      <c r="BE87"/>
      <c r="BF87"/>
      <c r="BG87"/>
      <c r="BH87"/>
      <c r="BI87"/>
      <c r="BJ87"/>
      <c r="BK87"/>
      <c r="BL87"/>
      <c r="BM87"/>
      <c r="CX87"/>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1"/>
      <c r="EC87"/>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105"/>
      <c r="GK87" s="101"/>
      <c r="GL87" s="101"/>
      <c r="GM87" s="101"/>
      <c r="GN87" s="101"/>
      <c r="GO87" s="101"/>
      <c r="GP87" s="101"/>
      <c r="GQ87" s="101"/>
      <c r="GR87" s="101"/>
      <c r="GS87" s="101"/>
      <c r="GT87" s="101"/>
      <c r="GU87" s="101"/>
      <c r="GV87" s="101"/>
      <c r="GW87" s="101"/>
      <c r="GX87" s="101"/>
      <c r="GY87" s="101"/>
      <c r="GZ87" s="101"/>
      <c r="HA87" s="101"/>
      <c r="HB87" s="101"/>
      <c r="HC87" s="101"/>
      <c r="HD87" s="101"/>
      <c r="HE87" s="101"/>
      <c r="HF87" s="101"/>
      <c r="HG87" s="101"/>
      <c r="HH87" s="101"/>
      <c r="HI87" s="101"/>
      <c r="HJ87" s="101"/>
      <c r="HK87" s="101"/>
      <c r="HL87" s="101"/>
      <c r="HM87" s="101"/>
      <c r="KC87" s="160" t="s">
        <v>1200</v>
      </c>
      <c r="KD87" s="165" t="str">
        <f>IF($KD$53="Y",KD86,IF(BU60="Y","Y","N"))</f>
        <v>N</v>
      </c>
      <c r="KE87" s="7" t="str">
        <f t="shared" ref="KE87:KQ87" si="171">IF($KD$53="Y",KE86,IF(BV60="Y","Y","N"))</f>
        <v>N</v>
      </c>
      <c r="KF87" s="7" t="str">
        <f t="shared" si="171"/>
        <v>N</v>
      </c>
      <c r="KG87" s="7" t="str">
        <f t="shared" si="171"/>
        <v>N</v>
      </c>
      <c r="KH87" s="7" t="str">
        <f t="shared" si="171"/>
        <v>N</v>
      </c>
      <c r="KI87" s="7" t="str">
        <f t="shared" si="171"/>
        <v>N</v>
      </c>
      <c r="KJ87" s="7" t="str">
        <f t="shared" si="171"/>
        <v>N</v>
      </c>
      <c r="KK87" s="7" t="str">
        <f t="shared" si="171"/>
        <v>N</v>
      </c>
      <c r="KL87" s="7" t="str">
        <f t="shared" si="171"/>
        <v>N</v>
      </c>
      <c r="KM87" s="7" t="str">
        <f t="shared" si="171"/>
        <v>N</v>
      </c>
      <c r="KN87" s="7" t="str">
        <f t="shared" si="171"/>
        <v>N</v>
      </c>
      <c r="KO87" s="7" t="str">
        <f t="shared" si="171"/>
        <v>N</v>
      </c>
      <c r="KP87" s="7" t="str">
        <f t="shared" si="171"/>
        <v>N</v>
      </c>
      <c r="KQ87" s="7" t="str">
        <f t="shared" si="171"/>
        <v>N</v>
      </c>
      <c r="KR87"/>
      <c r="KS87"/>
      <c r="KT87"/>
      <c r="KU87"/>
      <c r="KV87"/>
      <c r="KW87"/>
      <c r="KX87"/>
      <c r="KY87"/>
      <c r="KZ87"/>
      <c r="LA87"/>
      <c r="LB87"/>
      <c r="LC87"/>
      <c r="LD87"/>
      <c r="LE87"/>
      <c r="LF87"/>
    </row>
    <row r="88" spans="1:318" s="7" customFormat="1" ht="11.25" hidden="1" customHeight="1" x14ac:dyDescent="0.2">
      <c r="A88"/>
      <c r="G88" s="68">
        <f t="shared" ref="G88:G125" si="172">IF(ISERR(FIND(".",G14)),0,LEN(MID(G14,FIND(".",G14)+1,15)))</f>
        <v>0</v>
      </c>
      <c r="H88" s="54"/>
      <c r="I88" s="54">
        <f t="shared" ref="I88:I125" si="173">IF(ISERR(FIND(".",I14)),0,LEN(MID(I14,FIND(".",I14)+1,15)))</f>
        <v>0</v>
      </c>
      <c r="J88" s="54"/>
      <c r="K88" s="54">
        <f t="shared" ref="K88:K125" si="174">IF(ISERR(FIND(".",K14)),0,LEN(MID(K14,FIND(".",K14)+1,15)))</f>
        <v>0</v>
      </c>
      <c r="L88" s="54"/>
      <c r="M88" s="54">
        <f t="shared" ref="M88:M125" si="175">IF(ISERR(FIND(".",M14)),0,LEN(MID(M14,FIND(".",M14)+1,15)))</f>
        <v>0</v>
      </c>
      <c r="N88" s="54"/>
      <c r="O88" s="54">
        <f t="shared" ref="O88:O125" si="176">IF(ISERR(FIND(".",O14)),0,LEN(MID(O14,FIND(".",O14)+1,15)))</f>
        <v>0</v>
      </c>
      <c r="P88" s="54"/>
      <c r="Q88" s="54">
        <f t="shared" ref="Q88:Q125" si="177">IF(ISERR(FIND(".",Q14)),0,LEN(MID(Q14,FIND(".",Q14)+1,15)))</f>
        <v>0</v>
      </c>
      <c r="R88" s="54"/>
      <c r="S88" s="54">
        <f t="shared" ref="S88:S125" si="178">IF(ISERR(FIND(".",S14)),0,LEN(MID(S14,FIND(".",S14)+1,15)))</f>
        <v>0</v>
      </c>
      <c r="T88" s="54"/>
      <c r="U88" s="54">
        <f t="shared" ref="U88:U125" si="179">IF(ISERR(FIND(".",U14)),0,LEN(MID(U14,FIND(".",U14)+1,15)))</f>
        <v>0</v>
      </c>
      <c r="V88" s="54"/>
      <c r="W88" s="54">
        <f t="shared" ref="W88:W125" si="180">IF(ISERR(FIND(".",W14)),0,LEN(MID(W14,FIND(".",W14)+1,15)))</f>
        <v>0</v>
      </c>
      <c r="X88" s="207"/>
      <c r="Y88" s="54">
        <f t="shared" ref="Y88:Y125" si="181">IF(ISERR(FIND(".",Y14)),0,LEN(MID(Y14,FIND(".",Y14)+1,15)))</f>
        <v>0</v>
      </c>
      <c r="Z88" s="54"/>
      <c r="AA88" s="54">
        <f t="shared" ref="AA88:AA125" si="182">IF(ISERR(FIND(".",AA14)),0,LEN(MID(AA14,FIND(".",AA14)+1,15)))</f>
        <v>0</v>
      </c>
      <c r="AB88" s="54"/>
      <c r="AC88" s="54">
        <f t="shared" ref="AC88:AC125" si="183">IF(ISERR(FIND(".",AC14)),0,LEN(MID(AC14,FIND(".",AC14)+1,15)))</f>
        <v>0</v>
      </c>
      <c r="AD88" s="54"/>
      <c r="AE88" s="54">
        <f t="shared" ref="AE88:AE125" si="184">IF(ISERR(FIND(".",AE14)),0,LEN(MID(AE14,FIND(".",AE14)+1,15)))</f>
        <v>0</v>
      </c>
      <c r="AF88" s="54"/>
      <c r="AG88" s="54">
        <f t="shared" ref="AG88:AG125" si="185">IF(ISERR(FIND(".",AG14)),0,LEN(MID(AG14,FIND(".",AG14)+1,15)))</f>
        <v>0</v>
      </c>
      <c r="AH88" s="54"/>
      <c r="AI88" s="54">
        <f t="shared" ref="AI88:AI125" si="186">IF(ISERR(FIND(".",AI14)),0,LEN(MID(AI14,FIND(".",AI14)+1,15)))</f>
        <v>0</v>
      </c>
      <c r="AJ88" s="199"/>
      <c r="AK88"/>
      <c r="AL88"/>
      <c r="AM88"/>
      <c r="AN88"/>
      <c r="AO88"/>
      <c r="AP88"/>
      <c r="AQ88"/>
      <c r="AR88"/>
      <c r="AS88"/>
      <c r="AT88"/>
      <c r="AU88"/>
      <c r="AV88"/>
      <c r="AW88"/>
      <c r="AX88"/>
      <c r="AY88"/>
      <c r="AZ88"/>
      <c r="BA88"/>
      <c r="BB88"/>
      <c r="BC88"/>
      <c r="BD88"/>
      <c r="BE88"/>
      <c r="BF88"/>
      <c r="BG88"/>
      <c r="BH88"/>
      <c r="BI88"/>
      <c r="BJ88"/>
      <c r="BK88"/>
      <c r="BL88"/>
      <c r="BM88"/>
      <c r="CX88"/>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1"/>
      <c r="EC88"/>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105"/>
      <c r="GK88" s="101"/>
      <c r="GL88" s="101"/>
      <c r="GM88" s="101"/>
      <c r="GN88" s="101"/>
      <c r="GO88" s="101"/>
      <c r="GP88" s="101"/>
      <c r="GQ88" s="101"/>
      <c r="GR88" s="101"/>
      <c r="GS88" s="101"/>
      <c r="GT88" s="101"/>
      <c r="GU88" s="101"/>
      <c r="GV88" s="101"/>
      <c r="GW88" s="101"/>
      <c r="GX88" s="101"/>
      <c r="GY88" s="101"/>
      <c r="GZ88" s="101"/>
      <c r="HA88" s="101"/>
      <c r="HB88" s="101"/>
      <c r="HC88" s="101"/>
      <c r="HD88" s="101"/>
      <c r="HE88" s="101"/>
      <c r="HF88" s="101"/>
      <c r="HG88" s="101"/>
      <c r="HH88" s="101"/>
      <c r="HI88" s="101"/>
      <c r="HJ88" s="101"/>
      <c r="HK88" s="101"/>
      <c r="HL88" s="101"/>
      <c r="HM88" s="101"/>
      <c r="KC88" s="160" t="s">
        <v>1201</v>
      </c>
      <c r="KD88" s="7">
        <f>COUNTIF(KD31:KD37,"A")</f>
        <v>0</v>
      </c>
      <c r="KE88" s="7">
        <f t="shared" ref="KE88:KQ88" si="187">COUNTIF(KE31:KE37,"A")</f>
        <v>0</v>
      </c>
      <c r="KF88" s="7">
        <f t="shared" si="187"/>
        <v>0</v>
      </c>
      <c r="KG88" s="7">
        <f t="shared" si="187"/>
        <v>0</v>
      </c>
      <c r="KH88" s="7">
        <f t="shared" si="187"/>
        <v>0</v>
      </c>
      <c r="KI88" s="7">
        <f t="shared" si="187"/>
        <v>0</v>
      </c>
      <c r="KJ88" s="7">
        <f t="shared" si="187"/>
        <v>0</v>
      </c>
      <c r="KK88" s="7">
        <f t="shared" si="187"/>
        <v>0</v>
      </c>
      <c r="KL88" s="7">
        <f t="shared" si="187"/>
        <v>0</v>
      </c>
      <c r="KM88" s="7">
        <f t="shared" si="187"/>
        <v>0</v>
      </c>
      <c r="KN88" s="7">
        <f t="shared" si="187"/>
        <v>0</v>
      </c>
      <c r="KO88" s="7">
        <f t="shared" si="187"/>
        <v>0</v>
      </c>
      <c r="KP88" s="7">
        <f t="shared" si="187"/>
        <v>0</v>
      </c>
      <c r="KQ88" s="7">
        <f t="shared" si="187"/>
        <v>0</v>
      </c>
      <c r="KR88"/>
      <c r="KS88"/>
      <c r="KT88"/>
      <c r="KU88"/>
      <c r="KV88"/>
      <c r="KW88"/>
      <c r="KX88"/>
      <c r="KY88"/>
      <c r="KZ88"/>
      <c r="LA88"/>
      <c r="LB88"/>
      <c r="LC88"/>
      <c r="LD88"/>
      <c r="LE88"/>
      <c r="LF88"/>
    </row>
    <row r="89" spans="1:318" s="7" customFormat="1" ht="11.25" hidden="1" customHeight="1" x14ac:dyDescent="0.2">
      <c r="A89"/>
      <c r="G89" s="68">
        <f t="shared" si="172"/>
        <v>0</v>
      </c>
      <c r="H89" s="54"/>
      <c r="I89" s="54">
        <f t="shared" si="173"/>
        <v>0</v>
      </c>
      <c r="J89" s="54"/>
      <c r="K89" s="54">
        <f t="shared" si="174"/>
        <v>0</v>
      </c>
      <c r="L89" s="54"/>
      <c r="M89" s="54">
        <f t="shared" si="175"/>
        <v>0</v>
      </c>
      <c r="N89" s="54"/>
      <c r="O89" s="54">
        <f t="shared" si="176"/>
        <v>0</v>
      </c>
      <c r="P89" s="54"/>
      <c r="Q89" s="54">
        <f t="shared" si="177"/>
        <v>0</v>
      </c>
      <c r="R89" s="54"/>
      <c r="S89" s="54">
        <f t="shared" si="178"/>
        <v>0</v>
      </c>
      <c r="T89" s="54"/>
      <c r="U89" s="54">
        <f t="shared" si="179"/>
        <v>0</v>
      </c>
      <c r="V89" s="54"/>
      <c r="W89" s="54">
        <f t="shared" si="180"/>
        <v>0</v>
      </c>
      <c r="X89" s="207"/>
      <c r="Y89" s="54">
        <f t="shared" si="181"/>
        <v>0</v>
      </c>
      <c r="Z89" s="54"/>
      <c r="AA89" s="54">
        <f t="shared" si="182"/>
        <v>0</v>
      </c>
      <c r="AB89" s="54"/>
      <c r="AC89" s="54">
        <f t="shared" si="183"/>
        <v>0</v>
      </c>
      <c r="AD89" s="54"/>
      <c r="AE89" s="54">
        <f t="shared" si="184"/>
        <v>0</v>
      </c>
      <c r="AF89" s="54"/>
      <c r="AG89" s="54">
        <f t="shared" si="185"/>
        <v>0</v>
      </c>
      <c r="AH89" s="54"/>
      <c r="AI89" s="54">
        <f t="shared" si="186"/>
        <v>0</v>
      </c>
      <c r="AJ89" s="199"/>
      <c r="AK89"/>
      <c r="AL89"/>
      <c r="AM89"/>
      <c r="AN89"/>
      <c r="AO89"/>
      <c r="AP89"/>
      <c r="AQ89"/>
      <c r="AR89"/>
      <c r="AS89"/>
      <c r="AT89"/>
      <c r="AU89"/>
      <c r="AV89"/>
      <c r="AW89"/>
      <c r="AX89"/>
      <c r="AY89"/>
      <c r="AZ89"/>
      <c r="BA89"/>
      <c r="BB89"/>
      <c r="BC89"/>
      <c r="BD89"/>
      <c r="BE89"/>
      <c r="BF89"/>
      <c r="BG89"/>
      <c r="BH89"/>
      <c r="BI89"/>
      <c r="BJ89"/>
      <c r="BK89"/>
      <c r="BL89"/>
      <c r="BM89"/>
      <c r="CX89"/>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12"/>
      <c r="GL89" s="12"/>
      <c r="GM89" s="12"/>
      <c r="GN89" s="12"/>
      <c r="GO89" s="12"/>
      <c r="GP89" s="12"/>
      <c r="GQ89" s="12"/>
      <c r="GR89" s="12"/>
      <c r="GS89" s="12"/>
      <c r="GT89" s="12"/>
      <c r="GU89" s="12"/>
      <c r="GV89" s="12"/>
      <c r="GW89" s="12"/>
      <c r="GX89" s="12"/>
      <c r="GY89" s="12"/>
      <c r="GZ89" s="12"/>
      <c r="HA89" s="12"/>
      <c r="HB89" s="12"/>
      <c r="HC89" s="12"/>
      <c r="HD89" s="12"/>
      <c r="HE89" s="12"/>
      <c r="HF89" s="12"/>
      <c r="HG89" s="12"/>
      <c r="HH89" s="12"/>
      <c r="HI89" s="12"/>
      <c r="HJ89" s="12"/>
      <c r="HK89" s="12"/>
      <c r="HL89" s="12"/>
      <c r="HM89" s="12"/>
      <c r="KC89" s="160" t="s">
        <v>1202</v>
      </c>
      <c r="KD89" s="7">
        <f>COUNTIF(KD31:KD37,"B")</f>
        <v>0</v>
      </c>
      <c r="KE89" s="7">
        <f t="shared" ref="KE89:KQ89" si="188">COUNTIF(KE31:KE37,"B")</f>
        <v>0</v>
      </c>
      <c r="KF89" s="7">
        <f t="shared" si="188"/>
        <v>0</v>
      </c>
      <c r="KG89" s="7">
        <f t="shared" si="188"/>
        <v>0</v>
      </c>
      <c r="KH89" s="7">
        <f t="shared" si="188"/>
        <v>0</v>
      </c>
      <c r="KI89" s="7">
        <f t="shared" si="188"/>
        <v>0</v>
      </c>
      <c r="KJ89" s="7">
        <f t="shared" si="188"/>
        <v>0</v>
      </c>
      <c r="KK89" s="7">
        <f t="shared" si="188"/>
        <v>0</v>
      </c>
      <c r="KL89" s="7">
        <f t="shared" si="188"/>
        <v>0</v>
      </c>
      <c r="KM89" s="7">
        <f t="shared" si="188"/>
        <v>0</v>
      </c>
      <c r="KN89" s="7">
        <f t="shared" si="188"/>
        <v>0</v>
      </c>
      <c r="KO89" s="7">
        <f t="shared" si="188"/>
        <v>0</v>
      </c>
      <c r="KP89" s="7">
        <f t="shared" si="188"/>
        <v>0</v>
      </c>
      <c r="KQ89" s="7">
        <f t="shared" si="188"/>
        <v>0</v>
      </c>
      <c r="KR89"/>
      <c r="KS89"/>
      <c r="KT89"/>
      <c r="KU89"/>
      <c r="KV89"/>
      <c r="KW89"/>
      <c r="KX89"/>
      <c r="KY89"/>
      <c r="KZ89"/>
      <c r="LA89"/>
      <c r="LB89"/>
      <c r="LC89"/>
      <c r="LD89"/>
      <c r="LE89"/>
      <c r="LF89"/>
    </row>
    <row r="90" spans="1:318" s="7" customFormat="1" ht="11.25" hidden="1" customHeight="1" x14ac:dyDescent="0.2">
      <c r="A90"/>
      <c r="G90" s="68">
        <f t="shared" si="172"/>
        <v>0</v>
      </c>
      <c r="H90" s="54"/>
      <c r="I90" s="54">
        <f t="shared" si="173"/>
        <v>0</v>
      </c>
      <c r="J90" s="54"/>
      <c r="K90" s="54">
        <f t="shared" si="174"/>
        <v>0</v>
      </c>
      <c r="L90" s="54"/>
      <c r="M90" s="54">
        <f t="shared" si="175"/>
        <v>0</v>
      </c>
      <c r="N90" s="54"/>
      <c r="O90" s="54">
        <f t="shared" si="176"/>
        <v>0</v>
      </c>
      <c r="P90" s="54"/>
      <c r="Q90" s="54">
        <f t="shared" si="177"/>
        <v>0</v>
      </c>
      <c r="R90" s="54"/>
      <c r="S90" s="54">
        <f t="shared" si="178"/>
        <v>0</v>
      </c>
      <c r="T90" s="54"/>
      <c r="U90" s="54">
        <f t="shared" si="179"/>
        <v>0</v>
      </c>
      <c r="V90" s="54"/>
      <c r="W90" s="54">
        <f t="shared" si="180"/>
        <v>0</v>
      </c>
      <c r="X90" s="207"/>
      <c r="Y90" s="54">
        <f t="shared" si="181"/>
        <v>0</v>
      </c>
      <c r="Z90" s="54"/>
      <c r="AA90" s="54">
        <f t="shared" si="182"/>
        <v>0</v>
      </c>
      <c r="AB90" s="54"/>
      <c r="AC90" s="54">
        <f t="shared" si="183"/>
        <v>0</v>
      </c>
      <c r="AD90" s="54"/>
      <c r="AE90" s="54">
        <f t="shared" si="184"/>
        <v>0</v>
      </c>
      <c r="AF90" s="54"/>
      <c r="AG90" s="54">
        <f t="shared" si="185"/>
        <v>0</v>
      </c>
      <c r="AH90" s="54"/>
      <c r="AI90" s="54">
        <f t="shared" si="186"/>
        <v>0</v>
      </c>
      <c r="AJ90" s="199"/>
      <c r="AK90"/>
      <c r="AL90"/>
      <c r="AM90"/>
      <c r="AN90"/>
      <c r="AO90"/>
      <c r="AP90"/>
      <c r="AQ90"/>
      <c r="AR90"/>
      <c r="AS90"/>
      <c r="AT90"/>
      <c r="AU90"/>
      <c r="AV90"/>
      <c r="AW90"/>
      <c r="AX90"/>
      <c r="AY90"/>
      <c r="AZ90"/>
      <c r="BA90"/>
      <c r="BB90"/>
      <c r="BC90"/>
      <c r="BD90"/>
      <c r="BE90"/>
      <c r="BF90"/>
      <c r="BG90"/>
      <c r="BH90"/>
      <c r="BI90"/>
      <c r="BJ90"/>
      <c r="BK90"/>
      <c r="BL90"/>
      <c r="BM90"/>
      <c r="CX90"/>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12"/>
      <c r="GL90" s="12"/>
      <c r="GM90" s="12"/>
      <c r="GN90" s="12"/>
      <c r="GO90" s="12"/>
      <c r="GP90" s="12"/>
      <c r="GQ90" s="12"/>
      <c r="GR90" s="12"/>
      <c r="GS90" s="12"/>
      <c r="GT90" s="12"/>
      <c r="GU90" s="12"/>
      <c r="GV90" s="12"/>
      <c r="GW90" s="12"/>
      <c r="GX90" s="12"/>
      <c r="GY90" s="12"/>
      <c r="GZ90" s="12"/>
      <c r="HA90" s="12"/>
      <c r="HB90" s="12"/>
      <c r="HC90" s="12"/>
      <c r="HD90" s="12"/>
      <c r="HE90" s="12"/>
      <c r="HF90" s="12"/>
      <c r="HG90" s="12"/>
      <c r="HH90" s="12"/>
      <c r="HI90" s="12"/>
      <c r="HJ90" s="12"/>
      <c r="HK90" s="12"/>
      <c r="HL90" s="12"/>
      <c r="HM90" s="12"/>
      <c r="KC90" s="160" t="s">
        <v>1203</v>
      </c>
      <c r="KD90" s="7">
        <f>COUNTIF(KD31:KD37,"C")</f>
        <v>0</v>
      </c>
      <c r="KE90" s="7">
        <f t="shared" ref="KE90:KQ90" si="189">COUNTIF(KE31:KE37,"C")</f>
        <v>0</v>
      </c>
      <c r="KF90" s="7">
        <f t="shared" si="189"/>
        <v>0</v>
      </c>
      <c r="KG90" s="7">
        <f t="shared" si="189"/>
        <v>0</v>
      </c>
      <c r="KH90" s="7">
        <f t="shared" si="189"/>
        <v>0</v>
      </c>
      <c r="KI90" s="7">
        <f t="shared" si="189"/>
        <v>0</v>
      </c>
      <c r="KJ90" s="7">
        <f t="shared" si="189"/>
        <v>0</v>
      </c>
      <c r="KK90" s="7">
        <f t="shared" si="189"/>
        <v>0</v>
      </c>
      <c r="KL90" s="7">
        <f t="shared" si="189"/>
        <v>0</v>
      </c>
      <c r="KM90" s="7">
        <f t="shared" si="189"/>
        <v>0</v>
      </c>
      <c r="KN90" s="7">
        <f t="shared" si="189"/>
        <v>0</v>
      </c>
      <c r="KO90" s="7">
        <f t="shared" si="189"/>
        <v>0</v>
      </c>
      <c r="KP90" s="7">
        <f t="shared" si="189"/>
        <v>0</v>
      </c>
      <c r="KQ90" s="7">
        <f t="shared" si="189"/>
        <v>0</v>
      </c>
      <c r="KR90"/>
      <c r="KS90"/>
      <c r="KT90"/>
      <c r="KU90"/>
      <c r="KV90"/>
      <c r="KW90"/>
      <c r="KX90"/>
      <c r="KY90"/>
      <c r="KZ90"/>
      <c r="LA90"/>
      <c r="LB90"/>
      <c r="LC90"/>
      <c r="LD90"/>
      <c r="LE90"/>
      <c r="LF90"/>
    </row>
    <row r="91" spans="1:318" s="7" customFormat="1" ht="11.25" hidden="1" customHeight="1" x14ac:dyDescent="0.2">
      <c r="A91"/>
      <c r="G91" s="68">
        <f t="shared" si="172"/>
        <v>0</v>
      </c>
      <c r="H91" s="54"/>
      <c r="I91" s="54">
        <f t="shared" si="173"/>
        <v>0</v>
      </c>
      <c r="J91" s="54"/>
      <c r="K91" s="54">
        <f t="shared" si="174"/>
        <v>0</v>
      </c>
      <c r="L91" s="54"/>
      <c r="M91" s="54">
        <f t="shared" si="175"/>
        <v>0</v>
      </c>
      <c r="N91" s="54"/>
      <c r="O91" s="54">
        <f t="shared" si="176"/>
        <v>0</v>
      </c>
      <c r="P91" s="54"/>
      <c r="Q91" s="54">
        <f t="shared" si="177"/>
        <v>0</v>
      </c>
      <c r="R91" s="54"/>
      <c r="S91" s="54">
        <f t="shared" si="178"/>
        <v>0</v>
      </c>
      <c r="T91" s="54"/>
      <c r="U91" s="54">
        <f t="shared" si="179"/>
        <v>0</v>
      </c>
      <c r="V91" s="54"/>
      <c r="W91" s="54">
        <f t="shared" si="180"/>
        <v>0</v>
      </c>
      <c r="X91" s="207"/>
      <c r="Y91" s="54">
        <f t="shared" si="181"/>
        <v>0</v>
      </c>
      <c r="Z91" s="54"/>
      <c r="AA91" s="54">
        <f t="shared" si="182"/>
        <v>0</v>
      </c>
      <c r="AB91" s="54"/>
      <c r="AC91" s="54">
        <f t="shared" si="183"/>
        <v>0</v>
      </c>
      <c r="AD91" s="54"/>
      <c r="AE91" s="54">
        <f t="shared" si="184"/>
        <v>0</v>
      </c>
      <c r="AF91" s="54"/>
      <c r="AG91" s="54">
        <f t="shared" si="185"/>
        <v>0</v>
      </c>
      <c r="AH91" s="54"/>
      <c r="AI91" s="54">
        <f t="shared" si="186"/>
        <v>0</v>
      </c>
      <c r="AJ91" s="199"/>
      <c r="AK91"/>
      <c r="AL91"/>
      <c r="AM91"/>
      <c r="AN91"/>
      <c r="AO91"/>
      <c r="AP91"/>
      <c r="AQ91"/>
      <c r="AR91"/>
      <c r="AS91"/>
      <c r="AT91"/>
      <c r="AU91"/>
      <c r="AV91"/>
      <c r="AW91"/>
      <c r="AX91"/>
      <c r="AY91"/>
      <c r="AZ91"/>
      <c r="BA91"/>
      <c r="BB91"/>
      <c r="BC91"/>
      <c r="BD91"/>
      <c r="BE91"/>
      <c r="BF91"/>
      <c r="BG91"/>
      <c r="BH91"/>
      <c r="BI91"/>
      <c r="BJ91"/>
      <c r="BK91"/>
      <c r="BL91"/>
      <c r="BM91"/>
      <c r="CX91"/>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KC91" s="160" t="s">
        <v>839</v>
      </c>
      <c r="KD91" s="7">
        <f>SUM(KD88:KD90)</f>
        <v>0</v>
      </c>
      <c r="KE91" s="7">
        <f t="shared" ref="KE91:KQ91" si="190">SUM(KE88:KE90)</f>
        <v>0</v>
      </c>
      <c r="KF91" s="7">
        <f t="shared" si="190"/>
        <v>0</v>
      </c>
      <c r="KG91" s="7">
        <f t="shared" si="190"/>
        <v>0</v>
      </c>
      <c r="KH91" s="7">
        <f t="shared" si="190"/>
        <v>0</v>
      </c>
      <c r="KI91" s="7">
        <f t="shared" si="190"/>
        <v>0</v>
      </c>
      <c r="KJ91" s="7">
        <f t="shared" si="190"/>
        <v>0</v>
      </c>
      <c r="KK91" s="7">
        <f t="shared" si="190"/>
        <v>0</v>
      </c>
      <c r="KL91" s="7">
        <f t="shared" si="190"/>
        <v>0</v>
      </c>
      <c r="KM91" s="7">
        <f t="shared" si="190"/>
        <v>0</v>
      </c>
      <c r="KN91" s="7">
        <f t="shared" si="190"/>
        <v>0</v>
      </c>
      <c r="KO91" s="7">
        <f t="shared" si="190"/>
        <v>0</v>
      </c>
      <c r="KP91" s="7">
        <f t="shared" si="190"/>
        <v>0</v>
      </c>
      <c r="KQ91" s="7">
        <f t="shared" si="190"/>
        <v>0</v>
      </c>
      <c r="KR91"/>
      <c r="KS91"/>
      <c r="KT91"/>
      <c r="KU91"/>
      <c r="KV91"/>
      <c r="KW91"/>
      <c r="KX91"/>
      <c r="KY91"/>
      <c r="KZ91"/>
      <c r="LA91"/>
      <c r="LB91"/>
      <c r="LC91"/>
      <c r="LD91"/>
      <c r="LE91"/>
      <c r="LF91"/>
    </row>
    <row r="92" spans="1:318" s="7" customFormat="1" ht="11.25" hidden="1" customHeight="1" x14ac:dyDescent="0.2">
      <c r="A92"/>
      <c r="G92" s="68">
        <f t="shared" si="172"/>
        <v>0</v>
      </c>
      <c r="H92" s="54"/>
      <c r="I92" s="54">
        <f t="shared" si="173"/>
        <v>0</v>
      </c>
      <c r="J92" s="54"/>
      <c r="K92" s="54">
        <f t="shared" si="174"/>
        <v>0</v>
      </c>
      <c r="L92" s="54"/>
      <c r="M92" s="54">
        <f t="shared" si="175"/>
        <v>0</v>
      </c>
      <c r="N92" s="54"/>
      <c r="O92" s="54">
        <f t="shared" si="176"/>
        <v>0</v>
      </c>
      <c r="P92" s="54"/>
      <c r="Q92" s="54">
        <f t="shared" si="177"/>
        <v>0</v>
      </c>
      <c r="R92" s="54"/>
      <c r="S92" s="54">
        <f t="shared" si="178"/>
        <v>0</v>
      </c>
      <c r="T92" s="54"/>
      <c r="U92" s="54">
        <f t="shared" si="179"/>
        <v>0</v>
      </c>
      <c r="V92" s="54"/>
      <c r="W92" s="54">
        <f t="shared" si="180"/>
        <v>0</v>
      </c>
      <c r="X92" s="207"/>
      <c r="Y92" s="54">
        <f t="shared" si="181"/>
        <v>0</v>
      </c>
      <c r="Z92" s="54"/>
      <c r="AA92" s="54">
        <f t="shared" si="182"/>
        <v>0</v>
      </c>
      <c r="AB92" s="54"/>
      <c r="AC92" s="54">
        <f t="shared" si="183"/>
        <v>0</v>
      </c>
      <c r="AD92" s="54"/>
      <c r="AE92" s="54">
        <f t="shared" si="184"/>
        <v>0</v>
      </c>
      <c r="AF92" s="54"/>
      <c r="AG92" s="54">
        <f t="shared" si="185"/>
        <v>0</v>
      </c>
      <c r="AH92" s="54"/>
      <c r="AI92" s="54">
        <f t="shared" si="186"/>
        <v>0</v>
      </c>
      <c r="AJ92" s="199"/>
      <c r="AK92"/>
      <c r="AL92"/>
      <c r="AM92"/>
      <c r="AN92"/>
      <c r="AO92"/>
      <c r="AP92"/>
      <c r="AQ92"/>
      <c r="AR92"/>
      <c r="AS92"/>
      <c r="AT92"/>
      <c r="AU92"/>
      <c r="AV92"/>
      <c r="AW92"/>
      <c r="AX92"/>
      <c r="AY92"/>
      <c r="AZ92"/>
      <c r="BA92"/>
      <c r="BB92"/>
      <c r="BC92"/>
      <c r="BD92"/>
      <c r="BE92"/>
      <c r="BF92"/>
      <c r="BG92"/>
      <c r="BH92"/>
      <c r="BI92"/>
      <c r="BJ92"/>
      <c r="BK92"/>
      <c r="BL92"/>
      <c r="BM92"/>
      <c r="CX9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KC92" s="160" t="s">
        <v>1182</v>
      </c>
      <c r="KD92" s="7" t="str">
        <f>IF(KD91&lt;&gt;0,IF(OR(KD88=KD91,(KD88+KD89)=KD91),"Y",IF(OR(AND(KD89=0,KD90&gt;0),KD90=KD91),"N","Y")),"")</f>
        <v/>
      </c>
      <c r="KE92" s="7" t="str">
        <f t="shared" ref="KE92:KQ92" si="191">IF(KE91&lt;&gt;0,IF(OR(KE88=KE91,(KE88+KE89)=KE91),"Y",IF(OR(AND(KE89=0,KE90&gt;0),KE90=KE91),"N","Y")),"")</f>
        <v/>
      </c>
      <c r="KF92" s="7" t="str">
        <f t="shared" si="191"/>
        <v/>
      </c>
      <c r="KG92" s="7" t="str">
        <f t="shared" si="191"/>
        <v/>
      </c>
      <c r="KH92" s="7" t="str">
        <f t="shared" si="191"/>
        <v/>
      </c>
      <c r="KI92" s="7" t="str">
        <f t="shared" si="191"/>
        <v/>
      </c>
      <c r="KJ92" s="7" t="str">
        <f t="shared" si="191"/>
        <v/>
      </c>
      <c r="KK92" s="7" t="str">
        <f t="shared" si="191"/>
        <v/>
      </c>
      <c r="KL92" s="7" t="str">
        <f t="shared" si="191"/>
        <v/>
      </c>
      <c r="KM92" s="7" t="str">
        <f t="shared" si="191"/>
        <v/>
      </c>
      <c r="KN92" s="7" t="str">
        <f t="shared" si="191"/>
        <v/>
      </c>
      <c r="KO92" s="7" t="str">
        <f t="shared" si="191"/>
        <v/>
      </c>
      <c r="KP92" s="7" t="str">
        <f t="shared" si="191"/>
        <v/>
      </c>
      <c r="KQ92" s="7" t="str">
        <f t="shared" si="191"/>
        <v/>
      </c>
      <c r="KR92"/>
      <c r="KS92"/>
      <c r="KT92"/>
      <c r="KU92"/>
      <c r="KV92"/>
      <c r="KW92"/>
      <c r="KX92"/>
      <c r="KY92"/>
      <c r="KZ92"/>
      <c r="LA92"/>
      <c r="LB92"/>
      <c r="LC92"/>
      <c r="LD92"/>
      <c r="LE92"/>
      <c r="LF92"/>
    </row>
    <row r="93" spans="1:318" s="7" customFormat="1" ht="11.25" hidden="1" customHeight="1" x14ac:dyDescent="0.2">
      <c r="A93"/>
      <c r="G93" s="68">
        <f t="shared" si="172"/>
        <v>0</v>
      </c>
      <c r="H93" s="54"/>
      <c r="I93" s="54">
        <f t="shared" si="173"/>
        <v>0</v>
      </c>
      <c r="J93" s="54"/>
      <c r="K93" s="54">
        <f t="shared" si="174"/>
        <v>0</v>
      </c>
      <c r="L93" s="54"/>
      <c r="M93" s="54">
        <f t="shared" si="175"/>
        <v>0</v>
      </c>
      <c r="N93" s="54"/>
      <c r="O93" s="54">
        <f t="shared" si="176"/>
        <v>0</v>
      </c>
      <c r="P93" s="54"/>
      <c r="Q93" s="54">
        <f t="shared" si="177"/>
        <v>0</v>
      </c>
      <c r="R93" s="54"/>
      <c r="S93" s="54">
        <f t="shared" si="178"/>
        <v>0</v>
      </c>
      <c r="T93" s="54"/>
      <c r="U93" s="54">
        <f t="shared" si="179"/>
        <v>0</v>
      </c>
      <c r="V93" s="54"/>
      <c r="W93" s="54">
        <f t="shared" si="180"/>
        <v>0</v>
      </c>
      <c r="X93" s="207"/>
      <c r="Y93" s="54">
        <f t="shared" si="181"/>
        <v>0</v>
      </c>
      <c r="Z93" s="54"/>
      <c r="AA93" s="54">
        <f t="shared" si="182"/>
        <v>0</v>
      </c>
      <c r="AB93" s="54"/>
      <c r="AC93" s="54">
        <f t="shared" si="183"/>
        <v>0</v>
      </c>
      <c r="AD93" s="54"/>
      <c r="AE93" s="54">
        <f t="shared" si="184"/>
        <v>0</v>
      </c>
      <c r="AF93" s="54"/>
      <c r="AG93" s="54">
        <f t="shared" si="185"/>
        <v>0</v>
      </c>
      <c r="AH93" s="54"/>
      <c r="AI93" s="54">
        <f t="shared" si="186"/>
        <v>0</v>
      </c>
      <c r="AJ93" s="199"/>
      <c r="AK93"/>
      <c r="AL93"/>
      <c r="AM93"/>
      <c r="AN93"/>
      <c r="AO93"/>
      <c r="AP93"/>
      <c r="AQ93"/>
      <c r="AR93"/>
      <c r="AS93"/>
      <c r="AT93"/>
      <c r="AU93"/>
      <c r="AV93"/>
      <c r="AW93"/>
      <c r="AX93"/>
      <c r="AY93"/>
      <c r="AZ93"/>
      <c r="BA93"/>
      <c r="BB93"/>
      <c r="BC93"/>
      <c r="BD93"/>
      <c r="BE93"/>
      <c r="BF93"/>
      <c r="BG93"/>
      <c r="BH93"/>
      <c r="BI93"/>
      <c r="BJ93"/>
      <c r="BK93"/>
      <c r="BL93"/>
      <c r="BM93"/>
      <c r="CX93"/>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12"/>
      <c r="GL93" s="12"/>
      <c r="GM93" s="12"/>
      <c r="GN93" s="12"/>
      <c r="GO93" s="12"/>
      <c r="GP93" s="12"/>
      <c r="GQ93" s="12"/>
      <c r="GR93" s="12"/>
      <c r="GS93" s="12"/>
      <c r="GT93" s="12"/>
      <c r="GU93" s="12"/>
      <c r="GV93" s="12"/>
      <c r="GW93" s="12"/>
      <c r="GX93" s="12"/>
      <c r="GY93" s="12"/>
      <c r="GZ93" s="12"/>
      <c r="HA93" s="12"/>
      <c r="HB93" s="12"/>
      <c r="HC93" s="12"/>
      <c r="HD93" s="12"/>
      <c r="HE93" s="12"/>
      <c r="HF93" s="12"/>
      <c r="HG93" s="12"/>
      <c r="HH93" s="12"/>
      <c r="HI93" s="12"/>
      <c r="HJ93" s="12"/>
      <c r="HK93" s="12"/>
      <c r="HL93" s="12"/>
      <c r="HM93" s="12"/>
      <c r="KC93" s="160" t="s">
        <v>1208</v>
      </c>
      <c r="KD93" s="165" t="str">
        <f>IF($KD$53="Y",KD92,IF(BU62="Y","Y","N"))</f>
        <v>N</v>
      </c>
      <c r="KE93" s="7" t="str">
        <f t="shared" ref="KE93:KQ93" si="192">IF($KD$53="Y",KE92,IF(BV62="Y","Y","N"))</f>
        <v>N</v>
      </c>
      <c r="KF93" s="7" t="str">
        <f t="shared" si="192"/>
        <v>N</v>
      </c>
      <c r="KG93" s="7" t="str">
        <f t="shared" si="192"/>
        <v>N</v>
      </c>
      <c r="KH93" s="7" t="str">
        <f t="shared" si="192"/>
        <v>N</v>
      </c>
      <c r="KI93" s="7" t="str">
        <f t="shared" si="192"/>
        <v>N</v>
      </c>
      <c r="KJ93" s="7" t="str">
        <f t="shared" si="192"/>
        <v>N</v>
      </c>
      <c r="KK93" s="7" t="str">
        <f t="shared" si="192"/>
        <v>N</v>
      </c>
      <c r="KL93" s="7" t="str">
        <f t="shared" si="192"/>
        <v>N</v>
      </c>
      <c r="KM93" s="7" t="str">
        <f t="shared" si="192"/>
        <v>N</v>
      </c>
      <c r="KN93" s="7" t="str">
        <f t="shared" si="192"/>
        <v>N</v>
      </c>
      <c r="KO93" s="7" t="str">
        <f t="shared" si="192"/>
        <v>N</v>
      </c>
      <c r="KP93" s="7" t="str">
        <f t="shared" si="192"/>
        <v>N</v>
      </c>
      <c r="KQ93" s="7" t="str">
        <f t="shared" si="192"/>
        <v>N</v>
      </c>
      <c r="KR93"/>
      <c r="KS93"/>
      <c r="KT93"/>
      <c r="KU93"/>
      <c r="KV93"/>
      <c r="KW93"/>
      <c r="KX93"/>
      <c r="KY93"/>
      <c r="KZ93"/>
      <c r="LA93"/>
      <c r="LB93"/>
      <c r="LC93"/>
      <c r="LD93"/>
      <c r="LE93"/>
      <c r="LF93"/>
    </row>
    <row r="94" spans="1:318" s="7" customFormat="1" ht="11.25" hidden="1" customHeight="1" x14ac:dyDescent="0.2">
      <c r="A94"/>
      <c r="G94" s="68">
        <f t="shared" si="172"/>
        <v>0</v>
      </c>
      <c r="H94" s="54"/>
      <c r="I94" s="54">
        <f t="shared" si="173"/>
        <v>0</v>
      </c>
      <c r="J94" s="54"/>
      <c r="K94" s="54">
        <f t="shared" si="174"/>
        <v>0</v>
      </c>
      <c r="L94" s="54"/>
      <c r="M94" s="54">
        <f t="shared" si="175"/>
        <v>0</v>
      </c>
      <c r="N94" s="54"/>
      <c r="O94" s="54">
        <f t="shared" si="176"/>
        <v>0</v>
      </c>
      <c r="P94" s="54"/>
      <c r="Q94" s="54">
        <f t="shared" si="177"/>
        <v>0</v>
      </c>
      <c r="R94" s="54"/>
      <c r="S94" s="54">
        <f t="shared" si="178"/>
        <v>0</v>
      </c>
      <c r="T94" s="54"/>
      <c r="U94" s="54">
        <f t="shared" si="179"/>
        <v>0</v>
      </c>
      <c r="V94" s="54"/>
      <c r="W94" s="54">
        <f t="shared" si="180"/>
        <v>0</v>
      </c>
      <c r="X94" s="207"/>
      <c r="Y94" s="54">
        <f t="shared" si="181"/>
        <v>0</v>
      </c>
      <c r="Z94" s="54"/>
      <c r="AA94" s="54">
        <f t="shared" si="182"/>
        <v>0</v>
      </c>
      <c r="AB94" s="54"/>
      <c r="AC94" s="54">
        <f t="shared" si="183"/>
        <v>0</v>
      </c>
      <c r="AD94" s="54"/>
      <c r="AE94" s="54">
        <f t="shared" si="184"/>
        <v>0</v>
      </c>
      <c r="AF94" s="54"/>
      <c r="AG94" s="54">
        <f t="shared" si="185"/>
        <v>0</v>
      </c>
      <c r="AH94" s="54"/>
      <c r="AI94" s="54">
        <f t="shared" si="186"/>
        <v>0</v>
      </c>
      <c r="AJ94" s="199"/>
      <c r="AK94"/>
      <c r="AL94"/>
      <c r="AM94"/>
      <c r="AN94"/>
      <c r="AO94"/>
      <c r="AP94"/>
      <c r="AQ94"/>
      <c r="AR94"/>
      <c r="AS94"/>
      <c r="AT94"/>
      <c r="AU94"/>
      <c r="AV94"/>
      <c r="AW94"/>
      <c r="AX94"/>
      <c r="AY94"/>
      <c r="AZ94"/>
      <c r="BA94"/>
      <c r="BB94"/>
      <c r="BC94"/>
      <c r="BD94"/>
      <c r="BE94"/>
      <c r="BF94"/>
      <c r="BG94"/>
      <c r="BH94"/>
      <c r="BI94"/>
      <c r="BJ94"/>
      <c r="BK94"/>
      <c r="BL94"/>
      <c r="BM94"/>
      <c r="CX94"/>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12"/>
      <c r="GL94" s="12"/>
      <c r="GM94" s="12"/>
      <c r="GN94" s="12"/>
      <c r="GO94" s="12"/>
      <c r="GP94" s="12"/>
      <c r="GQ94" s="12"/>
      <c r="GR94" s="12"/>
      <c r="GS94" s="12"/>
      <c r="GT94" s="12"/>
      <c r="GU94" s="12"/>
      <c r="GV94" s="12"/>
      <c r="GW94" s="12"/>
      <c r="GX94" s="12"/>
      <c r="GY94" s="12"/>
      <c r="GZ94" s="12"/>
      <c r="HA94" s="12"/>
      <c r="HB94" s="12"/>
      <c r="HC94" s="12"/>
      <c r="HD94" s="12"/>
      <c r="HE94" s="12"/>
      <c r="HF94" s="12"/>
      <c r="HG94" s="12"/>
      <c r="HH94" s="12"/>
      <c r="HI94" s="12"/>
      <c r="HJ94" s="12"/>
      <c r="HK94" s="12"/>
      <c r="HL94" s="12"/>
      <c r="HM94" s="12"/>
      <c r="KC94" s="160" t="s">
        <v>1204</v>
      </c>
      <c r="KD94" s="7">
        <f>COUNTIF(KD38:KD44,"A")</f>
        <v>0</v>
      </c>
      <c r="KE94" s="7">
        <f t="shared" ref="KE94:KQ94" si="193">COUNTIF(KE38:KE44,"A")</f>
        <v>0</v>
      </c>
      <c r="KF94" s="7">
        <f t="shared" si="193"/>
        <v>0</v>
      </c>
      <c r="KG94" s="7">
        <f t="shared" si="193"/>
        <v>0</v>
      </c>
      <c r="KH94" s="7">
        <f t="shared" si="193"/>
        <v>0</v>
      </c>
      <c r="KI94" s="7">
        <f t="shared" si="193"/>
        <v>0</v>
      </c>
      <c r="KJ94" s="7">
        <f t="shared" si="193"/>
        <v>0</v>
      </c>
      <c r="KK94" s="7">
        <f t="shared" si="193"/>
        <v>0</v>
      </c>
      <c r="KL94" s="7">
        <f t="shared" si="193"/>
        <v>0</v>
      </c>
      <c r="KM94" s="7">
        <f t="shared" si="193"/>
        <v>0</v>
      </c>
      <c r="KN94" s="7">
        <f t="shared" si="193"/>
        <v>0</v>
      </c>
      <c r="KO94" s="7">
        <f t="shared" si="193"/>
        <v>0</v>
      </c>
      <c r="KP94" s="7">
        <f t="shared" si="193"/>
        <v>0</v>
      </c>
      <c r="KQ94" s="7">
        <f t="shared" si="193"/>
        <v>0</v>
      </c>
      <c r="KR94"/>
      <c r="KS94"/>
      <c r="KT94"/>
      <c r="KU94"/>
      <c r="KV94"/>
      <c r="KW94"/>
      <c r="KX94"/>
      <c r="KY94"/>
      <c r="KZ94"/>
      <c r="LA94"/>
      <c r="LB94"/>
      <c r="LC94"/>
      <c r="LD94"/>
      <c r="LE94"/>
      <c r="LF94"/>
    </row>
    <row r="95" spans="1:318" s="7" customFormat="1" ht="11.25" hidden="1" customHeight="1" x14ac:dyDescent="0.2">
      <c r="A95"/>
      <c r="G95" s="68">
        <f t="shared" si="172"/>
        <v>0</v>
      </c>
      <c r="H95" s="54"/>
      <c r="I95" s="54">
        <f t="shared" si="173"/>
        <v>0</v>
      </c>
      <c r="J95" s="54"/>
      <c r="K95" s="54">
        <f t="shared" si="174"/>
        <v>0</v>
      </c>
      <c r="L95" s="54"/>
      <c r="M95" s="54">
        <f t="shared" si="175"/>
        <v>0</v>
      </c>
      <c r="N95" s="54"/>
      <c r="O95" s="54">
        <f t="shared" si="176"/>
        <v>0</v>
      </c>
      <c r="P95" s="54"/>
      <c r="Q95" s="54">
        <f t="shared" si="177"/>
        <v>0</v>
      </c>
      <c r="R95" s="54"/>
      <c r="S95" s="54">
        <f t="shared" si="178"/>
        <v>0</v>
      </c>
      <c r="T95" s="54"/>
      <c r="U95" s="54">
        <f t="shared" si="179"/>
        <v>0</v>
      </c>
      <c r="V95" s="54"/>
      <c r="W95" s="54">
        <f t="shared" si="180"/>
        <v>0</v>
      </c>
      <c r="X95" s="207"/>
      <c r="Y95" s="54">
        <f t="shared" si="181"/>
        <v>0</v>
      </c>
      <c r="Z95" s="54"/>
      <c r="AA95" s="54">
        <f t="shared" si="182"/>
        <v>0</v>
      </c>
      <c r="AB95" s="54"/>
      <c r="AC95" s="54">
        <f t="shared" si="183"/>
        <v>0</v>
      </c>
      <c r="AD95" s="54"/>
      <c r="AE95" s="54">
        <f t="shared" si="184"/>
        <v>0</v>
      </c>
      <c r="AF95" s="54"/>
      <c r="AG95" s="54">
        <f t="shared" si="185"/>
        <v>0</v>
      </c>
      <c r="AH95" s="54"/>
      <c r="AI95" s="54">
        <f t="shared" si="186"/>
        <v>0</v>
      </c>
      <c r="AJ95" s="199"/>
      <c r="AK95"/>
      <c r="AL95"/>
      <c r="AM95"/>
      <c r="AN95"/>
      <c r="AO95"/>
      <c r="AP95"/>
      <c r="AQ95"/>
      <c r="AR95"/>
      <c r="AS95"/>
      <c r="AT95"/>
      <c r="AU95"/>
      <c r="AV95"/>
      <c r="AW95"/>
      <c r="AX95"/>
      <c r="AY95"/>
      <c r="AZ95"/>
      <c r="BA95"/>
      <c r="BB95"/>
      <c r="BC95"/>
      <c r="BD95"/>
      <c r="BE95"/>
      <c r="BF95"/>
      <c r="BG95"/>
      <c r="BH95"/>
      <c r="BI95"/>
      <c r="BJ95"/>
      <c r="BK95"/>
      <c r="BL95"/>
      <c r="BM95"/>
      <c r="CX95"/>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12"/>
      <c r="GL95" s="12"/>
      <c r="GM95" s="12"/>
      <c r="GN95" s="12"/>
      <c r="GO95" s="12"/>
      <c r="GP95" s="12"/>
      <c r="GQ95" s="12"/>
      <c r="GR95" s="12"/>
      <c r="GS95" s="12"/>
      <c r="GT95" s="12"/>
      <c r="GU95" s="12"/>
      <c r="GV95" s="12"/>
      <c r="GW95" s="12"/>
      <c r="GX95" s="12"/>
      <c r="GY95" s="12"/>
      <c r="GZ95" s="12"/>
      <c r="HA95" s="12"/>
      <c r="HB95" s="12"/>
      <c r="HC95" s="12"/>
      <c r="HD95" s="12"/>
      <c r="HE95" s="12"/>
      <c r="HF95" s="12"/>
      <c r="HG95" s="12"/>
      <c r="HH95" s="12"/>
      <c r="HI95" s="12"/>
      <c r="HJ95" s="12"/>
      <c r="HK95" s="12"/>
      <c r="HL95" s="12"/>
      <c r="HM95" s="12"/>
      <c r="KC95" s="160" t="s">
        <v>1205</v>
      </c>
      <c r="KD95" s="7">
        <f>COUNTIF(KD38:KD44,"B")</f>
        <v>0</v>
      </c>
      <c r="KE95" s="7">
        <f t="shared" ref="KE95:KQ95" si="194">COUNTIF(KE38:KE44,"B")</f>
        <v>0</v>
      </c>
      <c r="KF95" s="7">
        <f t="shared" si="194"/>
        <v>0</v>
      </c>
      <c r="KG95" s="7">
        <f t="shared" si="194"/>
        <v>0</v>
      </c>
      <c r="KH95" s="7">
        <f t="shared" si="194"/>
        <v>0</v>
      </c>
      <c r="KI95" s="7">
        <f t="shared" si="194"/>
        <v>0</v>
      </c>
      <c r="KJ95" s="7">
        <f t="shared" si="194"/>
        <v>0</v>
      </c>
      <c r="KK95" s="7">
        <f t="shared" si="194"/>
        <v>0</v>
      </c>
      <c r="KL95" s="7">
        <f t="shared" si="194"/>
        <v>0</v>
      </c>
      <c r="KM95" s="7">
        <f t="shared" si="194"/>
        <v>0</v>
      </c>
      <c r="KN95" s="7">
        <f t="shared" si="194"/>
        <v>0</v>
      </c>
      <c r="KO95" s="7">
        <f t="shared" si="194"/>
        <v>0</v>
      </c>
      <c r="KP95" s="7">
        <f t="shared" si="194"/>
        <v>0</v>
      </c>
      <c r="KQ95" s="7">
        <f t="shared" si="194"/>
        <v>0</v>
      </c>
      <c r="KR95"/>
      <c r="KS95"/>
      <c r="KT95"/>
      <c r="KU95"/>
      <c r="KV95"/>
      <c r="KW95"/>
      <c r="KX95"/>
      <c r="KY95"/>
      <c r="KZ95"/>
      <c r="LA95"/>
      <c r="LB95"/>
      <c r="LC95"/>
      <c r="LD95"/>
      <c r="LE95"/>
      <c r="LF95"/>
    </row>
    <row r="96" spans="1:318" s="7" customFormat="1" ht="11.25" hidden="1" customHeight="1" x14ac:dyDescent="0.2">
      <c r="A96"/>
      <c r="G96" s="68">
        <f t="shared" si="172"/>
        <v>0</v>
      </c>
      <c r="H96" s="54"/>
      <c r="I96" s="54">
        <f t="shared" si="173"/>
        <v>0</v>
      </c>
      <c r="J96" s="54"/>
      <c r="K96" s="54">
        <f t="shared" si="174"/>
        <v>0</v>
      </c>
      <c r="L96" s="54"/>
      <c r="M96" s="54">
        <f t="shared" si="175"/>
        <v>0</v>
      </c>
      <c r="N96" s="54"/>
      <c r="O96" s="54">
        <f t="shared" si="176"/>
        <v>0</v>
      </c>
      <c r="P96" s="54"/>
      <c r="Q96" s="54">
        <f t="shared" si="177"/>
        <v>0</v>
      </c>
      <c r="R96" s="54"/>
      <c r="S96" s="54">
        <f t="shared" si="178"/>
        <v>0</v>
      </c>
      <c r="T96" s="54"/>
      <c r="U96" s="54">
        <f t="shared" si="179"/>
        <v>0</v>
      </c>
      <c r="V96" s="54"/>
      <c r="W96" s="54">
        <f t="shared" si="180"/>
        <v>0</v>
      </c>
      <c r="X96" s="207"/>
      <c r="Y96" s="54">
        <f t="shared" si="181"/>
        <v>0</v>
      </c>
      <c r="Z96" s="54"/>
      <c r="AA96" s="54">
        <f t="shared" si="182"/>
        <v>0</v>
      </c>
      <c r="AB96" s="54"/>
      <c r="AC96" s="54">
        <f t="shared" si="183"/>
        <v>0</v>
      </c>
      <c r="AD96" s="54"/>
      <c r="AE96" s="54">
        <f t="shared" si="184"/>
        <v>0</v>
      </c>
      <c r="AF96" s="54"/>
      <c r="AG96" s="54">
        <f t="shared" si="185"/>
        <v>0</v>
      </c>
      <c r="AH96" s="54"/>
      <c r="AI96" s="54">
        <f t="shared" si="186"/>
        <v>0</v>
      </c>
      <c r="AJ96" s="199"/>
      <c r="AK96"/>
      <c r="AL96"/>
      <c r="AM96"/>
      <c r="AN96"/>
      <c r="AO96"/>
      <c r="AP96"/>
      <c r="AQ96"/>
      <c r="AR96"/>
      <c r="AS96"/>
      <c r="AT96"/>
      <c r="AU96"/>
      <c r="AV96"/>
      <c r="AW96"/>
      <c r="AX96"/>
      <c r="AY96"/>
      <c r="AZ96"/>
      <c r="BA96"/>
      <c r="BB96"/>
      <c r="BC96"/>
      <c r="BD96"/>
      <c r="BE96"/>
      <c r="BF96"/>
      <c r="BG96"/>
      <c r="BH96"/>
      <c r="BI96"/>
      <c r="BJ96"/>
      <c r="BK96"/>
      <c r="BL96"/>
      <c r="BM96"/>
      <c r="CX96"/>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KC96" s="160" t="s">
        <v>1206</v>
      </c>
      <c r="KD96" s="7">
        <f>COUNTIF(KD38:KD44,"C")</f>
        <v>0</v>
      </c>
      <c r="KE96" s="7">
        <f t="shared" ref="KE96:KQ96" si="195">COUNTIF(KE38:KE44,"C")</f>
        <v>0</v>
      </c>
      <c r="KF96" s="7">
        <f t="shared" si="195"/>
        <v>0</v>
      </c>
      <c r="KG96" s="7">
        <f t="shared" si="195"/>
        <v>0</v>
      </c>
      <c r="KH96" s="7">
        <f t="shared" si="195"/>
        <v>0</v>
      </c>
      <c r="KI96" s="7">
        <f t="shared" si="195"/>
        <v>0</v>
      </c>
      <c r="KJ96" s="7">
        <f t="shared" si="195"/>
        <v>0</v>
      </c>
      <c r="KK96" s="7">
        <f t="shared" si="195"/>
        <v>0</v>
      </c>
      <c r="KL96" s="7">
        <f t="shared" si="195"/>
        <v>0</v>
      </c>
      <c r="KM96" s="7">
        <f t="shared" si="195"/>
        <v>0</v>
      </c>
      <c r="KN96" s="7">
        <f t="shared" si="195"/>
        <v>0</v>
      </c>
      <c r="KO96" s="7">
        <f t="shared" si="195"/>
        <v>0</v>
      </c>
      <c r="KP96" s="7">
        <f t="shared" si="195"/>
        <v>0</v>
      </c>
      <c r="KQ96" s="7">
        <f t="shared" si="195"/>
        <v>0</v>
      </c>
      <c r="KR96"/>
      <c r="KS96"/>
      <c r="KT96"/>
      <c r="KU96"/>
      <c r="KV96"/>
      <c r="KW96"/>
      <c r="KX96"/>
      <c r="KY96"/>
      <c r="KZ96"/>
      <c r="LA96"/>
      <c r="LB96"/>
      <c r="LC96"/>
      <c r="LD96"/>
      <c r="LE96"/>
      <c r="LF96"/>
    </row>
    <row r="97" spans="1:318" s="7" customFormat="1" ht="11.25" hidden="1" customHeight="1" x14ac:dyDescent="0.2">
      <c r="A97"/>
      <c r="G97" s="68">
        <f t="shared" si="172"/>
        <v>0</v>
      </c>
      <c r="H97" s="54"/>
      <c r="I97" s="54">
        <f t="shared" si="173"/>
        <v>0</v>
      </c>
      <c r="J97" s="54"/>
      <c r="K97" s="54">
        <f t="shared" si="174"/>
        <v>0</v>
      </c>
      <c r="L97" s="54"/>
      <c r="M97" s="54">
        <f t="shared" si="175"/>
        <v>0</v>
      </c>
      <c r="N97" s="54"/>
      <c r="O97" s="54">
        <f t="shared" si="176"/>
        <v>0</v>
      </c>
      <c r="P97" s="54"/>
      <c r="Q97" s="54">
        <f t="shared" si="177"/>
        <v>0</v>
      </c>
      <c r="R97" s="54"/>
      <c r="S97" s="54">
        <f t="shared" si="178"/>
        <v>0</v>
      </c>
      <c r="T97" s="54"/>
      <c r="U97" s="54">
        <f t="shared" si="179"/>
        <v>0</v>
      </c>
      <c r="V97" s="54"/>
      <c r="W97" s="54">
        <f t="shared" si="180"/>
        <v>0</v>
      </c>
      <c r="X97" s="207"/>
      <c r="Y97" s="54">
        <f t="shared" si="181"/>
        <v>0</v>
      </c>
      <c r="Z97" s="54"/>
      <c r="AA97" s="54">
        <f t="shared" si="182"/>
        <v>0</v>
      </c>
      <c r="AB97" s="54"/>
      <c r="AC97" s="54">
        <f t="shared" si="183"/>
        <v>0</v>
      </c>
      <c r="AD97" s="54"/>
      <c r="AE97" s="54">
        <f t="shared" si="184"/>
        <v>0</v>
      </c>
      <c r="AF97" s="54"/>
      <c r="AG97" s="54">
        <f t="shared" si="185"/>
        <v>0</v>
      </c>
      <c r="AH97" s="54"/>
      <c r="AI97" s="54">
        <f t="shared" si="186"/>
        <v>0</v>
      </c>
      <c r="AJ97" s="199"/>
      <c r="AK97"/>
      <c r="AL97"/>
      <c r="AM97"/>
      <c r="AN97"/>
      <c r="AO97"/>
      <c r="AP97"/>
      <c r="AQ97"/>
      <c r="AR97"/>
      <c r="AS97"/>
      <c r="AT97"/>
      <c r="AU97"/>
      <c r="AV97"/>
      <c r="AW97"/>
      <c r="AX97"/>
      <c r="AY97"/>
      <c r="AZ97"/>
      <c r="BA97"/>
      <c r="BB97"/>
      <c r="BC97"/>
      <c r="BD97"/>
      <c r="BE97"/>
      <c r="BF97"/>
      <c r="BG97"/>
      <c r="BH97"/>
      <c r="BI97"/>
      <c r="BJ97"/>
      <c r="BK97"/>
      <c r="BL97"/>
      <c r="BM97"/>
      <c r="CX97"/>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12"/>
      <c r="GL97" s="12"/>
      <c r="GM97" s="12"/>
      <c r="GN97" s="12"/>
      <c r="GO97" s="12"/>
      <c r="GP97" s="12"/>
      <c r="GQ97" s="12"/>
      <c r="GR97" s="12"/>
      <c r="GS97" s="12"/>
      <c r="GT97" s="12"/>
      <c r="GU97" s="12"/>
      <c r="GV97" s="12"/>
      <c r="GW97" s="12"/>
      <c r="GX97" s="12"/>
      <c r="GY97" s="12"/>
      <c r="GZ97" s="12"/>
      <c r="HA97" s="12"/>
      <c r="HB97" s="12"/>
      <c r="HC97" s="12"/>
      <c r="HD97" s="12"/>
      <c r="HE97" s="12"/>
      <c r="HF97" s="12"/>
      <c r="HG97" s="12"/>
      <c r="HH97" s="12"/>
      <c r="HI97" s="12"/>
      <c r="HJ97" s="12"/>
      <c r="HK97" s="12"/>
      <c r="HL97" s="12"/>
      <c r="HM97" s="12"/>
      <c r="KC97" s="160" t="s">
        <v>839</v>
      </c>
      <c r="KD97" s="7">
        <f>SUM(KD94:KD96)</f>
        <v>0</v>
      </c>
      <c r="KE97" s="7">
        <f t="shared" ref="KE97:KQ97" si="196">SUM(KE94:KE96)</f>
        <v>0</v>
      </c>
      <c r="KF97" s="7">
        <f t="shared" si="196"/>
        <v>0</v>
      </c>
      <c r="KG97" s="7">
        <f t="shared" si="196"/>
        <v>0</v>
      </c>
      <c r="KH97" s="7">
        <f t="shared" si="196"/>
        <v>0</v>
      </c>
      <c r="KI97" s="7">
        <f t="shared" si="196"/>
        <v>0</v>
      </c>
      <c r="KJ97" s="7">
        <f t="shared" si="196"/>
        <v>0</v>
      </c>
      <c r="KK97" s="7">
        <f t="shared" si="196"/>
        <v>0</v>
      </c>
      <c r="KL97" s="7">
        <f t="shared" si="196"/>
        <v>0</v>
      </c>
      <c r="KM97" s="7">
        <f t="shared" si="196"/>
        <v>0</v>
      </c>
      <c r="KN97" s="7">
        <f t="shared" si="196"/>
        <v>0</v>
      </c>
      <c r="KO97" s="7">
        <f t="shared" si="196"/>
        <v>0</v>
      </c>
      <c r="KP97" s="7">
        <f t="shared" si="196"/>
        <v>0</v>
      </c>
      <c r="KQ97" s="7">
        <f t="shared" si="196"/>
        <v>0</v>
      </c>
      <c r="KR97"/>
      <c r="KS97"/>
      <c r="KT97"/>
      <c r="KU97"/>
      <c r="KV97"/>
      <c r="KW97"/>
      <c r="KX97"/>
      <c r="KY97"/>
      <c r="KZ97"/>
      <c r="LA97"/>
      <c r="LB97"/>
      <c r="LC97"/>
      <c r="LD97"/>
      <c r="LE97"/>
      <c r="LF97"/>
    </row>
    <row r="98" spans="1:318" s="7" customFormat="1" ht="11.25" hidden="1" customHeight="1" x14ac:dyDescent="0.2">
      <c r="A98"/>
      <c r="G98" s="68">
        <f t="shared" si="172"/>
        <v>0</v>
      </c>
      <c r="H98" s="54"/>
      <c r="I98" s="54">
        <f t="shared" si="173"/>
        <v>0</v>
      </c>
      <c r="J98" s="54"/>
      <c r="K98" s="54">
        <f t="shared" si="174"/>
        <v>0</v>
      </c>
      <c r="L98" s="54"/>
      <c r="M98" s="54">
        <f t="shared" si="175"/>
        <v>0</v>
      </c>
      <c r="N98" s="54"/>
      <c r="O98" s="54">
        <f t="shared" si="176"/>
        <v>0</v>
      </c>
      <c r="P98" s="54"/>
      <c r="Q98" s="54">
        <f t="shared" si="177"/>
        <v>0</v>
      </c>
      <c r="R98" s="54"/>
      <c r="S98" s="54">
        <f t="shared" si="178"/>
        <v>0</v>
      </c>
      <c r="T98" s="54"/>
      <c r="U98" s="54">
        <f t="shared" si="179"/>
        <v>0</v>
      </c>
      <c r="V98" s="54"/>
      <c r="W98" s="54">
        <f t="shared" si="180"/>
        <v>0</v>
      </c>
      <c r="X98" s="207"/>
      <c r="Y98" s="54">
        <f t="shared" si="181"/>
        <v>0</v>
      </c>
      <c r="Z98" s="54"/>
      <c r="AA98" s="54">
        <f t="shared" si="182"/>
        <v>0</v>
      </c>
      <c r="AB98" s="54"/>
      <c r="AC98" s="54">
        <f t="shared" si="183"/>
        <v>0</v>
      </c>
      <c r="AD98" s="54"/>
      <c r="AE98" s="54">
        <f t="shared" si="184"/>
        <v>0</v>
      </c>
      <c r="AF98" s="54"/>
      <c r="AG98" s="54">
        <f t="shared" si="185"/>
        <v>0</v>
      </c>
      <c r="AH98" s="54"/>
      <c r="AI98" s="54">
        <f t="shared" si="186"/>
        <v>0</v>
      </c>
      <c r="AJ98" s="199"/>
      <c r="AK98"/>
      <c r="AL98"/>
      <c r="AM98"/>
      <c r="AN98"/>
      <c r="AO98"/>
      <c r="AP98"/>
      <c r="AQ98"/>
      <c r="AR98"/>
      <c r="AS98"/>
      <c r="AT98"/>
      <c r="AU98"/>
      <c r="AV98"/>
      <c r="AW98"/>
      <c r="AX98"/>
      <c r="AY98"/>
      <c r="AZ98"/>
      <c r="BA98"/>
      <c r="BB98"/>
      <c r="BC98"/>
      <c r="BD98"/>
      <c r="BE98"/>
      <c r="BF98"/>
      <c r="BG98"/>
      <c r="BH98"/>
      <c r="BI98"/>
      <c r="BJ98"/>
      <c r="BK98"/>
      <c r="BL98"/>
      <c r="BM98"/>
      <c r="CX98"/>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12"/>
      <c r="GL98" s="12"/>
      <c r="GM98" s="12"/>
      <c r="GN98" s="12"/>
      <c r="GO98" s="12"/>
      <c r="GP98" s="12"/>
      <c r="GQ98" s="12"/>
      <c r="GR98" s="12"/>
      <c r="GS98" s="12"/>
      <c r="GT98" s="12"/>
      <c r="GU98" s="12"/>
      <c r="GV98" s="12"/>
      <c r="GW98" s="12"/>
      <c r="GX98" s="12"/>
      <c r="GY98" s="12"/>
      <c r="GZ98" s="12"/>
      <c r="HA98" s="12"/>
      <c r="HB98" s="12"/>
      <c r="HC98" s="12"/>
      <c r="HD98" s="12"/>
      <c r="HE98" s="12"/>
      <c r="HF98" s="12"/>
      <c r="HG98" s="12"/>
      <c r="HH98" s="12"/>
      <c r="HI98" s="12"/>
      <c r="HJ98" s="12"/>
      <c r="HK98" s="12"/>
      <c r="HL98" s="12"/>
      <c r="HM98" s="12"/>
      <c r="KC98" s="160" t="s">
        <v>1182</v>
      </c>
      <c r="KD98" s="7" t="str">
        <f>IF(KD97&lt;&gt;0,IF(OR(KD94=KD97,(KD94+KD95)=KD97),"Y",IF(OR(AND(KD95=0,KD96&gt;0),KD96=KD97),"N","Y")),"")</f>
        <v/>
      </c>
      <c r="KE98" s="7" t="str">
        <f t="shared" ref="KE98:KQ98" si="197">IF(KE97&lt;&gt;0,IF(OR(KE94=KE97,(KE94+KE95)=KE97),"Y",IF(OR(AND(KE95=0,KE96&gt;0),KE96=KE97),"N","Y")),"")</f>
        <v/>
      </c>
      <c r="KF98" s="7" t="str">
        <f t="shared" si="197"/>
        <v/>
      </c>
      <c r="KG98" s="7" t="str">
        <f t="shared" si="197"/>
        <v/>
      </c>
      <c r="KH98" s="7" t="str">
        <f t="shared" si="197"/>
        <v/>
      </c>
      <c r="KI98" s="7" t="str">
        <f t="shared" si="197"/>
        <v/>
      </c>
      <c r="KJ98" s="7" t="str">
        <f t="shared" si="197"/>
        <v/>
      </c>
      <c r="KK98" s="7" t="str">
        <f t="shared" si="197"/>
        <v/>
      </c>
      <c r="KL98" s="7" t="str">
        <f t="shared" si="197"/>
        <v/>
      </c>
      <c r="KM98" s="7" t="str">
        <f t="shared" si="197"/>
        <v/>
      </c>
      <c r="KN98" s="7" t="str">
        <f t="shared" si="197"/>
        <v/>
      </c>
      <c r="KO98" s="7" t="str">
        <f t="shared" si="197"/>
        <v/>
      </c>
      <c r="KP98" s="7" t="str">
        <f t="shared" si="197"/>
        <v/>
      </c>
      <c r="KQ98" s="7" t="str">
        <f t="shared" si="197"/>
        <v/>
      </c>
      <c r="KR98"/>
      <c r="KS98"/>
      <c r="KT98"/>
      <c r="KU98"/>
      <c r="KV98"/>
      <c r="KW98"/>
      <c r="KX98"/>
      <c r="KY98"/>
      <c r="KZ98"/>
      <c r="LA98"/>
      <c r="LB98"/>
      <c r="LC98"/>
      <c r="LD98"/>
      <c r="LE98"/>
      <c r="LF98"/>
    </row>
    <row r="99" spans="1:318" s="7" customFormat="1" ht="11.25" hidden="1" customHeight="1" x14ac:dyDescent="0.2">
      <c r="A99"/>
      <c r="G99" s="68">
        <f t="shared" si="172"/>
        <v>0</v>
      </c>
      <c r="H99" s="54"/>
      <c r="I99" s="54">
        <f t="shared" si="173"/>
        <v>0</v>
      </c>
      <c r="J99" s="54"/>
      <c r="K99" s="54">
        <f t="shared" si="174"/>
        <v>0</v>
      </c>
      <c r="L99" s="54"/>
      <c r="M99" s="54">
        <f t="shared" si="175"/>
        <v>0</v>
      </c>
      <c r="N99" s="54"/>
      <c r="O99" s="54">
        <f t="shared" si="176"/>
        <v>0</v>
      </c>
      <c r="P99" s="54"/>
      <c r="Q99" s="54">
        <f t="shared" si="177"/>
        <v>0</v>
      </c>
      <c r="R99" s="54"/>
      <c r="S99" s="54">
        <f t="shared" si="178"/>
        <v>0</v>
      </c>
      <c r="T99" s="54"/>
      <c r="U99" s="54">
        <f t="shared" si="179"/>
        <v>0</v>
      </c>
      <c r="V99" s="54"/>
      <c r="W99" s="54">
        <f t="shared" si="180"/>
        <v>0</v>
      </c>
      <c r="X99" s="207"/>
      <c r="Y99" s="54">
        <f t="shared" si="181"/>
        <v>0</v>
      </c>
      <c r="Z99" s="54"/>
      <c r="AA99" s="54">
        <f t="shared" si="182"/>
        <v>0</v>
      </c>
      <c r="AB99" s="54"/>
      <c r="AC99" s="54">
        <f t="shared" si="183"/>
        <v>0</v>
      </c>
      <c r="AD99" s="54"/>
      <c r="AE99" s="54">
        <f t="shared" si="184"/>
        <v>0</v>
      </c>
      <c r="AF99" s="54"/>
      <c r="AG99" s="54">
        <f t="shared" si="185"/>
        <v>0</v>
      </c>
      <c r="AH99" s="54"/>
      <c r="AI99" s="54">
        <f t="shared" si="186"/>
        <v>0</v>
      </c>
      <c r="AJ99" s="199"/>
      <c r="AK99"/>
      <c r="AL99"/>
      <c r="AM99"/>
      <c r="AN99"/>
      <c r="AO99"/>
      <c r="AP99"/>
      <c r="AQ99"/>
      <c r="AR99"/>
      <c r="AS99"/>
      <c r="AT99"/>
      <c r="AU99"/>
      <c r="AV99"/>
      <c r="AW99"/>
      <c r="AX99"/>
      <c r="AY99"/>
      <c r="AZ99"/>
      <c r="BA99"/>
      <c r="BB99"/>
      <c r="BC99"/>
      <c r="BD99"/>
      <c r="BE99"/>
      <c r="BF99"/>
      <c r="BG99"/>
      <c r="BH99"/>
      <c r="BI99"/>
      <c r="BJ99"/>
      <c r="BK99"/>
      <c r="BL99"/>
      <c r="BM99"/>
      <c r="CY99" s="12"/>
      <c r="CZ99" s="12"/>
      <c r="DA99" s="12"/>
      <c r="DB99" s="12"/>
      <c r="DC99" s="12"/>
      <c r="DD99" s="12"/>
      <c r="DE99" s="12"/>
      <c r="DF99" s="12"/>
      <c r="DG99" s="12"/>
      <c r="DH99" s="12"/>
      <c r="DI99" s="12"/>
      <c r="DJ99" s="12"/>
      <c r="DK99" s="12"/>
      <c r="DL99" s="12"/>
      <c r="DM99" s="12"/>
      <c r="DN99" s="12"/>
      <c r="DO99" s="12"/>
      <c r="DP99" s="12"/>
      <c r="DQ99" s="12"/>
      <c r="DR99" s="12"/>
      <c r="DS99" s="12"/>
      <c r="DT99" s="12"/>
      <c r="DU99" s="12"/>
      <c r="DV99" s="12"/>
      <c r="DW99" s="12"/>
      <c r="DX99" s="12"/>
      <c r="DY99" s="12"/>
      <c r="DZ99" s="12"/>
      <c r="EA99" s="12"/>
      <c r="GK99" s="12"/>
      <c r="GL99" s="12"/>
      <c r="GM99" s="12"/>
      <c r="GN99" s="12"/>
      <c r="GO99" s="12"/>
      <c r="GP99" s="12"/>
      <c r="GQ99" s="12"/>
      <c r="GR99" s="12"/>
      <c r="GS99" s="12"/>
      <c r="GT99" s="12"/>
      <c r="GU99" s="12"/>
      <c r="GV99" s="12"/>
      <c r="GW99" s="12"/>
      <c r="GX99" s="12"/>
      <c r="GY99" s="12"/>
      <c r="GZ99" s="12"/>
      <c r="HA99" s="12"/>
      <c r="HB99" s="12"/>
      <c r="HC99" s="12"/>
      <c r="HD99" s="12"/>
      <c r="HE99" s="12"/>
      <c r="HF99" s="12"/>
      <c r="HG99" s="12"/>
      <c r="HH99" s="12"/>
      <c r="HI99" s="12"/>
      <c r="HJ99" s="12"/>
      <c r="HK99" s="12"/>
      <c r="HL99" s="12"/>
      <c r="HM99" s="12"/>
      <c r="KC99" s="160" t="s">
        <v>1209</v>
      </c>
      <c r="KD99" s="165" t="str">
        <f>IF($KD$53="Y",KD98,IF(BU64="Y","Y","N"))</f>
        <v>N</v>
      </c>
      <c r="KE99" s="7" t="str">
        <f t="shared" ref="KE99:KQ99" si="198">IF($KD$53="Y",KE98,IF(BV64="Y","Y","N"))</f>
        <v>N</v>
      </c>
      <c r="KF99" s="7" t="str">
        <f t="shared" si="198"/>
        <v>N</v>
      </c>
      <c r="KG99" s="7" t="str">
        <f t="shared" si="198"/>
        <v>N</v>
      </c>
      <c r="KH99" s="7" t="str">
        <f t="shared" si="198"/>
        <v>N</v>
      </c>
      <c r="KI99" s="7" t="str">
        <f t="shared" si="198"/>
        <v>N</v>
      </c>
      <c r="KJ99" s="7" t="str">
        <f t="shared" si="198"/>
        <v>N</v>
      </c>
      <c r="KK99" s="7" t="str">
        <f t="shared" si="198"/>
        <v>N</v>
      </c>
      <c r="KL99" s="7" t="str">
        <f t="shared" si="198"/>
        <v>N</v>
      </c>
      <c r="KM99" s="7" t="str">
        <f t="shared" si="198"/>
        <v>N</v>
      </c>
      <c r="KN99" s="7" t="str">
        <f t="shared" si="198"/>
        <v>N</v>
      </c>
      <c r="KO99" s="7" t="str">
        <f t="shared" si="198"/>
        <v>N</v>
      </c>
      <c r="KP99" s="7" t="str">
        <f t="shared" si="198"/>
        <v>N</v>
      </c>
      <c r="KQ99" s="7" t="str">
        <f t="shared" si="198"/>
        <v>N</v>
      </c>
      <c r="KR99"/>
      <c r="KS99"/>
      <c r="KT99"/>
      <c r="KU99"/>
      <c r="KV99"/>
      <c r="KW99"/>
      <c r="KX99"/>
      <c r="KY99"/>
      <c r="KZ99"/>
      <c r="LA99"/>
      <c r="LB99"/>
      <c r="LC99"/>
      <c r="LD99"/>
      <c r="LE99"/>
      <c r="LF99"/>
    </row>
    <row r="100" spans="1:318" s="7" customFormat="1" ht="11.25" hidden="1" customHeight="1" x14ac:dyDescent="0.2">
      <c r="A100"/>
      <c r="G100" s="68">
        <f t="shared" si="172"/>
        <v>0</v>
      </c>
      <c r="H100" s="54"/>
      <c r="I100" s="54">
        <f t="shared" si="173"/>
        <v>0</v>
      </c>
      <c r="J100" s="54"/>
      <c r="K100" s="54">
        <f t="shared" si="174"/>
        <v>0</v>
      </c>
      <c r="L100" s="54"/>
      <c r="M100" s="54">
        <f t="shared" si="175"/>
        <v>0</v>
      </c>
      <c r="N100" s="54"/>
      <c r="O100" s="54">
        <f t="shared" si="176"/>
        <v>0</v>
      </c>
      <c r="P100" s="54"/>
      <c r="Q100" s="54">
        <f t="shared" si="177"/>
        <v>0</v>
      </c>
      <c r="R100" s="54"/>
      <c r="S100" s="54">
        <f t="shared" si="178"/>
        <v>0</v>
      </c>
      <c r="T100" s="54"/>
      <c r="U100" s="54">
        <f t="shared" si="179"/>
        <v>0</v>
      </c>
      <c r="V100" s="54"/>
      <c r="W100" s="54">
        <f t="shared" si="180"/>
        <v>0</v>
      </c>
      <c r="X100" s="207"/>
      <c r="Y100" s="54">
        <f t="shared" si="181"/>
        <v>0</v>
      </c>
      <c r="Z100" s="54"/>
      <c r="AA100" s="54">
        <f t="shared" si="182"/>
        <v>0</v>
      </c>
      <c r="AB100" s="54"/>
      <c r="AC100" s="54">
        <f t="shared" si="183"/>
        <v>0</v>
      </c>
      <c r="AD100" s="54"/>
      <c r="AE100" s="54">
        <f t="shared" si="184"/>
        <v>0</v>
      </c>
      <c r="AF100" s="54"/>
      <c r="AG100" s="54">
        <f t="shared" si="185"/>
        <v>0</v>
      </c>
      <c r="AH100" s="54"/>
      <c r="AI100" s="54">
        <f t="shared" si="186"/>
        <v>0</v>
      </c>
      <c r="AJ100" s="199"/>
      <c r="AK100"/>
      <c r="AL100"/>
      <c r="AM100"/>
      <c r="AN100"/>
      <c r="AO100"/>
      <c r="AP100"/>
      <c r="AQ100"/>
      <c r="AR100"/>
      <c r="AS100"/>
      <c r="AT100"/>
      <c r="AU100"/>
      <c r="AV100"/>
      <c r="AW100"/>
      <c r="AX100"/>
      <c r="AY100"/>
      <c r="AZ100"/>
      <c r="BA100"/>
      <c r="BB100"/>
      <c r="BC100"/>
      <c r="BD100"/>
      <c r="BE100"/>
      <c r="BF100"/>
      <c r="BG100"/>
      <c r="BH100"/>
      <c r="BI100"/>
      <c r="BJ100"/>
      <c r="BK100"/>
      <c r="BL100"/>
      <c r="BM100"/>
      <c r="CY100" s="12"/>
      <c r="CZ100" s="12"/>
      <c r="DA100" s="12"/>
      <c r="DB100" s="12"/>
      <c r="DC100" s="12"/>
      <c r="DD100" s="12"/>
      <c r="DE100" s="12"/>
      <c r="DF100" s="12"/>
      <c r="DG100" s="12"/>
      <c r="DH100" s="12"/>
      <c r="DI100" s="12"/>
      <c r="DJ100" s="12"/>
      <c r="DK100" s="12"/>
      <c r="DL100" s="12"/>
      <c r="DM100" s="12"/>
      <c r="DN100" s="12"/>
      <c r="DO100" s="12"/>
      <c r="DP100" s="12"/>
      <c r="DQ100" s="12"/>
      <c r="DR100" s="12"/>
      <c r="DS100" s="12"/>
      <c r="DT100" s="12"/>
      <c r="DU100" s="12"/>
      <c r="DV100" s="12"/>
      <c r="DW100" s="12"/>
      <c r="DX100" s="12"/>
      <c r="DY100" s="12"/>
      <c r="DZ100" s="12"/>
      <c r="EA100" s="12"/>
      <c r="GK100" s="12"/>
      <c r="GL100" s="12"/>
      <c r="GM100" s="12"/>
      <c r="GN100" s="12"/>
      <c r="GO100" s="12"/>
      <c r="GP100" s="12"/>
      <c r="GQ100" s="12"/>
      <c r="GR100" s="12"/>
      <c r="GS100" s="12"/>
      <c r="GT100" s="12"/>
      <c r="GU100" s="12"/>
      <c r="GV100" s="12"/>
      <c r="GW100" s="12"/>
      <c r="GX100" s="12"/>
      <c r="GY100" s="12"/>
      <c r="GZ100" s="12"/>
      <c r="HA100" s="12"/>
      <c r="HB100" s="12"/>
      <c r="HC100" s="12"/>
      <c r="HD100" s="12"/>
      <c r="HE100" s="12"/>
      <c r="HF100" s="12"/>
      <c r="HG100" s="12"/>
      <c r="HH100" s="12"/>
      <c r="HI100" s="12"/>
      <c r="HJ100" s="12"/>
      <c r="HK100" s="12"/>
      <c r="HL100" s="12"/>
      <c r="HM100" s="12"/>
      <c r="KC100" s="160" t="s">
        <v>1207</v>
      </c>
      <c r="KD100" s="7">
        <f>COUNTIF(KD45:KD51,"A")</f>
        <v>0</v>
      </c>
      <c r="KE100" s="7">
        <f t="shared" ref="KE100:KQ100" si="199">COUNTIF(KE45:KE51,"A")</f>
        <v>0</v>
      </c>
      <c r="KF100" s="7">
        <f t="shared" si="199"/>
        <v>0</v>
      </c>
      <c r="KG100" s="7">
        <f t="shared" si="199"/>
        <v>0</v>
      </c>
      <c r="KH100" s="7">
        <f t="shared" si="199"/>
        <v>0</v>
      </c>
      <c r="KI100" s="7">
        <f t="shared" si="199"/>
        <v>0</v>
      </c>
      <c r="KJ100" s="7">
        <f t="shared" si="199"/>
        <v>0</v>
      </c>
      <c r="KK100" s="7">
        <f t="shared" si="199"/>
        <v>0</v>
      </c>
      <c r="KL100" s="7">
        <f t="shared" si="199"/>
        <v>0</v>
      </c>
      <c r="KM100" s="7">
        <f t="shared" si="199"/>
        <v>0</v>
      </c>
      <c r="KN100" s="7">
        <f t="shared" si="199"/>
        <v>0</v>
      </c>
      <c r="KO100" s="7">
        <f t="shared" si="199"/>
        <v>0</v>
      </c>
      <c r="KP100" s="7">
        <f t="shared" si="199"/>
        <v>0</v>
      </c>
      <c r="KQ100" s="7">
        <f t="shared" si="199"/>
        <v>0</v>
      </c>
      <c r="KR100"/>
      <c r="KS100"/>
      <c r="KT100"/>
      <c r="KU100"/>
      <c r="KV100"/>
      <c r="KW100"/>
      <c r="KX100"/>
      <c r="KY100"/>
      <c r="KZ100"/>
      <c r="LA100"/>
      <c r="LB100"/>
      <c r="LC100"/>
      <c r="LD100"/>
      <c r="LE100"/>
      <c r="LF100"/>
    </row>
    <row r="101" spans="1:318" s="7" customFormat="1" ht="11.25" hidden="1" customHeight="1" x14ac:dyDescent="0.2">
      <c r="A101"/>
      <c r="G101" s="68">
        <f t="shared" si="172"/>
        <v>0</v>
      </c>
      <c r="H101" s="54"/>
      <c r="I101" s="54">
        <f t="shared" si="173"/>
        <v>0</v>
      </c>
      <c r="J101" s="54"/>
      <c r="K101" s="54">
        <f t="shared" si="174"/>
        <v>0</v>
      </c>
      <c r="L101" s="54"/>
      <c r="M101" s="54">
        <f t="shared" si="175"/>
        <v>0</v>
      </c>
      <c r="N101" s="54"/>
      <c r="O101" s="54">
        <f t="shared" si="176"/>
        <v>0</v>
      </c>
      <c r="P101" s="54"/>
      <c r="Q101" s="54">
        <f t="shared" si="177"/>
        <v>0</v>
      </c>
      <c r="R101" s="54"/>
      <c r="S101" s="54">
        <f t="shared" si="178"/>
        <v>0</v>
      </c>
      <c r="T101" s="54"/>
      <c r="U101" s="54">
        <f t="shared" si="179"/>
        <v>0</v>
      </c>
      <c r="V101" s="54"/>
      <c r="W101" s="54">
        <f t="shared" si="180"/>
        <v>0</v>
      </c>
      <c r="X101" s="207"/>
      <c r="Y101" s="54">
        <f t="shared" si="181"/>
        <v>0</v>
      </c>
      <c r="Z101" s="54"/>
      <c r="AA101" s="54">
        <f t="shared" si="182"/>
        <v>0</v>
      </c>
      <c r="AB101" s="54"/>
      <c r="AC101" s="54">
        <f t="shared" si="183"/>
        <v>0</v>
      </c>
      <c r="AD101" s="54"/>
      <c r="AE101" s="54">
        <f t="shared" si="184"/>
        <v>0</v>
      </c>
      <c r="AF101" s="54"/>
      <c r="AG101" s="54">
        <f t="shared" si="185"/>
        <v>0</v>
      </c>
      <c r="AH101" s="54"/>
      <c r="AI101" s="54">
        <f t="shared" si="186"/>
        <v>0</v>
      </c>
      <c r="AJ101" s="199"/>
      <c r="AK101"/>
      <c r="AL101"/>
      <c r="AM101"/>
      <c r="AN101"/>
      <c r="AO101"/>
      <c r="AP101"/>
      <c r="AQ101"/>
      <c r="AR101"/>
      <c r="AS101"/>
      <c r="AT101"/>
      <c r="AU101"/>
      <c r="AV101"/>
      <c r="AW101"/>
      <c r="AX101"/>
      <c r="AY101"/>
      <c r="AZ101"/>
      <c r="BA101"/>
      <c r="BB101"/>
      <c r="BC101"/>
      <c r="BD101"/>
      <c r="BE101"/>
      <c r="BF101"/>
      <c r="BG101"/>
      <c r="BH101"/>
      <c r="BI101"/>
      <c r="BJ101"/>
      <c r="BK101"/>
      <c r="BL101"/>
      <c r="BM101"/>
      <c r="CY101" s="12"/>
      <c r="CZ101" s="12"/>
      <c r="DA101" s="12"/>
      <c r="DB101" s="12"/>
      <c r="DC101" s="12"/>
      <c r="DD101" s="12"/>
      <c r="DE101" s="12"/>
      <c r="DF101" s="12"/>
      <c r="DG101" s="12"/>
      <c r="DH101" s="12"/>
      <c r="DI101" s="12"/>
      <c r="DJ101" s="12"/>
      <c r="DK101" s="12"/>
      <c r="DL101" s="12"/>
      <c r="DM101" s="12"/>
      <c r="DN101" s="12"/>
      <c r="DO101" s="12"/>
      <c r="DP101" s="12"/>
      <c r="DQ101" s="12"/>
      <c r="DR101" s="12"/>
      <c r="DS101" s="12"/>
      <c r="DT101" s="12"/>
      <c r="DU101" s="12"/>
      <c r="DV101" s="12"/>
      <c r="DW101" s="12"/>
      <c r="DX101" s="12"/>
      <c r="DY101" s="12"/>
      <c r="DZ101" s="12"/>
      <c r="EA101" s="12"/>
      <c r="GK101" s="12"/>
      <c r="GL101" s="12"/>
      <c r="GM101" s="12"/>
      <c r="GN101" s="12"/>
      <c r="GO101" s="12"/>
      <c r="GP101" s="12"/>
      <c r="GQ101" s="12"/>
      <c r="GR101" s="12"/>
      <c r="GS101" s="12"/>
      <c r="GT101" s="12"/>
      <c r="GU101" s="12"/>
      <c r="GV101" s="12"/>
      <c r="GW101" s="12"/>
      <c r="GX101" s="12"/>
      <c r="GY101" s="12"/>
      <c r="GZ101" s="12"/>
      <c r="HA101" s="12"/>
      <c r="HB101" s="12"/>
      <c r="HC101" s="12"/>
      <c r="HD101" s="12"/>
      <c r="HE101" s="12"/>
      <c r="HF101" s="12"/>
      <c r="HG101" s="12"/>
      <c r="HH101" s="12"/>
      <c r="HI101" s="12"/>
      <c r="HJ101" s="12"/>
      <c r="HK101" s="12"/>
      <c r="HL101" s="12"/>
      <c r="HM101" s="12"/>
      <c r="KC101" s="160" t="s">
        <v>1210</v>
      </c>
      <c r="KD101" s="7">
        <f>COUNTIF(KD45:KD51,"B")</f>
        <v>0</v>
      </c>
      <c r="KE101" s="7">
        <f t="shared" ref="KE101:KQ101" si="200">COUNTIF(KE45:KE51,"B")</f>
        <v>0</v>
      </c>
      <c r="KF101" s="7">
        <f t="shared" si="200"/>
        <v>0</v>
      </c>
      <c r="KG101" s="7">
        <f t="shared" si="200"/>
        <v>0</v>
      </c>
      <c r="KH101" s="7">
        <f t="shared" si="200"/>
        <v>0</v>
      </c>
      <c r="KI101" s="7">
        <f t="shared" si="200"/>
        <v>0</v>
      </c>
      <c r="KJ101" s="7">
        <f t="shared" si="200"/>
        <v>0</v>
      </c>
      <c r="KK101" s="7">
        <f t="shared" si="200"/>
        <v>0</v>
      </c>
      <c r="KL101" s="7">
        <f t="shared" si="200"/>
        <v>0</v>
      </c>
      <c r="KM101" s="7">
        <f t="shared" si="200"/>
        <v>0</v>
      </c>
      <c r="KN101" s="7">
        <f t="shared" si="200"/>
        <v>0</v>
      </c>
      <c r="KO101" s="7">
        <f t="shared" si="200"/>
        <v>0</v>
      </c>
      <c r="KP101" s="7">
        <f t="shared" si="200"/>
        <v>0</v>
      </c>
      <c r="KQ101" s="7">
        <f t="shared" si="200"/>
        <v>0</v>
      </c>
      <c r="KR101"/>
      <c r="KS101"/>
      <c r="KT101"/>
      <c r="KU101"/>
      <c r="KV101"/>
      <c r="KW101"/>
      <c r="KX101"/>
      <c r="KY101"/>
      <c r="KZ101"/>
      <c r="LA101"/>
      <c r="LB101"/>
      <c r="LC101"/>
      <c r="LD101"/>
      <c r="LE101"/>
      <c r="LF101"/>
    </row>
    <row r="102" spans="1:318" s="7" customFormat="1" ht="11.25" hidden="1" customHeight="1" x14ac:dyDescent="0.2">
      <c r="A102"/>
      <c r="G102" s="68">
        <f t="shared" si="172"/>
        <v>0</v>
      </c>
      <c r="H102" s="54"/>
      <c r="I102" s="54">
        <f t="shared" si="173"/>
        <v>0</v>
      </c>
      <c r="J102" s="54"/>
      <c r="K102" s="54">
        <f t="shared" si="174"/>
        <v>0</v>
      </c>
      <c r="L102" s="54"/>
      <c r="M102" s="54">
        <f t="shared" si="175"/>
        <v>0</v>
      </c>
      <c r="N102" s="54"/>
      <c r="O102" s="54">
        <f t="shared" si="176"/>
        <v>0</v>
      </c>
      <c r="P102" s="54"/>
      <c r="Q102" s="54">
        <f t="shared" si="177"/>
        <v>0</v>
      </c>
      <c r="R102" s="54"/>
      <c r="S102" s="54">
        <f t="shared" si="178"/>
        <v>0</v>
      </c>
      <c r="T102" s="54"/>
      <c r="U102" s="54">
        <f t="shared" si="179"/>
        <v>0</v>
      </c>
      <c r="V102" s="54"/>
      <c r="W102" s="54">
        <f t="shared" si="180"/>
        <v>0</v>
      </c>
      <c r="X102" s="207"/>
      <c r="Y102" s="54">
        <f t="shared" si="181"/>
        <v>0</v>
      </c>
      <c r="Z102" s="54"/>
      <c r="AA102" s="54">
        <f t="shared" si="182"/>
        <v>0</v>
      </c>
      <c r="AB102" s="54"/>
      <c r="AC102" s="54">
        <f t="shared" si="183"/>
        <v>0</v>
      </c>
      <c r="AD102" s="54"/>
      <c r="AE102" s="54">
        <f t="shared" si="184"/>
        <v>0</v>
      </c>
      <c r="AF102" s="54"/>
      <c r="AG102" s="54">
        <f t="shared" si="185"/>
        <v>0</v>
      </c>
      <c r="AH102" s="54"/>
      <c r="AI102" s="54">
        <f t="shared" si="186"/>
        <v>0</v>
      </c>
      <c r="AJ102" s="199"/>
      <c r="AK102"/>
      <c r="AL102"/>
      <c r="AM102"/>
      <c r="AN102"/>
      <c r="AO102"/>
      <c r="AP102"/>
      <c r="AQ102"/>
      <c r="AR102"/>
      <c r="AS102"/>
      <c r="AT102"/>
      <c r="AU102"/>
      <c r="AV102"/>
      <c r="AW102"/>
      <c r="AX102"/>
      <c r="AY102"/>
      <c r="AZ102"/>
      <c r="BA102"/>
      <c r="BB102"/>
      <c r="BC102"/>
      <c r="BD102"/>
      <c r="BE102"/>
      <c r="BF102"/>
      <c r="BG102"/>
      <c r="BH102"/>
      <c r="BI102"/>
      <c r="BJ102"/>
      <c r="BK102"/>
      <c r="BL102"/>
      <c r="BM102"/>
      <c r="CY102" s="12"/>
      <c r="CZ102" s="12"/>
      <c r="DA102" s="12"/>
      <c r="DB102" s="12"/>
      <c r="DC102" s="12"/>
      <c r="DD102" s="12"/>
      <c r="DE102" s="12"/>
      <c r="DF102" s="12"/>
      <c r="DG102" s="12"/>
      <c r="DH102" s="12"/>
      <c r="DI102" s="12"/>
      <c r="DJ102" s="12"/>
      <c r="DK102" s="12"/>
      <c r="DL102" s="12"/>
      <c r="DM102" s="12"/>
      <c r="DN102" s="12"/>
      <c r="DO102" s="12"/>
      <c r="DP102" s="12"/>
      <c r="DQ102" s="12"/>
      <c r="DR102" s="12"/>
      <c r="DS102" s="12"/>
      <c r="DT102" s="12"/>
      <c r="DU102" s="12"/>
      <c r="DV102" s="12"/>
      <c r="DW102" s="12"/>
      <c r="DX102" s="12"/>
      <c r="DY102" s="12"/>
      <c r="DZ102" s="12"/>
      <c r="EA102" s="12"/>
      <c r="GK102" s="12"/>
      <c r="GL102" s="12"/>
      <c r="GM102" s="12"/>
      <c r="GN102" s="12"/>
      <c r="GO102" s="12"/>
      <c r="GP102" s="12"/>
      <c r="GQ102" s="12"/>
      <c r="GR102" s="12"/>
      <c r="GS102" s="12"/>
      <c r="GT102" s="12"/>
      <c r="GU102" s="12"/>
      <c r="GV102" s="12"/>
      <c r="GW102" s="12"/>
      <c r="GX102" s="12"/>
      <c r="GY102" s="12"/>
      <c r="GZ102" s="12"/>
      <c r="HA102" s="12"/>
      <c r="HB102" s="12"/>
      <c r="HC102" s="12"/>
      <c r="HD102" s="12"/>
      <c r="HE102" s="12"/>
      <c r="HF102" s="12"/>
      <c r="HG102" s="12"/>
      <c r="HH102" s="12"/>
      <c r="HI102" s="12"/>
      <c r="HJ102" s="12"/>
      <c r="HK102" s="12"/>
      <c r="HL102" s="12"/>
      <c r="HM102" s="12"/>
      <c r="KC102" s="160" t="s">
        <v>1211</v>
      </c>
      <c r="KD102" s="7">
        <f>COUNTIF(KD45:KD51,"C")</f>
        <v>0</v>
      </c>
      <c r="KE102" s="7">
        <f t="shared" ref="KE102:KQ102" si="201">COUNTIF(KE45:KE51,"C")</f>
        <v>0</v>
      </c>
      <c r="KF102" s="7">
        <f t="shared" si="201"/>
        <v>0</v>
      </c>
      <c r="KG102" s="7">
        <f t="shared" si="201"/>
        <v>0</v>
      </c>
      <c r="KH102" s="7">
        <f t="shared" si="201"/>
        <v>0</v>
      </c>
      <c r="KI102" s="7">
        <f t="shared" si="201"/>
        <v>0</v>
      </c>
      <c r="KJ102" s="7">
        <f t="shared" si="201"/>
        <v>0</v>
      </c>
      <c r="KK102" s="7">
        <f t="shared" si="201"/>
        <v>0</v>
      </c>
      <c r="KL102" s="7">
        <f t="shared" si="201"/>
        <v>0</v>
      </c>
      <c r="KM102" s="7">
        <f t="shared" si="201"/>
        <v>0</v>
      </c>
      <c r="KN102" s="7">
        <f t="shared" si="201"/>
        <v>0</v>
      </c>
      <c r="KO102" s="7">
        <f t="shared" si="201"/>
        <v>0</v>
      </c>
      <c r="KP102" s="7">
        <f t="shared" si="201"/>
        <v>0</v>
      </c>
      <c r="KQ102" s="7">
        <f t="shared" si="201"/>
        <v>0</v>
      </c>
      <c r="KR102"/>
      <c r="KS102"/>
      <c r="KT102"/>
      <c r="KU102"/>
      <c r="KV102"/>
      <c r="KW102"/>
      <c r="KX102"/>
      <c r="KY102"/>
      <c r="KZ102"/>
      <c r="LA102"/>
      <c r="LB102"/>
      <c r="LC102"/>
      <c r="LD102"/>
      <c r="LE102"/>
      <c r="LF102"/>
    </row>
    <row r="103" spans="1:318" s="7" customFormat="1" ht="11.25" hidden="1" customHeight="1" x14ac:dyDescent="0.2">
      <c r="A103"/>
      <c r="G103" s="68">
        <f t="shared" si="172"/>
        <v>0</v>
      </c>
      <c r="H103" s="54"/>
      <c r="I103" s="54">
        <f t="shared" si="173"/>
        <v>0</v>
      </c>
      <c r="J103" s="54"/>
      <c r="K103" s="54">
        <f t="shared" si="174"/>
        <v>0</v>
      </c>
      <c r="L103" s="54"/>
      <c r="M103" s="54">
        <f t="shared" si="175"/>
        <v>0</v>
      </c>
      <c r="N103" s="54"/>
      <c r="O103" s="54">
        <f t="shared" si="176"/>
        <v>0</v>
      </c>
      <c r="P103" s="54"/>
      <c r="Q103" s="54">
        <f t="shared" si="177"/>
        <v>0</v>
      </c>
      <c r="R103" s="54"/>
      <c r="S103" s="54">
        <f t="shared" si="178"/>
        <v>0</v>
      </c>
      <c r="T103" s="54"/>
      <c r="U103" s="54">
        <f t="shared" si="179"/>
        <v>0</v>
      </c>
      <c r="V103" s="54"/>
      <c r="W103" s="54">
        <f t="shared" si="180"/>
        <v>0</v>
      </c>
      <c r="X103" s="207"/>
      <c r="Y103" s="54">
        <f t="shared" si="181"/>
        <v>0</v>
      </c>
      <c r="Z103" s="54"/>
      <c r="AA103" s="54">
        <f t="shared" si="182"/>
        <v>0</v>
      </c>
      <c r="AB103" s="54"/>
      <c r="AC103" s="54">
        <f t="shared" si="183"/>
        <v>0</v>
      </c>
      <c r="AD103" s="54"/>
      <c r="AE103" s="54">
        <f t="shared" si="184"/>
        <v>0</v>
      </c>
      <c r="AF103" s="54"/>
      <c r="AG103" s="54">
        <f t="shared" si="185"/>
        <v>0</v>
      </c>
      <c r="AH103" s="54"/>
      <c r="AI103" s="54">
        <f t="shared" si="186"/>
        <v>0</v>
      </c>
      <c r="AJ103" s="199"/>
      <c r="AK103"/>
      <c r="AL103"/>
      <c r="AM103"/>
      <c r="AN103"/>
      <c r="AO103"/>
      <c r="AP103"/>
      <c r="AQ103"/>
      <c r="AR103"/>
      <c r="AS103"/>
      <c r="AT103"/>
      <c r="AU103"/>
      <c r="AV103"/>
      <c r="AW103"/>
      <c r="AX103"/>
      <c r="AY103"/>
      <c r="AZ103"/>
      <c r="BA103"/>
      <c r="BB103"/>
      <c r="BC103"/>
      <c r="BD103"/>
      <c r="BE103"/>
      <c r="BF103"/>
      <c r="BG103"/>
      <c r="BH103"/>
      <c r="BI103"/>
      <c r="BJ103"/>
      <c r="BK103"/>
      <c r="BL103"/>
      <c r="BM103"/>
      <c r="CY103" s="12"/>
      <c r="CZ103" s="12"/>
      <c r="DA103" s="12"/>
      <c r="DB103" s="12"/>
      <c r="DC103" s="12"/>
      <c r="DD103" s="12"/>
      <c r="DE103" s="12"/>
      <c r="DF103" s="12"/>
      <c r="DG103" s="12"/>
      <c r="DH103" s="12"/>
      <c r="DI103" s="12"/>
      <c r="DJ103" s="12"/>
      <c r="DK103" s="12"/>
      <c r="DL103" s="12"/>
      <c r="DM103" s="12"/>
      <c r="DN103" s="12"/>
      <c r="DO103" s="12"/>
      <c r="DP103" s="12"/>
      <c r="DQ103" s="12"/>
      <c r="DR103" s="12"/>
      <c r="DS103" s="12"/>
      <c r="DT103" s="12"/>
      <c r="DU103" s="12"/>
      <c r="DV103" s="12"/>
      <c r="DW103" s="12"/>
      <c r="DX103" s="12"/>
      <c r="DY103" s="12"/>
      <c r="DZ103" s="12"/>
      <c r="EA103" s="12"/>
      <c r="GK103" s="12"/>
      <c r="GL103" s="12"/>
      <c r="GM103" s="12"/>
      <c r="GN103" s="12"/>
      <c r="GO103" s="12"/>
      <c r="GP103" s="12"/>
      <c r="GQ103" s="12"/>
      <c r="GR103" s="12"/>
      <c r="GS103" s="12"/>
      <c r="GT103" s="12"/>
      <c r="GU103" s="12"/>
      <c r="GV103" s="12"/>
      <c r="GW103" s="12"/>
      <c r="GX103" s="12"/>
      <c r="GY103" s="12"/>
      <c r="GZ103" s="12"/>
      <c r="HA103" s="12"/>
      <c r="HB103" s="12"/>
      <c r="HC103" s="12"/>
      <c r="HD103" s="12"/>
      <c r="HE103" s="12"/>
      <c r="HF103" s="12"/>
      <c r="HG103" s="12"/>
      <c r="HH103" s="12"/>
      <c r="HI103" s="12"/>
      <c r="HJ103" s="12"/>
      <c r="HK103" s="12"/>
      <c r="HL103" s="12"/>
      <c r="HM103" s="12"/>
      <c r="KC103" s="160" t="s">
        <v>839</v>
      </c>
      <c r="KD103" s="7">
        <f>SUM(KD100:KD102)</f>
        <v>0</v>
      </c>
      <c r="KE103" s="7">
        <f t="shared" ref="KE103:KQ103" si="202">SUM(KE100:KE102)</f>
        <v>0</v>
      </c>
      <c r="KF103" s="7">
        <f t="shared" si="202"/>
        <v>0</v>
      </c>
      <c r="KG103" s="7">
        <f t="shared" si="202"/>
        <v>0</v>
      </c>
      <c r="KH103" s="7">
        <f t="shared" si="202"/>
        <v>0</v>
      </c>
      <c r="KI103" s="7">
        <f t="shared" si="202"/>
        <v>0</v>
      </c>
      <c r="KJ103" s="7">
        <f t="shared" si="202"/>
        <v>0</v>
      </c>
      <c r="KK103" s="7">
        <f t="shared" si="202"/>
        <v>0</v>
      </c>
      <c r="KL103" s="7">
        <f t="shared" si="202"/>
        <v>0</v>
      </c>
      <c r="KM103" s="7">
        <f t="shared" si="202"/>
        <v>0</v>
      </c>
      <c r="KN103" s="7">
        <f t="shared" si="202"/>
        <v>0</v>
      </c>
      <c r="KO103" s="7">
        <f t="shared" si="202"/>
        <v>0</v>
      </c>
      <c r="KP103" s="7">
        <f t="shared" si="202"/>
        <v>0</v>
      </c>
      <c r="KQ103" s="7">
        <f t="shared" si="202"/>
        <v>0</v>
      </c>
      <c r="KR103"/>
      <c r="KS103"/>
      <c r="KT103"/>
      <c r="KU103"/>
      <c r="KV103"/>
      <c r="KW103"/>
      <c r="KX103"/>
      <c r="KY103"/>
      <c r="KZ103"/>
      <c r="LA103"/>
      <c r="LB103"/>
      <c r="LC103"/>
      <c r="LD103"/>
      <c r="LE103"/>
      <c r="LF103"/>
    </row>
    <row r="104" spans="1:318" s="7" customFormat="1" ht="11.25" hidden="1" customHeight="1" x14ac:dyDescent="0.2">
      <c r="A104"/>
      <c r="G104" s="68">
        <f t="shared" si="172"/>
        <v>0</v>
      </c>
      <c r="H104" s="54"/>
      <c r="I104" s="54">
        <f t="shared" si="173"/>
        <v>0</v>
      </c>
      <c r="J104" s="54"/>
      <c r="K104" s="54">
        <f t="shared" si="174"/>
        <v>0</v>
      </c>
      <c r="L104" s="54"/>
      <c r="M104" s="54">
        <f t="shared" si="175"/>
        <v>0</v>
      </c>
      <c r="N104" s="54"/>
      <c r="O104" s="54">
        <f t="shared" si="176"/>
        <v>0</v>
      </c>
      <c r="P104" s="54"/>
      <c r="Q104" s="54">
        <f t="shared" si="177"/>
        <v>0</v>
      </c>
      <c r="R104" s="54"/>
      <c r="S104" s="54">
        <f t="shared" si="178"/>
        <v>0</v>
      </c>
      <c r="T104" s="54"/>
      <c r="U104" s="54">
        <f t="shared" si="179"/>
        <v>0</v>
      </c>
      <c r="V104" s="54"/>
      <c r="W104" s="54">
        <f t="shared" si="180"/>
        <v>0</v>
      </c>
      <c r="X104" s="207"/>
      <c r="Y104" s="54">
        <f t="shared" si="181"/>
        <v>0</v>
      </c>
      <c r="Z104" s="54"/>
      <c r="AA104" s="54">
        <f t="shared" si="182"/>
        <v>0</v>
      </c>
      <c r="AB104" s="54"/>
      <c r="AC104" s="54">
        <f t="shared" si="183"/>
        <v>0</v>
      </c>
      <c r="AD104" s="54"/>
      <c r="AE104" s="54">
        <f t="shared" si="184"/>
        <v>0</v>
      </c>
      <c r="AF104" s="54"/>
      <c r="AG104" s="54">
        <f t="shared" si="185"/>
        <v>0</v>
      </c>
      <c r="AH104" s="54"/>
      <c r="AI104" s="54">
        <f t="shared" si="186"/>
        <v>0</v>
      </c>
      <c r="AJ104" s="199"/>
      <c r="AK104"/>
      <c r="AL104"/>
      <c r="AM104"/>
      <c r="AN104"/>
      <c r="AO104"/>
      <c r="AP104"/>
      <c r="AQ104"/>
      <c r="AR104"/>
      <c r="AS104"/>
      <c r="AT104"/>
      <c r="AU104"/>
      <c r="AV104"/>
      <c r="AW104"/>
      <c r="AX104"/>
      <c r="AY104"/>
      <c r="AZ104"/>
      <c r="BA104"/>
      <c r="BB104"/>
      <c r="BC104"/>
      <c r="BD104"/>
      <c r="BE104"/>
      <c r="BF104"/>
      <c r="BG104"/>
      <c r="BH104"/>
      <c r="BI104"/>
      <c r="BJ104"/>
      <c r="BK104"/>
      <c r="BL104"/>
      <c r="BM104"/>
      <c r="CY104" s="12"/>
      <c r="CZ104" s="12"/>
      <c r="DA104" s="12"/>
      <c r="DB104" s="12"/>
      <c r="DC104" s="12"/>
      <c r="DD104" s="12"/>
      <c r="DE104" s="12"/>
      <c r="DF104" s="12"/>
      <c r="DG104" s="12"/>
      <c r="DH104" s="12"/>
      <c r="DI104" s="12"/>
      <c r="DJ104" s="12"/>
      <c r="DK104" s="12"/>
      <c r="DL104" s="12"/>
      <c r="DM104" s="12"/>
      <c r="DN104" s="12"/>
      <c r="DO104" s="12"/>
      <c r="DP104" s="12"/>
      <c r="DQ104" s="12"/>
      <c r="DR104" s="12"/>
      <c r="DS104" s="12"/>
      <c r="DT104" s="12"/>
      <c r="DU104" s="12"/>
      <c r="DV104" s="12"/>
      <c r="DW104" s="12"/>
      <c r="DX104" s="12"/>
      <c r="DY104" s="12"/>
      <c r="DZ104" s="12"/>
      <c r="EA104" s="12"/>
      <c r="EB104" s="10"/>
      <c r="EC104" s="10"/>
      <c r="GK104" s="12"/>
      <c r="GL104" s="12"/>
      <c r="GM104" s="12"/>
      <c r="GN104" s="12"/>
      <c r="GO104" s="12"/>
      <c r="GP104" s="12"/>
      <c r="GQ104" s="12"/>
      <c r="GR104" s="12"/>
      <c r="GS104" s="12"/>
      <c r="GT104" s="12"/>
      <c r="GU104" s="12"/>
      <c r="GV104" s="12"/>
      <c r="GW104" s="12"/>
      <c r="GX104" s="12"/>
      <c r="GY104" s="12"/>
      <c r="GZ104" s="12"/>
      <c r="HA104" s="12"/>
      <c r="HB104" s="12"/>
      <c r="HC104" s="12"/>
      <c r="HD104" s="12"/>
      <c r="HE104" s="12"/>
      <c r="HF104" s="12"/>
      <c r="HG104" s="12"/>
      <c r="HH104" s="12"/>
      <c r="HI104" s="12"/>
      <c r="HJ104" s="12"/>
      <c r="HK104" s="12"/>
      <c r="HL104" s="12"/>
      <c r="HM104" s="12"/>
      <c r="KC104" s="160" t="s">
        <v>1182</v>
      </c>
      <c r="KD104" s="7" t="str">
        <f>IF(KD103&lt;&gt;0,IF(OR(KD100=KD103,(KD100+KD101)=KD103),"Y",IF(OR(AND(KD101=0,KD102&gt;0),KD102=KD103),"N","Y")),"")</f>
        <v/>
      </c>
      <c r="KE104" s="7" t="str">
        <f t="shared" ref="KE104:KQ104" si="203">IF(KE103&lt;&gt;0,IF(OR(KE100=KE103,(KE100+KE101)=KE103),"Y",IF(OR(AND(KE101=0,KE102&gt;0),KE102=KE103),"N","Y")),"")</f>
        <v/>
      </c>
      <c r="KF104" s="7" t="str">
        <f t="shared" si="203"/>
        <v/>
      </c>
      <c r="KG104" s="7" t="str">
        <f t="shared" si="203"/>
        <v/>
      </c>
      <c r="KH104" s="7" t="str">
        <f t="shared" si="203"/>
        <v/>
      </c>
      <c r="KI104" s="7" t="str">
        <f t="shared" si="203"/>
        <v/>
      </c>
      <c r="KJ104" s="7" t="str">
        <f t="shared" si="203"/>
        <v/>
      </c>
      <c r="KK104" s="7" t="str">
        <f t="shared" si="203"/>
        <v/>
      </c>
      <c r="KL104" s="7" t="str">
        <f t="shared" si="203"/>
        <v/>
      </c>
      <c r="KM104" s="7" t="str">
        <f t="shared" si="203"/>
        <v/>
      </c>
      <c r="KN104" s="7" t="str">
        <f t="shared" si="203"/>
        <v/>
      </c>
      <c r="KO104" s="7" t="str">
        <f t="shared" si="203"/>
        <v/>
      </c>
      <c r="KP104" s="7" t="str">
        <f t="shared" si="203"/>
        <v/>
      </c>
      <c r="KQ104" s="7" t="str">
        <f t="shared" si="203"/>
        <v/>
      </c>
      <c r="KR104"/>
      <c r="KS104"/>
      <c r="KT104"/>
      <c r="KU104"/>
      <c r="KV104"/>
      <c r="KW104"/>
      <c r="KX104"/>
      <c r="KY104"/>
      <c r="KZ104"/>
      <c r="LA104"/>
      <c r="LB104"/>
      <c r="LC104"/>
      <c r="LD104"/>
      <c r="LE104"/>
      <c r="LF104"/>
    </row>
    <row r="105" spans="1:318" s="7" customFormat="1" ht="11.25" hidden="1" customHeight="1" x14ac:dyDescent="0.2">
      <c r="A105"/>
      <c r="G105" s="68">
        <f t="shared" si="172"/>
        <v>0</v>
      </c>
      <c r="H105" s="54"/>
      <c r="I105" s="54">
        <f t="shared" si="173"/>
        <v>0</v>
      </c>
      <c r="J105" s="54"/>
      <c r="K105" s="54">
        <f t="shared" si="174"/>
        <v>0</v>
      </c>
      <c r="L105" s="54"/>
      <c r="M105" s="54">
        <f t="shared" si="175"/>
        <v>0</v>
      </c>
      <c r="N105" s="54"/>
      <c r="O105" s="54">
        <f t="shared" si="176"/>
        <v>0</v>
      </c>
      <c r="P105" s="54"/>
      <c r="Q105" s="54">
        <f t="shared" si="177"/>
        <v>0</v>
      </c>
      <c r="R105" s="54"/>
      <c r="S105" s="54">
        <f t="shared" si="178"/>
        <v>0</v>
      </c>
      <c r="T105" s="54"/>
      <c r="U105" s="54">
        <f t="shared" si="179"/>
        <v>0</v>
      </c>
      <c r="V105" s="54"/>
      <c r="W105" s="54">
        <f t="shared" si="180"/>
        <v>0</v>
      </c>
      <c r="X105" s="207"/>
      <c r="Y105" s="54">
        <f t="shared" si="181"/>
        <v>0</v>
      </c>
      <c r="Z105" s="54"/>
      <c r="AA105" s="54">
        <f t="shared" si="182"/>
        <v>0</v>
      </c>
      <c r="AB105" s="54"/>
      <c r="AC105" s="54">
        <f t="shared" si="183"/>
        <v>0</v>
      </c>
      <c r="AD105" s="54"/>
      <c r="AE105" s="54">
        <f t="shared" si="184"/>
        <v>0</v>
      </c>
      <c r="AF105" s="54"/>
      <c r="AG105" s="54">
        <f t="shared" si="185"/>
        <v>0</v>
      </c>
      <c r="AH105" s="54"/>
      <c r="AI105" s="54">
        <f t="shared" si="186"/>
        <v>0</v>
      </c>
      <c r="AJ105" s="199"/>
      <c r="AK105"/>
      <c r="AL105"/>
      <c r="AM105"/>
      <c r="AN105"/>
      <c r="AO105"/>
      <c r="AP105"/>
      <c r="AQ105"/>
      <c r="AR105"/>
      <c r="AS105"/>
      <c r="AT105"/>
      <c r="AU105"/>
      <c r="AV105"/>
      <c r="AW105"/>
      <c r="AX105"/>
      <c r="AY105"/>
      <c r="AZ105"/>
      <c r="BA105"/>
      <c r="BB105"/>
      <c r="BC105"/>
      <c r="BD105"/>
      <c r="BE105"/>
      <c r="BF105"/>
      <c r="BG105"/>
      <c r="BH105"/>
      <c r="BI105"/>
      <c r="BJ105"/>
      <c r="BK105"/>
      <c r="BL105"/>
      <c r="BM105"/>
      <c r="CY105" s="12"/>
      <c r="CZ105" s="12"/>
      <c r="DA105" s="12"/>
      <c r="DB105" s="12"/>
      <c r="DC105" s="12"/>
      <c r="DD105" s="12"/>
      <c r="DE105" s="12"/>
      <c r="DF105" s="12"/>
      <c r="DG105" s="12"/>
      <c r="DH105" s="12"/>
      <c r="DI105" s="12"/>
      <c r="DJ105" s="12"/>
      <c r="DK105" s="12"/>
      <c r="DL105" s="12"/>
      <c r="DM105" s="12"/>
      <c r="DN105" s="12"/>
      <c r="DO105" s="12"/>
      <c r="DP105" s="12"/>
      <c r="DQ105" s="12"/>
      <c r="DR105" s="12"/>
      <c r="DS105" s="12"/>
      <c r="DT105" s="12"/>
      <c r="DU105" s="12"/>
      <c r="DV105" s="12"/>
      <c r="DW105" s="12"/>
      <c r="DX105" s="12"/>
      <c r="DY105" s="12"/>
      <c r="DZ105" s="12"/>
      <c r="EA105" s="12"/>
      <c r="GK105" s="12"/>
      <c r="GL105" s="12"/>
      <c r="GM105" s="12"/>
      <c r="GN105" s="12"/>
      <c r="GO105" s="12"/>
      <c r="GP105" s="12"/>
      <c r="GQ105" s="12"/>
      <c r="GR105" s="12"/>
      <c r="GS105" s="12"/>
      <c r="GT105" s="12"/>
      <c r="GU105" s="12"/>
      <c r="GV105" s="12"/>
      <c r="GW105" s="12"/>
      <c r="GX105" s="12"/>
      <c r="GY105" s="12"/>
      <c r="GZ105" s="12"/>
      <c r="HA105" s="12"/>
      <c r="HB105" s="12"/>
      <c r="HC105" s="12"/>
      <c r="HD105" s="12"/>
      <c r="HE105" s="12"/>
      <c r="HF105" s="12"/>
      <c r="HG105" s="12"/>
      <c r="HH105" s="12"/>
      <c r="HI105" s="12"/>
      <c r="HJ105" s="12"/>
      <c r="HK105" s="12"/>
      <c r="HL105" s="12"/>
      <c r="HM105" s="12"/>
      <c r="KC105" s="160" t="s">
        <v>1212</v>
      </c>
      <c r="KD105" s="165" t="str">
        <f>IF($KD$53="Y",KD104,IF(BU66="Y","Y","N"))</f>
        <v>N</v>
      </c>
      <c r="KE105" s="7" t="str">
        <f t="shared" ref="KE105:KQ105" si="204">IF($KD$53="Y",KE104,IF(BV66="Y","Y","N"))</f>
        <v>N</v>
      </c>
      <c r="KF105" s="7" t="str">
        <f t="shared" si="204"/>
        <v>N</v>
      </c>
      <c r="KG105" s="7" t="str">
        <f t="shared" si="204"/>
        <v>N</v>
      </c>
      <c r="KH105" s="7" t="str">
        <f t="shared" si="204"/>
        <v>N</v>
      </c>
      <c r="KI105" s="7" t="str">
        <f t="shared" si="204"/>
        <v>N</v>
      </c>
      <c r="KJ105" s="7" t="str">
        <f t="shared" si="204"/>
        <v>N</v>
      </c>
      <c r="KK105" s="7" t="str">
        <f t="shared" si="204"/>
        <v>N</v>
      </c>
      <c r="KL105" s="7" t="str">
        <f t="shared" si="204"/>
        <v>N</v>
      </c>
      <c r="KM105" s="7" t="str">
        <f t="shared" si="204"/>
        <v>N</v>
      </c>
      <c r="KN105" s="7" t="str">
        <f t="shared" si="204"/>
        <v>N</v>
      </c>
      <c r="KO105" s="7" t="str">
        <f t="shared" si="204"/>
        <v>N</v>
      </c>
      <c r="KP105" s="7" t="str">
        <f t="shared" si="204"/>
        <v>N</v>
      </c>
      <c r="KQ105" s="7" t="str">
        <f t="shared" si="204"/>
        <v>N</v>
      </c>
      <c r="KR105"/>
      <c r="KS105"/>
      <c r="KT105"/>
      <c r="KU105"/>
      <c r="KV105"/>
      <c r="KW105"/>
      <c r="KX105"/>
      <c r="KY105"/>
      <c r="KZ105"/>
      <c r="LA105"/>
      <c r="LB105"/>
      <c r="LC105"/>
      <c r="LD105"/>
      <c r="LE105"/>
      <c r="LF105"/>
    </row>
    <row r="106" spans="1:318" s="7" customFormat="1" ht="11.25" hidden="1" customHeight="1" x14ac:dyDescent="0.2">
      <c r="A106"/>
      <c r="G106" s="68">
        <f t="shared" si="172"/>
        <v>0</v>
      </c>
      <c r="H106" s="54"/>
      <c r="I106" s="54">
        <f t="shared" si="173"/>
        <v>0</v>
      </c>
      <c r="J106" s="54"/>
      <c r="K106" s="54">
        <f t="shared" si="174"/>
        <v>0</v>
      </c>
      <c r="L106" s="54"/>
      <c r="M106" s="54">
        <f t="shared" si="175"/>
        <v>0</v>
      </c>
      <c r="N106" s="54"/>
      <c r="O106" s="54">
        <f t="shared" si="176"/>
        <v>0</v>
      </c>
      <c r="P106" s="54"/>
      <c r="Q106" s="54">
        <f t="shared" si="177"/>
        <v>0</v>
      </c>
      <c r="R106" s="54"/>
      <c r="S106" s="54">
        <f t="shared" si="178"/>
        <v>0</v>
      </c>
      <c r="T106" s="54"/>
      <c r="U106" s="54">
        <f t="shared" si="179"/>
        <v>0</v>
      </c>
      <c r="V106" s="54"/>
      <c r="W106" s="54">
        <f t="shared" si="180"/>
        <v>0</v>
      </c>
      <c r="X106" s="207"/>
      <c r="Y106" s="54">
        <f t="shared" si="181"/>
        <v>0</v>
      </c>
      <c r="Z106" s="54"/>
      <c r="AA106" s="54">
        <f t="shared" si="182"/>
        <v>0</v>
      </c>
      <c r="AB106" s="54"/>
      <c r="AC106" s="54">
        <f t="shared" si="183"/>
        <v>0</v>
      </c>
      <c r="AD106" s="54"/>
      <c r="AE106" s="54">
        <f t="shared" si="184"/>
        <v>0</v>
      </c>
      <c r="AF106" s="54"/>
      <c r="AG106" s="54">
        <f t="shared" si="185"/>
        <v>0</v>
      </c>
      <c r="AH106" s="54"/>
      <c r="AI106" s="54">
        <f t="shared" si="186"/>
        <v>0</v>
      </c>
      <c r="AJ106" s="199"/>
      <c r="AK106"/>
      <c r="AL106"/>
      <c r="AM106"/>
      <c r="AN106"/>
      <c r="AO106"/>
      <c r="AP106"/>
      <c r="AQ106"/>
      <c r="AR106"/>
      <c r="AS106"/>
      <c r="AT106"/>
      <c r="AU106"/>
      <c r="AV106"/>
      <c r="AW106"/>
      <c r="AX106"/>
      <c r="AY106"/>
      <c r="AZ106"/>
      <c r="BA106"/>
      <c r="BB106"/>
      <c r="BC106"/>
      <c r="BD106"/>
      <c r="BE106"/>
      <c r="BF106"/>
      <c r="BG106"/>
      <c r="BH106"/>
      <c r="BI106"/>
      <c r="BJ106"/>
      <c r="BK106"/>
      <c r="BL106"/>
      <c r="BM106"/>
      <c r="CY106" s="12"/>
      <c r="CZ106" s="12"/>
      <c r="DA106" s="12"/>
      <c r="DB106" s="12"/>
      <c r="DC106" s="12"/>
      <c r="DD106" s="12"/>
      <c r="DE106" s="12"/>
      <c r="DF106" s="12"/>
      <c r="DG106" s="12"/>
      <c r="DH106" s="12"/>
      <c r="DI106" s="12"/>
      <c r="DJ106" s="12"/>
      <c r="DK106" s="12"/>
      <c r="DL106" s="12"/>
      <c r="DM106" s="12"/>
      <c r="DN106" s="12"/>
      <c r="DO106" s="12"/>
      <c r="DP106" s="12"/>
      <c r="DQ106" s="12"/>
      <c r="DR106" s="12"/>
      <c r="DS106" s="12"/>
      <c r="DT106" s="12"/>
      <c r="DU106" s="12"/>
      <c r="DV106" s="12"/>
      <c r="DW106" s="12"/>
      <c r="DX106" s="12"/>
      <c r="DY106" s="12"/>
      <c r="DZ106" s="12"/>
      <c r="EA106" s="12"/>
      <c r="GK106" s="12"/>
      <c r="GL106" s="12"/>
      <c r="GM106" s="12"/>
      <c r="GN106" s="12"/>
      <c r="GO106" s="12"/>
      <c r="GP106" s="12"/>
      <c r="GQ106" s="12"/>
      <c r="GR106" s="12"/>
      <c r="GS106" s="12"/>
      <c r="GT106" s="12"/>
      <c r="GU106" s="12"/>
      <c r="GV106" s="12"/>
      <c r="GW106" s="12"/>
      <c r="GX106" s="12"/>
      <c r="GY106" s="12"/>
      <c r="GZ106" s="12"/>
      <c r="HA106" s="12"/>
      <c r="HB106" s="12"/>
      <c r="HC106" s="12"/>
      <c r="HD106" s="12"/>
      <c r="HE106" s="12"/>
      <c r="HF106" s="12"/>
      <c r="HG106" s="12"/>
      <c r="HH106" s="12"/>
      <c r="HI106" s="12"/>
      <c r="HJ106" s="12"/>
      <c r="HK106" s="12"/>
      <c r="HL106" s="12"/>
      <c r="HM106" s="12"/>
      <c r="KC106" s="167"/>
    </row>
    <row r="107" spans="1:318" s="7" customFormat="1" ht="11.25" hidden="1" customHeight="1" x14ac:dyDescent="0.2">
      <c r="A107"/>
      <c r="G107" s="68">
        <f t="shared" si="172"/>
        <v>0</v>
      </c>
      <c r="H107" s="54"/>
      <c r="I107" s="54">
        <f t="shared" si="173"/>
        <v>0</v>
      </c>
      <c r="J107" s="54"/>
      <c r="K107" s="54">
        <f t="shared" si="174"/>
        <v>0</v>
      </c>
      <c r="L107" s="54"/>
      <c r="M107" s="54">
        <f t="shared" si="175"/>
        <v>0</v>
      </c>
      <c r="N107" s="54"/>
      <c r="O107" s="54">
        <f t="shared" si="176"/>
        <v>0</v>
      </c>
      <c r="P107" s="54"/>
      <c r="Q107" s="54">
        <f t="shared" si="177"/>
        <v>0</v>
      </c>
      <c r="R107" s="54"/>
      <c r="S107" s="54">
        <f t="shared" si="178"/>
        <v>0</v>
      </c>
      <c r="T107" s="54"/>
      <c r="U107" s="54">
        <f t="shared" si="179"/>
        <v>0</v>
      </c>
      <c r="V107" s="54"/>
      <c r="W107" s="54">
        <f t="shared" si="180"/>
        <v>0</v>
      </c>
      <c r="X107" s="207"/>
      <c r="Y107" s="54">
        <f t="shared" si="181"/>
        <v>0</v>
      </c>
      <c r="Z107" s="54"/>
      <c r="AA107" s="54">
        <f t="shared" si="182"/>
        <v>0</v>
      </c>
      <c r="AB107" s="54"/>
      <c r="AC107" s="54">
        <f t="shared" si="183"/>
        <v>0</v>
      </c>
      <c r="AD107" s="54"/>
      <c r="AE107" s="54">
        <f t="shared" si="184"/>
        <v>0</v>
      </c>
      <c r="AF107" s="54"/>
      <c r="AG107" s="54">
        <f t="shared" si="185"/>
        <v>0</v>
      </c>
      <c r="AH107" s="54"/>
      <c r="AI107" s="54">
        <f t="shared" si="186"/>
        <v>0</v>
      </c>
      <c r="AJ107" s="199"/>
      <c r="AK107"/>
      <c r="AL107"/>
      <c r="AM107"/>
      <c r="AN107"/>
      <c r="AO107"/>
      <c r="AP107"/>
      <c r="AQ107"/>
      <c r="AR107"/>
      <c r="AS107"/>
      <c r="AT107"/>
      <c r="AU107"/>
      <c r="AV107"/>
      <c r="AW107"/>
      <c r="AX107"/>
      <c r="AY107"/>
      <c r="AZ107"/>
      <c r="BA107"/>
      <c r="BB107"/>
      <c r="BC107"/>
      <c r="BD107"/>
      <c r="BE107"/>
      <c r="BF107"/>
      <c r="BG107"/>
      <c r="BH107"/>
      <c r="BI107"/>
      <c r="BJ107"/>
      <c r="BK107"/>
      <c r="BL107"/>
      <c r="BM107"/>
      <c r="CY107" s="12"/>
      <c r="CZ107" s="12"/>
      <c r="DA107" s="12"/>
      <c r="DB107" s="12"/>
      <c r="DC107" s="12"/>
      <c r="DD107" s="12"/>
      <c r="DE107" s="12"/>
      <c r="DF107" s="12"/>
      <c r="DG107" s="12"/>
      <c r="DH107" s="12"/>
      <c r="DI107" s="12"/>
      <c r="DJ107" s="12"/>
      <c r="DK107" s="12"/>
      <c r="DL107" s="12"/>
      <c r="DM107" s="12"/>
      <c r="DN107" s="12"/>
      <c r="DO107" s="12"/>
      <c r="DP107" s="12"/>
      <c r="DQ107" s="12"/>
      <c r="DR107" s="12"/>
      <c r="DS107" s="12"/>
      <c r="DT107" s="12"/>
      <c r="DU107" s="12"/>
      <c r="DV107" s="12"/>
      <c r="DW107" s="12"/>
      <c r="DX107" s="12"/>
      <c r="DY107" s="12"/>
      <c r="DZ107" s="12"/>
      <c r="EA107" s="12"/>
      <c r="GK107" s="12"/>
      <c r="GL107" s="12"/>
      <c r="GM107" s="12"/>
      <c r="GN107" s="12"/>
      <c r="GO107" s="12"/>
      <c r="GP107" s="12"/>
      <c r="GQ107" s="12"/>
      <c r="GR107" s="12"/>
      <c r="GS107" s="12"/>
      <c r="GT107" s="12"/>
      <c r="GU107" s="12"/>
      <c r="GV107" s="12"/>
      <c r="GW107" s="12"/>
      <c r="GX107" s="12"/>
      <c r="GY107" s="12"/>
      <c r="GZ107" s="12"/>
      <c r="HA107" s="12"/>
      <c r="HB107" s="12"/>
      <c r="HC107" s="12"/>
      <c r="HD107" s="12"/>
      <c r="HE107" s="12"/>
      <c r="HF107" s="12"/>
      <c r="HG107" s="12"/>
      <c r="HH107" s="12"/>
      <c r="HI107" s="12"/>
      <c r="HJ107" s="12"/>
      <c r="HK107" s="12"/>
      <c r="HL107" s="12"/>
      <c r="HM107" s="12"/>
      <c r="KC107" s="167"/>
    </row>
    <row r="108" spans="1:318" s="7" customFormat="1" ht="11.25" hidden="1" customHeight="1" x14ac:dyDescent="0.2">
      <c r="A108"/>
      <c r="G108" s="68">
        <f t="shared" si="172"/>
        <v>0</v>
      </c>
      <c r="H108" s="54"/>
      <c r="I108" s="54">
        <f t="shared" si="173"/>
        <v>0</v>
      </c>
      <c r="J108" s="54"/>
      <c r="K108" s="54">
        <f t="shared" si="174"/>
        <v>0</v>
      </c>
      <c r="L108" s="54"/>
      <c r="M108" s="54">
        <f t="shared" si="175"/>
        <v>0</v>
      </c>
      <c r="N108" s="54"/>
      <c r="O108" s="54">
        <f t="shared" si="176"/>
        <v>0</v>
      </c>
      <c r="P108" s="54"/>
      <c r="Q108" s="54">
        <f t="shared" si="177"/>
        <v>0</v>
      </c>
      <c r="R108" s="54"/>
      <c r="S108" s="54">
        <f t="shared" si="178"/>
        <v>0</v>
      </c>
      <c r="T108" s="54"/>
      <c r="U108" s="54">
        <f t="shared" si="179"/>
        <v>0</v>
      </c>
      <c r="V108" s="54"/>
      <c r="W108" s="54">
        <f t="shared" si="180"/>
        <v>0</v>
      </c>
      <c r="X108" s="207"/>
      <c r="Y108" s="54">
        <f t="shared" si="181"/>
        <v>0</v>
      </c>
      <c r="Z108" s="54"/>
      <c r="AA108" s="54">
        <f t="shared" si="182"/>
        <v>0</v>
      </c>
      <c r="AB108" s="54"/>
      <c r="AC108" s="54">
        <f t="shared" si="183"/>
        <v>0</v>
      </c>
      <c r="AD108" s="54"/>
      <c r="AE108" s="54">
        <f t="shared" si="184"/>
        <v>0</v>
      </c>
      <c r="AF108" s="54"/>
      <c r="AG108" s="54">
        <f t="shared" si="185"/>
        <v>0</v>
      </c>
      <c r="AH108" s="54"/>
      <c r="AI108" s="54">
        <f t="shared" si="186"/>
        <v>0</v>
      </c>
      <c r="AJ108" s="199"/>
      <c r="AK108"/>
      <c r="AL108"/>
      <c r="AM108"/>
      <c r="AN108"/>
      <c r="AO108"/>
      <c r="AP108"/>
      <c r="AQ108"/>
      <c r="AR108"/>
      <c r="AS108"/>
      <c r="AT108"/>
      <c r="AU108"/>
      <c r="AV108"/>
      <c r="AW108"/>
      <c r="AX108"/>
      <c r="AY108"/>
      <c r="AZ108"/>
      <c r="BA108"/>
      <c r="BB108"/>
      <c r="BC108"/>
      <c r="BD108"/>
      <c r="BE108"/>
      <c r="BF108"/>
      <c r="BG108"/>
      <c r="BH108"/>
      <c r="BI108"/>
      <c r="BJ108"/>
      <c r="BK108"/>
      <c r="BL108"/>
      <c r="BM108"/>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D108" s="10"/>
      <c r="EE108" s="10"/>
      <c r="EF108" s="10"/>
      <c r="EG108" s="10"/>
      <c r="EH108" s="10"/>
      <c r="EI108" s="10"/>
      <c r="EJ108" s="10"/>
      <c r="EK108" s="10"/>
      <c r="EL108" s="10"/>
      <c r="EM108" s="10"/>
      <c r="EN108" s="10"/>
      <c r="EO108" s="10"/>
      <c r="EP108" s="10"/>
      <c r="EQ108" s="10"/>
      <c r="ER108" s="10"/>
      <c r="ES108" s="10"/>
      <c r="ET108" s="10"/>
      <c r="EU108" s="10"/>
      <c r="EV108" s="10"/>
      <c r="EW108" s="10"/>
      <c r="EX108" s="10"/>
      <c r="EY108" s="10"/>
      <c r="EZ108" s="10"/>
      <c r="FA108" s="10"/>
      <c r="FB108" s="10"/>
      <c r="FC108" s="10"/>
      <c r="FD108" s="10"/>
      <c r="FE108" s="10"/>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KC108" s="167"/>
    </row>
    <row r="109" spans="1:318" s="7" customFormat="1" ht="11.25" hidden="1" customHeight="1" x14ac:dyDescent="0.2">
      <c r="A109"/>
      <c r="G109" s="68">
        <f t="shared" si="172"/>
        <v>0</v>
      </c>
      <c r="H109" s="54"/>
      <c r="I109" s="54">
        <f t="shared" si="173"/>
        <v>0</v>
      </c>
      <c r="J109" s="54"/>
      <c r="K109" s="54">
        <f t="shared" si="174"/>
        <v>0</v>
      </c>
      <c r="L109" s="54"/>
      <c r="M109" s="54">
        <f t="shared" si="175"/>
        <v>0</v>
      </c>
      <c r="N109" s="54"/>
      <c r="O109" s="54">
        <f t="shared" si="176"/>
        <v>0</v>
      </c>
      <c r="P109" s="54"/>
      <c r="Q109" s="54">
        <f t="shared" si="177"/>
        <v>0</v>
      </c>
      <c r="R109" s="54"/>
      <c r="S109" s="54">
        <f t="shared" si="178"/>
        <v>0</v>
      </c>
      <c r="T109" s="54"/>
      <c r="U109" s="54">
        <f t="shared" si="179"/>
        <v>0</v>
      </c>
      <c r="V109" s="54"/>
      <c r="W109" s="54">
        <f t="shared" si="180"/>
        <v>0</v>
      </c>
      <c r="X109" s="207"/>
      <c r="Y109" s="54">
        <f t="shared" si="181"/>
        <v>0</v>
      </c>
      <c r="Z109" s="54"/>
      <c r="AA109" s="54">
        <f t="shared" si="182"/>
        <v>0</v>
      </c>
      <c r="AB109" s="54"/>
      <c r="AC109" s="54">
        <f t="shared" si="183"/>
        <v>0</v>
      </c>
      <c r="AD109" s="54"/>
      <c r="AE109" s="54">
        <f t="shared" si="184"/>
        <v>0</v>
      </c>
      <c r="AF109" s="54"/>
      <c r="AG109" s="54">
        <f t="shared" si="185"/>
        <v>0</v>
      </c>
      <c r="AH109" s="54"/>
      <c r="AI109" s="54">
        <f t="shared" si="186"/>
        <v>0</v>
      </c>
      <c r="AJ109" s="199"/>
      <c r="AK109"/>
      <c r="AL109"/>
      <c r="AM109"/>
      <c r="AN109"/>
      <c r="AO109"/>
      <c r="AP109"/>
      <c r="AQ109"/>
      <c r="AR109"/>
      <c r="AS109"/>
      <c r="AT109"/>
      <c r="AU109"/>
      <c r="AV109"/>
      <c r="AW109"/>
      <c r="AX109"/>
      <c r="AY109"/>
      <c r="AZ109"/>
      <c r="BA109"/>
      <c r="BB109"/>
      <c r="BC109"/>
      <c r="BD109"/>
      <c r="BE109"/>
      <c r="BF109"/>
      <c r="BG109"/>
      <c r="BH109"/>
      <c r="BI109"/>
      <c r="BJ109"/>
      <c r="BK109"/>
      <c r="BL109"/>
      <c r="BM109"/>
      <c r="CY109" s="12"/>
      <c r="CZ109" s="12"/>
      <c r="DA109" s="12"/>
      <c r="DB109" s="12"/>
      <c r="DC109" s="12"/>
      <c r="DD109" s="12"/>
      <c r="DE109" s="12"/>
      <c r="DF109" s="12"/>
      <c r="DG109" s="12"/>
      <c r="DH109" s="12"/>
      <c r="DI109" s="12"/>
      <c r="DJ109" s="12"/>
      <c r="DK109" s="12"/>
      <c r="DL109" s="12"/>
      <c r="DM109" s="12"/>
      <c r="DN109" s="12"/>
      <c r="DO109" s="12"/>
      <c r="DP109" s="12"/>
      <c r="DQ109" s="12"/>
      <c r="DR109" s="12"/>
      <c r="DS109" s="12"/>
      <c r="DT109" s="12"/>
      <c r="DU109" s="12"/>
      <c r="DV109" s="12"/>
      <c r="DW109" s="12"/>
      <c r="DX109" s="12"/>
      <c r="DY109" s="12"/>
      <c r="DZ109" s="12"/>
      <c r="EA109" s="12"/>
      <c r="GK109" s="12"/>
      <c r="GL109" s="12"/>
      <c r="GM109" s="12"/>
      <c r="GN109" s="12"/>
      <c r="GO109" s="12"/>
      <c r="GP109" s="12"/>
      <c r="GQ109" s="12"/>
      <c r="GR109" s="12"/>
      <c r="GS109" s="12"/>
      <c r="GT109" s="12"/>
      <c r="GU109" s="12"/>
      <c r="GV109" s="12"/>
      <c r="GW109" s="12"/>
      <c r="GX109" s="12"/>
      <c r="GY109" s="12"/>
      <c r="GZ109" s="12"/>
      <c r="HA109" s="12"/>
      <c r="HB109" s="12"/>
      <c r="HC109" s="12"/>
      <c r="HD109" s="12"/>
      <c r="HE109" s="12"/>
      <c r="HF109" s="12"/>
      <c r="HG109" s="12"/>
      <c r="HH109" s="12"/>
      <c r="HI109" s="12"/>
      <c r="HJ109" s="12"/>
      <c r="HK109" s="12"/>
      <c r="HL109" s="12"/>
      <c r="HM109" s="12"/>
      <c r="KC109" s="167"/>
    </row>
    <row r="110" spans="1:318" s="7" customFormat="1" ht="11.25" hidden="1" customHeight="1" x14ac:dyDescent="0.2">
      <c r="A110"/>
      <c r="G110" s="68">
        <f t="shared" si="172"/>
        <v>0</v>
      </c>
      <c r="H110" s="54"/>
      <c r="I110" s="54">
        <f t="shared" si="173"/>
        <v>0</v>
      </c>
      <c r="J110" s="54"/>
      <c r="K110" s="54">
        <f t="shared" si="174"/>
        <v>0</v>
      </c>
      <c r="L110" s="54"/>
      <c r="M110" s="54">
        <f t="shared" si="175"/>
        <v>0</v>
      </c>
      <c r="N110" s="54"/>
      <c r="O110" s="54">
        <f t="shared" si="176"/>
        <v>0</v>
      </c>
      <c r="P110" s="54"/>
      <c r="Q110" s="54">
        <f t="shared" si="177"/>
        <v>0</v>
      </c>
      <c r="R110" s="54"/>
      <c r="S110" s="54">
        <f t="shared" si="178"/>
        <v>0</v>
      </c>
      <c r="T110" s="54"/>
      <c r="U110" s="54">
        <f t="shared" si="179"/>
        <v>0</v>
      </c>
      <c r="V110" s="54"/>
      <c r="W110" s="54">
        <f t="shared" si="180"/>
        <v>0</v>
      </c>
      <c r="X110" s="207"/>
      <c r="Y110" s="54">
        <f t="shared" si="181"/>
        <v>0</v>
      </c>
      <c r="Z110" s="54"/>
      <c r="AA110" s="54">
        <f t="shared" si="182"/>
        <v>0</v>
      </c>
      <c r="AB110" s="54"/>
      <c r="AC110" s="54">
        <f t="shared" si="183"/>
        <v>0</v>
      </c>
      <c r="AD110" s="54"/>
      <c r="AE110" s="54">
        <f t="shared" si="184"/>
        <v>0</v>
      </c>
      <c r="AF110" s="54"/>
      <c r="AG110" s="54">
        <f t="shared" si="185"/>
        <v>0</v>
      </c>
      <c r="AH110" s="54"/>
      <c r="AI110" s="54">
        <f t="shared" si="186"/>
        <v>0</v>
      </c>
      <c r="AJ110" s="199"/>
      <c r="AK110"/>
      <c r="AL110"/>
      <c r="AM110"/>
      <c r="AN110"/>
      <c r="AO110"/>
      <c r="AP110"/>
      <c r="AQ110"/>
      <c r="AR110"/>
      <c r="AS110"/>
      <c r="AT110"/>
      <c r="AU110"/>
      <c r="AV110"/>
      <c r="AW110"/>
      <c r="AX110"/>
      <c r="AY110"/>
      <c r="AZ110"/>
      <c r="BA110"/>
      <c r="BB110"/>
      <c r="BC110"/>
      <c r="BD110"/>
      <c r="BE110"/>
      <c r="BF110"/>
      <c r="BG110"/>
      <c r="BH110"/>
      <c r="BI110"/>
      <c r="BJ110"/>
      <c r="BK110"/>
      <c r="BL110"/>
      <c r="BM110"/>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KC110" s="167"/>
    </row>
    <row r="111" spans="1:318" s="7" customFormat="1" ht="11.25" hidden="1" customHeight="1" x14ac:dyDescent="0.2">
      <c r="A111"/>
      <c r="G111" s="68">
        <f t="shared" si="172"/>
        <v>0</v>
      </c>
      <c r="H111" s="54"/>
      <c r="I111" s="54">
        <f t="shared" si="173"/>
        <v>0</v>
      </c>
      <c r="J111" s="54"/>
      <c r="K111" s="54">
        <f t="shared" si="174"/>
        <v>0</v>
      </c>
      <c r="L111" s="54"/>
      <c r="M111" s="54">
        <f t="shared" si="175"/>
        <v>0</v>
      </c>
      <c r="N111" s="54"/>
      <c r="O111" s="54">
        <f t="shared" si="176"/>
        <v>0</v>
      </c>
      <c r="P111" s="54"/>
      <c r="Q111" s="54">
        <f t="shared" si="177"/>
        <v>0</v>
      </c>
      <c r="R111" s="54"/>
      <c r="S111" s="54">
        <f t="shared" si="178"/>
        <v>0</v>
      </c>
      <c r="T111" s="54"/>
      <c r="U111" s="54">
        <f t="shared" si="179"/>
        <v>0</v>
      </c>
      <c r="V111" s="54"/>
      <c r="W111" s="54">
        <f t="shared" si="180"/>
        <v>0</v>
      </c>
      <c r="X111" s="207"/>
      <c r="Y111" s="54">
        <f t="shared" si="181"/>
        <v>0</v>
      </c>
      <c r="Z111" s="54"/>
      <c r="AA111" s="54">
        <f t="shared" si="182"/>
        <v>0</v>
      </c>
      <c r="AB111" s="54"/>
      <c r="AC111" s="54">
        <f t="shared" si="183"/>
        <v>0</v>
      </c>
      <c r="AD111" s="54"/>
      <c r="AE111" s="54">
        <f t="shared" si="184"/>
        <v>0</v>
      </c>
      <c r="AF111" s="54"/>
      <c r="AG111" s="54">
        <f t="shared" si="185"/>
        <v>0</v>
      </c>
      <c r="AH111" s="54"/>
      <c r="AI111" s="54">
        <f t="shared" si="186"/>
        <v>0</v>
      </c>
      <c r="AJ111" s="199"/>
      <c r="AK111"/>
      <c r="AL111"/>
      <c r="AM111"/>
      <c r="AN111"/>
      <c r="AO111"/>
      <c r="AP111"/>
      <c r="AQ111"/>
      <c r="AR111"/>
      <c r="AS111"/>
      <c r="AT111"/>
      <c r="AU111"/>
      <c r="AV111"/>
      <c r="AW111"/>
      <c r="AX111"/>
      <c r="AY111"/>
      <c r="AZ111"/>
      <c r="BA111"/>
      <c r="BB111"/>
      <c r="BC111"/>
      <c r="BD111"/>
      <c r="BE111"/>
      <c r="BF111"/>
      <c r="BG111"/>
      <c r="BH111"/>
      <c r="BI111"/>
      <c r="BJ111"/>
      <c r="BK111"/>
      <c r="BL111"/>
      <c r="BM111"/>
      <c r="CY111" s="12"/>
      <c r="CZ111" s="12"/>
      <c r="DA111" s="12"/>
      <c r="DB111" s="12"/>
      <c r="DC111" s="12"/>
      <c r="DD111" s="12"/>
      <c r="DE111" s="12"/>
      <c r="DF111" s="12"/>
      <c r="DG111" s="12"/>
      <c r="DH111" s="12"/>
      <c r="DI111" s="12"/>
      <c r="DJ111" s="12"/>
      <c r="DK111" s="12"/>
      <c r="DL111" s="12"/>
      <c r="DM111" s="12"/>
      <c r="DN111" s="12"/>
      <c r="DO111" s="12"/>
      <c r="DP111" s="12"/>
      <c r="DQ111" s="12"/>
      <c r="DR111" s="12"/>
      <c r="DS111" s="12"/>
      <c r="DT111" s="12"/>
      <c r="DU111" s="12"/>
      <c r="DV111" s="12"/>
      <c r="DW111" s="12"/>
      <c r="DX111" s="12"/>
      <c r="DY111" s="12"/>
      <c r="DZ111" s="12"/>
      <c r="EA111" s="12"/>
      <c r="GK111" s="12"/>
      <c r="GL111" s="12"/>
      <c r="GM111" s="12"/>
      <c r="GN111" s="12"/>
      <c r="GO111" s="12"/>
      <c r="GP111" s="12"/>
      <c r="GQ111" s="12"/>
      <c r="GR111" s="12"/>
      <c r="GS111" s="12"/>
      <c r="GT111" s="12"/>
      <c r="GU111" s="12"/>
      <c r="GV111" s="12"/>
      <c r="GW111" s="12"/>
      <c r="GX111" s="12"/>
      <c r="GY111" s="12"/>
      <c r="GZ111" s="12"/>
      <c r="HA111" s="12"/>
      <c r="HB111" s="12"/>
      <c r="HC111" s="12"/>
      <c r="HD111" s="12"/>
      <c r="HE111" s="12"/>
      <c r="HF111" s="12"/>
      <c r="HG111" s="12"/>
      <c r="HH111" s="12"/>
      <c r="HI111" s="12"/>
      <c r="HJ111" s="12"/>
      <c r="HK111" s="12"/>
      <c r="HL111" s="12"/>
      <c r="HM111" s="12"/>
      <c r="HR111" s="10"/>
      <c r="HS111" s="10"/>
      <c r="HT111" s="10"/>
      <c r="HU111" s="10"/>
      <c r="HV111" s="10"/>
      <c r="HW111" s="10"/>
      <c r="HX111" s="10"/>
      <c r="HY111" s="10"/>
      <c r="HZ111" s="10"/>
      <c r="IA111" s="10"/>
      <c r="IB111" s="10"/>
      <c r="IC111" s="10"/>
      <c r="ID111" s="10"/>
      <c r="IE111" s="10"/>
      <c r="IF111" s="10"/>
      <c r="IG111" s="10"/>
      <c r="IH111" s="10"/>
      <c r="II111" s="10"/>
      <c r="IJ111" s="10"/>
      <c r="IK111" s="10"/>
      <c r="IL111" s="10"/>
      <c r="IM111" s="10"/>
      <c r="IN111" s="10"/>
      <c r="IO111" s="10"/>
      <c r="IP111" s="10"/>
      <c r="IQ111" s="10"/>
      <c r="IR111" s="10"/>
      <c r="IS111" s="10"/>
      <c r="IT111" s="10"/>
      <c r="IU111" s="10"/>
      <c r="KC111" s="167"/>
    </row>
    <row r="112" spans="1:318" s="7" customFormat="1" ht="11.25" hidden="1" customHeight="1" x14ac:dyDescent="0.2">
      <c r="A112"/>
      <c r="G112" s="68">
        <f t="shared" si="172"/>
        <v>0</v>
      </c>
      <c r="H112" s="54"/>
      <c r="I112" s="54">
        <f t="shared" si="173"/>
        <v>0</v>
      </c>
      <c r="J112" s="54"/>
      <c r="K112" s="54">
        <f t="shared" si="174"/>
        <v>0</v>
      </c>
      <c r="L112" s="54"/>
      <c r="M112" s="54">
        <f t="shared" si="175"/>
        <v>0</v>
      </c>
      <c r="N112" s="54"/>
      <c r="O112" s="54">
        <f t="shared" si="176"/>
        <v>0</v>
      </c>
      <c r="P112" s="54"/>
      <c r="Q112" s="54">
        <f t="shared" si="177"/>
        <v>0</v>
      </c>
      <c r="R112" s="54"/>
      <c r="S112" s="54">
        <f t="shared" si="178"/>
        <v>0</v>
      </c>
      <c r="T112" s="54"/>
      <c r="U112" s="54">
        <f t="shared" si="179"/>
        <v>0</v>
      </c>
      <c r="V112" s="54"/>
      <c r="W112" s="54">
        <f t="shared" si="180"/>
        <v>0</v>
      </c>
      <c r="X112" s="207"/>
      <c r="Y112" s="54">
        <f t="shared" si="181"/>
        <v>0</v>
      </c>
      <c r="Z112" s="54"/>
      <c r="AA112" s="54">
        <f t="shared" si="182"/>
        <v>0</v>
      </c>
      <c r="AB112" s="54"/>
      <c r="AC112" s="54">
        <f t="shared" si="183"/>
        <v>0</v>
      </c>
      <c r="AD112" s="54"/>
      <c r="AE112" s="54">
        <f t="shared" si="184"/>
        <v>0</v>
      </c>
      <c r="AF112" s="54"/>
      <c r="AG112" s="54">
        <f t="shared" si="185"/>
        <v>0</v>
      </c>
      <c r="AH112" s="54"/>
      <c r="AI112" s="54">
        <f t="shared" si="186"/>
        <v>0</v>
      </c>
      <c r="AJ112" s="199"/>
      <c r="AK112"/>
      <c r="AL112"/>
      <c r="AM112"/>
      <c r="AN112"/>
      <c r="AO112"/>
      <c r="AP112"/>
      <c r="AQ112"/>
      <c r="AR112"/>
      <c r="AS112"/>
      <c r="AT112"/>
      <c r="AU112"/>
      <c r="AV112"/>
      <c r="AW112"/>
      <c r="AX112"/>
      <c r="AY112"/>
      <c r="AZ112"/>
      <c r="BA112"/>
      <c r="BB112"/>
      <c r="BC112"/>
      <c r="BD112"/>
      <c r="BE112"/>
      <c r="BF112"/>
      <c r="BG112"/>
      <c r="BH112"/>
      <c r="BI112"/>
      <c r="BJ112"/>
      <c r="BK112"/>
      <c r="BL112"/>
      <c r="BM112"/>
      <c r="CY112" s="12"/>
      <c r="CZ112" s="12"/>
      <c r="DA112" s="12"/>
      <c r="DB112" s="12"/>
      <c r="DC112" s="12"/>
      <c r="DD112" s="12"/>
      <c r="DE112" s="12"/>
      <c r="DF112" s="12"/>
      <c r="DG112" s="12"/>
      <c r="DH112" s="12"/>
      <c r="DI112" s="12"/>
      <c r="DJ112" s="12"/>
      <c r="DK112" s="12"/>
      <c r="DL112" s="12"/>
      <c r="DM112" s="12"/>
      <c r="DN112" s="12"/>
      <c r="DO112" s="12"/>
      <c r="DP112" s="12"/>
      <c r="DQ112" s="12"/>
      <c r="DR112" s="12"/>
      <c r="DS112" s="12"/>
      <c r="DT112" s="12"/>
      <c r="DU112" s="12"/>
      <c r="DV112" s="12"/>
      <c r="DW112" s="12"/>
      <c r="DX112" s="12"/>
      <c r="DY112" s="12"/>
      <c r="DZ112" s="12"/>
      <c r="EA112" s="12"/>
      <c r="GK112" s="12"/>
      <c r="GL112" s="12"/>
      <c r="GM112" s="12"/>
      <c r="GN112" s="12"/>
      <c r="GO112" s="12"/>
      <c r="GP112" s="12"/>
      <c r="GQ112" s="12"/>
      <c r="GR112" s="12"/>
      <c r="GS112" s="12"/>
      <c r="GT112" s="12"/>
      <c r="GU112" s="12"/>
      <c r="GV112" s="12"/>
      <c r="GW112" s="12"/>
      <c r="GX112" s="12"/>
      <c r="GY112" s="12"/>
      <c r="GZ112" s="12"/>
      <c r="HA112" s="12"/>
      <c r="HB112" s="12"/>
      <c r="HC112" s="12"/>
      <c r="HD112" s="12"/>
      <c r="HE112" s="12"/>
      <c r="HF112" s="12"/>
      <c r="HG112" s="12"/>
      <c r="HH112" s="12"/>
      <c r="HI112" s="12"/>
      <c r="HJ112" s="12"/>
      <c r="HK112" s="12"/>
      <c r="HL112" s="12"/>
      <c r="HM112" s="12"/>
      <c r="KC112" s="168"/>
      <c r="KD112" s="10"/>
    </row>
    <row r="113" spans="1:290" s="7" customFormat="1" ht="11.25" hidden="1" customHeight="1" x14ac:dyDescent="0.2">
      <c r="A113"/>
      <c r="B113" s="10"/>
      <c r="C113" s="10"/>
      <c r="G113" s="68">
        <f t="shared" si="172"/>
        <v>0</v>
      </c>
      <c r="H113" s="54"/>
      <c r="I113" s="54">
        <f t="shared" si="173"/>
        <v>0</v>
      </c>
      <c r="J113" s="54"/>
      <c r="K113" s="54">
        <f t="shared" si="174"/>
        <v>0</v>
      </c>
      <c r="L113" s="54"/>
      <c r="M113" s="54">
        <f t="shared" si="175"/>
        <v>0</v>
      </c>
      <c r="N113" s="54"/>
      <c r="O113" s="54">
        <f t="shared" si="176"/>
        <v>0</v>
      </c>
      <c r="P113" s="54"/>
      <c r="Q113" s="54">
        <f t="shared" si="177"/>
        <v>0</v>
      </c>
      <c r="R113" s="54"/>
      <c r="S113" s="54">
        <f t="shared" si="178"/>
        <v>0</v>
      </c>
      <c r="T113" s="54"/>
      <c r="U113" s="54">
        <f t="shared" si="179"/>
        <v>0</v>
      </c>
      <c r="V113" s="54"/>
      <c r="W113" s="54">
        <f t="shared" si="180"/>
        <v>0</v>
      </c>
      <c r="X113" s="207"/>
      <c r="Y113" s="54">
        <f t="shared" si="181"/>
        <v>0</v>
      </c>
      <c r="Z113" s="54"/>
      <c r="AA113" s="54">
        <f t="shared" si="182"/>
        <v>0</v>
      </c>
      <c r="AB113" s="54"/>
      <c r="AC113" s="54">
        <f t="shared" si="183"/>
        <v>0</v>
      </c>
      <c r="AD113" s="54"/>
      <c r="AE113" s="54">
        <f t="shared" si="184"/>
        <v>0</v>
      </c>
      <c r="AF113" s="54"/>
      <c r="AG113" s="54">
        <f t="shared" si="185"/>
        <v>0</v>
      </c>
      <c r="AH113" s="54"/>
      <c r="AI113" s="54">
        <f t="shared" si="186"/>
        <v>0</v>
      </c>
      <c r="AJ113" s="199"/>
      <c r="AK113"/>
      <c r="AL113"/>
      <c r="AM113"/>
      <c r="AN113"/>
      <c r="AO113"/>
      <c r="AP113"/>
      <c r="AQ113"/>
      <c r="AR113"/>
      <c r="AS113"/>
      <c r="AT113"/>
      <c r="AU113"/>
      <c r="AV113"/>
      <c r="AW113"/>
      <c r="AX113"/>
      <c r="AY113"/>
      <c r="AZ113"/>
      <c r="BA113"/>
      <c r="BB113"/>
      <c r="BC113"/>
      <c r="BD113"/>
      <c r="BE113"/>
      <c r="BF113"/>
      <c r="BG113"/>
      <c r="BH113"/>
      <c r="BI113"/>
      <c r="BJ113"/>
      <c r="BK113"/>
      <c r="BL113"/>
      <c r="BM113"/>
      <c r="BS113" s="13"/>
      <c r="CY113" s="12"/>
      <c r="CZ113" s="12"/>
      <c r="DA113" s="12"/>
      <c r="DB113" s="12"/>
      <c r="DC113" s="12"/>
      <c r="DD113" s="12"/>
      <c r="DE113" s="12"/>
      <c r="DF113" s="12"/>
      <c r="DG113" s="12"/>
      <c r="DH113" s="12"/>
      <c r="DI113" s="12"/>
      <c r="DJ113" s="12"/>
      <c r="DK113" s="12"/>
      <c r="DL113" s="12"/>
      <c r="DM113" s="12"/>
      <c r="DN113" s="12"/>
      <c r="DO113" s="12"/>
      <c r="DP113" s="12"/>
      <c r="DQ113" s="12"/>
      <c r="DR113" s="12"/>
      <c r="DS113" s="12"/>
      <c r="DT113" s="12"/>
      <c r="DU113" s="12"/>
      <c r="DV113" s="12"/>
      <c r="DW113" s="12"/>
      <c r="DX113" s="12"/>
      <c r="DY113" s="12"/>
      <c r="DZ113" s="12"/>
      <c r="EA113" s="12"/>
      <c r="GK113" s="12"/>
      <c r="GL113" s="12"/>
      <c r="GM113" s="12"/>
      <c r="GN113" s="12"/>
      <c r="GO113" s="12"/>
      <c r="GP113" s="12"/>
      <c r="GQ113" s="12"/>
      <c r="GR113" s="12"/>
      <c r="GS113" s="12"/>
      <c r="GT113" s="12"/>
      <c r="GU113" s="12"/>
      <c r="GV113" s="12"/>
      <c r="GW113" s="12"/>
      <c r="GX113" s="12"/>
      <c r="GY113" s="12"/>
      <c r="GZ113" s="12"/>
      <c r="HA113" s="12"/>
      <c r="HB113" s="12"/>
      <c r="HC113" s="12"/>
      <c r="HD113" s="12"/>
      <c r="HE113" s="12"/>
      <c r="HF113" s="12"/>
      <c r="HG113" s="12"/>
      <c r="HH113" s="12"/>
      <c r="HI113" s="12"/>
      <c r="HJ113" s="12"/>
      <c r="HK113" s="12"/>
      <c r="HL113" s="12"/>
      <c r="HM113" s="12"/>
      <c r="KC113" s="167"/>
    </row>
    <row r="114" spans="1:290" s="10" customFormat="1" hidden="1" x14ac:dyDescent="0.2">
      <c r="A114"/>
      <c r="B114" s="7"/>
      <c r="C114" s="7"/>
      <c r="D114" s="7"/>
      <c r="E114" s="7"/>
      <c r="F114" s="7"/>
      <c r="G114" s="68">
        <f t="shared" si="172"/>
        <v>0</v>
      </c>
      <c r="H114" s="54"/>
      <c r="I114" s="54">
        <f t="shared" si="173"/>
        <v>0</v>
      </c>
      <c r="J114" s="54"/>
      <c r="K114" s="54">
        <f t="shared" si="174"/>
        <v>0</v>
      </c>
      <c r="L114" s="54"/>
      <c r="M114" s="54">
        <f t="shared" si="175"/>
        <v>0</v>
      </c>
      <c r="N114" s="54"/>
      <c r="O114" s="54">
        <f t="shared" si="176"/>
        <v>0</v>
      </c>
      <c r="P114" s="54"/>
      <c r="Q114" s="54">
        <f t="shared" si="177"/>
        <v>0</v>
      </c>
      <c r="R114" s="54"/>
      <c r="S114" s="54">
        <f t="shared" si="178"/>
        <v>0</v>
      </c>
      <c r="T114" s="54"/>
      <c r="U114" s="54">
        <f t="shared" si="179"/>
        <v>0</v>
      </c>
      <c r="V114" s="54"/>
      <c r="W114" s="54">
        <f t="shared" si="180"/>
        <v>0</v>
      </c>
      <c r="X114" s="207"/>
      <c r="Y114" s="54">
        <f t="shared" si="181"/>
        <v>0</v>
      </c>
      <c r="Z114" s="54"/>
      <c r="AA114" s="54">
        <f t="shared" si="182"/>
        <v>0</v>
      </c>
      <c r="AB114" s="54"/>
      <c r="AC114" s="54">
        <f t="shared" si="183"/>
        <v>0</v>
      </c>
      <c r="AD114" s="54"/>
      <c r="AE114" s="54">
        <f t="shared" si="184"/>
        <v>0</v>
      </c>
      <c r="AF114" s="54"/>
      <c r="AG114" s="54">
        <f t="shared" si="185"/>
        <v>0</v>
      </c>
      <c r="AH114" s="54"/>
      <c r="AI114" s="54">
        <f t="shared" si="186"/>
        <v>0</v>
      </c>
      <c r="AJ114" s="199"/>
      <c r="AK114"/>
      <c r="AL114"/>
      <c r="AM114"/>
      <c r="AN114"/>
      <c r="AO114"/>
      <c r="AP114"/>
      <c r="AQ114"/>
      <c r="AR114"/>
      <c r="AS114"/>
      <c r="AT114"/>
      <c r="AU114"/>
      <c r="AV114"/>
      <c r="AW114"/>
      <c r="AX114"/>
      <c r="AY114"/>
      <c r="AZ114"/>
      <c r="BA114"/>
      <c r="BB114"/>
      <c r="BC114"/>
      <c r="BD114"/>
      <c r="BE114"/>
      <c r="BF114"/>
      <c r="BG114"/>
      <c r="BH114"/>
      <c r="BI114"/>
      <c r="BJ114"/>
      <c r="BK114"/>
      <c r="BL114"/>
      <c r="BM114"/>
      <c r="BO114" s="13"/>
      <c r="BP114" s="13"/>
      <c r="BQ114" s="13"/>
      <c r="BR114" s="13"/>
      <c r="BS114" s="7"/>
      <c r="CY114" s="72"/>
      <c r="CZ114" s="72"/>
      <c r="DA114" s="72"/>
      <c r="DB114" s="72"/>
      <c r="DC114" s="72"/>
      <c r="DD114" s="72"/>
      <c r="DE114" s="72"/>
      <c r="DF114" s="72"/>
      <c r="DG114" s="72"/>
      <c r="DH114" s="72"/>
      <c r="DI114" s="72"/>
      <c r="DJ114" s="72"/>
      <c r="DK114" s="72"/>
      <c r="DL114" s="72"/>
      <c r="DM114" s="72"/>
      <c r="DN114" s="72"/>
      <c r="DO114" s="72"/>
      <c r="DP114" s="72"/>
      <c r="DQ114" s="72"/>
      <c r="DR114" s="72"/>
      <c r="DS114" s="72"/>
      <c r="DT114" s="72"/>
      <c r="DU114" s="72"/>
      <c r="DV114" s="72"/>
      <c r="DW114" s="72"/>
      <c r="DX114" s="72"/>
      <c r="DY114" s="72"/>
      <c r="DZ114" s="72"/>
      <c r="EA114" s="72"/>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GK114" s="72"/>
      <c r="GL114" s="72"/>
      <c r="GM114" s="72"/>
      <c r="GN114" s="72"/>
      <c r="GO114" s="72"/>
      <c r="GP114" s="72"/>
      <c r="GQ114" s="72"/>
      <c r="GR114" s="72"/>
      <c r="GS114" s="72"/>
      <c r="GT114" s="72"/>
      <c r="GU114" s="72"/>
      <c r="GV114" s="72"/>
      <c r="GW114" s="72"/>
      <c r="GX114" s="72"/>
      <c r="GY114" s="72"/>
      <c r="GZ114" s="72"/>
      <c r="HA114" s="72"/>
      <c r="HB114" s="72"/>
      <c r="HC114" s="72"/>
      <c r="HD114" s="72"/>
      <c r="HE114" s="72"/>
      <c r="HF114" s="72"/>
      <c r="HG114" s="72"/>
      <c r="HH114" s="72"/>
      <c r="HI114" s="72"/>
      <c r="HJ114" s="72"/>
      <c r="HK114" s="72"/>
      <c r="HL114" s="72"/>
      <c r="HM114" s="72"/>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KC114" s="167"/>
      <c r="KD114" s="7"/>
    </row>
    <row r="115" spans="1:290" s="7" customFormat="1" hidden="1" x14ac:dyDescent="0.2">
      <c r="A115"/>
      <c r="G115" s="68">
        <f t="shared" si="172"/>
        <v>0</v>
      </c>
      <c r="H115" s="54"/>
      <c r="I115" s="54">
        <f t="shared" si="173"/>
        <v>0</v>
      </c>
      <c r="J115" s="54"/>
      <c r="K115" s="54">
        <f t="shared" si="174"/>
        <v>0</v>
      </c>
      <c r="L115" s="54"/>
      <c r="M115" s="54">
        <f t="shared" si="175"/>
        <v>0</v>
      </c>
      <c r="N115" s="54"/>
      <c r="O115" s="54">
        <f t="shared" si="176"/>
        <v>0</v>
      </c>
      <c r="P115" s="54"/>
      <c r="Q115" s="54">
        <f t="shared" si="177"/>
        <v>0</v>
      </c>
      <c r="R115" s="54"/>
      <c r="S115" s="54">
        <f t="shared" si="178"/>
        <v>0</v>
      </c>
      <c r="T115" s="54"/>
      <c r="U115" s="54">
        <f t="shared" si="179"/>
        <v>0</v>
      </c>
      <c r="V115" s="54"/>
      <c r="W115" s="54">
        <f t="shared" si="180"/>
        <v>0</v>
      </c>
      <c r="X115" s="207"/>
      <c r="Y115" s="54">
        <f t="shared" si="181"/>
        <v>0</v>
      </c>
      <c r="Z115" s="54"/>
      <c r="AA115" s="54">
        <f t="shared" si="182"/>
        <v>0</v>
      </c>
      <c r="AB115" s="54"/>
      <c r="AC115" s="54">
        <f t="shared" si="183"/>
        <v>0</v>
      </c>
      <c r="AD115" s="54"/>
      <c r="AE115" s="54">
        <f t="shared" si="184"/>
        <v>0</v>
      </c>
      <c r="AF115" s="54"/>
      <c r="AG115" s="54">
        <f t="shared" si="185"/>
        <v>0</v>
      </c>
      <c r="AH115" s="54"/>
      <c r="AI115" s="54">
        <f t="shared" si="186"/>
        <v>0</v>
      </c>
      <c r="AJ115" s="199"/>
      <c r="AK115"/>
      <c r="AL115"/>
      <c r="AM115"/>
      <c r="AN115"/>
      <c r="AO115"/>
      <c r="AP115"/>
      <c r="AQ115"/>
      <c r="AR115"/>
      <c r="AS115"/>
      <c r="AT115"/>
      <c r="AU115"/>
      <c r="AV115"/>
      <c r="AW115"/>
      <c r="AX115"/>
      <c r="AY115"/>
      <c r="AZ115"/>
      <c r="BA115"/>
      <c r="BB115"/>
      <c r="BC115"/>
      <c r="BD115"/>
      <c r="BE115"/>
      <c r="BF115"/>
      <c r="BG115"/>
      <c r="BH115"/>
      <c r="BI115"/>
      <c r="BJ115"/>
      <c r="BK115"/>
      <c r="BL115"/>
      <c r="BM115"/>
      <c r="CY115" s="12"/>
      <c r="CZ115" s="12"/>
      <c r="DA115" s="12"/>
      <c r="DB115" s="12"/>
      <c r="DC115" s="12"/>
      <c r="DD115" s="12"/>
      <c r="DE115" s="12"/>
      <c r="DF115" s="12"/>
      <c r="DG115" s="12"/>
      <c r="DH115" s="12"/>
      <c r="DI115" s="12"/>
      <c r="DJ115" s="12"/>
      <c r="DK115" s="12"/>
      <c r="DL115" s="12"/>
      <c r="DM115" s="12"/>
      <c r="DN115" s="12"/>
      <c r="DO115" s="12"/>
      <c r="DP115" s="12"/>
      <c r="DQ115" s="12"/>
      <c r="DR115" s="12"/>
      <c r="DS115" s="12"/>
      <c r="DT115" s="12"/>
      <c r="DU115" s="12"/>
      <c r="DV115" s="12"/>
      <c r="DW115" s="12"/>
      <c r="DX115" s="12"/>
      <c r="DY115" s="12"/>
      <c r="DZ115" s="12"/>
      <c r="EA115" s="12"/>
      <c r="GK115" s="12"/>
      <c r="GL115" s="12"/>
      <c r="GM115" s="12"/>
      <c r="GN115" s="12"/>
      <c r="GO115" s="12"/>
      <c r="GP115" s="12"/>
      <c r="GQ115" s="12"/>
      <c r="GR115" s="12"/>
      <c r="GS115" s="12"/>
      <c r="GT115" s="12"/>
      <c r="GU115" s="12"/>
      <c r="GV115" s="12"/>
      <c r="GW115" s="12"/>
      <c r="GX115" s="12"/>
      <c r="GY115" s="12"/>
      <c r="GZ115" s="12"/>
      <c r="HA115" s="12"/>
      <c r="HB115" s="12"/>
      <c r="HC115" s="12"/>
      <c r="HD115" s="12"/>
      <c r="HE115" s="12"/>
      <c r="HF115" s="12"/>
      <c r="HG115" s="12"/>
      <c r="HH115" s="12"/>
      <c r="HI115" s="12"/>
      <c r="HJ115" s="12"/>
      <c r="HK115" s="12"/>
      <c r="HL115" s="12"/>
      <c r="HM115" s="12"/>
      <c r="KC115" s="167"/>
    </row>
    <row r="116" spans="1:290" s="7" customFormat="1" hidden="1" x14ac:dyDescent="0.2">
      <c r="A116"/>
      <c r="G116" s="68">
        <f t="shared" si="172"/>
        <v>0</v>
      </c>
      <c r="H116" s="54"/>
      <c r="I116" s="54">
        <f t="shared" si="173"/>
        <v>0</v>
      </c>
      <c r="J116" s="54"/>
      <c r="K116" s="54">
        <f t="shared" si="174"/>
        <v>0</v>
      </c>
      <c r="L116" s="54"/>
      <c r="M116" s="54">
        <f t="shared" si="175"/>
        <v>0</v>
      </c>
      <c r="N116" s="54"/>
      <c r="O116" s="54">
        <f t="shared" si="176"/>
        <v>0</v>
      </c>
      <c r="P116" s="54"/>
      <c r="Q116" s="54">
        <f t="shared" si="177"/>
        <v>0</v>
      </c>
      <c r="R116" s="54"/>
      <c r="S116" s="54">
        <f t="shared" si="178"/>
        <v>0</v>
      </c>
      <c r="T116" s="54"/>
      <c r="U116" s="54">
        <f t="shared" si="179"/>
        <v>0</v>
      </c>
      <c r="V116" s="54"/>
      <c r="W116" s="54">
        <f t="shared" si="180"/>
        <v>0</v>
      </c>
      <c r="X116" s="207"/>
      <c r="Y116" s="54">
        <f t="shared" si="181"/>
        <v>0</v>
      </c>
      <c r="Z116" s="54"/>
      <c r="AA116" s="54">
        <f t="shared" si="182"/>
        <v>0</v>
      </c>
      <c r="AB116" s="54"/>
      <c r="AC116" s="54">
        <f t="shared" si="183"/>
        <v>0</v>
      </c>
      <c r="AD116" s="54"/>
      <c r="AE116" s="54">
        <f t="shared" si="184"/>
        <v>0</v>
      </c>
      <c r="AF116" s="54"/>
      <c r="AG116" s="54">
        <f t="shared" si="185"/>
        <v>0</v>
      </c>
      <c r="AH116" s="54"/>
      <c r="AI116" s="54">
        <f t="shared" si="186"/>
        <v>0</v>
      </c>
      <c r="AJ116" s="199"/>
      <c r="AK116"/>
      <c r="AL116"/>
      <c r="AM116"/>
      <c r="AN116"/>
      <c r="AO116"/>
      <c r="AP116"/>
      <c r="AQ116"/>
      <c r="AR116"/>
      <c r="AS116"/>
      <c r="AT116"/>
      <c r="AU116"/>
      <c r="AV116"/>
      <c r="AW116"/>
      <c r="AX116"/>
      <c r="AY116"/>
      <c r="AZ116"/>
      <c r="BA116"/>
      <c r="BB116"/>
      <c r="BC116"/>
      <c r="BD116"/>
      <c r="BE116"/>
      <c r="BF116"/>
      <c r="BG116"/>
      <c r="BH116"/>
      <c r="BI116"/>
      <c r="BJ116"/>
      <c r="BK116"/>
      <c r="BL116"/>
      <c r="BM116"/>
      <c r="CY116" s="12"/>
      <c r="CZ116" s="12"/>
      <c r="DA116" s="12"/>
      <c r="DB116" s="12"/>
      <c r="DC116" s="12"/>
      <c r="DD116" s="12"/>
      <c r="DE116" s="12"/>
      <c r="DF116" s="12"/>
      <c r="DG116" s="12"/>
      <c r="DH116" s="12"/>
      <c r="DI116" s="12"/>
      <c r="DJ116" s="12"/>
      <c r="DK116" s="12"/>
      <c r="DL116" s="12"/>
      <c r="DM116" s="12"/>
      <c r="DN116" s="12"/>
      <c r="DO116" s="12"/>
      <c r="DP116" s="12"/>
      <c r="DQ116" s="12"/>
      <c r="DR116" s="12"/>
      <c r="DS116" s="12"/>
      <c r="DT116" s="12"/>
      <c r="DU116" s="12"/>
      <c r="DV116" s="12"/>
      <c r="DW116" s="12"/>
      <c r="DX116" s="12"/>
      <c r="DY116" s="12"/>
      <c r="DZ116" s="12"/>
      <c r="EA116" s="12"/>
      <c r="GK116" s="12"/>
      <c r="GL116" s="12"/>
      <c r="GM116" s="12"/>
      <c r="GN116" s="12"/>
      <c r="GO116" s="12"/>
      <c r="GP116" s="12"/>
      <c r="GQ116" s="12"/>
      <c r="GR116" s="12"/>
      <c r="GS116" s="12"/>
      <c r="GT116" s="12"/>
      <c r="GU116" s="12"/>
      <c r="GV116" s="12"/>
      <c r="GW116" s="12"/>
      <c r="GX116" s="12"/>
      <c r="GY116" s="12"/>
      <c r="GZ116" s="12"/>
      <c r="HA116" s="12"/>
      <c r="HB116" s="12"/>
      <c r="HC116" s="12"/>
      <c r="HD116" s="12"/>
      <c r="HE116" s="12"/>
      <c r="HF116" s="12"/>
      <c r="HG116" s="12"/>
      <c r="HH116" s="12"/>
      <c r="HI116" s="12"/>
      <c r="HJ116" s="12"/>
      <c r="HK116" s="12"/>
      <c r="HL116" s="12"/>
      <c r="HM116" s="12"/>
      <c r="KC116" s="167"/>
    </row>
    <row r="117" spans="1:290" s="7" customFormat="1" hidden="1" x14ac:dyDescent="0.2">
      <c r="A117"/>
      <c r="G117" s="68">
        <f t="shared" si="172"/>
        <v>0</v>
      </c>
      <c r="H117" s="54"/>
      <c r="I117" s="54">
        <f t="shared" si="173"/>
        <v>0</v>
      </c>
      <c r="J117" s="54"/>
      <c r="K117" s="54">
        <f t="shared" si="174"/>
        <v>0</v>
      </c>
      <c r="L117" s="54"/>
      <c r="M117" s="54">
        <f t="shared" si="175"/>
        <v>0</v>
      </c>
      <c r="N117" s="54"/>
      <c r="O117" s="54">
        <f t="shared" si="176"/>
        <v>0</v>
      </c>
      <c r="P117" s="54"/>
      <c r="Q117" s="54">
        <f t="shared" si="177"/>
        <v>0</v>
      </c>
      <c r="R117" s="54"/>
      <c r="S117" s="54">
        <f t="shared" si="178"/>
        <v>0</v>
      </c>
      <c r="T117" s="54"/>
      <c r="U117" s="54">
        <f t="shared" si="179"/>
        <v>0</v>
      </c>
      <c r="V117" s="54"/>
      <c r="W117" s="54">
        <f t="shared" si="180"/>
        <v>0</v>
      </c>
      <c r="X117" s="207"/>
      <c r="Y117" s="54">
        <f t="shared" si="181"/>
        <v>0</v>
      </c>
      <c r="Z117" s="54"/>
      <c r="AA117" s="54">
        <f t="shared" si="182"/>
        <v>0</v>
      </c>
      <c r="AB117" s="54"/>
      <c r="AC117" s="54">
        <f t="shared" si="183"/>
        <v>0</v>
      </c>
      <c r="AD117" s="54"/>
      <c r="AE117" s="54">
        <f t="shared" si="184"/>
        <v>0</v>
      </c>
      <c r="AF117" s="54"/>
      <c r="AG117" s="54">
        <f t="shared" si="185"/>
        <v>0</v>
      </c>
      <c r="AH117" s="54"/>
      <c r="AI117" s="54">
        <f t="shared" si="186"/>
        <v>0</v>
      </c>
      <c r="AJ117" s="199"/>
      <c r="AK117"/>
      <c r="AL117"/>
      <c r="AM117"/>
      <c r="AN117"/>
      <c r="AO117"/>
      <c r="AP117"/>
      <c r="AQ117"/>
      <c r="AR117"/>
      <c r="AS117"/>
      <c r="AT117"/>
      <c r="AU117"/>
      <c r="AV117"/>
      <c r="AW117"/>
      <c r="AX117"/>
      <c r="AY117"/>
      <c r="AZ117"/>
      <c r="BA117"/>
      <c r="BB117"/>
      <c r="BC117"/>
      <c r="BD117"/>
      <c r="BE117"/>
      <c r="BF117"/>
      <c r="BG117"/>
      <c r="BH117"/>
      <c r="BI117"/>
      <c r="BJ117"/>
      <c r="BK117"/>
      <c r="BL117"/>
      <c r="BM117"/>
      <c r="CY117" s="12"/>
      <c r="CZ117" s="12"/>
      <c r="DA117" s="12"/>
      <c r="DB117" s="12"/>
      <c r="DC117" s="12"/>
      <c r="DD117" s="12"/>
      <c r="DE117" s="12"/>
      <c r="DF117" s="12"/>
      <c r="DG117" s="12"/>
      <c r="DH117" s="12"/>
      <c r="DI117" s="12"/>
      <c r="DJ117" s="12"/>
      <c r="DK117" s="12"/>
      <c r="DL117" s="12"/>
      <c r="DM117" s="12"/>
      <c r="DN117" s="12"/>
      <c r="DO117" s="12"/>
      <c r="DP117" s="12"/>
      <c r="DQ117" s="12"/>
      <c r="DR117" s="12"/>
      <c r="DS117" s="12"/>
      <c r="DT117" s="12"/>
      <c r="DU117" s="12"/>
      <c r="DV117" s="12"/>
      <c r="DW117" s="12"/>
      <c r="DX117" s="12"/>
      <c r="DY117" s="12"/>
      <c r="DZ117" s="12"/>
      <c r="EA117" s="12"/>
      <c r="GK117" s="12"/>
      <c r="GL117" s="12"/>
      <c r="GM117" s="12"/>
      <c r="GN117" s="12"/>
      <c r="GO117" s="12"/>
      <c r="GP117" s="12"/>
      <c r="GQ117" s="12"/>
      <c r="GR117" s="12"/>
      <c r="GS117" s="12"/>
      <c r="GT117" s="12"/>
      <c r="GU117" s="12"/>
      <c r="GV117" s="12"/>
      <c r="GW117" s="12"/>
      <c r="GX117" s="12"/>
      <c r="GY117" s="12"/>
      <c r="GZ117" s="12"/>
      <c r="HA117" s="12"/>
      <c r="HB117" s="12"/>
      <c r="HC117" s="12"/>
      <c r="HD117" s="12"/>
      <c r="HE117" s="12"/>
      <c r="HF117" s="12"/>
      <c r="HG117" s="12"/>
      <c r="HH117" s="12"/>
      <c r="HI117" s="12"/>
      <c r="HJ117" s="12"/>
      <c r="HK117" s="12"/>
      <c r="HL117" s="12"/>
      <c r="HM117" s="12"/>
      <c r="KC117" s="167"/>
    </row>
    <row r="118" spans="1:290" s="7" customFormat="1" hidden="1" x14ac:dyDescent="0.2">
      <c r="A118"/>
      <c r="G118" s="68">
        <f t="shared" si="172"/>
        <v>0</v>
      </c>
      <c r="H118" s="54"/>
      <c r="I118" s="54">
        <f t="shared" si="173"/>
        <v>0</v>
      </c>
      <c r="J118" s="54"/>
      <c r="K118" s="54">
        <f t="shared" si="174"/>
        <v>0</v>
      </c>
      <c r="L118" s="54"/>
      <c r="M118" s="54">
        <f t="shared" si="175"/>
        <v>0</v>
      </c>
      <c r="N118" s="54"/>
      <c r="O118" s="54">
        <f t="shared" si="176"/>
        <v>0</v>
      </c>
      <c r="P118" s="54"/>
      <c r="Q118" s="54">
        <f t="shared" si="177"/>
        <v>0</v>
      </c>
      <c r="R118" s="54"/>
      <c r="S118" s="54">
        <f t="shared" si="178"/>
        <v>0</v>
      </c>
      <c r="T118" s="54"/>
      <c r="U118" s="54">
        <f t="shared" si="179"/>
        <v>0</v>
      </c>
      <c r="V118" s="54"/>
      <c r="W118" s="54">
        <f t="shared" si="180"/>
        <v>0</v>
      </c>
      <c r="X118" s="207"/>
      <c r="Y118" s="54">
        <f t="shared" si="181"/>
        <v>0</v>
      </c>
      <c r="Z118" s="54"/>
      <c r="AA118" s="54">
        <f t="shared" si="182"/>
        <v>0</v>
      </c>
      <c r="AB118" s="54"/>
      <c r="AC118" s="54">
        <f t="shared" si="183"/>
        <v>0</v>
      </c>
      <c r="AD118" s="54"/>
      <c r="AE118" s="54">
        <f t="shared" si="184"/>
        <v>0</v>
      </c>
      <c r="AF118" s="54"/>
      <c r="AG118" s="54">
        <f t="shared" si="185"/>
        <v>0</v>
      </c>
      <c r="AH118" s="54"/>
      <c r="AI118" s="54">
        <f t="shared" si="186"/>
        <v>0</v>
      </c>
      <c r="AJ118" s="199"/>
      <c r="AK118"/>
      <c r="AL118"/>
      <c r="AM118"/>
      <c r="AN118"/>
      <c r="AO118"/>
      <c r="AP118"/>
      <c r="AQ118"/>
      <c r="AR118"/>
      <c r="AS118"/>
      <c r="AT118"/>
      <c r="AU118"/>
      <c r="AV118"/>
      <c r="AW118"/>
      <c r="AX118"/>
      <c r="AY118"/>
      <c r="AZ118"/>
      <c r="BA118"/>
      <c r="BB118"/>
      <c r="BC118"/>
      <c r="BD118"/>
      <c r="BE118"/>
      <c r="BF118"/>
      <c r="BG118"/>
      <c r="BH118"/>
      <c r="BI118"/>
      <c r="BJ118"/>
      <c r="BK118"/>
      <c r="BL118"/>
      <c r="BM118"/>
      <c r="CY118" s="12"/>
      <c r="CZ118" s="12"/>
      <c r="DA118" s="12"/>
      <c r="DB118" s="12"/>
      <c r="DC118" s="12"/>
      <c r="DD118" s="12"/>
      <c r="DE118" s="12"/>
      <c r="DF118" s="12"/>
      <c r="DG118" s="12"/>
      <c r="DH118" s="12"/>
      <c r="DI118" s="12"/>
      <c r="DJ118" s="12"/>
      <c r="DK118" s="12"/>
      <c r="DL118" s="12"/>
      <c r="DM118" s="12"/>
      <c r="DN118" s="12"/>
      <c r="DO118" s="12"/>
      <c r="DP118" s="12"/>
      <c r="DQ118" s="12"/>
      <c r="DR118" s="12"/>
      <c r="DS118" s="12"/>
      <c r="DT118" s="12"/>
      <c r="DU118" s="12"/>
      <c r="DV118" s="12"/>
      <c r="DW118" s="12"/>
      <c r="DX118" s="12"/>
      <c r="DY118" s="12"/>
      <c r="DZ118" s="12"/>
      <c r="EA118" s="12"/>
      <c r="GK118" s="12"/>
      <c r="GL118" s="12"/>
      <c r="GM118" s="12"/>
      <c r="GN118" s="12"/>
      <c r="GO118" s="12"/>
      <c r="GP118" s="12"/>
      <c r="GQ118" s="12"/>
      <c r="GR118" s="12"/>
      <c r="GS118" s="12"/>
      <c r="GT118" s="12"/>
      <c r="GU118" s="12"/>
      <c r="GV118" s="12"/>
      <c r="GW118" s="12"/>
      <c r="GX118" s="12"/>
      <c r="GY118" s="12"/>
      <c r="GZ118" s="12"/>
      <c r="HA118" s="12"/>
      <c r="HB118" s="12"/>
      <c r="HC118" s="12"/>
      <c r="HD118" s="12"/>
      <c r="HE118" s="12"/>
      <c r="HF118" s="12"/>
      <c r="HG118" s="12"/>
      <c r="HH118" s="12"/>
      <c r="HI118" s="12"/>
      <c r="HJ118" s="12"/>
      <c r="HK118" s="12"/>
      <c r="HL118" s="12"/>
      <c r="HM118" s="12"/>
      <c r="KC118" s="167"/>
    </row>
    <row r="119" spans="1:290" s="7" customFormat="1" hidden="1" x14ac:dyDescent="0.2">
      <c r="A119"/>
      <c r="G119" s="68">
        <f t="shared" si="172"/>
        <v>0</v>
      </c>
      <c r="H119" s="54"/>
      <c r="I119" s="54">
        <f t="shared" si="173"/>
        <v>0</v>
      </c>
      <c r="J119" s="54"/>
      <c r="K119" s="54">
        <f t="shared" si="174"/>
        <v>0</v>
      </c>
      <c r="L119" s="54"/>
      <c r="M119" s="54">
        <f t="shared" si="175"/>
        <v>0</v>
      </c>
      <c r="N119" s="54"/>
      <c r="O119" s="54">
        <f t="shared" si="176"/>
        <v>0</v>
      </c>
      <c r="P119" s="54"/>
      <c r="Q119" s="54">
        <f t="shared" si="177"/>
        <v>0</v>
      </c>
      <c r="R119" s="54"/>
      <c r="S119" s="54">
        <f t="shared" si="178"/>
        <v>0</v>
      </c>
      <c r="T119" s="54"/>
      <c r="U119" s="54">
        <f t="shared" si="179"/>
        <v>0</v>
      </c>
      <c r="V119" s="54"/>
      <c r="W119" s="54">
        <f t="shared" si="180"/>
        <v>0</v>
      </c>
      <c r="X119" s="207"/>
      <c r="Y119" s="54">
        <f t="shared" si="181"/>
        <v>0</v>
      </c>
      <c r="Z119" s="54"/>
      <c r="AA119" s="54">
        <f t="shared" si="182"/>
        <v>0</v>
      </c>
      <c r="AB119" s="54"/>
      <c r="AC119" s="54">
        <f t="shared" si="183"/>
        <v>0</v>
      </c>
      <c r="AD119" s="54"/>
      <c r="AE119" s="54">
        <f t="shared" si="184"/>
        <v>0</v>
      </c>
      <c r="AF119" s="54"/>
      <c r="AG119" s="54">
        <f t="shared" si="185"/>
        <v>0</v>
      </c>
      <c r="AH119" s="54"/>
      <c r="AI119" s="54">
        <f t="shared" si="186"/>
        <v>0</v>
      </c>
      <c r="AJ119" s="199"/>
      <c r="AK119"/>
      <c r="AL119"/>
      <c r="AM119"/>
      <c r="AN119"/>
      <c r="AO119"/>
      <c r="AP119"/>
      <c r="AQ119"/>
      <c r="AR119"/>
      <c r="AS119"/>
      <c r="AT119"/>
      <c r="AU119"/>
      <c r="AV119"/>
      <c r="AW119"/>
      <c r="AX119"/>
      <c r="AY119"/>
      <c r="AZ119"/>
      <c r="BA119"/>
      <c r="BB119"/>
      <c r="BC119"/>
      <c r="BD119"/>
      <c r="BE119"/>
      <c r="BF119"/>
      <c r="BG119"/>
      <c r="BH119"/>
      <c r="BI119"/>
      <c r="BJ119"/>
      <c r="BK119"/>
      <c r="BL119"/>
      <c r="BM119"/>
      <c r="CY119" s="12"/>
      <c r="CZ119" s="12"/>
      <c r="DA119" s="12"/>
      <c r="DB119" s="12"/>
      <c r="DC119" s="12"/>
      <c r="DD119" s="12"/>
      <c r="DE119" s="12"/>
      <c r="DF119" s="12"/>
      <c r="DG119" s="12"/>
      <c r="DH119" s="12"/>
      <c r="DI119" s="12"/>
      <c r="DJ119" s="12"/>
      <c r="DK119" s="12"/>
      <c r="DL119" s="12"/>
      <c r="DM119" s="12"/>
      <c r="DN119" s="12"/>
      <c r="DO119" s="12"/>
      <c r="DP119" s="12"/>
      <c r="DQ119" s="12"/>
      <c r="DR119" s="12"/>
      <c r="DS119" s="12"/>
      <c r="DT119" s="12"/>
      <c r="DU119" s="12"/>
      <c r="DV119" s="12"/>
      <c r="DW119" s="12"/>
      <c r="DX119" s="12"/>
      <c r="DY119" s="12"/>
      <c r="DZ119" s="12"/>
      <c r="EA119" s="12"/>
      <c r="GK119" s="12"/>
      <c r="GL119" s="12"/>
      <c r="GM119" s="12"/>
      <c r="GN119" s="12"/>
      <c r="GO119" s="12"/>
      <c r="GP119" s="12"/>
      <c r="GQ119" s="12"/>
      <c r="GR119" s="12"/>
      <c r="GS119" s="12"/>
      <c r="GT119" s="12"/>
      <c r="GU119" s="12"/>
      <c r="GV119" s="12"/>
      <c r="GW119" s="12"/>
      <c r="GX119" s="12"/>
      <c r="GY119" s="12"/>
      <c r="GZ119" s="12"/>
      <c r="HA119" s="12"/>
      <c r="HB119" s="12"/>
      <c r="HC119" s="12"/>
      <c r="HD119" s="12"/>
      <c r="HE119" s="12"/>
      <c r="HF119" s="12"/>
      <c r="HG119" s="12"/>
      <c r="HH119" s="12"/>
      <c r="HI119" s="12"/>
      <c r="HJ119" s="12"/>
      <c r="HK119" s="12"/>
      <c r="HL119" s="12"/>
      <c r="HM119" s="12"/>
      <c r="KC119" s="167"/>
    </row>
    <row r="120" spans="1:290" s="7" customFormat="1" hidden="1" x14ac:dyDescent="0.2">
      <c r="A120"/>
      <c r="G120" s="68">
        <f t="shared" si="172"/>
        <v>0</v>
      </c>
      <c r="H120" s="54"/>
      <c r="I120" s="54">
        <f t="shared" si="173"/>
        <v>0</v>
      </c>
      <c r="J120" s="54"/>
      <c r="K120" s="54">
        <f t="shared" si="174"/>
        <v>0</v>
      </c>
      <c r="L120" s="54"/>
      <c r="M120" s="54">
        <f t="shared" si="175"/>
        <v>0</v>
      </c>
      <c r="N120" s="54"/>
      <c r="O120" s="54">
        <f t="shared" si="176"/>
        <v>0</v>
      </c>
      <c r="P120" s="54"/>
      <c r="Q120" s="54">
        <f t="shared" si="177"/>
        <v>0</v>
      </c>
      <c r="R120" s="54"/>
      <c r="S120" s="54">
        <f t="shared" si="178"/>
        <v>0</v>
      </c>
      <c r="T120" s="54"/>
      <c r="U120" s="54">
        <f t="shared" si="179"/>
        <v>0</v>
      </c>
      <c r="V120" s="54"/>
      <c r="W120" s="54">
        <f t="shared" si="180"/>
        <v>0</v>
      </c>
      <c r="X120" s="207"/>
      <c r="Y120" s="54">
        <f t="shared" si="181"/>
        <v>0</v>
      </c>
      <c r="Z120" s="54"/>
      <c r="AA120" s="54">
        <f t="shared" si="182"/>
        <v>0</v>
      </c>
      <c r="AB120" s="54"/>
      <c r="AC120" s="54">
        <f t="shared" si="183"/>
        <v>0</v>
      </c>
      <c r="AD120" s="54"/>
      <c r="AE120" s="54">
        <f t="shared" si="184"/>
        <v>0</v>
      </c>
      <c r="AF120" s="54"/>
      <c r="AG120" s="54">
        <f t="shared" si="185"/>
        <v>0</v>
      </c>
      <c r="AH120" s="54"/>
      <c r="AI120" s="54">
        <f t="shared" si="186"/>
        <v>0</v>
      </c>
      <c r="AJ120" s="199"/>
      <c r="AK120"/>
      <c r="AL120"/>
      <c r="AM120"/>
      <c r="AN120"/>
      <c r="AO120"/>
      <c r="AP120"/>
      <c r="AQ120"/>
      <c r="AR120"/>
      <c r="AS120"/>
      <c r="AT120"/>
      <c r="AU120"/>
      <c r="AV120"/>
      <c r="AW120"/>
      <c r="AX120"/>
      <c r="AY120"/>
      <c r="AZ120"/>
      <c r="BA120"/>
      <c r="BB120"/>
      <c r="BC120"/>
      <c r="BD120"/>
      <c r="BE120"/>
      <c r="BF120"/>
      <c r="BG120"/>
      <c r="BH120"/>
      <c r="BI120"/>
      <c r="BJ120"/>
      <c r="BK120"/>
      <c r="BL120"/>
      <c r="BM120"/>
      <c r="CY120" s="12"/>
      <c r="CZ120" s="12"/>
      <c r="DA120" s="12"/>
      <c r="DB120" s="12"/>
      <c r="DC120" s="12"/>
      <c r="DD120" s="12"/>
      <c r="DE120" s="12"/>
      <c r="DF120" s="12"/>
      <c r="DG120" s="12"/>
      <c r="DH120" s="12"/>
      <c r="DI120" s="12"/>
      <c r="DJ120" s="12"/>
      <c r="DK120" s="12"/>
      <c r="DL120" s="12"/>
      <c r="DM120" s="12"/>
      <c r="DN120" s="12"/>
      <c r="DO120" s="12"/>
      <c r="DP120" s="12"/>
      <c r="DQ120" s="12"/>
      <c r="DR120" s="12"/>
      <c r="DS120" s="12"/>
      <c r="DT120" s="12"/>
      <c r="DU120" s="12"/>
      <c r="DV120" s="12"/>
      <c r="DW120" s="12"/>
      <c r="DX120" s="12"/>
      <c r="DY120" s="12"/>
      <c r="DZ120" s="12"/>
      <c r="EA120" s="12"/>
      <c r="GK120" s="12"/>
      <c r="GL120" s="12"/>
      <c r="GM120" s="12"/>
      <c r="GN120" s="12"/>
      <c r="GO120" s="12"/>
      <c r="GP120" s="12"/>
      <c r="GQ120" s="12"/>
      <c r="GR120" s="12"/>
      <c r="GS120" s="12"/>
      <c r="GT120" s="12"/>
      <c r="GU120" s="12"/>
      <c r="GV120" s="12"/>
      <c r="GW120" s="12"/>
      <c r="GX120" s="12"/>
      <c r="GY120" s="12"/>
      <c r="GZ120" s="12"/>
      <c r="HA120" s="12"/>
      <c r="HB120" s="12"/>
      <c r="HC120" s="12"/>
      <c r="HD120" s="12"/>
      <c r="HE120" s="12"/>
      <c r="HF120" s="12"/>
      <c r="HG120" s="12"/>
      <c r="HH120" s="12"/>
      <c r="HI120" s="12"/>
      <c r="HJ120" s="12"/>
      <c r="HK120" s="12"/>
      <c r="HL120" s="12"/>
      <c r="HM120" s="12"/>
      <c r="KC120" s="167"/>
    </row>
    <row r="121" spans="1:290" s="7" customFormat="1" hidden="1" x14ac:dyDescent="0.2">
      <c r="A121"/>
      <c r="G121" s="68">
        <f t="shared" si="172"/>
        <v>0</v>
      </c>
      <c r="H121" s="54"/>
      <c r="I121" s="54">
        <f t="shared" si="173"/>
        <v>0</v>
      </c>
      <c r="J121" s="54"/>
      <c r="K121" s="54">
        <f t="shared" si="174"/>
        <v>0</v>
      </c>
      <c r="L121" s="54"/>
      <c r="M121" s="54">
        <f t="shared" si="175"/>
        <v>0</v>
      </c>
      <c r="N121" s="54"/>
      <c r="O121" s="54">
        <f t="shared" si="176"/>
        <v>0</v>
      </c>
      <c r="P121" s="54"/>
      <c r="Q121" s="54">
        <f t="shared" si="177"/>
        <v>0</v>
      </c>
      <c r="R121" s="54"/>
      <c r="S121" s="54">
        <f t="shared" si="178"/>
        <v>0</v>
      </c>
      <c r="T121" s="54"/>
      <c r="U121" s="54">
        <f t="shared" si="179"/>
        <v>0</v>
      </c>
      <c r="V121" s="54"/>
      <c r="W121" s="54">
        <f t="shared" si="180"/>
        <v>0</v>
      </c>
      <c r="X121" s="207"/>
      <c r="Y121" s="54">
        <f t="shared" si="181"/>
        <v>0</v>
      </c>
      <c r="Z121" s="54"/>
      <c r="AA121" s="54">
        <f t="shared" si="182"/>
        <v>0</v>
      </c>
      <c r="AB121" s="54"/>
      <c r="AC121" s="54">
        <f t="shared" si="183"/>
        <v>0</v>
      </c>
      <c r="AD121" s="54"/>
      <c r="AE121" s="54">
        <f t="shared" si="184"/>
        <v>0</v>
      </c>
      <c r="AF121" s="54"/>
      <c r="AG121" s="54">
        <f t="shared" si="185"/>
        <v>0</v>
      </c>
      <c r="AH121" s="54"/>
      <c r="AI121" s="54">
        <f t="shared" si="186"/>
        <v>0</v>
      </c>
      <c r="AJ121" s="199"/>
      <c r="AK121"/>
      <c r="AL121"/>
      <c r="AM121"/>
      <c r="AN121"/>
      <c r="AO121"/>
      <c r="AP121"/>
      <c r="AQ121"/>
      <c r="AR121"/>
      <c r="AS121"/>
      <c r="AT121"/>
      <c r="AU121"/>
      <c r="AV121"/>
      <c r="AW121"/>
      <c r="AX121"/>
      <c r="AY121"/>
      <c r="AZ121"/>
      <c r="BA121"/>
      <c r="BB121"/>
      <c r="BC121"/>
      <c r="BD121"/>
      <c r="BE121"/>
      <c r="BF121"/>
      <c r="BG121"/>
      <c r="BH121"/>
      <c r="BI121"/>
      <c r="BJ121"/>
      <c r="BK121"/>
      <c r="BL121"/>
      <c r="BM121"/>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KC121" s="167"/>
    </row>
    <row r="122" spans="1:290" s="7" customFormat="1" hidden="1" x14ac:dyDescent="0.2">
      <c r="A122"/>
      <c r="G122" s="68">
        <f t="shared" si="172"/>
        <v>0</v>
      </c>
      <c r="H122" s="54"/>
      <c r="I122" s="54">
        <f t="shared" si="173"/>
        <v>0</v>
      </c>
      <c r="J122" s="54"/>
      <c r="K122" s="54">
        <f t="shared" si="174"/>
        <v>0</v>
      </c>
      <c r="L122" s="54"/>
      <c r="M122" s="54">
        <f t="shared" si="175"/>
        <v>0</v>
      </c>
      <c r="N122" s="54"/>
      <c r="O122" s="54">
        <f t="shared" si="176"/>
        <v>0</v>
      </c>
      <c r="P122" s="54"/>
      <c r="Q122" s="54">
        <f t="shared" si="177"/>
        <v>0</v>
      </c>
      <c r="R122" s="54"/>
      <c r="S122" s="54">
        <f t="shared" si="178"/>
        <v>0</v>
      </c>
      <c r="T122" s="54"/>
      <c r="U122" s="54">
        <f t="shared" si="179"/>
        <v>0</v>
      </c>
      <c r="V122" s="54"/>
      <c r="W122" s="54">
        <f t="shared" si="180"/>
        <v>0</v>
      </c>
      <c r="X122" s="207"/>
      <c r="Y122" s="54">
        <f t="shared" si="181"/>
        <v>0</v>
      </c>
      <c r="Z122" s="54"/>
      <c r="AA122" s="54">
        <f t="shared" si="182"/>
        <v>0</v>
      </c>
      <c r="AB122" s="54"/>
      <c r="AC122" s="54">
        <f t="shared" si="183"/>
        <v>0</v>
      </c>
      <c r="AD122" s="54"/>
      <c r="AE122" s="54">
        <f t="shared" si="184"/>
        <v>0</v>
      </c>
      <c r="AF122" s="54"/>
      <c r="AG122" s="54">
        <f t="shared" si="185"/>
        <v>0</v>
      </c>
      <c r="AH122" s="54"/>
      <c r="AI122" s="54">
        <f t="shared" si="186"/>
        <v>0</v>
      </c>
      <c r="AJ122" s="199"/>
      <c r="AK122"/>
      <c r="AL122"/>
      <c r="AM122"/>
      <c r="AN122"/>
      <c r="AO122"/>
      <c r="AP122"/>
      <c r="AQ122"/>
      <c r="AR122"/>
      <c r="AS122"/>
      <c r="AT122"/>
      <c r="AU122"/>
      <c r="AV122"/>
      <c r="AW122"/>
      <c r="AX122"/>
      <c r="AY122"/>
      <c r="AZ122"/>
      <c r="BA122"/>
      <c r="BB122"/>
      <c r="BC122"/>
      <c r="BD122"/>
      <c r="BE122"/>
      <c r="BF122"/>
      <c r="BG122"/>
      <c r="BH122"/>
      <c r="BI122"/>
      <c r="BJ122"/>
      <c r="BK122"/>
      <c r="BL122"/>
      <c r="BM12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GK122" s="12"/>
      <c r="GL122" s="12"/>
      <c r="GM122" s="12"/>
      <c r="GN122" s="12"/>
      <c r="GO122" s="12"/>
      <c r="GP122" s="12"/>
      <c r="GQ122" s="12"/>
      <c r="GR122" s="12"/>
      <c r="GS122" s="12"/>
      <c r="GT122" s="12"/>
      <c r="GU122" s="12"/>
      <c r="GV122" s="12"/>
      <c r="GW122" s="12"/>
      <c r="GX122" s="12"/>
      <c r="GY122" s="12"/>
      <c r="GZ122" s="12"/>
      <c r="HA122" s="12"/>
      <c r="HB122" s="12"/>
      <c r="HC122" s="12"/>
      <c r="HD122" s="12"/>
      <c r="HE122" s="12"/>
      <c r="HF122" s="12"/>
      <c r="HG122" s="12"/>
      <c r="HH122" s="12"/>
      <c r="HI122" s="12"/>
      <c r="HJ122" s="12"/>
      <c r="HK122" s="12"/>
      <c r="HL122" s="12"/>
      <c r="HM122" s="12"/>
      <c r="KC122" s="167"/>
    </row>
    <row r="123" spans="1:290" s="7" customFormat="1" ht="11.25" hidden="1" customHeight="1" x14ac:dyDescent="0.2">
      <c r="A123"/>
      <c r="G123" s="68">
        <f t="shared" si="172"/>
        <v>0</v>
      </c>
      <c r="H123" s="54"/>
      <c r="I123" s="54">
        <f t="shared" si="173"/>
        <v>0</v>
      </c>
      <c r="J123" s="54"/>
      <c r="K123" s="54">
        <f t="shared" si="174"/>
        <v>0</v>
      </c>
      <c r="L123" s="54"/>
      <c r="M123" s="54">
        <f t="shared" si="175"/>
        <v>0</v>
      </c>
      <c r="N123" s="54"/>
      <c r="O123" s="54">
        <f t="shared" si="176"/>
        <v>0</v>
      </c>
      <c r="P123" s="54"/>
      <c r="Q123" s="54">
        <f t="shared" si="177"/>
        <v>0</v>
      </c>
      <c r="R123" s="54"/>
      <c r="S123" s="54">
        <f t="shared" si="178"/>
        <v>0</v>
      </c>
      <c r="T123" s="54"/>
      <c r="U123" s="54">
        <f t="shared" si="179"/>
        <v>0</v>
      </c>
      <c r="V123" s="54"/>
      <c r="W123" s="54">
        <f t="shared" si="180"/>
        <v>0</v>
      </c>
      <c r="X123" s="207"/>
      <c r="Y123" s="54">
        <f t="shared" si="181"/>
        <v>0</v>
      </c>
      <c r="Z123" s="54"/>
      <c r="AA123" s="54">
        <f t="shared" si="182"/>
        <v>0</v>
      </c>
      <c r="AB123" s="54"/>
      <c r="AC123" s="54">
        <f t="shared" si="183"/>
        <v>0</v>
      </c>
      <c r="AD123" s="54"/>
      <c r="AE123" s="54">
        <f t="shared" si="184"/>
        <v>0</v>
      </c>
      <c r="AF123" s="54"/>
      <c r="AG123" s="54">
        <f t="shared" si="185"/>
        <v>0</v>
      </c>
      <c r="AH123" s="54"/>
      <c r="AI123" s="54">
        <f t="shared" si="186"/>
        <v>0</v>
      </c>
      <c r="AJ123" s="199"/>
      <c r="AK123"/>
      <c r="AL123"/>
      <c r="AM123"/>
      <c r="AN123"/>
      <c r="AO123"/>
      <c r="AP123"/>
      <c r="AQ123"/>
      <c r="AR123"/>
      <c r="AS123"/>
      <c r="AT123"/>
      <c r="AU123"/>
      <c r="AV123"/>
      <c r="AW123"/>
      <c r="AX123"/>
      <c r="AY123"/>
      <c r="AZ123"/>
      <c r="BA123"/>
      <c r="BB123"/>
      <c r="BC123"/>
      <c r="BD123"/>
      <c r="BE123"/>
      <c r="BF123"/>
      <c r="BG123"/>
      <c r="BH123"/>
      <c r="BI123"/>
      <c r="BJ123"/>
      <c r="BK123"/>
      <c r="BL123"/>
      <c r="BM123"/>
      <c r="CY123" s="12"/>
      <c r="CZ123" s="12"/>
      <c r="DA123" s="12"/>
      <c r="DB123" s="12"/>
      <c r="DC123" s="12"/>
      <c r="DD123" s="12"/>
      <c r="DE123" s="12"/>
      <c r="DF123" s="12"/>
      <c r="DG123" s="12"/>
      <c r="DH123" s="12"/>
      <c r="DI123" s="12"/>
      <c r="DJ123" s="12"/>
      <c r="DK123" s="12"/>
      <c r="DL123" s="12"/>
      <c r="DM123" s="12"/>
      <c r="DN123" s="12"/>
      <c r="DO123" s="12"/>
      <c r="DP123" s="12"/>
      <c r="DQ123" s="12"/>
      <c r="DR123" s="12"/>
      <c r="DS123" s="12"/>
      <c r="DT123" s="12"/>
      <c r="DU123" s="12"/>
      <c r="DV123" s="12"/>
      <c r="DW123" s="12"/>
      <c r="DX123" s="12"/>
      <c r="DY123" s="12"/>
      <c r="DZ123" s="12"/>
      <c r="EA123" s="12"/>
      <c r="GK123" s="12"/>
      <c r="GL123" s="12"/>
      <c r="GM123" s="12"/>
      <c r="GN123" s="12"/>
      <c r="GO123" s="12"/>
      <c r="GP123" s="12"/>
      <c r="GQ123" s="12"/>
      <c r="GR123" s="12"/>
      <c r="GS123" s="12"/>
      <c r="GT123" s="12"/>
      <c r="GU123" s="12"/>
      <c r="GV123" s="12"/>
      <c r="GW123" s="12"/>
      <c r="GX123" s="12"/>
      <c r="GY123" s="12"/>
      <c r="GZ123" s="12"/>
      <c r="HA123" s="12"/>
      <c r="HB123" s="12"/>
      <c r="HC123" s="12"/>
      <c r="HD123" s="12"/>
      <c r="HE123" s="12"/>
      <c r="HF123" s="12"/>
      <c r="HG123" s="12"/>
      <c r="HH123" s="12"/>
      <c r="HI123" s="12"/>
      <c r="HJ123" s="12"/>
      <c r="HK123" s="12"/>
      <c r="HL123" s="12"/>
      <c r="HM123" s="12"/>
      <c r="KC123" s="167"/>
    </row>
    <row r="124" spans="1:290" s="7" customFormat="1" ht="12.75" hidden="1" customHeight="1" x14ac:dyDescent="0.2">
      <c r="A124"/>
      <c r="G124" s="68">
        <f t="shared" si="172"/>
        <v>0</v>
      </c>
      <c r="H124" s="54"/>
      <c r="I124" s="54">
        <f t="shared" si="173"/>
        <v>0</v>
      </c>
      <c r="J124" s="54"/>
      <c r="K124" s="54">
        <f t="shared" si="174"/>
        <v>0</v>
      </c>
      <c r="L124" s="54"/>
      <c r="M124" s="54">
        <f t="shared" si="175"/>
        <v>0</v>
      </c>
      <c r="N124" s="54"/>
      <c r="O124" s="54">
        <f t="shared" si="176"/>
        <v>0</v>
      </c>
      <c r="P124" s="54"/>
      <c r="Q124" s="54">
        <f t="shared" si="177"/>
        <v>0</v>
      </c>
      <c r="R124" s="54"/>
      <c r="S124" s="54">
        <f t="shared" si="178"/>
        <v>0</v>
      </c>
      <c r="T124" s="54"/>
      <c r="U124" s="54">
        <f t="shared" si="179"/>
        <v>0</v>
      </c>
      <c r="V124" s="54"/>
      <c r="W124" s="54">
        <f t="shared" si="180"/>
        <v>0</v>
      </c>
      <c r="X124" s="207"/>
      <c r="Y124" s="54">
        <f t="shared" si="181"/>
        <v>0</v>
      </c>
      <c r="Z124" s="54"/>
      <c r="AA124" s="54">
        <f t="shared" si="182"/>
        <v>0</v>
      </c>
      <c r="AB124" s="54"/>
      <c r="AC124" s="54">
        <f t="shared" si="183"/>
        <v>0</v>
      </c>
      <c r="AD124" s="54"/>
      <c r="AE124" s="54">
        <f t="shared" si="184"/>
        <v>0</v>
      </c>
      <c r="AF124" s="54"/>
      <c r="AG124" s="54">
        <f t="shared" si="185"/>
        <v>0</v>
      </c>
      <c r="AH124" s="54"/>
      <c r="AI124" s="54">
        <f t="shared" si="186"/>
        <v>0</v>
      </c>
      <c r="AJ124" s="199"/>
      <c r="AK124"/>
      <c r="AL124"/>
      <c r="AM124"/>
      <c r="AN124"/>
      <c r="AO124"/>
      <c r="AP124"/>
      <c r="AQ124"/>
      <c r="AR124"/>
      <c r="AS124"/>
      <c r="AT124"/>
      <c r="AU124"/>
      <c r="AV124"/>
      <c r="AW124"/>
      <c r="AX124"/>
      <c r="AY124"/>
      <c r="AZ124"/>
      <c r="BA124"/>
      <c r="BB124"/>
      <c r="BC124"/>
      <c r="BD124"/>
      <c r="BE124"/>
      <c r="BF124"/>
      <c r="BG124"/>
      <c r="BH124"/>
      <c r="BI124"/>
      <c r="BJ124"/>
      <c r="BK124"/>
      <c r="BL124"/>
      <c r="BM124"/>
      <c r="CY124" s="12"/>
      <c r="CZ124" s="12"/>
      <c r="DA124" s="12"/>
      <c r="DB124" s="12"/>
      <c r="DC124" s="12"/>
      <c r="DD124" s="12"/>
      <c r="DE124" s="12"/>
      <c r="DF124" s="12"/>
      <c r="DG124" s="12"/>
      <c r="DH124" s="12"/>
      <c r="DI124" s="12"/>
      <c r="DJ124" s="12"/>
      <c r="DK124" s="12"/>
      <c r="DL124" s="12"/>
      <c r="DM124" s="12"/>
      <c r="DN124" s="12"/>
      <c r="DO124" s="12"/>
      <c r="DP124" s="12"/>
      <c r="DQ124" s="12"/>
      <c r="DR124" s="12"/>
      <c r="DS124" s="12"/>
      <c r="DT124" s="12"/>
      <c r="DU124" s="12"/>
      <c r="DV124" s="12"/>
      <c r="DW124" s="12"/>
      <c r="DX124" s="12"/>
      <c r="DY124" s="12"/>
      <c r="DZ124" s="12"/>
      <c r="EA124" s="12"/>
      <c r="GK124" s="12"/>
      <c r="GL124" s="12"/>
      <c r="GM124" s="12"/>
      <c r="GN124" s="12"/>
      <c r="GO124" s="12"/>
      <c r="GP124" s="12"/>
      <c r="GQ124" s="12"/>
      <c r="GR124" s="12"/>
      <c r="GS124" s="12"/>
      <c r="GT124" s="12"/>
      <c r="GU124" s="12"/>
      <c r="GV124" s="12"/>
      <c r="GW124" s="12"/>
      <c r="GX124" s="12"/>
      <c r="GY124" s="12"/>
      <c r="GZ124" s="12"/>
      <c r="HA124" s="12"/>
      <c r="HB124" s="12"/>
      <c r="HC124" s="12"/>
      <c r="HD124" s="12"/>
      <c r="HE124" s="12"/>
      <c r="HF124" s="12"/>
      <c r="HG124" s="12"/>
      <c r="HH124" s="12"/>
      <c r="HI124" s="12"/>
      <c r="HJ124" s="12"/>
      <c r="HK124" s="12"/>
      <c r="HL124" s="12"/>
      <c r="HM124" s="12"/>
      <c r="KC124" s="167"/>
    </row>
    <row r="125" spans="1:290" s="7" customFormat="1" ht="12.75" hidden="1" customHeight="1" x14ac:dyDescent="0.2">
      <c r="A125"/>
      <c r="G125" s="68">
        <f t="shared" si="172"/>
        <v>0</v>
      </c>
      <c r="H125" s="54"/>
      <c r="I125" s="54">
        <f t="shared" si="173"/>
        <v>0</v>
      </c>
      <c r="J125" s="54"/>
      <c r="K125" s="54">
        <f t="shared" si="174"/>
        <v>0</v>
      </c>
      <c r="L125" s="54"/>
      <c r="M125" s="54">
        <f t="shared" si="175"/>
        <v>0</v>
      </c>
      <c r="N125" s="54"/>
      <c r="O125" s="54">
        <f t="shared" si="176"/>
        <v>0</v>
      </c>
      <c r="P125" s="54"/>
      <c r="Q125" s="54">
        <f t="shared" si="177"/>
        <v>0</v>
      </c>
      <c r="R125" s="54"/>
      <c r="S125" s="54">
        <f t="shared" si="178"/>
        <v>0</v>
      </c>
      <c r="T125" s="54"/>
      <c r="U125" s="54">
        <f t="shared" si="179"/>
        <v>0</v>
      </c>
      <c r="V125" s="54"/>
      <c r="W125" s="54">
        <f t="shared" si="180"/>
        <v>0</v>
      </c>
      <c r="X125" s="208"/>
      <c r="Y125" s="54">
        <f t="shared" si="181"/>
        <v>0</v>
      </c>
      <c r="Z125" s="54"/>
      <c r="AA125" s="54">
        <f t="shared" si="182"/>
        <v>0</v>
      </c>
      <c r="AB125" s="54"/>
      <c r="AC125" s="54">
        <f t="shared" si="183"/>
        <v>0</v>
      </c>
      <c r="AD125" s="54"/>
      <c r="AE125" s="54">
        <f t="shared" si="184"/>
        <v>0</v>
      </c>
      <c r="AF125" s="54"/>
      <c r="AG125" s="54">
        <f t="shared" si="185"/>
        <v>0</v>
      </c>
      <c r="AH125" s="54"/>
      <c r="AI125" s="54">
        <f t="shared" si="186"/>
        <v>0</v>
      </c>
      <c r="AJ125" s="199"/>
      <c r="AK125"/>
      <c r="AL125"/>
      <c r="AM125"/>
      <c r="AN125"/>
      <c r="AO125"/>
      <c r="AP125"/>
      <c r="AQ125"/>
      <c r="AR125"/>
      <c r="AS125"/>
      <c r="AT125"/>
      <c r="AU125"/>
      <c r="AV125"/>
      <c r="AW125"/>
      <c r="AX125"/>
      <c r="AY125"/>
      <c r="AZ125"/>
      <c r="BA125"/>
      <c r="BB125"/>
      <c r="BC125"/>
      <c r="BD125"/>
      <c r="BE125"/>
      <c r="BF125"/>
      <c r="BG125"/>
      <c r="BH125"/>
      <c r="BI125"/>
      <c r="BJ125"/>
      <c r="BK125"/>
      <c r="BL125"/>
      <c r="BM125"/>
      <c r="CY125" s="12"/>
      <c r="CZ125" s="12"/>
      <c r="DA125" s="12"/>
      <c r="DB125" s="12"/>
      <c r="DC125" s="12"/>
      <c r="DD125" s="12"/>
      <c r="DE125" s="12"/>
      <c r="DF125" s="12"/>
      <c r="DG125" s="12"/>
      <c r="DH125" s="12"/>
      <c r="DI125" s="12"/>
      <c r="DJ125" s="12"/>
      <c r="DK125" s="12"/>
      <c r="DL125" s="12"/>
      <c r="DM125" s="12"/>
      <c r="DN125" s="12"/>
      <c r="DO125" s="12"/>
      <c r="DP125" s="12"/>
      <c r="DQ125" s="12"/>
      <c r="DR125" s="12"/>
      <c r="DS125" s="12"/>
      <c r="DT125" s="12"/>
      <c r="DU125" s="12"/>
      <c r="DV125" s="12"/>
      <c r="DW125" s="12"/>
      <c r="DX125" s="12"/>
      <c r="DY125" s="12"/>
      <c r="DZ125" s="12"/>
      <c r="EA125" s="12"/>
      <c r="GK125" s="12"/>
      <c r="GL125" s="12"/>
      <c r="GM125" s="12"/>
      <c r="GN125" s="12"/>
      <c r="GO125" s="12"/>
      <c r="GP125" s="12"/>
      <c r="GQ125" s="12"/>
      <c r="GR125" s="12"/>
      <c r="GS125" s="12"/>
      <c r="GT125" s="12"/>
      <c r="GU125" s="12"/>
      <c r="GV125" s="12"/>
      <c r="GW125" s="12"/>
      <c r="GX125" s="12"/>
      <c r="GY125" s="12"/>
      <c r="GZ125" s="12"/>
      <c r="HA125" s="12"/>
      <c r="HB125" s="12"/>
      <c r="HC125" s="12"/>
      <c r="HD125" s="12"/>
      <c r="HE125" s="12"/>
      <c r="HF125" s="12"/>
      <c r="HG125" s="12"/>
      <c r="HH125" s="12"/>
      <c r="HI125" s="12"/>
      <c r="HJ125" s="12"/>
      <c r="HK125" s="12"/>
      <c r="HL125" s="12"/>
      <c r="HM125" s="12"/>
      <c r="KC125" s="167"/>
    </row>
    <row r="126" spans="1:290" s="7" customFormat="1" ht="12.75" hidden="1" customHeight="1" thickBot="1" x14ac:dyDescent="0.25">
      <c r="A126"/>
      <c r="D126" s="10"/>
      <c r="E126" s="34" t="s">
        <v>407</v>
      </c>
      <c r="F126" s="10"/>
      <c r="G126" s="88">
        <f>MAX(G88:G125)</f>
        <v>0</v>
      </c>
      <c r="H126" s="89"/>
      <c r="I126" s="89">
        <f>MAX(I88:I125)</f>
        <v>0</v>
      </c>
      <c r="J126" s="89"/>
      <c r="K126" s="89">
        <f>MAX(K88:K125)</f>
        <v>0</v>
      </c>
      <c r="L126" s="89"/>
      <c r="M126" s="89">
        <f>MAX(M88:M125)</f>
        <v>0</v>
      </c>
      <c r="N126" s="89"/>
      <c r="O126" s="89">
        <f>MAX(O88:O125)</f>
        <v>0</v>
      </c>
      <c r="P126" s="89"/>
      <c r="Q126" s="89">
        <f>MAX(Q88:Q125)</f>
        <v>0</v>
      </c>
      <c r="R126" s="89"/>
      <c r="S126" s="89">
        <f>MAX(S88:S125)</f>
        <v>0</v>
      </c>
      <c r="T126" s="89"/>
      <c r="U126" s="89">
        <f>MAX(U88:U125)</f>
        <v>0</v>
      </c>
      <c r="V126" s="89"/>
      <c r="W126" s="89">
        <f>MAX(W88:W125)</f>
        <v>0</v>
      </c>
      <c r="X126" s="21"/>
      <c r="Y126" s="89">
        <f>MAX(Y88:Y125)</f>
        <v>0</v>
      </c>
      <c r="Z126" s="89"/>
      <c r="AA126" s="89">
        <f>MAX(AA88:AA125)</f>
        <v>0</v>
      </c>
      <c r="AB126" s="89"/>
      <c r="AC126" s="89">
        <f>MAX(AC88:AC125)</f>
        <v>0</v>
      </c>
      <c r="AD126" s="89"/>
      <c r="AE126" s="89">
        <f>MAX(AE88:AE125)</f>
        <v>0</v>
      </c>
      <c r="AF126" s="89"/>
      <c r="AG126" s="89">
        <f>MAX(AG88:AG125)</f>
        <v>0</v>
      </c>
      <c r="AH126" s="89"/>
      <c r="AI126" s="89">
        <f>MAX(AI88:AI125)</f>
        <v>0</v>
      </c>
      <c r="AJ126" s="210"/>
      <c r="AK126"/>
      <c r="AL126"/>
      <c r="AM126"/>
      <c r="AN126"/>
      <c r="AO126"/>
      <c r="AP126"/>
      <c r="AQ126"/>
      <c r="AR126"/>
      <c r="AS126"/>
      <c r="AT126"/>
      <c r="AU126"/>
      <c r="AV126"/>
      <c r="AW126"/>
      <c r="AX126"/>
      <c r="AY126"/>
      <c r="AZ126"/>
      <c r="BA126"/>
      <c r="BB126"/>
      <c r="BC126"/>
      <c r="BD126"/>
      <c r="BE126"/>
      <c r="BF126"/>
      <c r="BG126"/>
      <c r="BH126"/>
      <c r="BI126"/>
      <c r="BJ126"/>
      <c r="BK126"/>
      <c r="BL126"/>
      <c r="BM126"/>
      <c r="CY126" s="12"/>
      <c r="CZ126" s="12"/>
      <c r="DA126" s="12"/>
      <c r="DB126" s="12"/>
      <c r="DC126" s="12"/>
      <c r="DD126" s="12"/>
      <c r="DE126" s="12"/>
      <c r="DF126" s="12"/>
      <c r="DG126" s="12"/>
      <c r="DH126" s="12"/>
      <c r="DI126" s="12"/>
      <c r="DJ126" s="12"/>
      <c r="DK126" s="12"/>
      <c r="DL126" s="12"/>
      <c r="DM126" s="12"/>
      <c r="DN126" s="12"/>
      <c r="DO126" s="12"/>
      <c r="DP126" s="12"/>
      <c r="DQ126" s="12"/>
      <c r="DR126" s="12"/>
      <c r="DS126" s="12"/>
      <c r="DT126" s="12"/>
      <c r="DU126" s="12"/>
      <c r="DV126" s="12"/>
      <c r="DW126" s="12"/>
      <c r="DX126" s="12"/>
      <c r="DY126" s="12"/>
      <c r="DZ126" s="12"/>
      <c r="EA126" s="12"/>
      <c r="GK126" s="12"/>
      <c r="GL126" s="12"/>
      <c r="GM126" s="12"/>
      <c r="GN126" s="12"/>
      <c r="GO126" s="12"/>
      <c r="GP126" s="12"/>
      <c r="GQ126" s="12"/>
      <c r="GR126" s="12"/>
      <c r="GS126" s="12"/>
      <c r="GT126" s="12"/>
      <c r="GU126" s="12"/>
      <c r="GV126" s="12"/>
      <c r="GW126" s="12"/>
      <c r="GX126" s="12"/>
      <c r="GY126" s="12"/>
      <c r="GZ126" s="12"/>
      <c r="HA126" s="12"/>
      <c r="HB126" s="12"/>
      <c r="HC126" s="12"/>
      <c r="HD126" s="12"/>
      <c r="HE126" s="12"/>
      <c r="HF126" s="12"/>
      <c r="HG126" s="12"/>
      <c r="HH126" s="12"/>
      <c r="HI126" s="12"/>
      <c r="HJ126" s="12"/>
      <c r="HK126" s="12"/>
      <c r="HL126" s="12"/>
      <c r="HM126" s="12"/>
      <c r="KC126" s="167"/>
    </row>
    <row r="127" spans="1:290" s="7" customFormat="1" ht="12.75" hidden="1" customHeight="1" thickTop="1" x14ac:dyDescent="0.2">
      <c r="A127"/>
      <c r="X127" s="206"/>
      <c r="AJ127" s="197"/>
      <c r="CY127" s="12"/>
      <c r="CZ127" s="12"/>
      <c r="DA127" s="12"/>
      <c r="DB127" s="12"/>
      <c r="DC127" s="12"/>
      <c r="DD127" s="12"/>
      <c r="DE127" s="12"/>
      <c r="DF127" s="12"/>
      <c r="DG127" s="12"/>
      <c r="DH127" s="12"/>
      <c r="DI127" s="12"/>
      <c r="DJ127" s="12"/>
      <c r="DK127" s="12"/>
      <c r="DL127" s="12"/>
      <c r="DM127" s="12"/>
      <c r="DN127" s="12"/>
      <c r="DO127" s="12"/>
      <c r="DP127" s="12"/>
      <c r="DQ127" s="12"/>
      <c r="DR127" s="12"/>
      <c r="DS127" s="12"/>
      <c r="DT127" s="12"/>
      <c r="DU127" s="12"/>
      <c r="DV127" s="12"/>
      <c r="DW127" s="12"/>
      <c r="DX127" s="12"/>
      <c r="DY127" s="12"/>
      <c r="DZ127" s="12"/>
      <c r="EA127" s="12"/>
      <c r="GK127" s="12"/>
      <c r="GL127" s="12"/>
      <c r="GM127" s="12"/>
      <c r="GN127" s="12"/>
      <c r="GO127" s="12"/>
      <c r="GP127" s="12"/>
      <c r="GQ127" s="12"/>
      <c r="GR127" s="12"/>
      <c r="GS127" s="12"/>
      <c r="GT127" s="12"/>
      <c r="GU127" s="12"/>
      <c r="GV127" s="12"/>
      <c r="GW127" s="12"/>
      <c r="GX127" s="12"/>
      <c r="GY127" s="12"/>
      <c r="GZ127" s="12"/>
      <c r="HA127" s="12"/>
      <c r="HB127" s="12"/>
      <c r="HC127" s="12"/>
      <c r="HD127" s="12"/>
      <c r="HE127" s="12"/>
      <c r="HF127" s="12"/>
      <c r="HG127" s="12"/>
      <c r="HH127" s="12"/>
      <c r="HI127" s="12"/>
      <c r="HJ127" s="12"/>
      <c r="HK127" s="12"/>
      <c r="HL127" s="12"/>
      <c r="HM127" s="12"/>
      <c r="KC127" s="167"/>
    </row>
    <row r="128" spans="1:290" s="7" customFormat="1" ht="12.75" hidden="1" customHeight="1" thickBot="1" x14ac:dyDescent="0.25">
      <c r="A128"/>
      <c r="H128" s="35"/>
      <c r="I128" s="35" t="s">
        <v>1140</v>
      </c>
      <c r="X128" s="206"/>
      <c r="AJ128" s="197"/>
      <c r="CY128" s="12"/>
      <c r="CZ128" s="12"/>
      <c r="DA128" s="12"/>
      <c r="DB128" s="12"/>
      <c r="DC128" s="12"/>
      <c r="DD128" s="12"/>
      <c r="DE128" s="12"/>
      <c r="DF128" s="12"/>
      <c r="DG128" s="12"/>
      <c r="DH128" s="12"/>
      <c r="DI128" s="12"/>
      <c r="DJ128" s="12"/>
      <c r="DK128" s="12"/>
      <c r="DL128" s="12"/>
      <c r="DM128" s="12"/>
      <c r="DN128" s="12"/>
      <c r="DO128" s="12"/>
      <c r="DP128" s="12"/>
      <c r="DQ128" s="12"/>
      <c r="DR128" s="12"/>
      <c r="DS128" s="12"/>
      <c r="DT128" s="12"/>
      <c r="DU128" s="12"/>
      <c r="DV128" s="12"/>
      <c r="DW128" s="12"/>
      <c r="DX128" s="12"/>
      <c r="DY128" s="12"/>
      <c r="DZ128" s="12"/>
      <c r="EA128" s="12"/>
      <c r="GK128" s="12"/>
      <c r="GL128" s="12"/>
      <c r="GM128" s="12"/>
      <c r="GN128" s="12"/>
      <c r="GO128" s="12"/>
      <c r="GP128" s="12"/>
      <c r="GQ128" s="12"/>
      <c r="GR128" s="12"/>
      <c r="GS128" s="12"/>
      <c r="GT128" s="12"/>
      <c r="GU128" s="12"/>
      <c r="GV128" s="12"/>
      <c r="GW128" s="12"/>
      <c r="GX128" s="12"/>
      <c r="GY128" s="12"/>
      <c r="GZ128" s="12"/>
      <c r="HA128" s="12"/>
      <c r="HB128" s="12"/>
      <c r="HC128" s="12"/>
      <c r="HD128" s="12"/>
      <c r="HE128" s="12"/>
      <c r="HF128" s="12"/>
      <c r="HG128" s="12"/>
      <c r="HH128" s="12"/>
      <c r="HI128" s="12"/>
      <c r="HJ128" s="12"/>
      <c r="HK128" s="12"/>
      <c r="HL128" s="12"/>
      <c r="HM128" s="12"/>
      <c r="KC128" s="167"/>
    </row>
    <row r="129" spans="1:289" s="7" customFormat="1" ht="12.75" hidden="1" customHeight="1" thickTop="1" x14ac:dyDescent="0.2">
      <c r="A129"/>
      <c r="I129" s="119" t="str">
        <f>H11</f>
        <v/>
      </c>
      <c r="X129" s="206"/>
      <c r="AJ129" s="197"/>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KC129" s="167"/>
    </row>
    <row r="130" spans="1:289" s="7" customFormat="1" ht="12.75" hidden="1" customHeight="1" x14ac:dyDescent="0.2">
      <c r="A130"/>
      <c r="I130" s="98" t="str">
        <f t="shared" ref="I130:I167" si="205">IF(AND(OR($H$11="Fecal Coliform",$H$11="Total Coliform"),$I$13="CFU/100 ml"),IF(H14="&gt;",1,""),"")</f>
        <v/>
      </c>
      <c r="X130" s="206"/>
      <c r="AJ130" s="197"/>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KC130" s="167"/>
    </row>
    <row r="131" spans="1:289" s="7" customFormat="1" ht="12.75" hidden="1" customHeight="1" x14ac:dyDescent="0.2">
      <c r="A131"/>
      <c r="I131" s="98" t="str">
        <f t="shared" si="205"/>
        <v/>
      </c>
      <c r="X131" s="206"/>
      <c r="AJ131" s="197"/>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KC131" s="167"/>
    </row>
    <row r="132" spans="1:289" s="7" customFormat="1" ht="12.75" hidden="1" customHeight="1" x14ac:dyDescent="0.2">
      <c r="A132"/>
      <c r="I132" s="98" t="str">
        <f t="shared" si="205"/>
        <v/>
      </c>
      <c r="X132" s="206"/>
      <c r="AJ132" s="197"/>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KC132" s="167"/>
    </row>
    <row r="133" spans="1:289" s="7" customFormat="1" hidden="1" x14ac:dyDescent="0.2">
      <c r="A133"/>
      <c r="I133" s="98" t="str">
        <f t="shared" si="205"/>
        <v/>
      </c>
      <c r="X133" s="206"/>
      <c r="AJ133" s="197"/>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KC133" s="167"/>
    </row>
    <row r="134" spans="1:289" s="7" customFormat="1" hidden="1" x14ac:dyDescent="0.2">
      <c r="A134"/>
      <c r="I134" s="98" t="str">
        <f t="shared" si="205"/>
        <v/>
      </c>
      <c r="X134" s="206"/>
      <c r="AJ134" s="197"/>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KC134" s="167"/>
    </row>
    <row r="135" spans="1:289" s="7" customFormat="1" hidden="1" x14ac:dyDescent="0.2">
      <c r="A135"/>
      <c r="I135" s="98" t="str">
        <f t="shared" si="205"/>
        <v/>
      </c>
      <c r="X135" s="206"/>
      <c r="AJ135" s="197"/>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KC135" s="167"/>
    </row>
    <row r="136" spans="1:289" s="7" customFormat="1" hidden="1" x14ac:dyDescent="0.2">
      <c r="A136"/>
      <c r="I136" s="98" t="str">
        <f t="shared" si="205"/>
        <v/>
      </c>
      <c r="X136" s="206"/>
      <c r="AJ136" s="197"/>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KC136" s="167"/>
    </row>
    <row r="137" spans="1:289" s="7" customFormat="1" hidden="1" x14ac:dyDescent="0.2">
      <c r="A137"/>
      <c r="I137" s="98" t="str">
        <f t="shared" si="205"/>
        <v/>
      </c>
      <c r="X137" s="206"/>
      <c r="AJ137" s="197"/>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KC137" s="167"/>
    </row>
    <row r="138" spans="1:289" s="7" customFormat="1" hidden="1" x14ac:dyDescent="0.2">
      <c r="A138"/>
      <c r="I138" s="98" t="str">
        <f t="shared" si="205"/>
        <v/>
      </c>
      <c r="X138" s="206"/>
      <c r="AJ138" s="197"/>
      <c r="CY138" s="12"/>
      <c r="CZ138" s="12"/>
      <c r="DA138" s="12"/>
      <c r="DB138" s="12"/>
      <c r="DC138" s="12"/>
      <c r="DD138" s="12"/>
      <c r="DE138" s="12"/>
      <c r="DF138" s="12"/>
      <c r="DG138" s="12"/>
      <c r="DH138" s="12"/>
      <c r="DI138" s="12"/>
      <c r="DJ138" s="12"/>
      <c r="DK138" s="12"/>
      <c r="DL138" s="12"/>
      <c r="DM138" s="12"/>
      <c r="DN138" s="12"/>
      <c r="DO138" s="12"/>
      <c r="DP138" s="12"/>
      <c r="DQ138" s="12"/>
      <c r="DR138" s="12"/>
      <c r="DS138" s="12"/>
      <c r="DT138" s="12"/>
      <c r="DU138" s="12"/>
      <c r="DV138" s="12"/>
      <c r="DW138" s="12"/>
      <c r="DX138" s="12"/>
      <c r="DY138" s="12"/>
      <c r="DZ138" s="12"/>
      <c r="EA138" s="12"/>
      <c r="GK138" s="12"/>
      <c r="GL138" s="12"/>
      <c r="GM138" s="12"/>
      <c r="GN138" s="12"/>
      <c r="GO138" s="12"/>
      <c r="GP138" s="12"/>
      <c r="GQ138" s="12"/>
      <c r="GR138" s="12"/>
      <c r="GS138" s="12"/>
      <c r="GT138" s="12"/>
      <c r="GU138" s="12"/>
      <c r="GV138" s="12"/>
      <c r="GW138" s="12"/>
      <c r="GX138" s="12"/>
      <c r="GY138" s="12"/>
      <c r="GZ138" s="12"/>
      <c r="HA138" s="12"/>
      <c r="HB138" s="12"/>
      <c r="HC138" s="12"/>
      <c r="HD138" s="12"/>
      <c r="HE138" s="12"/>
      <c r="HF138" s="12"/>
      <c r="HG138" s="12"/>
      <c r="HH138" s="12"/>
      <c r="HI138" s="12"/>
      <c r="HJ138" s="12"/>
      <c r="HK138" s="12"/>
      <c r="HL138" s="12"/>
      <c r="HM138" s="12"/>
      <c r="KC138" s="167"/>
    </row>
    <row r="139" spans="1:289" s="7" customFormat="1" hidden="1" x14ac:dyDescent="0.2">
      <c r="A139"/>
      <c r="I139" s="98" t="str">
        <f t="shared" si="205"/>
        <v/>
      </c>
      <c r="X139" s="206"/>
      <c r="AJ139" s="197"/>
      <c r="CY139" s="12"/>
      <c r="CZ139" s="12"/>
      <c r="DA139" s="12"/>
      <c r="DB139" s="12"/>
      <c r="DC139" s="12"/>
      <c r="DD139" s="12"/>
      <c r="DE139" s="12"/>
      <c r="DF139" s="12"/>
      <c r="DG139" s="12"/>
      <c r="DH139" s="12"/>
      <c r="DI139" s="12"/>
      <c r="DJ139" s="12"/>
      <c r="DK139" s="12"/>
      <c r="DL139" s="12"/>
      <c r="DM139" s="12"/>
      <c r="DN139" s="12"/>
      <c r="DO139" s="12"/>
      <c r="DP139" s="12"/>
      <c r="DQ139" s="12"/>
      <c r="DR139" s="12"/>
      <c r="DS139" s="12"/>
      <c r="DT139" s="12"/>
      <c r="DU139" s="12"/>
      <c r="DV139" s="12"/>
      <c r="DW139" s="12"/>
      <c r="DX139" s="12"/>
      <c r="DY139" s="12"/>
      <c r="DZ139" s="12"/>
      <c r="EA139" s="12"/>
      <c r="GK139" s="12"/>
      <c r="GL139" s="12"/>
      <c r="GM139" s="12"/>
      <c r="GN139" s="12"/>
      <c r="GO139" s="12"/>
      <c r="GP139" s="12"/>
      <c r="GQ139" s="12"/>
      <c r="GR139" s="12"/>
      <c r="GS139" s="12"/>
      <c r="GT139" s="12"/>
      <c r="GU139" s="12"/>
      <c r="GV139" s="12"/>
      <c r="GW139" s="12"/>
      <c r="GX139" s="12"/>
      <c r="GY139" s="12"/>
      <c r="GZ139" s="12"/>
      <c r="HA139" s="12"/>
      <c r="HB139" s="12"/>
      <c r="HC139" s="12"/>
      <c r="HD139" s="12"/>
      <c r="HE139" s="12"/>
      <c r="HF139" s="12"/>
      <c r="HG139" s="12"/>
      <c r="HH139" s="12"/>
      <c r="HI139" s="12"/>
      <c r="HJ139" s="12"/>
      <c r="HK139" s="12"/>
      <c r="HL139" s="12"/>
      <c r="HM139" s="12"/>
      <c r="KC139" s="167"/>
    </row>
    <row r="140" spans="1:289" s="7" customFormat="1" hidden="1" x14ac:dyDescent="0.2">
      <c r="A140"/>
      <c r="I140" s="98" t="str">
        <f t="shared" si="205"/>
        <v/>
      </c>
      <c r="X140" s="206"/>
      <c r="AJ140" s="197"/>
      <c r="CY140" s="12"/>
      <c r="CZ140" s="12"/>
      <c r="DA140" s="12"/>
      <c r="DB140" s="12"/>
      <c r="DC140" s="12"/>
      <c r="DD140" s="12"/>
      <c r="DE140" s="12"/>
      <c r="DF140" s="12"/>
      <c r="DG140" s="12"/>
      <c r="DH140" s="12"/>
      <c r="DI140" s="12"/>
      <c r="DJ140" s="12"/>
      <c r="DK140" s="12"/>
      <c r="DL140" s="12"/>
      <c r="DM140" s="12"/>
      <c r="DN140" s="12"/>
      <c r="DO140" s="12"/>
      <c r="DP140" s="12"/>
      <c r="DQ140" s="12"/>
      <c r="DR140" s="12"/>
      <c r="DS140" s="12"/>
      <c r="DT140" s="12"/>
      <c r="DU140" s="12"/>
      <c r="DV140" s="12"/>
      <c r="DW140" s="12"/>
      <c r="DX140" s="12"/>
      <c r="DY140" s="12"/>
      <c r="DZ140" s="12"/>
      <c r="EA140" s="12"/>
      <c r="GK140" s="12"/>
      <c r="GL140" s="12"/>
      <c r="GM140" s="12"/>
      <c r="GN140" s="12"/>
      <c r="GO140" s="12"/>
      <c r="GP140" s="12"/>
      <c r="GQ140" s="12"/>
      <c r="GR140" s="12"/>
      <c r="GS140" s="12"/>
      <c r="GT140" s="12"/>
      <c r="GU140" s="12"/>
      <c r="GV140" s="12"/>
      <c r="GW140" s="12"/>
      <c r="GX140" s="12"/>
      <c r="GY140" s="12"/>
      <c r="GZ140" s="12"/>
      <c r="HA140" s="12"/>
      <c r="HB140" s="12"/>
      <c r="HC140" s="12"/>
      <c r="HD140" s="12"/>
      <c r="HE140" s="12"/>
      <c r="HF140" s="12"/>
      <c r="HG140" s="12"/>
      <c r="HH140" s="12"/>
      <c r="HI140" s="12"/>
      <c r="HJ140" s="12"/>
      <c r="HK140" s="12"/>
      <c r="HL140" s="12"/>
      <c r="HM140" s="12"/>
      <c r="KC140" s="167"/>
    </row>
    <row r="141" spans="1:289" s="7" customFormat="1" hidden="1" x14ac:dyDescent="0.2">
      <c r="A141"/>
      <c r="I141" s="98" t="str">
        <f t="shared" si="205"/>
        <v/>
      </c>
      <c r="X141" s="206"/>
      <c r="AJ141" s="197"/>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KC141" s="167"/>
    </row>
    <row r="142" spans="1:289" s="7" customFormat="1" hidden="1" x14ac:dyDescent="0.2">
      <c r="A142"/>
      <c r="I142" s="98" t="str">
        <f t="shared" si="205"/>
        <v/>
      </c>
      <c r="X142" s="206"/>
      <c r="AJ142" s="197"/>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KC142" s="167"/>
    </row>
    <row r="143" spans="1:289" s="7" customFormat="1" hidden="1" x14ac:dyDescent="0.2">
      <c r="A143"/>
      <c r="I143" s="98" t="str">
        <f t="shared" si="205"/>
        <v/>
      </c>
      <c r="X143" s="206"/>
      <c r="AJ143" s="197"/>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KC143" s="167"/>
    </row>
    <row r="144" spans="1:289" s="7" customFormat="1" hidden="1" x14ac:dyDescent="0.2">
      <c r="A144"/>
      <c r="I144" s="98" t="str">
        <f t="shared" si="205"/>
        <v/>
      </c>
      <c r="X144" s="206"/>
      <c r="AJ144" s="197"/>
      <c r="CY144" s="12"/>
      <c r="CZ144" s="12"/>
      <c r="DA144" s="12"/>
      <c r="DB144" s="12"/>
      <c r="DC144" s="12"/>
      <c r="DD144" s="12"/>
      <c r="DE144" s="12"/>
      <c r="DF144" s="12"/>
      <c r="DG144" s="12"/>
      <c r="DH144" s="12"/>
      <c r="DI144" s="12"/>
      <c r="DJ144" s="12"/>
      <c r="DK144" s="12"/>
      <c r="DL144" s="12"/>
      <c r="DM144" s="12"/>
      <c r="DN144" s="12"/>
      <c r="DO144" s="12"/>
      <c r="DP144" s="12"/>
      <c r="DQ144" s="12"/>
      <c r="DR144" s="12"/>
      <c r="DS144" s="12"/>
      <c r="DT144" s="12"/>
      <c r="DU144" s="12"/>
      <c r="DV144" s="12"/>
      <c r="DW144" s="12"/>
      <c r="DX144" s="12"/>
      <c r="DY144" s="12"/>
      <c r="DZ144" s="12"/>
      <c r="EA144" s="12"/>
      <c r="GK144" s="12"/>
      <c r="GL144" s="12"/>
      <c r="GM144" s="12"/>
      <c r="GN144" s="12"/>
      <c r="GO144" s="12"/>
      <c r="GP144" s="12"/>
      <c r="GQ144" s="12"/>
      <c r="GR144" s="12"/>
      <c r="GS144" s="12"/>
      <c r="GT144" s="12"/>
      <c r="GU144" s="12"/>
      <c r="GV144" s="12"/>
      <c r="GW144" s="12"/>
      <c r="GX144" s="12"/>
      <c r="GY144" s="12"/>
      <c r="GZ144" s="12"/>
      <c r="HA144" s="12"/>
      <c r="HB144" s="12"/>
      <c r="HC144" s="12"/>
      <c r="HD144" s="12"/>
      <c r="HE144" s="12"/>
      <c r="HF144" s="12"/>
      <c r="HG144" s="12"/>
      <c r="HH144" s="12"/>
      <c r="HI144" s="12"/>
      <c r="HJ144" s="12"/>
      <c r="HK144" s="12"/>
      <c r="HL144" s="12"/>
      <c r="HM144" s="12"/>
      <c r="KC144" s="167"/>
    </row>
    <row r="145" spans="1:289" s="7" customFormat="1" hidden="1" x14ac:dyDescent="0.2">
      <c r="A145"/>
      <c r="I145" s="98" t="str">
        <f t="shared" si="205"/>
        <v/>
      </c>
      <c r="X145" s="206"/>
      <c r="AJ145" s="197"/>
      <c r="CY145" s="12"/>
      <c r="CZ145" s="12"/>
      <c r="DA145" s="12"/>
      <c r="DB145" s="12"/>
      <c r="DC145" s="12"/>
      <c r="DD145" s="12"/>
      <c r="DE145" s="12"/>
      <c r="DF145" s="12"/>
      <c r="DG145" s="12"/>
      <c r="DH145" s="12"/>
      <c r="DI145" s="12"/>
      <c r="DJ145" s="12"/>
      <c r="DK145" s="12"/>
      <c r="DL145" s="12"/>
      <c r="DM145" s="12"/>
      <c r="DN145" s="12"/>
      <c r="DO145" s="12"/>
      <c r="DP145" s="12"/>
      <c r="DQ145" s="12"/>
      <c r="DR145" s="12"/>
      <c r="DS145" s="12"/>
      <c r="DT145" s="12"/>
      <c r="DU145" s="12"/>
      <c r="DV145" s="12"/>
      <c r="DW145" s="12"/>
      <c r="DX145" s="12"/>
      <c r="DY145" s="12"/>
      <c r="DZ145" s="12"/>
      <c r="EA145" s="12"/>
      <c r="GK145" s="12"/>
      <c r="GL145" s="12"/>
      <c r="GM145" s="12"/>
      <c r="GN145" s="12"/>
      <c r="GO145" s="12"/>
      <c r="GP145" s="12"/>
      <c r="GQ145" s="12"/>
      <c r="GR145" s="12"/>
      <c r="GS145" s="12"/>
      <c r="GT145" s="12"/>
      <c r="GU145" s="12"/>
      <c r="GV145" s="12"/>
      <c r="GW145" s="12"/>
      <c r="GX145" s="12"/>
      <c r="GY145" s="12"/>
      <c r="GZ145" s="12"/>
      <c r="HA145" s="12"/>
      <c r="HB145" s="12"/>
      <c r="HC145" s="12"/>
      <c r="HD145" s="12"/>
      <c r="HE145" s="12"/>
      <c r="HF145" s="12"/>
      <c r="HG145" s="12"/>
      <c r="HH145" s="12"/>
      <c r="HI145" s="12"/>
      <c r="HJ145" s="12"/>
      <c r="HK145" s="12"/>
      <c r="HL145" s="12"/>
      <c r="HM145" s="12"/>
      <c r="KC145" s="167"/>
    </row>
    <row r="146" spans="1:289" s="7" customFormat="1" hidden="1" x14ac:dyDescent="0.2">
      <c r="A146"/>
      <c r="I146" s="98" t="str">
        <f t="shared" si="205"/>
        <v/>
      </c>
      <c r="X146" s="206"/>
      <c r="AJ146" s="197"/>
      <c r="CY146" s="12"/>
      <c r="CZ146" s="12"/>
      <c r="DA146" s="12"/>
      <c r="DB146" s="12"/>
      <c r="DC146" s="12"/>
      <c r="DD146" s="12"/>
      <c r="DE146" s="12"/>
      <c r="DF146" s="12"/>
      <c r="DG146" s="12"/>
      <c r="DH146" s="12"/>
      <c r="DI146" s="12"/>
      <c r="DJ146" s="12"/>
      <c r="DK146" s="12"/>
      <c r="DL146" s="12"/>
      <c r="DM146" s="12"/>
      <c r="DN146" s="12"/>
      <c r="DO146" s="12"/>
      <c r="DP146" s="12"/>
      <c r="DQ146" s="12"/>
      <c r="DR146" s="12"/>
      <c r="DS146" s="12"/>
      <c r="DT146" s="12"/>
      <c r="DU146" s="12"/>
      <c r="DV146" s="12"/>
      <c r="DW146" s="12"/>
      <c r="DX146" s="12"/>
      <c r="DY146" s="12"/>
      <c r="DZ146" s="12"/>
      <c r="EA146" s="12"/>
      <c r="GK146" s="12"/>
      <c r="GL146" s="12"/>
      <c r="GM146" s="12"/>
      <c r="GN146" s="12"/>
      <c r="GO146" s="12"/>
      <c r="GP146" s="12"/>
      <c r="GQ146" s="12"/>
      <c r="GR146" s="12"/>
      <c r="GS146" s="12"/>
      <c r="GT146" s="12"/>
      <c r="GU146" s="12"/>
      <c r="GV146" s="12"/>
      <c r="GW146" s="12"/>
      <c r="GX146" s="12"/>
      <c r="GY146" s="12"/>
      <c r="GZ146" s="12"/>
      <c r="HA146" s="12"/>
      <c r="HB146" s="12"/>
      <c r="HC146" s="12"/>
      <c r="HD146" s="12"/>
      <c r="HE146" s="12"/>
      <c r="HF146" s="12"/>
      <c r="HG146" s="12"/>
      <c r="HH146" s="12"/>
      <c r="HI146" s="12"/>
      <c r="HJ146" s="12"/>
      <c r="HK146" s="12"/>
      <c r="HL146" s="12"/>
      <c r="HM146" s="12"/>
      <c r="KC146" s="167"/>
    </row>
    <row r="147" spans="1:289" s="7" customFormat="1" hidden="1" x14ac:dyDescent="0.2">
      <c r="A147"/>
      <c r="I147" s="98" t="str">
        <f t="shared" si="205"/>
        <v/>
      </c>
      <c r="X147" s="206"/>
      <c r="AJ147" s="197"/>
      <c r="CY147" s="12"/>
      <c r="CZ147" s="12"/>
      <c r="DA147" s="12"/>
      <c r="DB147" s="12"/>
      <c r="DC147" s="12"/>
      <c r="DD147" s="12"/>
      <c r="DE147" s="12"/>
      <c r="DF147" s="12"/>
      <c r="DG147" s="12"/>
      <c r="DH147" s="12"/>
      <c r="DI147" s="12"/>
      <c r="DJ147" s="12"/>
      <c r="DK147" s="12"/>
      <c r="DL147" s="12"/>
      <c r="DM147" s="12"/>
      <c r="DN147" s="12"/>
      <c r="DO147" s="12"/>
      <c r="DP147" s="12"/>
      <c r="DQ147" s="12"/>
      <c r="DR147" s="12"/>
      <c r="DS147" s="12"/>
      <c r="DT147" s="12"/>
      <c r="DU147" s="12"/>
      <c r="DV147" s="12"/>
      <c r="DW147" s="12"/>
      <c r="DX147" s="12"/>
      <c r="DY147" s="12"/>
      <c r="DZ147" s="12"/>
      <c r="EA147" s="12"/>
      <c r="GK147" s="12"/>
      <c r="GL147" s="12"/>
      <c r="GM147" s="12"/>
      <c r="GN147" s="12"/>
      <c r="GO147" s="12"/>
      <c r="GP147" s="12"/>
      <c r="GQ147" s="12"/>
      <c r="GR147" s="12"/>
      <c r="GS147" s="12"/>
      <c r="GT147" s="12"/>
      <c r="GU147" s="12"/>
      <c r="GV147" s="12"/>
      <c r="GW147" s="12"/>
      <c r="GX147" s="12"/>
      <c r="GY147" s="12"/>
      <c r="GZ147" s="12"/>
      <c r="HA147" s="12"/>
      <c r="HB147" s="12"/>
      <c r="HC147" s="12"/>
      <c r="HD147" s="12"/>
      <c r="HE147" s="12"/>
      <c r="HF147" s="12"/>
      <c r="HG147" s="12"/>
      <c r="HH147" s="12"/>
      <c r="HI147" s="12"/>
      <c r="HJ147" s="12"/>
      <c r="HK147" s="12"/>
      <c r="HL147" s="12"/>
      <c r="HM147" s="12"/>
      <c r="KC147" s="167"/>
    </row>
    <row r="148" spans="1:289" s="7" customFormat="1" hidden="1" x14ac:dyDescent="0.2">
      <c r="A148"/>
      <c r="I148" s="98" t="str">
        <f t="shared" si="205"/>
        <v/>
      </c>
      <c r="X148" s="206"/>
      <c r="AJ148" s="197"/>
      <c r="CY148" s="12"/>
      <c r="CZ148" s="12"/>
      <c r="DA148" s="12"/>
      <c r="DB148" s="12"/>
      <c r="DC148" s="12"/>
      <c r="DD148" s="12"/>
      <c r="DE148" s="12"/>
      <c r="DF148" s="12"/>
      <c r="DG148" s="12"/>
      <c r="DH148" s="12"/>
      <c r="DI148" s="12"/>
      <c r="DJ148" s="12"/>
      <c r="DK148" s="12"/>
      <c r="DL148" s="12"/>
      <c r="DM148" s="12"/>
      <c r="DN148" s="12"/>
      <c r="DO148" s="12"/>
      <c r="DP148" s="12"/>
      <c r="DQ148" s="12"/>
      <c r="DR148" s="12"/>
      <c r="DS148" s="12"/>
      <c r="DT148" s="12"/>
      <c r="DU148" s="12"/>
      <c r="DV148" s="12"/>
      <c r="DW148" s="12"/>
      <c r="DX148" s="12"/>
      <c r="DY148" s="12"/>
      <c r="DZ148" s="12"/>
      <c r="EA148" s="12"/>
      <c r="GK148" s="12"/>
      <c r="GL148" s="12"/>
      <c r="GM148" s="12"/>
      <c r="GN148" s="12"/>
      <c r="GO148" s="12"/>
      <c r="GP148" s="12"/>
      <c r="GQ148" s="12"/>
      <c r="GR148" s="12"/>
      <c r="GS148" s="12"/>
      <c r="GT148" s="12"/>
      <c r="GU148" s="12"/>
      <c r="GV148" s="12"/>
      <c r="GW148" s="12"/>
      <c r="GX148" s="12"/>
      <c r="GY148" s="12"/>
      <c r="GZ148" s="12"/>
      <c r="HA148" s="12"/>
      <c r="HB148" s="12"/>
      <c r="HC148" s="12"/>
      <c r="HD148" s="12"/>
      <c r="HE148" s="12"/>
      <c r="HF148" s="12"/>
      <c r="HG148" s="12"/>
      <c r="HH148" s="12"/>
      <c r="HI148" s="12"/>
      <c r="HJ148" s="12"/>
      <c r="HK148" s="12"/>
      <c r="HL148" s="12"/>
      <c r="HM148" s="12"/>
      <c r="KC148" s="167"/>
    </row>
    <row r="149" spans="1:289" s="7" customFormat="1" hidden="1" x14ac:dyDescent="0.2">
      <c r="A149"/>
      <c r="I149" s="98" t="str">
        <f t="shared" si="205"/>
        <v/>
      </c>
      <c r="X149" s="206"/>
      <c r="AJ149" s="197"/>
      <c r="CY149" s="12"/>
      <c r="CZ149" s="12"/>
      <c r="DA149" s="12"/>
      <c r="DB149" s="12"/>
      <c r="DC149" s="12"/>
      <c r="DD149" s="12"/>
      <c r="DE149" s="12"/>
      <c r="DF149" s="12"/>
      <c r="DG149" s="12"/>
      <c r="DH149" s="12"/>
      <c r="DI149" s="12"/>
      <c r="DJ149" s="12"/>
      <c r="DK149" s="12"/>
      <c r="DL149" s="12"/>
      <c r="DM149" s="12"/>
      <c r="DN149" s="12"/>
      <c r="DO149" s="12"/>
      <c r="DP149" s="12"/>
      <c r="DQ149" s="12"/>
      <c r="DR149" s="12"/>
      <c r="DS149" s="12"/>
      <c r="DT149" s="12"/>
      <c r="DU149" s="12"/>
      <c r="DV149" s="12"/>
      <c r="DW149" s="12"/>
      <c r="DX149" s="12"/>
      <c r="DY149" s="12"/>
      <c r="DZ149" s="12"/>
      <c r="EA149" s="12"/>
      <c r="GK149" s="12"/>
      <c r="GL149" s="12"/>
      <c r="GM149" s="12"/>
      <c r="GN149" s="12"/>
      <c r="GO149" s="12"/>
      <c r="GP149" s="12"/>
      <c r="GQ149" s="12"/>
      <c r="GR149" s="12"/>
      <c r="GS149" s="12"/>
      <c r="GT149" s="12"/>
      <c r="GU149" s="12"/>
      <c r="GV149" s="12"/>
      <c r="GW149" s="12"/>
      <c r="GX149" s="12"/>
      <c r="GY149" s="12"/>
      <c r="GZ149" s="12"/>
      <c r="HA149" s="12"/>
      <c r="HB149" s="12"/>
      <c r="HC149" s="12"/>
      <c r="HD149" s="12"/>
      <c r="HE149" s="12"/>
      <c r="HF149" s="12"/>
      <c r="HG149" s="12"/>
      <c r="HH149" s="12"/>
      <c r="HI149" s="12"/>
      <c r="HJ149" s="12"/>
      <c r="HK149" s="12"/>
      <c r="HL149" s="12"/>
      <c r="HM149" s="12"/>
      <c r="KC149" s="167"/>
    </row>
    <row r="150" spans="1:289" s="7" customFormat="1" hidden="1" x14ac:dyDescent="0.2">
      <c r="A150"/>
      <c r="I150" s="98" t="str">
        <f t="shared" si="205"/>
        <v/>
      </c>
      <c r="X150" s="206"/>
      <c r="AJ150" s="197"/>
      <c r="CY150" s="12"/>
      <c r="CZ150" s="12"/>
      <c r="DA150" s="12"/>
      <c r="DB150" s="12"/>
      <c r="DC150" s="12"/>
      <c r="DD150" s="12"/>
      <c r="DE150" s="12"/>
      <c r="DF150" s="12"/>
      <c r="DG150" s="12"/>
      <c r="DH150" s="12"/>
      <c r="DI150" s="12"/>
      <c r="DJ150" s="12"/>
      <c r="DK150" s="12"/>
      <c r="DL150" s="12"/>
      <c r="DM150" s="12"/>
      <c r="DN150" s="12"/>
      <c r="DO150" s="12"/>
      <c r="DP150" s="12"/>
      <c r="DQ150" s="12"/>
      <c r="DR150" s="12"/>
      <c r="DS150" s="12"/>
      <c r="DT150" s="12"/>
      <c r="DU150" s="12"/>
      <c r="DV150" s="12"/>
      <c r="DW150" s="12"/>
      <c r="DX150" s="12"/>
      <c r="DY150" s="12"/>
      <c r="DZ150" s="12"/>
      <c r="EA150" s="12"/>
      <c r="GK150" s="12"/>
      <c r="GL150" s="12"/>
      <c r="GM150" s="12"/>
      <c r="GN150" s="12"/>
      <c r="GO150" s="12"/>
      <c r="GP150" s="12"/>
      <c r="GQ150" s="12"/>
      <c r="GR150" s="12"/>
      <c r="GS150" s="12"/>
      <c r="GT150" s="12"/>
      <c r="GU150" s="12"/>
      <c r="GV150" s="12"/>
      <c r="GW150" s="12"/>
      <c r="GX150" s="12"/>
      <c r="GY150" s="12"/>
      <c r="GZ150" s="12"/>
      <c r="HA150" s="12"/>
      <c r="HB150" s="12"/>
      <c r="HC150" s="12"/>
      <c r="HD150" s="12"/>
      <c r="HE150" s="12"/>
      <c r="HF150" s="12"/>
      <c r="HG150" s="12"/>
      <c r="HH150" s="12"/>
      <c r="HI150" s="12"/>
      <c r="HJ150" s="12"/>
      <c r="HK150" s="12"/>
      <c r="HL150" s="12"/>
      <c r="HM150" s="12"/>
      <c r="KC150" s="167"/>
    </row>
    <row r="151" spans="1:289" s="7" customFormat="1" hidden="1" x14ac:dyDescent="0.2">
      <c r="A151"/>
      <c r="I151" s="98" t="str">
        <f t="shared" si="205"/>
        <v/>
      </c>
      <c r="X151" s="206"/>
      <c r="AJ151" s="197"/>
      <c r="CY151" s="12"/>
      <c r="CZ151" s="12"/>
      <c r="DA151" s="12"/>
      <c r="DB151" s="12"/>
      <c r="DC151" s="12"/>
      <c r="DD151" s="12"/>
      <c r="DE151" s="12"/>
      <c r="DF151" s="12"/>
      <c r="DG151" s="12"/>
      <c r="DH151" s="12"/>
      <c r="DI151" s="12"/>
      <c r="DJ151" s="12"/>
      <c r="DK151" s="12"/>
      <c r="DL151" s="12"/>
      <c r="DM151" s="12"/>
      <c r="DN151" s="12"/>
      <c r="DO151" s="12"/>
      <c r="DP151" s="12"/>
      <c r="DQ151" s="12"/>
      <c r="DR151" s="12"/>
      <c r="DS151" s="12"/>
      <c r="DT151" s="12"/>
      <c r="DU151" s="12"/>
      <c r="DV151" s="12"/>
      <c r="DW151" s="12"/>
      <c r="DX151" s="12"/>
      <c r="DY151" s="12"/>
      <c r="DZ151" s="12"/>
      <c r="EA151" s="12"/>
      <c r="GK151" s="12"/>
      <c r="GL151" s="12"/>
      <c r="GM151" s="12"/>
      <c r="GN151" s="12"/>
      <c r="GO151" s="12"/>
      <c r="GP151" s="12"/>
      <c r="GQ151" s="12"/>
      <c r="GR151" s="12"/>
      <c r="GS151" s="12"/>
      <c r="GT151" s="12"/>
      <c r="GU151" s="12"/>
      <c r="GV151" s="12"/>
      <c r="GW151" s="12"/>
      <c r="GX151" s="12"/>
      <c r="GY151" s="12"/>
      <c r="GZ151" s="12"/>
      <c r="HA151" s="12"/>
      <c r="HB151" s="12"/>
      <c r="HC151" s="12"/>
      <c r="HD151" s="12"/>
      <c r="HE151" s="12"/>
      <c r="HF151" s="12"/>
      <c r="HG151" s="12"/>
      <c r="HH151" s="12"/>
      <c r="HI151" s="12"/>
      <c r="HJ151" s="12"/>
      <c r="HK151" s="12"/>
      <c r="HL151" s="12"/>
      <c r="HM151" s="12"/>
      <c r="KC151" s="167"/>
    </row>
    <row r="152" spans="1:289" s="7" customFormat="1" ht="11.25" hidden="1" customHeight="1" x14ac:dyDescent="0.2">
      <c r="A152"/>
      <c r="I152" s="98" t="str">
        <f t="shared" si="205"/>
        <v/>
      </c>
      <c r="X152" s="206"/>
      <c r="AJ152" s="197"/>
      <c r="CY152" s="12"/>
      <c r="CZ152" s="12"/>
      <c r="DA152" s="12"/>
      <c r="DB152" s="12"/>
      <c r="DC152" s="12"/>
      <c r="DD152" s="12"/>
      <c r="DE152" s="12"/>
      <c r="DF152" s="12"/>
      <c r="DG152" s="12"/>
      <c r="DH152" s="12"/>
      <c r="DI152" s="12"/>
      <c r="DJ152" s="12"/>
      <c r="DK152" s="12"/>
      <c r="DL152" s="12"/>
      <c r="DM152" s="12"/>
      <c r="DN152" s="12"/>
      <c r="DO152" s="12"/>
      <c r="DP152" s="12"/>
      <c r="DQ152" s="12"/>
      <c r="DR152" s="12"/>
      <c r="DS152" s="12"/>
      <c r="DT152" s="12"/>
      <c r="DU152" s="12"/>
      <c r="DV152" s="12"/>
      <c r="DW152" s="12"/>
      <c r="DX152" s="12"/>
      <c r="DY152" s="12"/>
      <c r="DZ152" s="12"/>
      <c r="EA152" s="12"/>
      <c r="GK152" s="12"/>
      <c r="GL152" s="12"/>
      <c r="GM152" s="12"/>
      <c r="GN152" s="12"/>
      <c r="GO152" s="12"/>
      <c r="GP152" s="12"/>
      <c r="GQ152" s="12"/>
      <c r="GR152" s="12"/>
      <c r="GS152" s="12"/>
      <c r="GT152" s="12"/>
      <c r="GU152" s="12"/>
      <c r="GV152" s="12"/>
      <c r="GW152" s="12"/>
      <c r="GX152" s="12"/>
      <c r="GY152" s="12"/>
      <c r="GZ152" s="12"/>
      <c r="HA152" s="12"/>
      <c r="HB152" s="12"/>
      <c r="HC152" s="12"/>
      <c r="HD152" s="12"/>
      <c r="HE152" s="12"/>
      <c r="HF152" s="12"/>
      <c r="HG152" s="12"/>
      <c r="HH152" s="12"/>
      <c r="HI152" s="12"/>
      <c r="HJ152" s="12"/>
      <c r="HK152" s="12"/>
      <c r="HL152" s="12"/>
      <c r="HM152" s="12"/>
      <c r="KC152" s="167"/>
    </row>
    <row r="153" spans="1:289" s="7" customFormat="1" hidden="1" x14ac:dyDescent="0.2">
      <c r="A153"/>
      <c r="I153" s="98" t="str">
        <f t="shared" si="205"/>
        <v/>
      </c>
      <c r="X153" s="206"/>
      <c r="AJ153" s="197"/>
      <c r="CY153" s="12"/>
      <c r="CZ153" s="12"/>
      <c r="DA153" s="12"/>
      <c r="DB153" s="12"/>
      <c r="DC153" s="12"/>
      <c r="DD153" s="12"/>
      <c r="DE153" s="12"/>
      <c r="DF153" s="12"/>
      <c r="DG153" s="12"/>
      <c r="DH153" s="12"/>
      <c r="DI153" s="12"/>
      <c r="DJ153" s="12"/>
      <c r="DK153" s="12"/>
      <c r="DL153" s="12"/>
      <c r="DM153" s="12"/>
      <c r="DN153" s="12"/>
      <c r="DO153" s="12"/>
      <c r="DP153" s="12"/>
      <c r="DQ153" s="12"/>
      <c r="DR153" s="12"/>
      <c r="DS153" s="12"/>
      <c r="DT153" s="12"/>
      <c r="DU153" s="12"/>
      <c r="DV153" s="12"/>
      <c r="DW153" s="12"/>
      <c r="DX153" s="12"/>
      <c r="DY153" s="12"/>
      <c r="DZ153" s="12"/>
      <c r="EA153" s="12"/>
      <c r="GK153" s="12"/>
      <c r="GL153" s="12"/>
      <c r="GM153" s="12"/>
      <c r="GN153" s="12"/>
      <c r="GO153" s="12"/>
      <c r="GP153" s="12"/>
      <c r="GQ153" s="12"/>
      <c r="GR153" s="12"/>
      <c r="GS153" s="12"/>
      <c r="GT153" s="12"/>
      <c r="GU153" s="12"/>
      <c r="GV153" s="12"/>
      <c r="GW153" s="12"/>
      <c r="GX153" s="12"/>
      <c r="GY153" s="12"/>
      <c r="GZ153" s="12"/>
      <c r="HA153" s="12"/>
      <c r="HB153" s="12"/>
      <c r="HC153" s="12"/>
      <c r="HD153" s="12"/>
      <c r="HE153" s="12"/>
      <c r="HF153" s="12"/>
      <c r="HG153" s="12"/>
      <c r="HH153" s="12"/>
      <c r="HI153" s="12"/>
      <c r="HJ153" s="12"/>
      <c r="HK153" s="12"/>
      <c r="HL153" s="12"/>
      <c r="HM153" s="12"/>
      <c r="KC153" s="167"/>
    </row>
    <row r="154" spans="1:289" s="7" customFormat="1" hidden="1" x14ac:dyDescent="0.2">
      <c r="A154"/>
      <c r="I154" s="98" t="str">
        <f t="shared" si="205"/>
        <v/>
      </c>
      <c r="X154" s="206"/>
      <c r="AJ154" s="197"/>
      <c r="CY154" s="12"/>
      <c r="CZ154" s="12"/>
      <c r="DA154" s="12"/>
      <c r="DB154" s="12"/>
      <c r="DC154" s="12"/>
      <c r="DD154" s="12"/>
      <c r="DE154" s="12"/>
      <c r="DF154" s="12"/>
      <c r="DG154" s="12"/>
      <c r="DH154" s="12"/>
      <c r="DI154" s="12"/>
      <c r="DJ154" s="12"/>
      <c r="DK154" s="12"/>
      <c r="DL154" s="12"/>
      <c r="DM154" s="12"/>
      <c r="DN154" s="12"/>
      <c r="DO154" s="12"/>
      <c r="DP154" s="12"/>
      <c r="DQ154" s="12"/>
      <c r="DR154" s="12"/>
      <c r="DS154" s="12"/>
      <c r="DT154" s="12"/>
      <c r="DU154" s="12"/>
      <c r="DV154" s="12"/>
      <c r="DW154" s="12"/>
      <c r="DX154" s="12"/>
      <c r="DY154" s="12"/>
      <c r="DZ154" s="12"/>
      <c r="EA154" s="12"/>
      <c r="GK154" s="12"/>
      <c r="GL154" s="12"/>
      <c r="GM154" s="12"/>
      <c r="GN154" s="12"/>
      <c r="GO154" s="12"/>
      <c r="GP154" s="12"/>
      <c r="GQ154" s="12"/>
      <c r="GR154" s="12"/>
      <c r="GS154" s="12"/>
      <c r="GT154" s="12"/>
      <c r="GU154" s="12"/>
      <c r="GV154" s="12"/>
      <c r="GW154" s="12"/>
      <c r="GX154" s="12"/>
      <c r="GY154" s="12"/>
      <c r="GZ154" s="12"/>
      <c r="HA154" s="12"/>
      <c r="HB154" s="12"/>
      <c r="HC154" s="12"/>
      <c r="HD154" s="12"/>
      <c r="HE154" s="12"/>
      <c r="HF154" s="12"/>
      <c r="HG154" s="12"/>
      <c r="HH154" s="12"/>
      <c r="HI154" s="12"/>
      <c r="HJ154" s="12"/>
      <c r="HK154" s="12"/>
      <c r="HL154" s="12"/>
      <c r="HM154" s="12"/>
      <c r="KC154" s="167"/>
    </row>
    <row r="155" spans="1:289" s="7" customFormat="1" hidden="1" x14ac:dyDescent="0.2">
      <c r="A155"/>
      <c r="I155" s="98" t="str">
        <f t="shared" si="205"/>
        <v/>
      </c>
      <c r="X155" s="206"/>
      <c r="AJ155" s="197"/>
      <c r="CY155" s="12"/>
      <c r="CZ155" s="12"/>
      <c r="DA155" s="12"/>
      <c r="DB155" s="12"/>
      <c r="DC155" s="12"/>
      <c r="DD155" s="12"/>
      <c r="DE155" s="12"/>
      <c r="DF155" s="12"/>
      <c r="DG155" s="12"/>
      <c r="DH155" s="12"/>
      <c r="DI155" s="12"/>
      <c r="DJ155" s="12"/>
      <c r="DK155" s="12"/>
      <c r="DL155" s="12"/>
      <c r="DM155" s="12"/>
      <c r="DN155" s="12"/>
      <c r="DO155" s="12"/>
      <c r="DP155" s="12"/>
      <c r="DQ155" s="12"/>
      <c r="DR155" s="12"/>
      <c r="DS155" s="12"/>
      <c r="DT155" s="12"/>
      <c r="DU155" s="12"/>
      <c r="DV155" s="12"/>
      <c r="DW155" s="12"/>
      <c r="DX155" s="12"/>
      <c r="DY155" s="12"/>
      <c r="DZ155" s="12"/>
      <c r="EA155" s="12"/>
      <c r="GK155" s="12"/>
      <c r="GL155" s="12"/>
      <c r="GM155" s="12"/>
      <c r="GN155" s="12"/>
      <c r="GO155" s="12"/>
      <c r="GP155" s="12"/>
      <c r="GQ155" s="12"/>
      <c r="GR155" s="12"/>
      <c r="GS155" s="12"/>
      <c r="GT155" s="12"/>
      <c r="GU155" s="12"/>
      <c r="GV155" s="12"/>
      <c r="GW155" s="12"/>
      <c r="GX155" s="12"/>
      <c r="GY155" s="12"/>
      <c r="GZ155" s="12"/>
      <c r="HA155" s="12"/>
      <c r="HB155" s="12"/>
      <c r="HC155" s="12"/>
      <c r="HD155" s="12"/>
      <c r="HE155" s="12"/>
      <c r="HF155" s="12"/>
      <c r="HG155" s="12"/>
      <c r="HH155" s="12"/>
      <c r="HI155" s="12"/>
      <c r="HJ155" s="12"/>
      <c r="HK155" s="12"/>
      <c r="HL155" s="12"/>
      <c r="HM155" s="12"/>
      <c r="KC155" s="167"/>
    </row>
    <row r="156" spans="1:289" s="7" customFormat="1" ht="12.75" hidden="1" customHeight="1" x14ac:dyDescent="0.2">
      <c r="A156"/>
      <c r="I156" s="98" t="str">
        <f t="shared" si="205"/>
        <v/>
      </c>
      <c r="X156" s="206"/>
      <c r="AJ156" s="197"/>
      <c r="CY156" s="12"/>
      <c r="CZ156" s="12"/>
      <c r="DA156" s="12"/>
      <c r="DB156" s="12"/>
      <c r="DC156" s="12"/>
      <c r="DD156" s="12"/>
      <c r="DE156" s="12"/>
      <c r="DF156" s="12"/>
      <c r="DG156" s="12"/>
      <c r="DH156" s="12"/>
      <c r="DI156" s="12"/>
      <c r="DJ156" s="12"/>
      <c r="DK156" s="12"/>
      <c r="DL156" s="12"/>
      <c r="DM156" s="12"/>
      <c r="DN156" s="12"/>
      <c r="DO156" s="12"/>
      <c r="DP156" s="12"/>
      <c r="DQ156" s="12"/>
      <c r="DR156" s="12"/>
      <c r="DS156" s="12"/>
      <c r="DT156" s="12"/>
      <c r="DU156" s="12"/>
      <c r="DV156" s="12"/>
      <c r="DW156" s="12"/>
      <c r="DX156" s="12"/>
      <c r="DY156" s="12"/>
      <c r="DZ156" s="12"/>
      <c r="EA156" s="12"/>
      <c r="GK156" s="12"/>
      <c r="GL156" s="12"/>
      <c r="GM156" s="12"/>
      <c r="GN156" s="12"/>
      <c r="GO156" s="12"/>
      <c r="GP156" s="12"/>
      <c r="GQ156" s="12"/>
      <c r="GR156" s="12"/>
      <c r="GS156" s="12"/>
      <c r="GT156" s="12"/>
      <c r="GU156" s="12"/>
      <c r="GV156" s="12"/>
      <c r="GW156" s="12"/>
      <c r="GX156" s="12"/>
      <c r="GY156" s="12"/>
      <c r="GZ156" s="12"/>
      <c r="HA156" s="12"/>
      <c r="HB156" s="12"/>
      <c r="HC156" s="12"/>
      <c r="HD156" s="12"/>
      <c r="HE156" s="12"/>
      <c r="HF156" s="12"/>
      <c r="HG156" s="12"/>
      <c r="HH156" s="12"/>
      <c r="HI156" s="12"/>
      <c r="HJ156" s="12"/>
      <c r="HK156" s="12"/>
      <c r="HL156" s="12"/>
      <c r="HM156" s="12"/>
      <c r="KC156" s="167"/>
    </row>
    <row r="157" spans="1:289" s="7" customFormat="1" ht="11.25" hidden="1" customHeight="1" x14ac:dyDescent="0.2">
      <c r="A157"/>
      <c r="I157" s="98" t="str">
        <f t="shared" si="205"/>
        <v/>
      </c>
      <c r="X157" s="206"/>
      <c r="AJ157" s="197"/>
      <c r="CY157" s="12"/>
      <c r="CZ157" s="12"/>
      <c r="DA157" s="12"/>
      <c r="DB157" s="12"/>
      <c r="DC157" s="12"/>
      <c r="DD157" s="12"/>
      <c r="DE157" s="12"/>
      <c r="DF157" s="12"/>
      <c r="DG157" s="12"/>
      <c r="DH157" s="12"/>
      <c r="DI157" s="12"/>
      <c r="DJ157" s="12"/>
      <c r="DK157" s="12"/>
      <c r="DL157" s="12"/>
      <c r="DM157" s="12"/>
      <c r="DN157" s="12"/>
      <c r="DO157" s="12"/>
      <c r="DP157" s="12"/>
      <c r="DQ157" s="12"/>
      <c r="DR157" s="12"/>
      <c r="DS157" s="12"/>
      <c r="DT157" s="12"/>
      <c r="DU157" s="12"/>
      <c r="DV157" s="12"/>
      <c r="DW157" s="12"/>
      <c r="DX157" s="12"/>
      <c r="DY157" s="12"/>
      <c r="DZ157" s="12"/>
      <c r="EA157" s="12"/>
      <c r="GK157" s="12"/>
      <c r="GL157" s="12"/>
      <c r="GM157" s="12"/>
      <c r="GN157" s="12"/>
      <c r="GO157" s="12"/>
      <c r="GP157" s="12"/>
      <c r="GQ157" s="12"/>
      <c r="GR157" s="12"/>
      <c r="GS157" s="12"/>
      <c r="GT157" s="12"/>
      <c r="GU157" s="12"/>
      <c r="GV157" s="12"/>
      <c r="GW157" s="12"/>
      <c r="GX157" s="12"/>
      <c r="GY157" s="12"/>
      <c r="GZ157" s="12"/>
      <c r="HA157" s="12"/>
      <c r="HB157" s="12"/>
      <c r="HC157" s="12"/>
      <c r="HD157" s="12"/>
      <c r="HE157" s="12"/>
      <c r="HF157" s="12"/>
      <c r="HG157" s="12"/>
      <c r="HH157" s="12"/>
      <c r="HI157" s="12"/>
      <c r="HJ157" s="12"/>
      <c r="HK157" s="12"/>
      <c r="HL157" s="12"/>
      <c r="HM157" s="12"/>
      <c r="KC157" s="167"/>
    </row>
    <row r="158" spans="1:289" s="7" customFormat="1" ht="12" hidden="1" customHeight="1" x14ac:dyDescent="0.2">
      <c r="A158"/>
      <c r="I158" s="98" t="str">
        <f t="shared" si="205"/>
        <v/>
      </c>
      <c r="X158" s="206"/>
      <c r="AJ158" s="197"/>
      <c r="CY158" s="12"/>
      <c r="CZ158" s="12"/>
      <c r="DA158" s="12"/>
      <c r="DB158" s="12"/>
      <c r="DC158" s="12"/>
      <c r="DD158" s="12"/>
      <c r="DE158" s="12"/>
      <c r="DF158" s="12"/>
      <c r="DG158" s="12"/>
      <c r="DH158" s="12"/>
      <c r="DI158" s="12"/>
      <c r="DJ158" s="12"/>
      <c r="DK158" s="12"/>
      <c r="DL158" s="12"/>
      <c r="DM158" s="12"/>
      <c r="DN158" s="12"/>
      <c r="DO158" s="12"/>
      <c r="DP158" s="12"/>
      <c r="DQ158" s="12"/>
      <c r="DR158" s="12"/>
      <c r="DS158" s="12"/>
      <c r="DT158" s="12"/>
      <c r="DU158" s="12"/>
      <c r="DV158" s="12"/>
      <c r="DW158" s="12"/>
      <c r="DX158" s="12"/>
      <c r="DY158" s="12"/>
      <c r="DZ158" s="12"/>
      <c r="EA158" s="12"/>
      <c r="GK158" s="12"/>
      <c r="GL158" s="12"/>
      <c r="GM158" s="12"/>
      <c r="GN158" s="12"/>
      <c r="GO158" s="12"/>
      <c r="GP158" s="12"/>
      <c r="GQ158" s="12"/>
      <c r="GR158" s="12"/>
      <c r="GS158" s="12"/>
      <c r="GT158" s="12"/>
      <c r="GU158" s="12"/>
      <c r="GV158" s="12"/>
      <c r="GW158" s="12"/>
      <c r="GX158" s="12"/>
      <c r="GY158" s="12"/>
      <c r="GZ158" s="12"/>
      <c r="HA158" s="12"/>
      <c r="HB158" s="12"/>
      <c r="HC158" s="12"/>
      <c r="HD158" s="12"/>
      <c r="HE158" s="12"/>
      <c r="HF158" s="12"/>
      <c r="HG158" s="12"/>
      <c r="HH158" s="12"/>
      <c r="HI158" s="12"/>
      <c r="HJ158" s="12"/>
      <c r="HK158" s="12"/>
      <c r="HL158" s="12"/>
      <c r="HM158" s="12"/>
      <c r="KC158" s="167"/>
    </row>
    <row r="159" spans="1:289" s="7" customFormat="1" ht="12.75" hidden="1" customHeight="1" x14ac:dyDescent="0.2">
      <c r="A159"/>
      <c r="B159"/>
      <c r="C159" s="14"/>
      <c r="I159" s="98" t="str">
        <f t="shared" si="205"/>
        <v/>
      </c>
      <c r="X159" s="206"/>
      <c r="AJ159" s="197"/>
      <c r="CY159" s="12"/>
      <c r="CZ159" s="12"/>
      <c r="DA159" s="12"/>
      <c r="DB159" s="12"/>
      <c r="DC159" s="12"/>
      <c r="DD159" s="12"/>
      <c r="DE159" s="12"/>
      <c r="DF159" s="12"/>
      <c r="DG159" s="12"/>
      <c r="DH159" s="12"/>
      <c r="DI159" s="12"/>
      <c r="DJ159" s="12"/>
      <c r="DK159" s="12"/>
      <c r="DL159" s="12"/>
      <c r="DM159" s="12"/>
      <c r="DN159" s="12"/>
      <c r="DO159" s="12"/>
      <c r="DP159" s="12"/>
      <c r="DQ159" s="12"/>
      <c r="DR159" s="12"/>
      <c r="DS159" s="12"/>
      <c r="DT159" s="12"/>
      <c r="DU159" s="12"/>
      <c r="DV159" s="12"/>
      <c r="DW159" s="12"/>
      <c r="DX159" s="12"/>
      <c r="DY159" s="12"/>
      <c r="DZ159" s="12"/>
      <c r="EA159" s="12"/>
      <c r="GK159" s="12"/>
      <c r="GL159" s="12"/>
      <c r="GM159" s="12"/>
      <c r="GN159" s="12"/>
      <c r="GO159" s="12"/>
      <c r="GP159" s="12"/>
      <c r="GQ159" s="12"/>
      <c r="GR159" s="12"/>
      <c r="GS159" s="12"/>
      <c r="GT159" s="12"/>
      <c r="GU159" s="12"/>
      <c r="GV159" s="12"/>
      <c r="GW159" s="12"/>
      <c r="GX159" s="12"/>
      <c r="GY159" s="12"/>
      <c r="GZ159" s="12"/>
      <c r="HA159" s="12"/>
      <c r="HB159" s="12"/>
      <c r="HC159" s="12"/>
      <c r="HD159" s="12"/>
      <c r="HE159" s="12"/>
      <c r="HF159" s="12"/>
      <c r="HG159" s="12"/>
      <c r="HH159" s="12"/>
      <c r="HI159" s="12"/>
      <c r="HJ159" s="12"/>
      <c r="HK159" s="12"/>
      <c r="HL159" s="12"/>
      <c r="HM159" s="12"/>
      <c r="KC159" s="167"/>
    </row>
    <row r="160" spans="1:289" s="7" customFormat="1" ht="12" hidden="1" customHeight="1" x14ac:dyDescent="0.2">
      <c r="A160"/>
      <c r="B160"/>
      <c r="C160" s="14"/>
      <c r="I160" s="98" t="str">
        <f t="shared" si="205"/>
        <v/>
      </c>
      <c r="X160" s="206"/>
      <c r="AJ160" s="197"/>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2"/>
      <c r="DU160" s="12"/>
      <c r="DV160" s="12"/>
      <c r="DW160" s="12"/>
      <c r="DX160" s="12"/>
      <c r="DY160" s="12"/>
      <c r="DZ160" s="12"/>
      <c r="EA160" s="12"/>
      <c r="GK160" s="12"/>
      <c r="GL160" s="12"/>
      <c r="GM160" s="12"/>
      <c r="GN160" s="12"/>
      <c r="GO160" s="12"/>
      <c r="GP160" s="12"/>
      <c r="GQ160" s="12"/>
      <c r="GR160" s="12"/>
      <c r="GS160" s="12"/>
      <c r="GT160" s="12"/>
      <c r="GU160" s="12"/>
      <c r="GV160" s="12"/>
      <c r="GW160" s="12"/>
      <c r="GX160" s="12"/>
      <c r="GY160" s="12"/>
      <c r="GZ160" s="12"/>
      <c r="HA160" s="12"/>
      <c r="HB160" s="12"/>
      <c r="HC160" s="12"/>
      <c r="HD160" s="12"/>
      <c r="HE160" s="12"/>
      <c r="HF160" s="12"/>
      <c r="HG160" s="12"/>
      <c r="HH160" s="12"/>
      <c r="HI160" s="12"/>
      <c r="HJ160" s="12"/>
      <c r="HK160" s="12"/>
      <c r="HL160" s="12"/>
      <c r="HM160" s="12"/>
      <c r="KC160" s="167"/>
    </row>
    <row r="161" spans="1:289" s="7" customFormat="1" ht="11.25" hidden="1" customHeight="1" x14ac:dyDescent="0.2">
      <c r="A161"/>
      <c r="B161"/>
      <c r="C161" s="14"/>
      <c r="I161" s="98" t="str">
        <f t="shared" si="205"/>
        <v/>
      </c>
      <c r="X161" s="206"/>
      <c r="AJ161" s="197"/>
      <c r="CY161" s="12"/>
      <c r="CZ161" s="12"/>
      <c r="DA161" s="12"/>
      <c r="DB161" s="12"/>
      <c r="DC161" s="12"/>
      <c r="DD161" s="12"/>
      <c r="DE161" s="12"/>
      <c r="DF161" s="12"/>
      <c r="DG161" s="12"/>
      <c r="DH161" s="12"/>
      <c r="DI161" s="12"/>
      <c r="DJ161" s="12"/>
      <c r="DK161" s="12"/>
      <c r="DL161" s="12"/>
      <c r="DM161" s="12"/>
      <c r="DN161" s="12"/>
      <c r="DO161" s="12"/>
      <c r="DP161" s="12"/>
      <c r="DQ161" s="12"/>
      <c r="DR161" s="12"/>
      <c r="DS161" s="12"/>
      <c r="DT161" s="12"/>
      <c r="DU161" s="12"/>
      <c r="DV161" s="12"/>
      <c r="DW161" s="12"/>
      <c r="DX161" s="12"/>
      <c r="DY161" s="12"/>
      <c r="DZ161" s="12"/>
      <c r="EA161" s="12"/>
      <c r="GK161" s="12"/>
      <c r="GL161" s="12"/>
      <c r="GM161" s="12"/>
      <c r="GN161" s="12"/>
      <c r="GO161" s="12"/>
      <c r="GP161" s="12"/>
      <c r="GQ161" s="12"/>
      <c r="GR161" s="12"/>
      <c r="GS161" s="12"/>
      <c r="GT161" s="12"/>
      <c r="GU161" s="12"/>
      <c r="GV161" s="12"/>
      <c r="GW161" s="12"/>
      <c r="GX161" s="12"/>
      <c r="GY161" s="12"/>
      <c r="GZ161" s="12"/>
      <c r="HA161" s="12"/>
      <c r="HB161" s="12"/>
      <c r="HC161" s="12"/>
      <c r="HD161" s="12"/>
      <c r="HE161" s="12"/>
      <c r="HF161" s="12"/>
      <c r="HG161" s="12"/>
      <c r="HH161" s="12"/>
      <c r="HI161" s="12"/>
      <c r="HJ161" s="12"/>
      <c r="HK161" s="12"/>
      <c r="HL161" s="12"/>
      <c r="HM161" s="12"/>
      <c r="KC161" s="167"/>
    </row>
    <row r="162" spans="1:289" s="7" customFormat="1" ht="11.25" hidden="1" customHeight="1" x14ac:dyDescent="0.2">
      <c r="A162"/>
      <c r="B162"/>
      <c r="C162" s="14"/>
      <c r="I162" s="98" t="str">
        <f t="shared" si="205"/>
        <v/>
      </c>
      <c r="X162" s="206"/>
      <c r="AJ162" s="197"/>
      <c r="CY162" s="12"/>
      <c r="CZ162" s="12"/>
      <c r="DA162" s="12"/>
      <c r="DB162" s="12"/>
      <c r="DC162" s="12"/>
      <c r="DD162" s="12"/>
      <c r="DE162" s="12"/>
      <c r="DF162" s="12"/>
      <c r="DG162" s="12"/>
      <c r="DH162" s="12"/>
      <c r="DI162" s="12"/>
      <c r="DJ162" s="12"/>
      <c r="DK162" s="12"/>
      <c r="DL162" s="12"/>
      <c r="DM162" s="12"/>
      <c r="DN162" s="12"/>
      <c r="DO162" s="12"/>
      <c r="DP162" s="12"/>
      <c r="DQ162" s="12"/>
      <c r="DR162" s="12"/>
      <c r="DS162" s="12"/>
      <c r="DT162" s="12"/>
      <c r="DU162" s="12"/>
      <c r="DV162" s="12"/>
      <c r="DW162" s="12"/>
      <c r="DX162" s="12"/>
      <c r="DY162" s="12"/>
      <c r="DZ162" s="12"/>
      <c r="EA162" s="12"/>
      <c r="GK162" s="12"/>
      <c r="GL162" s="12"/>
      <c r="GM162" s="12"/>
      <c r="GN162" s="12"/>
      <c r="GO162" s="12"/>
      <c r="GP162" s="12"/>
      <c r="GQ162" s="12"/>
      <c r="GR162" s="12"/>
      <c r="GS162" s="12"/>
      <c r="GT162" s="12"/>
      <c r="GU162" s="12"/>
      <c r="GV162" s="12"/>
      <c r="GW162" s="12"/>
      <c r="GX162" s="12"/>
      <c r="GY162" s="12"/>
      <c r="GZ162" s="12"/>
      <c r="HA162" s="12"/>
      <c r="HB162" s="12"/>
      <c r="HC162" s="12"/>
      <c r="HD162" s="12"/>
      <c r="HE162" s="12"/>
      <c r="HF162" s="12"/>
      <c r="HG162" s="12"/>
      <c r="HH162" s="12"/>
      <c r="HI162" s="12"/>
      <c r="HJ162" s="12"/>
      <c r="HK162" s="12"/>
      <c r="HL162" s="12"/>
      <c r="HM162" s="12"/>
      <c r="KC162" s="167"/>
    </row>
    <row r="163" spans="1:289" s="7" customFormat="1" ht="12.75" hidden="1" customHeight="1" x14ac:dyDescent="0.2">
      <c r="A163"/>
      <c r="B163"/>
      <c r="C163" s="14"/>
      <c r="I163" s="98" t="str">
        <f t="shared" si="205"/>
        <v/>
      </c>
      <c r="X163" s="206"/>
      <c r="AJ163" s="197"/>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KC163" s="167"/>
    </row>
    <row r="164" spans="1:289" s="7" customFormat="1" ht="12.75" hidden="1" customHeight="1" x14ac:dyDescent="0.2">
      <c r="A164"/>
      <c r="B164"/>
      <c r="C164" s="14"/>
      <c r="I164" s="98" t="str">
        <f t="shared" si="205"/>
        <v/>
      </c>
      <c r="X164" s="206"/>
      <c r="AJ164" s="197"/>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KC164" s="167"/>
    </row>
    <row r="165" spans="1:289" s="7" customFormat="1" ht="12.75" hidden="1" customHeight="1" x14ac:dyDescent="0.2">
      <c r="A165"/>
      <c r="B165"/>
      <c r="C165" s="14"/>
      <c r="I165" s="98" t="str">
        <f t="shared" si="205"/>
        <v/>
      </c>
      <c r="X165" s="206"/>
      <c r="AJ165" s="197"/>
      <c r="CY165" s="12"/>
      <c r="CZ165" s="12"/>
      <c r="DA165" s="12"/>
      <c r="DB165" s="12"/>
      <c r="DC165" s="12"/>
      <c r="DD165" s="12"/>
      <c r="DE165" s="12"/>
      <c r="DF165" s="12"/>
      <c r="DG165" s="12"/>
      <c r="DH165" s="12"/>
      <c r="DI165" s="12"/>
      <c r="DJ165" s="12"/>
      <c r="DK165" s="12"/>
      <c r="DL165" s="12"/>
      <c r="DM165" s="12"/>
      <c r="DN165" s="12"/>
      <c r="DO165" s="12"/>
      <c r="DP165" s="12"/>
      <c r="DQ165" s="12"/>
      <c r="DR165" s="12"/>
      <c r="DS165" s="12"/>
      <c r="DT165" s="12"/>
      <c r="DU165" s="12"/>
      <c r="DV165" s="12"/>
      <c r="DW165" s="12"/>
      <c r="DX165" s="12"/>
      <c r="DY165" s="12"/>
      <c r="DZ165" s="12"/>
      <c r="EA165" s="12"/>
      <c r="GK165" s="12"/>
      <c r="GL165" s="12"/>
      <c r="GM165" s="12"/>
      <c r="GN165" s="12"/>
      <c r="GO165" s="12"/>
      <c r="GP165" s="12"/>
      <c r="GQ165" s="12"/>
      <c r="GR165" s="12"/>
      <c r="GS165" s="12"/>
      <c r="GT165" s="12"/>
      <c r="GU165" s="12"/>
      <c r="GV165" s="12"/>
      <c r="GW165" s="12"/>
      <c r="GX165" s="12"/>
      <c r="GY165" s="12"/>
      <c r="GZ165" s="12"/>
      <c r="HA165" s="12"/>
      <c r="HB165" s="12"/>
      <c r="HC165" s="12"/>
      <c r="HD165" s="12"/>
      <c r="HE165" s="12"/>
      <c r="HF165" s="12"/>
      <c r="HG165" s="12"/>
      <c r="HH165" s="12"/>
      <c r="HI165" s="12"/>
      <c r="HJ165" s="12"/>
      <c r="HK165" s="12"/>
      <c r="HL165" s="12"/>
      <c r="HM165" s="12"/>
      <c r="KC165" s="167"/>
    </row>
    <row r="166" spans="1:289" s="7" customFormat="1" ht="12.75" hidden="1" customHeight="1" x14ac:dyDescent="0.2">
      <c r="A166"/>
      <c r="B166"/>
      <c r="C166" s="14"/>
      <c r="I166" s="98" t="str">
        <f t="shared" si="205"/>
        <v/>
      </c>
      <c r="X166" s="206"/>
      <c r="AJ166" s="197"/>
      <c r="CY166" s="12"/>
      <c r="CZ166" s="12"/>
      <c r="DA166" s="12"/>
      <c r="DB166" s="12"/>
      <c r="DC166" s="12"/>
      <c r="DD166" s="12"/>
      <c r="DE166" s="12"/>
      <c r="DF166" s="12"/>
      <c r="DG166" s="12"/>
      <c r="DH166" s="12"/>
      <c r="DI166" s="12"/>
      <c r="DJ166" s="12"/>
      <c r="DK166" s="12"/>
      <c r="DL166" s="12"/>
      <c r="DM166" s="12"/>
      <c r="DN166" s="12"/>
      <c r="DO166" s="12"/>
      <c r="DP166" s="12"/>
      <c r="DQ166" s="12"/>
      <c r="DR166" s="12"/>
      <c r="DS166" s="12"/>
      <c r="DT166" s="12"/>
      <c r="DU166" s="12"/>
      <c r="DV166" s="12"/>
      <c r="DW166" s="12"/>
      <c r="DX166" s="12"/>
      <c r="DY166" s="12"/>
      <c r="DZ166" s="12"/>
      <c r="EA166" s="12"/>
      <c r="GK166" s="12"/>
      <c r="GL166" s="12"/>
      <c r="GM166" s="12"/>
      <c r="GN166" s="12"/>
      <c r="GO166" s="12"/>
      <c r="GP166" s="12"/>
      <c r="GQ166" s="12"/>
      <c r="GR166" s="12"/>
      <c r="GS166" s="12"/>
      <c r="GT166" s="12"/>
      <c r="GU166" s="12"/>
      <c r="GV166" s="12"/>
      <c r="GW166" s="12"/>
      <c r="GX166" s="12"/>
      <c r="GY166" s="12"/>
      <c r="GZ166" s="12"/>
      <c r="HA166" s="12"/>
      <c r="HB166" s="12"/>
      <c r="HC166" s="12"/>
      <c r="HD166" s="12"/>
      <c r="HE166" s="12"/>
      <c r="HF166" s="12"/>
      <c r="HG166" s="12"/>
      <c r="HH166" s="12"/>
      <c r="HI166" s="12"/>
      <c r="HJ166" s="12"/>
      <c r="HK166" s="12"/>
      <c r="HL166" s="12"/>
      <c r="HM166" s="12"/>
      <c r="KC166" s="167"/>
    </row>
    <row r="167" spans="1:289" s="7" customFormat="1" ht="12.75" hidden="1" customHeight="1" x14ac:dyDescent="0.2">
      <c r="A167"/>
      <c r="B167"/>
      <c r="C167" s="14"/>
      <c r="I167" s="98" t="str">
        <f t="shared" si="205"/>
        <v/>
      </c>
      <c r="X167" s="206"/>
      <c r="AJ167" s="197"/>
      <c r="CY167" s="12"/>
      <c r="CZ167" s="12"/>
      <c r="DA167" s="12"/>
      <c r="DB167" s="12"/>
      <c r="DC167" s="12"/>
      <c r="DD167" s="12"/>
      <c r="DE167" s="12"/>
      <c r="DF167" s="12"/>
      <c r="DG167" s="12"/>
      <c r="DH167" s="12"/>
      <c r="DI167" s="12"/>
      <c r="DJ167" s="12"/>
      <c r="DK167" s="12"/>
      <c r="DL167" s="12"/>
      <c r="DM167" s="12"/>
      <c r="DN167" s="12"/>
      <c r="DO167" s="12"/>
      <c r="DP167" s="12"/>
      <c r="DQ167" s="12"/>
      <c r="DR167" s="12"/>
      <c r="DS167" s="12"/>
      <c r="DT167" s="12"/>
      <c r="DU167" s="12"/>
      <c r="DV167" s="12"/>
      <c r="DW167" s="12"/>
      <c r="DX167" s="12"/>
      <c r="DY167" s="12"/>
      <c r="DZ167" s="12"/>
      <c r="EA167" s="12"/>
      <c r="GK167" s="12"/>
      <c r="GL167" s="12"/>
      <c r="GM167" s="12"/>
      <c r="GN167" s="12"/>
      <c r="GO167" s="12"/>
      <c r="GP167" s="12"/>
      <c r="GQ167" s="12"/>
      <c r="GR167" s="12"/>
      <c r="GS167" s="12"/>
      <c r="GT167" s="12"/>
      <c r="GU167" s="12"/>
      <c r="GV167" s="12"/>
      <c r="GW167" s="12"/>
      <c r="GX167" s="12"/>
      <c r="GY167" s="12"/>
      <c r="GZ167" s="12"/>
      <c r="HA167" s="12"/>
      <c r="HB167" s="12"/>
      <c r="HC167" s="12"/>
      <c r="HD167" s="12"/>
      <c r="HE167" s="12"/>
      <c r="HF167" s="12"/>
      <c r="HG167" s="12"/>
      <c r="HH167" s="12"/>
      <c r="HI167" s="12"/>
      <c r="HJ167" s="12"/>
      <c r="HK167" s="12"/>
      <c r="HL167" s="12"/>
      <c r="HM167" s="12"/>
      <c r="KC167" s="167"/>
    </row>
    <row r="168" spans="1:289" s="7" customFormat="1" ht="12.75" hidden="1" customHeight="1" x14ac:dyDescent="0.2">
      <c r="A168"/>
      <c r="B168"/>
      <c r="C168" s="14"/>
      <c r="G168" s="71" t="s">
        <v>839</v>
      </c>
      <c r="I168" s="98">
        <f>SUM(I130:I167)</f>
        <v>0</v>
      </c>
      <c r="X168" s="206"/>
      <c r="AJ168" s="197"/>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KC168" s="167"/>
    </row>
    <row r="169" spans="1:289" s="7" customFormat="1" ht="12.75" hidden="1" customHeight="1" thickBot="1" x14ac:dyDescent="0.25">
      <c r="A169"/>
      <c r="B169"/>
      <c r="C169" s="14"/>
      <c r="D169" s="105" t="s">
        <v>838</v>
      </c>
      <c r="I169" s="100" t="str">
        <f>IF(I168&gt;0,"Y","N")</f>
        <v>N</v>
      </c>
      <c r="X169" s="206"/>
      <c r="AJ169" s="197"/>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KC169" s="167"/>
    </row>
    <row r="170" spans="1:289" s="7" customFormat="1" ht="12.75" hidden="1" customHeight="1" thickTop="1" x14ac:dyDescent="0.2">
      <c r="A170"/>
      <c r="B170"/>
      <c r="C170" s="14"/>
      <c r="D170" s="14"/>
      <c r="E170"/>
      <c r="F170"/>
      <c r="G170"/>
      <c r="H170"/>
      <c r="I170"/>
      <c r="J170"/>
      <c r="K170"/>
      <c r="L170"/>
      <c r="M170"/>
      <c r="N170"/>
      <c r="O170"/>
      <c r="P170"/>
      <c r="Q170"/>
      <c r="R170"/>
      <c r="S170"/>
      <c r="T170"/>
      <c r="U170"/>
      <c r="V170"/>
      <c r="W170"/>
      <c r="X170" s="4"/>
      <c r="Y170" s="4"/>
      <c r="Z170" s="4"/>
      <c r="AA170" s="4"/>
      <c r="AB170" s="4"/>
      <c r="AC170" s="4"/>
      <c r="AD170" s="4"/>
      <c r="AE170" s="4"/>
      <c r="AF170" s="4"/>
      <c r="AG170" s="4"/>
      <c r="AH170"/>
      <c r="AI170"/>
      <c r="AJ170" s="196"/>
      <c r="AK170"/>
      <c r="AL170"/>
      <c r="AM170"/>
      <c r="AN170" s="17"/>
      <c r="AO170"/>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KC170" s="167"/>
    </row>
    <row r="171" spans="1:289" s="7" customFormat="1" ht="11.25" hidden="1" customHeight="1" x14ac:dyDescent="0.2">
      <c r="A171"/>
      <c r="B171"/>
      <c r="C171" s="14"/>
      <c r="D171" s="14"/>
      <c r="E171"/>
      <c r="F171"/>
      <c r="G171"/>
      <c r="H171"/>
      <c r="I171"/>
      <c r="J171"/>
      <c r="K171"/>
      <c r="L171"/>
      <c r="M171"/>
      <c r="N171"/>
      <c r="O171"/>
      <c r="P171"/>
      <c r="Q171"/>
      <c r="R171"/>
      <c r="S171"/>
      <c r="T171"/>
      <c r="U171"/>
      <c r="V171"/>
      <c r="W171"/>
      <c r="X171" s="4"/>
      <c r="Y171" s="4"/>
      <c r="Z171" s="4"/>
      <c r="AA171" s="4"/>
      <c r="AB171" s="4"/>
      <c r="AC171" s="4"/>
      <c r="AD171" s="4"/>
      <c r="AE171" s="4"/>
      <c r="AF171" s="4"/>
      <c r="AG171" s="4"/>
      <c r="AH171"/>
      <c r="AI171"/>
      <c r="AJ171" s="196"/>
      <c r="AK171"/>
      <c r="AL171"/>
      <c r="AM171"/>
      <c r="AN171" s="17"/>
      <c r="AO171"/>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KC171" s="167"/>
    </row>
    <row r="172" spans="1:289" s="7" customFormat="1" ht="11.25" hidden="1" customHeight="1" x14ac:dyDescent="0.2">
      <c r="A172"/>
      <c r="B172"/>
      <c r="C172" s="14"/>
      <c r="D172" s="14"/>
      <c r="E172"/>
      <c r="F172"/>
      <c r="G172"/>
      <c r="H172"/>
      <c r="I172"/>
      <c r="J172"/>
      <c r="K172"/>
      <c r="L172"/>
      <c r="M172"/>
      <c r="N172"/>
      <c r="O172"/>
      <c r="P172"/>
      <c r="Q172"/>
      <c r="R172"/>
      <c r="S172"/>
      <c r="T172"/>
      <c r="U172"/>
      <c r="V172"/>
      <c r="W172"/>
      <c r="X172" s="4"/>
      <c r="Y172" s="4"/>
      <c r="Z172" s="4"/>
      <c r="AA172" s="4"/>
      <c r="AB172" s="4"/>
      <c r="AC172" s="4"/>
      <c r="AD172" s="4"/>
      <c r="AE172" s="4"/>
      <c r="AF172" s="4"/>
      <c r="AG172" s="4"/>
      <c r="AH172"/>
      <c r="AI172"/>
      <c r="AJ172" s="196"/>
      <c r="AK172"/>
      <c r="AL172"/>
      <c r="AM172"/>
      <c r="AN172" s="17"/>
      <c r="AO17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KC172" s="167"/>
    </row>
    <row r="173" spans="1:289" s="7" customFormat="1" ht="11.25" hidden="1" customHeight="1" x14ac:dyDescent="0.2">
      <c r="A173"/>
      <c r="B173"/>
      <c r="C173" s="14"/>
      <c r="D173" s="14"/>
      <c r="E173"/>
      <c r="F173"/>
      <c r="G173"/>
      <c r="H173"/>
      <c r="I173"/>
      <c r="J173"/>
      <c r="K173"/>
      <c r="L173"/>
      <c r="M173"/>
      <c r="N173"/>
      <c r="O173"/>
      <c r="P173"/>
      <c r="Q173"/>
      <c r="R173"/>
      <c r="S173"/>
      <c r="T173"/>
      <c r="U173"/>
      <c r="V173"/>
      <c r="W173"/>
      <c r="X173" s="4"/>
      <c r="Y173" s="4"/>
      <c r="Z173" s="4"/>
      <c r="AA173" s="4"/>
      <c r="AB173" s="4"/>
      <c r="AC173" s="4"/>
      <c r="AD173" s="4"/>
      <c r="AE173" s="4"/>
      <c r="AF173" s="4"/>
      <c r="AG173" s="4"/>
      <c r="AH173"/>
      <c r="AI173"/>
      <c r="AJ173" s="196"/>
      <c r="AK173"/>
      <c r="AL173"/>
      <c r="AM173"/>
      <c r="AN173" s="17"/>
      <c r="AO173"/>
      <c r="CY173" s="12"/>
      <c r="CZ173" s="12"/>
      <c r="DA173" s="12"/>
      <c r="DB173" s="12"/>
      <c r="DC173" s="12"/>
      <c r="DD173" s="12"/>
      <c r="DE173" s="12"/>
      <c r="DF173" s="12"/>
      <c r="DG173" s="12"/>
      <c r="DH173" s="12"/>
      <c r="DI173" s="12"/>
      <c r="DJ173" s="12"/>
      <c r="DK173" s="12"/>
      <c r="DL173" s="12"/>
      <c r="DM173" s="12"/>
      <c r="DN173" s="12"/>
      <c r="DO173" s="12"/>
      <c r="DP173" s="12"/>
      <c r="DQ173" s="12"/>
      <c r="DR173" s="12"/>
      <c r="DS173" s="12"/>
      <c r="DT173" s="12"/>
      <c r="DU173" s="12"/>
      <c r="DV173" s="12"/>
      <c r="DW173" s="12"/>
      <c r="DX173" s="12"/>
      <c r="DY173" s="12"/>
      <c r="DZ173" s="12"/>
      <c r="EA173" s="12"/>
      <c r="GK173" s="12"/>
      <c r="GL173" s="12"/>
      <c r="GM173" s="12"/>
      <c r="GN173" s="12"/>
      <c r="GO173" s="12"/>
      <c r="GP173" s="12"/>
      <c r="GQ173" s="12"/>
      <c r="GR173" s="12"/>
      <c r="GS173" s="12"/>
      <c r="GT173" s="12"/>
      <c r="GU173" s="12"/>
      <c r="GV173" s="12"/>
      <c r="GW173" s="12"/>
      <c r="GX173" s="12"/>
      <c r="GY173" s="12"/>
      <c r="GZ173" s="12"/>
      <c r="HA173" s="12"/>
      <c r="HB173" s="12"/>
      <c r="HC173" s="12"/>
      <c r="HD173" s="12"/>
      <c r="HE173" s="12"/>
      <c r="HF173" s="12"/>
      <c r="HG173" s="12"/>
      <c r="HH173" s="12"/>
      <c r="HI173" s="12"/>
      <c r="HJ173" s="12"/>
      <c r="HK173" s="12"/>
      <c r="HL173" s="12"/>
      <c r="HM173" s="12"/>
      <c r="KC173" s="167"/>
    </row>
    <row r="174" spans="1:289" s="7" customFormat="1" ht="11.25" hidden="1" customHeight="1" x14ac:dyDescent="0.2">
      <c r="A174"/>
      <c r="B174"/>
      <c r="C174" s="14"/>
      <c r="D174" s="14"/>
      <c r="E174"/>
      <c r="F174"/>
      <c r="G174"/>
      <c r="H174"/>
      <c r="I174"/>
      <c r="J174"/>
      <c r="K174"/>
      <c r="L174"/>
      <c r="M174"/>
      <c r="N174"/>
      <c r="O174"/>
      <c r="P174"/>
      <c r="Q174"/>
      <c r="R174"/>
      <c r="S174"/>
      <c r="T174"/>
      <c r="U174"/>
      <c r="V174"/>
      <c r="W174"/>
      <c r="X174" s="4"/>
      <c r="Y174" s="4"/>
      <c r="Z174" s="4"/>
      <c r="AA174" s="4"/>
      <c r="AB174" s="4"/>
      <c r="AC174" s="4"/>
      <c r="AD174" s="4"/>
      <c r="AE174" s="4"/>
      <c r="AF174" s="4"/>
      <c r="AG174" s="4"/>
      <c r="AH174"/>
      <c r="AI174"/>
      <c r="AJ174" s="196"/>
      <c r="AK174"/>
      <c r="AL174"/>
      <c r="AM174"/>
      <c r="AN174" s="17"/>
      <c r="AO174"/>
      <c r="CY174" s="12"/>
      <c r="CZ174" s="12"/>
      <c r="DA174" s="12"/>
      <c r="DB174" s="12"/>
      <c r="DC174" s="12"/>
      <c r="DD174" s="12"/>
      <c r="DE174" s="12"/>
      <c r="DF174" s="12"/>
      <c r="DG174" s="12"/>
      <c r="DH174" s="12"/>
      <c r="DI174" s="12"/>
      <c r="DJ174" s="12"/>
      <c r="DK174" s="12"/>
      <c r="DL174" s="12"/>
      <c r="DM174" s="12"/>
      <c r="DN174" s="12"/>
      <c r="DO174" s="12"/>
      <c r="DP174" s="12"/>
      <c r="DQ174" s="12"/>
      <c r="DR174" s="12"/>
      <c r="DS174" s="12"/>
      <c r="DT174" s="12"/>
      <c r="DU174" s="12"/>
      <c r="DV174" s="12"/>
      <c r="DW174" s="12"/>
      <c r="DX174" s="12"/>
      <c r="DY174" s="12"/>
      <c r="DZ174" s="12"/>
      <c r="EA174" s="12"/>
      <c r="GK174" s="12"/>
      <c r="GL174" s="12"/>
      <c r="GM174" s="12"/>
      <c r="GN174" s="12"/>
      <c r="GO174" s="12"/>
      <c r="GP174" s="12"/>
      <c r="GQ174" s="12"/>
      <c r="GR174" s="12"/>
      <c r="GS174" s="12"/>
      <c r="GT174" s="12"/>
      <c r="GU174" s="12"/>
      <c r="GV174" s="12"/>
      <c r="GW174" s="12"/>
      <c r="GX174" s="12"/>
      <c r="GY174" s="12"/>
      <c r="GZ174" s="12"/>
      <c r="HA174" s="12"/>
      <c r="HB174" s="12"/>
      <c r="HC174" s="12"/>
      <c r="HD174" s="12"/>
      <c r="HE174" s="12"/>
      <c r="HF174" s="12"/>
      <c r="HG174" s="12"/>
      <c r="HH174" s="12"/>
      <c r="HI174" s="12"/>
      <c r="HJ174" s="12"/>
      <c r="HK174" s="12"/>
      <c r="HL174" s="12"/>
      <c r="HM174" s="12"/>
      <c r="KC174" s="167"/>
    </row>
    <row r="175" spans="1:289" s="7" customFormat="1" ht="11.25" hidden="1" customHeight="1" x14ac:dyDescent="0.2">
      <c r="A175"/>
      <c r="B175"/>
      <c r="C175" s="14"/>
      <c r="D175" s="14"/>
      <c r="E175"/>
      <c r="F175"/>
      <c r="G175"/>
      <c r="H175"/>
      <c r="I175"/>
      <c r="J175"/>
      <c r="K175"/>
      <c r="L175"/>
      <c r="M175"/>
      <c r="N175"/>
      <c r="O175"/>
      <c r="P175"/>
      <c r="Q175"/>
      <c r="R175"/>
      <c r="S175"/>
      <c r="T175"/>
      <c r="U175"/>
      <c r="V175"/>
      <c r="W175"/>
      <c r="X175" s="4"/>
      <c r="Y175" s="4"/>
      <c r="Z175" s="4"/>
      <c r="AA175" s="4"/>
      <c r="AB175" s="4"/>
      <c r="AC175" s="4"/>
      <c r="AD175" s="4"/>
      <c r="AE175" s="4"/>
      <c r="AF175" s="4"/>
      <c r="AG175" s="4"/>
      <c r="AH175"/>
      <c r="AI175"/>
      <c r="AJ175" s="196"/>
      <c r="AK175"/>
      <c r="AL175"/>
      <c r="AM175"/>
      <c r="AN175" s="17"/>
      <c r="AO175"/>
      <c r="CY175" s="12"/>
      <c r="CZ175" s="12"/>
      <c r="DA175" s="12"/>
      <c r="DB175" s="12"/>
      <c r="DC175" s="12"/>
      <c r="DD175" s="12"/>
      <c r="DE175" s="12"/>
      <c r="DF175" s="12"/>
      <c r="DG175" s="12"/>
      <c r="DH175" s="12"/>
      <c r="DI175" s="12"/>
      <c r="DJ175" s="12"/>
      <c r="DK175" s="12"/>
      <c r="DL175" s="12"/>
      <c r="DM175" s="12"/>
      <c r="DN175" s="12"/>
      <c r="DO175" s="12"/>
      <c r="DP175" s="12"/>
      <c r="DQ175" s="12"/>
      <c r="DR175" s="12"/>
      <c r="DS175" s="12"/>
      <c r="DT175" s="12"/>
      <c r="DU175" s="12"/>
      <c r="DV175" s="12"/>
      <c r="DW175" s="12"/>
      <c r="DX175" s="12"/>
      <c r="DY175" s="12"/>
      <c r="DZ175" s="12"/>
      <c r="EA175" s="12"/>
      <c r="GK175" s="12"/>
      <c r="GL175" s="12"/>
      <c r="GM175" s="12"/>
      <c r="GN175" s="12"/>
      <c r="GO175" s="12"/>
      <c r="GP175" s="12"/>
      <c r="GQ175" s="12"/>
      <c r="GR175" s="12"/>
      <c r="GS175" s="12"/>
      <c r="GT175" s="12"/>
      <c r="GU175" s="12"/>
      <c r="GV175" s="12"/>
      <c r="GW175" s="12"/>
      <c r="GX175" s="12"/>
      <c r="GY175" s="12"/>
      <c r="GZ175" s="12"/>
      <c r="HA175" s="12"/>
      <c r="HB175" s="12"/>
      <c r="HC175" s="12"/>
      <c r="HD175" s="12"/>
      <c r="HE175" s="12"/>
      <c r="HF175" s="12"/>
      <c r="HG175" s="12"/>
      <c r="HH175" s="12"/>
      <c r="HI175" s="12"/>
      <c r="HJ175" s="12"/>
      <c r="HK175" s="12"/>
      <c r="HL175" s="12"/>
      <c r="HM175" s="12"/>
      <c r="KC175" s="167"/>
    </row>
    <row r="176" spans="1:289" s="7" customFormat="1" ht="11.25" hidden="1" customHeight="1" x14ac:dyDescent="0.2">
      <c r="A176"/>
      <c r="B176"/>
      <c r="C176" s="14"/>
      <c r="D176" s="14"/>
      <c r="E176"/>
      <c r="F176"/>
      <c r="G176"/>
      <c r="H176"/>
      <c r="I176"/>
      <c r="J176"/>
      <c r="K176"/>
      <c r="L176"/>
      <c r="M176"/>
      <c r="N176"/>
      <c r="O176"/>
      <c r="P176"/>
      <c r="Q176"/>
      <c r="R176"/>
      <c r="S176"/>
      <c r="T176"/>
      <c r="U176"/>
      <c r="V176"/>
      <c r="W176"/>
      <c r="X176" s="4"/>
      <c r="Y176" s="4"/>
      <c r="Z176" s="4"/>
      <c r="AA176" s="4"/>
      <c r="AB176" s="4"/>
      <c r="AC176" s="4"/>
      <c r="AD176" s="4"/>
      <c r="AE176" s="4"/>
      <c r="AF176" s="4"/>
      <c r="AG176" s="4"/>
      <c r="AH176"/>
      <c r="AI176"/>
      <c r="AJ176" s="196"/>
      <c r="AK176"/>
      <c r="AL176"/>
      <c r="AM176"/>
      <c r="AN176" s="17"/>
      <c r="AO176"/>
      <c r="CY176" s="12"/>
      <c r="CZ176" s="12"/>
      <c r="DA176" s="12"/>
      <c r="DB176" s="12"/>
      <c r="DC176" s="12"/>
      <c r="DD176" s="12"/>
      <c r="DE176" s="12"/>
      <c r="DF176" s="12"/>
      <c r="DG176" s="12"/>
      <c r="DH176" s="12"/>
      <c r="DI176" s="12"/>
      <c r="DJ176" s="12"/>
      <c r="DK176" s="12"/>
      <c r="DL176" s="12"/>
      <c r="DM176" s="12"/>
      <c r="DN176" s="12"/>
      <c r="DO176" s="12"/>
      <c r="DP176" s="12"/>
      <c r="DQ176" s="12"/>
      <c r="DR176" s="12"/>
      <c r="DS176" s="12"/>
      <c r="DT176" s="12"/>
      <c r="DU176" s="12"/>
      <c r="DV176" s="12"/>
      <c r="DW176" s="12"/>
      <c r="DX176" s="12"/>
      <c r="DY176" s="12"/>
      <c r="DZ176" s="12"/>
      <c r="EA176" s="12"/>
      <c r="GK176" s="12"/>
      <c r="GL176" s="12"/>
      <c r="GM176" s="12"/>
      <c r="GN176" s="12"/>
      <c r="GO176" s="12"/>
      <c r="GP176" s="12"/>
      <c r="GQ176" s="12"/>
      <c r="GR176" s="12"/>
      <c r="GS176" s="12"/>
      <c r="GT176" s="12"/>
      <c r="GU176" s="12"/>
      <c r="GV176" s="12"/>
      <c r="GW176" s="12"/>
      <c r="GX176" s="12"/>
      <c r="GY176" s="12"/>
      <c r="GZ176" s="12"/>
      <c r="HA176" s="12"/>
      <c r="HB176" s="12"/>
      <c r="HC176" s="12"/>
      <c r="HD176" s="12"/>
      <c r="HE176" s="12"/>
      <c r="HF176" s="12"/>
      <c r="HG176" s="12"/>
      <c r="HH176" s="12"/>
      <c r="HI176" s="12"/>
      <c r="HJ176" s="12"/>
      <c r="HK176" s="12"/>
      <c r="HL176" s="12"/>
      <c r="HM176" s="12"/>
      <c r="KC176" s="167"/>
    </row>
    <row r="177" spans="1:290" s="7" customFormat="1" ht="11.25" hidden="1" customHeight="1" x14ac:dyDescent="0.2">
      <c r="A177"/>
      <c r="B177"/>
      <c r="C177" s="14"/>
      <c r="D177" s="14"/>
      <c r="E177"/>
      <c r="F177"/>
      <c r="G177"/>
      <c r="H177"/>
      <c r="I177"/>
      <c r="J177"/>
      <c r="K177"/>
      <c r="L177"/>
      <c r="M177"/>
      <c r="N177"/>
      <c r="O177"/>
      <c r="P177"/>
      <c r="Q177"/>
      <c r="R177"/>
      <c r="S177"/>
      <c r="T177"/>
      <c r="U177"/>
      <c r="V177"/>
      <c r="W177"/>
      <c r="X177" s="4"/>
      <c r="Y177" s="4"/>
      <c r="Z177" s="4"/>
      <c r="AA177" s="4"/>
      <c r="AB177" s="4"/>
      <c r="AC177" s="4"/>
      <c r="AD177" s="4"/>
      <c r="AE177" s="4"/>
      <c r="AF177" s="4"/>
      <c r="AG177" s="4"/>
      <c r="AH177"/>
      <c r="AI177"/>
      <c r="AJ177" s="196"/>
      <c r="AK177"/>
      <c r="AL177"/>
      <c r="AM177"/>
      <c r="AN177" s="17"/>
      <c r="AO177"/>
      <c r="CY177" s="12"/>
      <c r="CZ177" s="12"/>
      <c r="DA177" s="12"/>
      <c r="DB177" s="12"/>
      <c r="DC177" s="12"/>
      <c r="DD177" s="12"/>
      <c r="DE177" s="12"/>
      <c r="DF177" s="12"/>
      <c r="DG177" s="12"/>
      <c r="DH177" s="12"/>
      <c r="DI177" s="12"/>
      <c r="DJ177" s="12"/>
      <c r="DK177" s="12"/>
      <c r="DL177" s="12"/>
      <c r="DM177" s="12"/>
      <c r="DN177" s="12"/>
      <c r="DO177" s="12"/>
      <c r="DP177" s="12"/>
      <c r="DQ177" s="12"/>
      <c r="DR177" s="12"/>
      <c r="DS177" s="12"/>
      <c r="DT177" s="12"/>
      <c r="DU177" s="12"/>
      <c r="DV177" s="12"/>
      <c r="DW177" s="12"/>
      <c r="DX177" s="12"/>
      <c r="DY177" s="12"/>
      <c r="DZ177" s="12"/>
      <c r="EA177" s="12"/>
      <c r="GK177" s="12"/>
      <c r="GL177" s="12"/>
      <c r="GM177" s="12"/>
      <c r="GN177" s="12"/>
      <c r="GO177" s="12"/>
      <c r="GP177" s="12"/>
      <c r="GQ177" s="12"/>
      <c r="GR177" s="12"/>
      <c r="GS177" s="12"/>
      <c r="GT177" s="12"/>
      <c r="GU177" s="12"/>
      <c r="GV177" s="12"/>
      <c r="GW177" s="12"/>
      <c r="GX177" s="12"/>
      <c r="GY177" s="12"/>
      <c r="GZ177" s="12"/>
      <c r="HA177" s="12"/>
      <c r="HB177" s="12"/>
      <c r="HC177" s="12"/>
      <c r="HD177" s="12"/>
      <c r="HE177" s="12"/>
      <c r="HF177" s="12"/>
      <c r="HG177" s="12"/>
      <c r="HH177" s="12"/>
      <c r="HI177" s="12"/>
      <c r="HJ177" s="12"/>
      <c r="HK177" s="12"/>
      <c r="HL177" s="12"/>
      <c r="HM177" s="12"/>
      <c r="KC177" s="167"/>
    </row>
    <row r="178" spans="1:290" s="7" customFormat="1" ht="11.25" hidden="1" customHeight="1" x14ac:dyDescent="0.2">
      <c r="A178"/>
      <c r="B178"/>
      <c r="C178" s="14"/>
      <c r="D178" s="14"/>
      <c r="E178"/>
      <c r="F178"/>
      <c r="G178"/>
      <c r="H178"/>
      <c r="I178"/>
      <c r="J178"/>
      <c r="K178"/>
      <c r="L178"/>
      <c r="M178"/>
      <c r="N178"/>
      <c r="O178"/>
      <c r="P178"/>
      <c r="Q178"/>
      <c r="R178"/>
      <c r="S178"/>
      <c r="T178"/>
      <c r="U178"/>
      <c r="V178"/>
      <c r="W178"/>
      <c r="X178" s="4"/>
      <c r="Y178" s="4"/>
      <c r="Z178" s="4"/>
      <c r="AA178" s="4"/>
      <c r="AB178" s="4"/>
      <c r="AC178" s="4"/>
      <c r="AD178" s="4"/>
      <c r="AE178" s="4"/>
      <c r="AF178" s="4"/>
      <c r="AG178" s="4"/>
      <c r="AH178"/>
      <c r="AI178"/>
      <c r="AJ178" s="196"/>
      <c r="AK178"/>
      <c r="AL178"/>
      <c r="AM178"/>
      <c r="AN178" s="17"/>
      <c r="AO178"/>
      <c r="CY178" s="12"/>
      <c r="CZ178" s="12"/>
      <c r="DA178" s="12"/>
      <c r="DB178" s="12"/>
      <c r="DC178" s="12"/>
      <c r="DD178" s="12"/>
      <c r="DE178" s="12"/>
      <c r="DF178" s="12"/>
      <c r="DG178" s="12"/>
      <c r="DH178" s="12"/>
      <c r="DI178" s="12"/>
      <c r="DJ178" s="12"/>
      <c r="DK178" s="12"/>
      <c r="DL178" s="12"/>
      <c r="DM178" s="12"/>
      <c r="DN178" s="12"/>
      <c r="DO178" s="12"/>
      <c r="DP178" s="12"/>
      <c r="DQ178" s="12"/>
      <c r="DR178" s="12"/>
      <c r="DS178" s="12"/>
      <c r="DT178" s="12"/>
      <c r="DU178" s="12"/>
      <c r="DV178" s="12"/>
      <c r="DW178" s="12"/>
      <c r="DX178" s="12"/>
      <c r="DY178" s="12"/>
      <c r="DZ178" s="12"/>
      <c r="EA178" s="12"/>
      <c r="GK178" s="12"/>
      <c r="GL178" s="12"/>
      <c r="GM178" s="12"/>
      <c r="GN178" s="12"/>
      <c r="GO178" s="12"/>
      <c r="GP178" s="12"/>
      <c r="GQ178" s="12"/>
      <c r="GR178" s="12"/>
      <c r="GS178" s="12"/>
      <c r="GT178" s="12"/>
      <c r="GU178" s="12"/>
      <c r="GV178" s="12"/>
      <c r="GW178" s="12"/>
      <c r="GX178" s="12"/>
      <c r="GY178" s="12"/>
      <c r="GZ178" s="12"/>
      <c r="HA178" s="12"/>
      <c r="HB178" s="12"/>
      <c r="HC178" s="12"/>
      <c r="HD178" s="12"/>
      <c r="HE178" s="12"/>
      <c r="HF178" s="12"/>
      <c r="HG178" s="12"/>
      <c r="HH178" s="12"/>
      <c r="HI178" s="12"/>
      <c r="HJ178" s="12"/>
      <c r="HK178" s="12"/>
      <c r="HL178" s="12"/>
      <c r="HM178" s="12"/>
      <c r="KC178" s="167"/>
    </row>
    <row r="179" spans="1:290" s="7" customFormat="1" ht="11.25" hidden="1" customHeight="1" x14ac:dyDescent="0.2">
      <c r="A179"/>
      <c r="B179"/>
      <c r="C179" s="14"/>
      <c r="D179" s="14"/>
      <c r="E179"/>
      <c r="F179"/>
      <c r="G179"/>
      <c r="H179"/>
      <c r="I179"/>
      <c r="J179"/>
      <c r="K179"/>
      <c r="L179"/>
      <c r="M179"/>
      <c r="N179"/>
      <c r="O179"/>
      <c r="P179"/>
      <c r="Q179"/>
      <c r="R179"/>
      <c r="S179"/>
      <c r="T179"/>
      <c r="U179"/>
      <c r="V179"/>
      <c r="W179"/>
      <c r="X179" s="4"/>
      <c r="Y179" s="4"/>
      <c r="Z179" s="4"/>
      <c r="AA179" s="4"/>
      <c r="AB179" s="4"/>
      <c r="AC179" s="4"/>
      <c r="AD179" s="4"/>
      <c r="AE179" s="4"/>
      <c r="AF179" s="4"/>
      <c r="AG179" s="4"/>
      <c r="AH179"/>
      <c r="AI179"/>
      <c r="AJ179" s="196"/>
      <c r="AK179"/>
      <c r="AL179"/>
      <c r="AM179"/>
      <c r="AN179" s="17"/>
      <c r="AO179"/>
      <c r="CY179" s="12"/>
      <c r="CZ179" s="12"/>
      <c r="DA179" s="12"/>
      <c r="DB179" s="12"/>
      <c r="DC179" s="12"/>
      <c r="DD179" s="12"/>
      <c r="DE179" s="12"/>
      <c r="DF179" s="12"/>
      <c r="DG179" s="12"/>
      <c r="DH179" s="12"/>
      <c r="DI179" s="12"/>
      <c r="DJ179" s="12"/>
      <c r="DK179" s="12"/>
      <c r="DL179" s="12"/>
      <c r="DM179" s="12"/>
      <c r="DN179" s="12"/>
      <c r="DO179" s="12"/>
      <c r="DP179" s="12"/>
      <c r="DQ179" s="12"/>
      <c r="DR179" s="12"/>
      <c r="DS179" s="12"/>
      <c r="DT179" s="12"/>
      <c r="DU179" s="12"/>
      <c r="DV179" s="12"/>
      <c r="DW179" s="12"/>
      <c r="DX179" s="12"/>
      <c r="DY179" s="12"/>
      <c r="DZ179" s="12"/>
      <c r="EA179" s="12"/>
      <c r="GK179" s="12"/>
      <c r="GL179" s="12"/>
      <c r="GM179" s="12"/>
      <c r="GN179" s="12"/>
      <c r="GO179" s="12"/>
      <c r="GP179" s="12"/>
      <c r="GQ179" s="12"/>
      <c r="GR179" s="12"/>
      <c r="GS179" s="12"/>
      <c r="GT179" s="12"/>
      <c r="GU179" s="12"/>
      <c r="GV179" s="12"/>
      <c r="GW179" s="12"/>
      <c r="GX179" s="12"/>
      <c r="GY179" s="12"/>
      <c r="GZ179" s="12"/>
      <c r="HA179" s="12"/>
      <c r="HB179" s="12"/>
      <c r="HC179" s="12"/>
      <c r="HD179" s="12"/>
      <c r="HE179" s="12"/>
      <c r="HF179" s="12"/>
      <c r="HG179" s="12"/>
      <c r="HH179" s="12"/>
      <c r="HI179" s="12"/>
      <c r="HJ179" s="12"/>
      <c r="HK179" s="12"/>
      <c r="HL179" s="12"/>
      <c r="HM179" s="12"/>
      <c r="KC179" s="167"/>
    </row>
    <row r="180" spans="1:290" s="7" customFormat="1" ht="11.25" hidden="1" customHeight="1" x14ac:dyDescent="0.2">
      <c r="A180"/>
      <c r="B180"/>
      <c r="C180" s="14"/>
      <c r="D180" s="14"/>
      <c r="E180"/>
      <c r="F180"/>
      <c r="G180"/>
      <c r="H180"/>
      <c r="I180"/>
      <c r="J180"/>
      <c r="K180"/>
      <c r="L180"/>
      <c r="M180"/>
      <c r="N180"/>
      <c r="O180"/>
      <c r="P180"/>
      <c r="Q180"/>
      <c r="R180"/>
      <c r="S180"/>
      <c r="T180"/>
      <c r="U180"/>
      <c r="V180"/>
      <c r="W180"/>
      <c r="X180" s="4"/>
      <c r="Y180" s="4"/>
      <c r="Z180" s="4"/>
      <c r="AA180" s="4"/>
      <c r="AB180" s="4"/>
      <c r="AC180" s="4"/>
      <c r="AD180" s="4"/>
      <c r="AE180" s="4"/>
      <c r="AF180" s="4"/>
      <c r="AG180" s="4"/>
      <c r="AH180"/>
      <c r="AI180"/>
      <c r="AJ180" s="196"/>
      <c r="AK180"/>
      <c r="AL180"/>
      <c r="AM180"/>
      <c r="AN180" s="17"/>
      <c r="AO180"/>
      <c r="CY180" s="12"/>
      <c r="CZ180" s="12"/>
      <c r="DA180" s="12"/>
      <c r="DB180" s="12"/>
      <c r="DC180" s="12"/>
      <c r="DD180" s="12"/>
      <c r="DE180" s="12"/>
      <c r="DF180" s="12"/>
      <c r="DG180" s="12"/>
      <c r="DH180" s="12"/>
      <c r="DI180" s="12"/>
      <c r="DJ180" s="12"/>
      <c r="DK180" s="12"/>
      <c r="DL180" s="12"/>
      <c r="DM180" s="12"/>
      <c r="DN180" s="12"/>
      <c r="DO180" s="12"/>
      <c r="DP180" s="12"/>
      <c r="DQ180" s="12"/>
      <c r="DR180" s="12"/>
      <c r="DS180" s="12"/>
      <c r="DT180" s="12"/>
      <c r="DU180" s="12"/>
      <c r="DV180" s="12"/>
      <c r="DW180" s="12"/>
      <c r="DX180" s="12"/>
      <c r="DY180" s="12"/>
      <c r="DZ180" s="12"/>
      <c r="EA180" s="12"/>
      <c r="GK180" s="12"/>
      <c r="GL180" s="12"/>
      <c r="GM180" s="12"/>
      <c r="GN180" s="12"/>
      <c r="GO180" s="12"/>
      <c r="GP180" s="12"/>
      <c r="GQ180" s="12"/>
      <c r="GR180" s="12"/>
      <c r="GS180" s="12"/>
      <c r="GT180" s="12"/>
      <c r="GU180" s="12"/>
      <c r="GV180" s="12"/>
      <c r="GW180" s="12"/>
      <c r="GX180" s="12"/>
      <c r="GY180" s="12"/>
      <c r="GZ180" s="12"/>
      <c r="HA180" s="12"/>
      <c r="HB180" s="12"/>
      <c r="HC180" s="12"/>
      <c r="HD180" s="12"/>
      <c r="HE180" s="12"/>
      <c r="HF180" s="12"/>
      <c r="HG180" s="12"/>
      <c r="HH180" s="12"/>
      <c r="HI180" s="12"/>
      <c r="HJ180" s="12"/>
      <c r="HK180" s="12"/>
      <c r="HL180" s="12"/>
      <c r="HM180" s="12"/>
      <c r="KC180" s="167"/>
    </row>
    <row r="181" spans="1:290" s="7" customFormat="1" ht="11.25" hidden="1" customHeight="1" x14ac:dyDescent="0.2">
      <c r="A181"/>
      <c r="B181"/>
      <c r="C181" s="14"/>
      <c r="D181" s="14"/>
      <c r="E181"/>
      <c r="F181"/>
      <c r="G181"/>
      <c r="H181"/>
      <c r="I181"/>
      <c r="J181"/>
      <c r="K181"/>
      <c r="L181"/>
      <c r="M181"/>
      <c r="N181"/>
      <c r="O181"/>
      <c r="P181"/>
      <c r="Q181"/>
      <c r="R181"/>
      <c r="S181"/>
      <c r="T181"/>
      <c r="U181"/>
      <c r="V181"/>
      <c r="W181"/>
      <c r="X181" s="4"/>
      <c r="Y181" s="4"/>
      <c r="Z181" s="4"/>
      <c r="AA181" s="4"/>
      <c r="AB181" s="4"/>
      <c r="AC181" s="4"/>
      <c r="AD181" s="4"/>
      <c r="AE181" s="4"/>
      <c r="AF181" s="4"/>
      <c r="AG181" s="4"/>
      <c r="AH181"/>
      <c r="AI181"/>
      <c r="AJ181" s="196"/>
      <c r="AK181"/>
      <c r="AL181"/>
      <c r="AM181"/>
      <c r="AN181" s="17"/>
      <c r="AO181"/>
      <c r="CY181" s="12"/>
      <c r="CZ181" s="12"/>
      <c r="DA181" s="12"/>
      <c r="DB181" s="12"/>
      <c r="DC181" s="12"/>
      <c r="DD181" s="12"/>
      <c r="DE181" s="12"/>
      <c r="DF181" s="12"/>
      <c r="DG181" s="12"/>
      <c r="DH181" s="12"/>
      <c r="DI181" s="12"/>
      <c r="DJ181" s="12"/>
      <c r="DK181" s="12"/>
      <c r="DL181" s="12"/>
      <c r="DM181" s="12"/>
      <c r="DN181" s="12"/>
      <c r="DO181" s="12"/>
      <c r="DP181" s="12"/>
      <c r="DQ181" s="12"/>
      <c r="DR181" s="12"/>
      <c r="DS181" s="12"/>
      <c r="DT181" s="12"/>
      <c r="DU181" s="12"/>
      <c r="DV181" s="12"/>
      <c r="DW181" s="12"/>
      <c r="DX181" s="12"/>
      <c r="DY181" s="12"/>
      <c r="DZ181" s="12"/>
      <c r="EA181" s="12"/>
      <c r="GK181" s="12"/>
      <c r="GL181" s="12"/>
      <c r="GM181" s="12"/>
      <c r="GN181" s="12"/>
      <c r="GO181" s="12"/>
      <c r="GP181" s="12"/>
      <c r="GQ181" s="12"/>
      <c r="GR181" s="12"/>
      <c r="GS181" s="12"/>
      <c r="GT181" s="12"/>
      <c r="GU181" s="12"/>
      <c r="GV181" s="12"/>
      <c r="GW181" s="12"/>
      <c r="GX181" s="12"/>
      <c r="GY181" s="12"/>
      <c r="GZ181" s="12"/>
      <c r="HA181" s="12"/>
      <c r="HB181" s="12"/>
      <c r="HC181" s="12"/>
      <c r="HD181" s="12"/>
      <c r="HE181" s="12"/>
      <c r="HF181" s="12"/>
      <c r="HG181" s="12"/>
      <c r="HH181" s="12"/>
      <c r="HI181" s="12"/>
      <c r="HJ181" s="12"/>
      <c r="HK181" s="12"/>
      <c r="HL181" s="12"/>
      <c r="HM181" s="12"/>
      <c r="KC181" s="167"/>
    </row>
    <row r="182" spans="1:290" s="7" customFormat="1" ht="11.25" hidden="1" customHeight="1" x14ac:dyDescent="0.2">
      <c r="A182"/>
      <c r="B182"/>
      <c r="C182" s="14"/>
      <c r="D182" s="14"/>
      <c r="E182"/>
      <c r="F182"/>
      <c r="G182"/>
      <c r="H182"/>
      <c r="I182"/>
      <c r="J182"/>
      <c r="K182"/>
      <c r="L182"/>
      <c r="M182"/>
      <c r="N182"/>
      <c r="O182"/>
      <c r="P182"/>
      <c r="Q182"/>
      <c r="R182"/>
      <c r="S182"/>
      <c r="T182"/>
      <c r="U182"/>
      <c r="V182"/>
      <c r="W182"/>
      <c r="X182" s="4"/>
      <c r="Y182" s="4"/>
      <c r="Z182" s="4"/>
      <c r="AA182" s="4"/>
      <c r="AB182" s="4"/>
      <c r="AC182" s="4"/>
      <c r="AD182" s="4"/>
      <c r="AE182" s="4"/>
      <c r="AF182" s="4"/>
      <c r="AG182" s="4"/>
      <c r="AH182"/>
      <c r="AI182"/>
      <c r="AJ182" s="196"/>
      <c r="AK182"/>
      <c r="AL182"/>
      <c r="AM182"/>
      <c r="AN182" s="17"/>
      <c r="AO182"/>
      <c r="CY182" s="12"/>
      <c r="CZ182" s="12"/>
      <c r="DA182" s="12"/>
      <c r="DB182" s="12"/>
      <c r="DC182" s="12"/>
      <c r="DD182" s="12"/>
      <c r="DE182" s="12"/>
      <c r="DF182" s="12"/>
      <c r="DG182" s="12"/>
      <c r="DH182" s="12"/>
      <c r="DI182" s="12"/>
      <c r="DJ182" s="12"/>
      <c r="DK182" s="12"/>
      <c r="DL182" s="12"/>
      <c r="DM182" s="12"/>
      <c r="DN182" s="12"/>
      <c r="DO182" s="12"/>
      <c r="DP182" s="12"/>
      <c r="DQ182" s="12"/>
      <c r="DR182" s="12"/>
      <c r="DS182" s="12"/>
      <c r="DT182" s="12"/>
      <c r="DU182" s="12"/>
      <c r="DV182" s="12"/>
      <c r="DW182" s="12"/>
      <c r="DX182" s="12"/>
      <c r="DY182" s="12"/>
      <c r="DZ182" s="12"/>
      <c r="EA182" s="12"/>
      <c r="GK182" s="12"/>
      <c r="GL182" s="12"/>
      <c r="GM182" s="12"/>
      <c r="GN182" s="12"/>
      <c r="GO182" s="12"/>
      <c r="GP182" s="12"/>
      <c r="GQ182" s="12"/>
      <c r="GR182" s="12"/>
      <c r="GS182" s="12"/>
      <c r="GT182" s="12"/>
      <c r="GU182" s="12"/>
      <c r="GV182" s="12"/>
      <c r="GW182" s="12"/>
      <c r="GX182" s="12"/>
      <c r="GY182" s="12"/>
      <c r="GZ182" s="12"/>
      <c r="HA182" s="12"/>
      <c r="HB182" s="12"/>
      <c r="HC182" s="12"/>
      <c r="HD182" s="12"/>
      <c r="HE182" s="12"/>
      <c r="HF182" s="12"/>
      <c r="HG182" s="12"/>
      <c r="HH182" s="12"/>
      <c r="HI182" s="12"/>
      <c r="HJ182" s="12"/>
      <c r="HK182" s="12"/>
      <c r="HL182" s="12"/>
      <c r="HM182" s="12"/>
      <c r="KC182" s="167"/>
    </row>
    <row r="183" spans="1:290" s="7" customFormat="1" ht="11.25" hidden="1" customHeight="1" x14ac:dyDescent="0.2">
      <c r="A183"/>
      <c r="B183"/>
      <c r="C183" s="14"/>
      <c r="D183" s="14"/>
      <c r="E183"/>
      <c r="F183"/>
      <c r="G183"/>
      <c r="H183"/>
      <c r="I183"/>
      <c r="J183"/>
      <c r="K183"/>
      <c r="L183"/>
      <c r="M183"/>
      <c r="N183"/>
      <c r="O183"/>
      <c r="P183"/>
      <c r="Q183"/>
      <c r="R183"/>
      <c r="S183"/>
      <c r="T183"/>
      <c r="U183"/>
      <c r="V183"/>
      <c r="W183"/>
      <c r="X183" s="4"/>
      <c r="Y183" s="4"/>
      <c r="Z183" s="4"/>
      <c r="AA183" s="4"/>
      <c r="AB183" s="4"/>
      <c r="AC183" s="4"/>
      <c r="AD183" s="4"/>
      <c r="AE183" s="4"/>
      <c r="AF183" s="4"/>
      <c r="AG183" s="4"/>
      <c r="AH183"/>
      <c r="AI183"/>
      <c r="AJ183" s="196"/>
      <c r="AK183"/>
      <c r="AL183"/>
      <c r="AM183"/>
      <c r="AN183" s="17"/>
      <c r="AO183"/>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GK183" s="12"/>
      <c r="GL183" s="12"/>
      <c r="GM183" s="12"/>
      <c r="GN183" s="12"/>
      <c r="GO183" s="12"/>
      <c r="GP183" s="12"/>
      <c r="GQ183" s="12"/>
      <c r="GR183" s="12"/>
      <c r="GS183" s="12"/>
      <c r="GT183" s="12"/>
      <c r="GU183" s="12"/>
      <c r="GV183" s="12"/>
      <c r="GW183" s="12"/>
      <c r="GX183" s="12"/>
      <c r="GY183" s="12"/>
      <c r="GZ183" s="12"/>
      <c r="HA183" s="12"/>
      <c r="HB183" s="12"/>
      <c r="HC183" s="12"/>
      <c r="HD183" s="12"/>
      <c r="HE183" s="12"/>
      <c r="HF183" s="12"/>
      <c r="HG183" s="12"/>
      <c r="HH183" s="12"/>
      <c r="HI183" s="12"/>
      <c r="HJ183" s="12"/>
      <c r="HK183" s="12"/>
      <c r="HL183" s="12"/>
      <c r="HM183" s="12"/>
      <c r="KC183" s="167"/>
    </row>
    <row r="184" spans="1:290" s="7" customFormat="1" ht="11.25" hidden="1" customHeight="1" x14ac:dyDescent="0.2">
      <c r="A184"/>
      <c r="B184"/>
      <c r="C184" s="14"/>
      <c r="D184" s="14"/>
      <c r="E184"/>
      <c r="F184"/>
      <c r="G184"/>
      <c r="H184"/>
      <c r="I184"/>
      <c r="J184"/>
      <c r="K184"/>
      <c r="L184"/>
      <c r="M184"/>
      <c r="N184"/>
      <c r="O184"/>
      <c r="P184"/>
      <c r="Q184"/>
      <c r="R184"/>
      <c r="S184"/>
      <c r="T184"/>
      <c r="U184"/>
      <c r="V184"/>
      <c r="W184"/>
      <c r="X184" s="4"/>
      <c r="Y184" s="4"/>
      <c r="Z184" s="4"/>
      <c r="AA184" s="4"/>
      <c r="AB184" s="4"/>
      <c r="AC184" s="4"/>
      <c r="AD184" s="4"/>
      <c r="AE184" s="4"/>
      <c r="AF184" s="4"/>
      <c r="AG184" s="4"/>
      <c r="AH184"/>
      <c r="AI184"/>
      <c r="AJ184" s="196"/>
      <c r="AK184"/>
      <c r="AL184"/>
      <c r="AM184"/>
      <c r="AN184" s="17"/>
      <c r="AO184"/>
      <c r="CY184" s="12"/>
      <c r="CZ184" s="12"/>
      <c r="DA184" s="12"/>
      <c r="DB184" s="12"/>
      <c r="DC184" s="12"/>
      <c r="DD184" s="12"/>
      <c r="DE184" s="12"/>
      <c r="DF184" s="12"/>
      <c r="DG184" s="12"/>
      <c r="DH184" s="12"/>
      <c r="DI184" s="12"/>
      <c r="DJ184" s="12"/>
      <c r="DK184" s="12"/>
      <c r="DL184" s="12"/>
      <c r="DM184" s="12"/>
      <c r="DN184" s="12"/>
      <c r="DO184" s="12"/>
      <c r="DP184" s="12"/>
      <c r="DQ184" s="12"/>
      <c r="DR184" s="12"/>
      <c r="DS184" s="12"/>
      <c r="DT184" s="12"/>
      <c r="DU184" s="12"/>
      <c r="DV184" s="12"/>
      <c r="DW184" s="12"/>
      <c r="DX184" s="12"/>
      <c r="DY184" s="12"/>
      <c r="DZ184" s="12"/>
      <c r="EA184" s="12"/>
      <c r="EB184" s="1"/>
      <c r="EC184"/>
      <c r="GK184" s="12"/>
      <c r="GL184" s="12"/>
      <c r="GM184" s="12"/>
      <c r="GN184" s="12"/>
      <c r="GO184" s="12"/>
      <c r="GP184" s="12"/>
      <c r="GQ184" s="12"/>
      <c r="GR184" s="12"/>
      <c r="GS184" s="12"/>
      <c r="GT184" s="12"/>
      <c r="GU184" s="12"/>
      <c r="GV184" s="12"/>
      <c r="GW184" s="12"/>
      <c r="GX184" s="12"/>
      <c r="GY184" s="12"/>
      <c r="GZ184" s="12"/>
      <c r="HA184" s="12"/>
      <c r="HB184" s="12"/>
      <c r="HC184" s="12"/>
      <c r="HD184" s="12"/>
      <c r="HE184" s="12"/>
      <c r="HF184" s="12"/>
      <c r="HG184" s="12"/>
      <c r="HH184" s="12"/>
      <c r="HI184" s="12"/>
      <c r="HJ184" s="12"/>
      <c r="HK184" s="12"/>
      <c r="HL184" s="12"/>
      <c r="HM184" s="12"/>
      <c r="KC184" s="167"/>
    </row>
    <row r="185" spans="1:290" s="7" customFormat="1" ht="12.75" hidden="1" customHeight="1" x14ac:dyDescent="0.2">
      <c r="A185"/>
      <c r="B185"/>
      <c r="C185" s="14"/>
      <c r="D185" s="14"/>
      <c r="E185"/>
      <c r="F185"/>
      <c r="G185"/>
      <c r="H185"/>
      <c r="I185"/>
      <c r="J185"/>
      <c r="K185"/>
      <c r="L185"/>
      <c r="M185"/>
      <c r="N185"/>
      <c r="O185"/>
      <c r="P185"/>
      <c r="Q185"/>
      <c r="R185"/>
      <c r="S185"/>
      <c r="T185"/>
      <c r="U185"/>
      <c r="V185"/>
      <c r="W185"/>
      <c r="X185" s="4"/>
      <c r="Y185" s="4"/>
      <c r="Z185" s="4"/>
      <c r="AA185" s="4"/>
      <c r="AB185" s="4"/>
      <c r="AC185" s="4"/>
      <c r="AD185" s="4"/>
      <c r="AE185" s="4"/>
      <c r="AF185" s="4"/>
      <c r="AG185" s="4"/>
      <c r="AH185"/>
      <c r="AI185"/>
      <c r="AJ185" s="196"/>
      <c r="AK185"/>
      <c r="AL185"/>
      <c r="AM185"/>
      <c r="AN185" s="17"/>
      <c r="AO185"/>
      <c r="CY185" s="12"/>
      <c r="CZ185" s="12"/>
      <c r="DA185" s="12"/>
      <c r="DB185" s="12"/>
      <c r="DC185" s="12"/>
      <c r="DD185" s="12"/>
      <c r="DE185" s="12"/>
      <c r="DF185" s="12"/>
      <c r="DG185" s="12"/>
      <c r="DH185" s="12"/>
      <c r="DI185" s="12"/>
      <c r="DJ185" s="12"/>
      <c r="DK185" s="12"/>
      <c r="DL185" s="12"/>
      <c r="DM185" s="12"/>
      <c r="DN185" s="12"/>
      <c r="DO185" s="12"/>
      <c r="DP185" s="12"/>
      <c r="DQ185" s="12"/>
      <c r="DR185" s="12"/>
      <c r="DS185" s="12"/>
      <c r="DT185" s="12"/>
      <c r="DU185" s="12"/>
      <c r="DV185" s="12"/>
      <c r="DW185" s="12"/>
      <c r="DX185" s="12"/>
      <c r="DY185" s="12"/>
      <c r="DZ185" s="12"/>
      <c r="EA185" s="12"/>
      <c r="EB185" s="1"/>
      <c r="EC185"/>
      <c r="GK185" s="12"/>
      <c r="GL185" s="12"/>
      <c r="GM185" s="12"/>
      <c r="GN185" s="12"/>
      <c r="GO185" s="12"/>
      <c r="GP185" s="12"/>
      <c r="GQ185" s="12"/>
      <c r="GR185" s="12"/>
      <c r="GS185" s="12"/>
      <c r="GT185" s="12"/>
      <c r="GU185" s="12"/>
      <c r="GV185" s="12"/>
      <c r="GW185" s="12"/>
      <c r="GX185" s="12"/>
      <c r="GY185" s="12"/>
      <c r="GZ185" s="12"/>
      <c r="HA185" s="12"/>
      <c r="HB185" s="12"/>
      <c r="HC185" s="12"/>
      <c r="HD185" s="12"/>
      <c r="HE185" s="12"/>
      <c r="HF185" s="12"/>
      <c r="HG185" s="12"/>
      <c r="HH185" s="12"/>
      <c r="HI185" s="12"/>
      <c r="HJ185" s="12"/>
      <c r="HK185" s="12"/>
      <c r="HL185" s="12"/>
      <c r="HM185" s="12"/>
      <c r="KC185" s="167"/>
    </row>
    <row r="186" spans="1:290" s="7" customFormat="1" ht="12.75" hidden="1" customHeight="1" x14ac:dyDescent="0.2">
      <c r="A186"/>
      <c r="B186"/>
      <c r="C186" s="14"/>
      <c r="D186" s="14"/>
      <c r="E186"/>
      <c r="F186"/>
      <c r="G186"/>
      <c r="H186"/>
      <c r="I186"/>
      <c r="J186"/>
      <c r="K186"/>
      <c r="L186"/>
      <c r="M186"/>
      <c r="N186"/>
      <c r="O186"/>
      <c r="P186"/>
      <c r="Q186"/>
      <c r="R186"/>
      <c r="S186"/>
      <c r="T186"/>
      <c r="U186"/>
      <c r="V186"/>
      <c r="W186"/>
      <c r="X186" s="4"/>
      <c r="Y186" s="4"/>
      <c r="Z186" s="4"/>
      <c r="AA186" s="4"/>
      <c r="AB186" s="4"/>
      <c r="AC186" s="4"/>
      <c r="AD186" s="4"/>
      <c r="AE186" s="4"/>
      <c r="AF186" s="4"/>
      <c r="AG186" s="4"/>
      <c r="AH186"/>
      <c r="AI186"/>
      <c r="AJ186" s="196"/>
      <c r="AK186"/>
      <c r="AL186"/>
      <c r="AM186"/>
      <c r="AN186" s="17"/>
      <c r="AO186"/>
      <c r="CY186" s="12"/>
      <c r="CZ186" s="12"/>
      <c r="DA186" s="12"/>
      <c r="DB186" s="12"/>
      <c r="DC186" s="12"/>
      <c r="DD186" s="12"/>
      <c r="DE186" s="12"/>
      <c r="DF186" s="12"/>
      <c r="DG186" s="12"/>
      <c r="DH186" s="12"/>
      <c r="DI186" s="12"/>
      <c r="DJ186" s="12"/>
      <c r="DK186" s="12"/>
      <c r="DL186" s="12"/>
      <c r="DM186" s="12"/>
      <c r="DN186" s="12"/>
      <c r="DO186" s="12"/>
      <c r="DP186" s="12"/>
      <c r="DQ186" s="12"/>
      <c r="DR186" s="12"/>
      <c r="DS186" s="12"/>
      <c r="DT186" s="12"/>
      <c r="DU186" s="12"/>
      <c r="DV186" s="12"/>
      <c r="DW186" s="12"/>
      <c r="DX186" s="12"/>
      <c r="DY186" s="12"/>
      <c r="DZ186" s="12"/>
      <c r="EA186" s="12"/>
      <c r="EB186" s="1"/>
      <c r="EC186"/>
      <c r="GK186" s="12"/>
      <c r="GL186" s="12"/>
      <c r="GM186" s="12"/>
      <c r="GN186" s="12"/>
      <c r="GO186" s="12"/>
      <c r="GP186" s="12"/>
      <c r="GQ186" s="12"/>
      <c r="GR186" s="12"/>
      <c r="GS186" s="12"/>
      <c r="GT186" s="12"/>
      <c r="GU186" s="12"/>
      <c r="GV186" s="12"/>
      <c r="GW186" s="12"/>
      <c r="GX186" s="12"/>
      <c r="GY186" s="12"/>
      <c r="GZ186" s="12"/>
      <c r="HA186" s="12"/>
      <c r="HB186" s="12"/>
      <c r="HC186" s="12"/>
      <c r="HD186" s="12"/>
      <c r="HE186" s="12"/>
      <c r="HF186" s="12"/>
      <c r="HG186" s="12"/>
      <c r="HH186" s="12"/>
      <c r="HI186" s="12"/>
      <c r="HJ186" s="12"/>
      <c r="HK186" s="12"/>
      <c r="HL186" s="12"/>
      <c r="HM186" s="12"/>
      <c r="KC186" s="167"/>
    </row>
    <row r="187" spans="1:290" s="7" customFormat="1" ht="12.75" hidden="1" customHeight="1" x14ac:dyDescent="0.2">
      <c r="A187"/>
      <c r="B187"/>
      <c r="C187" s="14"/>
      <c r="D187" s="14"/>
      <c r="E187"/>
      <c r="F187"/>
      <c r="G187"/>
      <c r="H187"/>
      <c r="I187"/>
      <c r="J187"/>
      <c r="K187"/>
      <c r="L187"/>
      <c r="M187"/>
      <c r="N187"/>
      <c r="O187"/>
      <c r="P187"/>
      <c r="Q187"/>
      <c r="R187"/>
      <c r="S187"/>
      <c r="T187"/>
      <c r="U187"/>
      <c r="V187"/>
      <c r="W187"/>
      <c r="X187" s="4"/>
      <c r="Y187" s="4"/>
      <c r="Z187" s="4"/>
      <c r="AA187" s="4"/>
      <c r="AB187" s="4"/>
      <c r="AC187" s="4"/>
      <c r="AD187" s="4"/>
      <c r="AE187" s="4"/>
      <c r="AF187" s="4"/>
      <c r="AG187" s="4"/>
      <c r="AH187"/>
      <c r="AI187"/>
      <c r="AJ187" s="196"/>
      <c r="AK187"/>
      <c r="AL187"/>
      <c r="AM187"/>
      <c r="AN187" s="17"/>
      <c r="AO187"/>
      <c r="CY187" s="12"/>
      <c r="CZ187" s="12"/>
      <c r="DA187" s="12"/>
      <c r="DB187" s="12"/>
      <c r="DC187" s="12"/>
      <c r="DD187" s="12"/>
      <c r="DE187" s="12"/>
      <c r="DF187" s="12"/>
      <c r="DG187" s="12"/>
      <c r="DH187" s="12"/>
      <c r="DI187" s="12"/>
      <c r="DJ187" s="12"/>
      <c r="DK187" s="12"/>
      <c r="DL187" s="12"/>
      <c r="DM187" s="12"/>
      <c r="DN187" s="12"/>
      <c r="DO187" s="12"/>
      <c r="DP187" s="12"/>
      <c r="DQ187" s="12"/>
      <c r="DR187" s="12"/>
      <c r="DS187" s="12"/>
      <c r="DT187" s="12"/>
      <c r="DU187" s="12"/>
      <c r="DV187" s="12"/>
      <c r="DW187" s="12"/>
      <c r="DX187" s="12"/>
      <c r="DY187" s="12"/>
      <c r="DZ187" s="12"/>
      <c r="EA187" s="12"/>
      <c r="EB187" s="1"/>
      <c r="EC187"/>
      <c r="GK187" s="12"/>
      <c r="GL187" s="12"/>
      <c r="GM187" s="12"/>
      <c r="GN187" s="12"/>
      <c r="GO187" s="12"/>
      <c r="GP187" s="12"/>
      <c r="GQ187" s="12"/>
      <c r="GR187" s="12"/>
      <c r="GS187" s="12"/>
      <c r="GT187" s="12"/>
      <c r="GU187" s="12"/>
      <c r="GV187" s="12"/>
      <c r="GW187" s="12"/>
      <c r="GX187" s="12"/>
      <c r="GY187" s="12"/>
      <c r="GZ187" s="12"/>
      <c r="HA187" s="12"/>
      <c r="HB187" s="12"/>
      <c r="HC187" s="12"/>
      <c r="HD187" s="12"/>
      <c r="HE187" s="12"/>
      <c r="HF187" s="12"/>
      <c r="HG187" s="12"/>
      <c r="HH187" s="12"/>
      <c r="HI187" s="12"/>
      <c r="HJ187" s="12"/>
      <c r="HK187" s="12"/>
      <c r="HL187" s="12"/>
      <c r="HM187" s="12"/>
      <c r="KC187" s="167"/>
    </row>
    <row r="188" spans="1:290" s="7" customFormat="1" ht="12.75" hidden="1" customHeight="1" x14ac:dyDescent="0.2">
      <c r="A188"/>
      <c r="B188"/>
      <c r="C188" s="14"/>
      <c r="D188" s="14"/>
      <c r="E188"/>
      <c r="F188"/>
      <c r="G188"/>
      <c r="H188"/>
      <c r="I188"/>
      <c r="J188"/>
      <c r="K188"/>
      <c r="L188"/>
      <c r="M188"/>
      <c r="N188"/>
      <c r="O188"/>
      <c r="P188"/>
      <c r="Q188"/>
      <c r="R188"/>
      <c r="S188"/>
      <c r="T188"/>
      <c r="U188"/>
      <c r="V188"/>
      <c r="W188"/>
      <c r="X188" s="4"/>
      <c r="Y188" s="4"/>
      <c r="Z188" s="4"/>
      <c r="AA188" s="4"/>
      <c r="AB188" s="4"/>
      <c r="AC188" s="4"/>
      <c r="AD188" s="4"/>
      <c r="AE188" s="4"/>
      <c r="AF188" s="4"/>
      <c r="AG188" s="4"/>
      <c r="AH188"/>
      <c r="AI188"/>
      <c r="AJ188" s="196"/>
      <c r="AK188"/>
      <c r="AL188"/>
      <c r="AM188"/>
      <c r="AN188" s="17"/>
      <c r="AO188"/>
      <c r="CY188" s="12"/>
      <c r="CZ188" s="12"/>
      <c r="DA188" s="12"/>
      <c r="DB188" s="12"/>
      <c r="DC188" s="12"/>
      <c r="DD188" s="12"/>
      <c r="DE188" s="12"/>
      <c r="DF188" s="12"/>
      <c r="DG188" s="12"/>
      <c r="DH188" s="12"/>
      <c r="DI188" s="12"/>
      <c r="DJ188" s="12"/>
      <c r="DK188" s="12"/>
      <c r="DL188" s="12"/>
      <c r="DM188" s="12"/>
      <c r="DN188" s="12"/>
      <c r="DO188" s="12"/>
      <c r="DP188" s="12"/>
      <c r="DQ188" s="12"/>
      <c r="DR188" s="12"/>
      <c r="DS188" s="12"/>
      <c r="DT188" s="12"/>
      <c r="DU188" s="12"/>
      <c r="DV188" s="12"/>
      <c r="DW188" s="12"/>
      <c r="DX188" s="12"/>
      <c r="DY188" s="12"/>
      <c r="DZ188" s="12"/>
      <c r="EA188" s="12"/>
      <c r="EB188" s="1"/>
      <c r="EC188"/>
      <c r="ED188"/>
      <c r="EE188"/>
      <c r="EF188"/>
      <c r="EG188"/>
      <c r="EH188"/>
      <c r="EI188"/>
      <c r="EJ188"/>
      <c r="EK188"/>
      <c r="EL188"/>
      <c r="EM188"/>
      <c r="EN188"/>
      <c r="EO188"/>
      <c r="EP188"/>
      <c r="EQ188"/>
      <c r="ER188"/>
      <c r="ES188"/>
      <c r="ET188"/>
      <c r="EU188"/>
      <c r="EV188"/>
      <c r="EW188"/>
      <c r="EX188"/>
      <c r="EY188"/>
      <c r="EZ188"/>
      <c r="FA188"/>
      <c r="FB188"/>
      <c r="FC188"/>
      <c r="FD188"/>
      <c r="FE188"/>
      <c r="GK188" s="12"/>
      <c r="GL188" s="12"/>
      <c r="GM188" s="12"/>
      <c r="GN188" s="12"/>
      <c r="GO188" s="12"/>
      <c r="GP188" s="12"/>
      <c r="GQ188" s="12"/>
      <c r="GR188" s="12"/>
      <c r="GS188" s="12"/>
      <c r="GT188" s="12"/>
      <c r="GU188" s="12"/>
      <c r="GV188" s="12"/>
      <c r="GW188" s="12"/>
      <c r="GX188" s="12"/>
      <c r="GY188" s="12"/>
      <c r="GZ188" s="12"/>
      <c r="HA188" s="12"/>
      <c r="HB188" s="12"/>
      <c r="HC188" s="12"/>
      <c r="HD188" s="12"/>
      <c r="HE188" s="12"/>
      <c r="HF188" s="12"/>
      <c r="HG188" s="12"/>
      <c r="HH188" s="12"/>
      <c r="HI188" s="12"/>
      <c r="HJ188" s="12"/>
      <c r="HK188" s="12"/>
      <c r="HL188" s="12"/>
      <c r="HM188" s="12"/>
      <c r="KC188" s="167"/>
    </row>
    <row r="189" spans="1:290" s="7" customFormat="1" ht="12.75" hidden="1" customHeight="1" x14ac:dyDescent="0.2">
      <c r="A189"/>
      <c r="B189"/>
      <c r="C189" s="14"/>
      <c r="D189" s="14"/>
      <c r="E189"/>
      <c r="F189"/>
      <c r="G189"/>
      <c r="H189"/>
      <c r="I189"/>
      <c r="J189"/>
      <c r="K189"/>
      <c r="L189"/>
      <c r="M189"/>
      <c r="N189"/>
      <c r="O189"/>
      <c r="P189"/>
      <c r="Q189"/>
      <c r="R189"/>
      <c r="S189"/>
      <c r="T189"/>
      <c r="U189"/>
      <c r="V189"/>
      <c r="W189"/>
      <c r="X189" s="4"/>
      <c r="Y189" s="4"/>
      <c r="Z189" s="4"/>
      <c r="AA189" s="4"/>
      <c r="AB189" s="4"/>
      <c r="AC189" s="4"/>
      <c r="AD189" s="4"/>
      <c r="AE189" s="4"/>
      <c r="AF189" s="4"/>
      <c r="AG189" s="4"/>
      <c r="AH189"/>
      <c r="AI189"/>
      <c r="AJ189" s="196"/>
      <c r="AK189"/>
      <c r="AL189"/>
      <c r="AM189"/>
      <c r="AN189" s="17"/>
      <c r="AO189"/>
      <c r="CY189" s="12"/>
      <c r="CZ189" s="12"/>
      <c r="DA189" s="12"/>
      <c r="DB189" s="12"/>
      <c r="DC189" s="12"/>
      <c r="DD189" s="12"/>
      <c r="DE189" s="12"/>
      <c r="DF189" s="12"/>
      <c r="DG189" s="12"/>
      <c r="DH189" s="12"/>
      <c r="DI189" s="12"/>
      <c r="DJ189" s="12"/>
      <c r="DK189" s="12"/>
      <c r="DL189" s="12"/>
      <c r="DM189" s="12"/>
      <c r="DN189" s="12"/>
      <c r="DO189" s="12"/>
      <c r="DP189" s="12"/>
      <c r="DQ189" s="12"/>
      <c r="DR189" s="12"/>
      <c r="DS189" s="12"/>
      <c r="DT189" s="12"/>
      <c r="DU189" s="12"/>
      <c r="DV189" s="12"/>
      <c r="DW189" s="12"/>
      <c r="DX189" s="12"/>
      <c r="DY189" s="12"/>
      <c r="DZ189" s="12"/>
      <c r="EA189" s="12"/>
      <c r="EB189" s="1"/>
      <c r="EC189"/>
      <c r="ED189"/>
      <c r="EE189"/>
      <c r="EF189"/>
      <c r="EG189"/>
      <c r="EH189"/>
      <c r="EI189"/>
      <c r="EJ189"/>
      <c r="EK189"/>
      <c r="EL189"/>
      <c r="EM189"/>
      <c r="EN189"/>
      <c r="EO189"/>
      <c r="EP189"/>
      <c r="EQ189"/>
      <c r="ER189"/>
      <c r="ES189"/>
      <c r="ET189"/>
      <c r="EU189"/>
      <c r="EV189"/>
      <c r="EW189"/>
      <c r="EX189"/>
      <c r="EY189"/>
      <c r="EZ189"/>
      <c r="FA189"/>
      <c r="FB189"/>
      <c r="FC189"/>
      <c r="FD189"/>
      <c r="FE189"/>
      <c r="GK189" s="12"/>
      <c r="GL189" s="12"/>
      <c r="GM189" s="12"/>
      <c r="GN189" s="12"/>
      <c r="GO189" s="12"/>
      <c r="GP189" s="12"/>
      <c r="GQ189" s="12"/>
      <c r="GR189" s="12"/>
      <c r="GS189" s="12"/>
      <c r="GT189" s="12"/>
      <c r="GU189" s="12"/>
      <c r="GV189" s="12"/>
      <c r="GW189" s="12"/>
      <c r="GX189" s="12"/>
      <c r="GY189" s="12"/>
      <c r="GZ189" s="12"/>
      <c r="HA189" s="12"/>
      <c r="HB189" s="12"/>
      <c r="HC189" s="12"/>
      <c r="HD189" s="12"/>
      <c r="HE189" s="12"/>
      <c r="HF189" s="12"/>
      <c r="HG189" s="12"/>
      <c r="HH189" s="12"/>
      <c r="HI189" s="12"/>
      <c r="HJ189" s="12"/>
      <c r="HK189" s="12"/>
      <c r="HL189" s="12"/>
      <c r="HM189" s="12"/>
      <c r="KC189" s="167"/>
    </row>
    <row r="190" spans="1:290" s="7" customFormat="1" ht="12.75" hidden="1" customHeight="1" x14ac:dyDescent="0.2">
      <c r="A190"/>
      <c r="B190"/>
      <c r="C190" s="14"/>
      <c r="D190" s="14"/>
      <c r="E190"/>
      <c r="F190"/>
      <c r="G190"/>
      <c r="H190"/>
      <c r="I190"/>
      <c r="J190"/>
      <c r="K190"/>
      <c r="L190"/>
      <c r="M190"/>
      <c r="N190"/>
      <c r="O190"/>
      <c r="P190"/>
      <c r="Q190"/>
      <c r="R190"/>
      <c r="S190"/>
      <c r="T190"/>
      <c r="U190"/>
      <c r="V190"/>
      <c r="W190"/>
      <c r="X190" s="4"/>
      <c r="Y190" s="4"/>
      <c r="Z190" s="4"/>
      <c r="AA190" s="4"/>
      <c r="AB190" s="4"/>
      <c r="AC190" s="4"/>
      <c r="AD190" s="4"/>
      <c r="AE190" s="4"/>
      <c r="AF190" s="4"/>
      <c r="AG190" s="4"/>
      <c r="AH190"/>
      <c r="AI190"/>
      <c r="AJ190" s="196"/>
      <c r="AK190"/>
      <c r="AL190"/>
      <c r="AM190"/>
      <c r="AN190" s="17"/>
      <c r="AO190"/>
      <c r="CY190" s="12"/>
      <c r="CZ190" s="12"/>
      <c r="DA190" s="12"/>
      <c r="DB190" s="12"/>
      <c r="DC190" s="12"/>
      <c r="DD190" s="12"/>
      <c r="DE190" s="12"/>
      <c r="DF190" s="12"/>
      <c r="DG190" s="12"/>
      <c r="DH190" s="12"/>
      <c r="DI190" s="12"/>
      <c r="DJ190" s="12"/>
      <c r="DK190" s="12"/>
      <c r="DL190" s="12"/>
      <c r="DM190" s="12"/>
      <c r="DN190" s="12"/>
      <c r="DO190" s="12"/>
      <c r="DP190" s="12"/>
      <c r="DQ190" s="12"/>
      <c r="DR190" s="12"/>
      <c r="DS190" s="12"/>
      <c r="DT190" s="12"/>
      <c r="DU190" s="12"/>
      <c r="DV190" s="12"/>
      <c r="DW190" s="12"/>
      <c r="DX190" s="12"/>
      <c r="DY190" s="12"/>
      <c r="DZ190" s="12"/>
      <c r="EA190" s="12"/>
      <c r="EB190" s="1"/>
      <c r="EC190"/>
      <c r="ED190"/>
      <c r="EE190"/>
      <c r="EF190"/>
      <c r="EG190"/>
      <c r="EH190"/>
      <c r="EI190"/>
      <c r="EJ190"/>
      <c r="EK190"/>
      <c r="EL190"/>
      <c r="EM190"/>
      <c r="EN190"/>
      <c r="EO190"/>
      <c r="EP190"/>
      <c r="EQ190"/>
      <c r="ER190"/>
      <c r="ES190"/>
      <c r="ET190"/>
      <c r="EU190"/>
      <c r="EV190"/>
      <c r="EW190"/>
      <c r="EX190"/>
      <c r="EY190"/>
      <c r="EZ190"/>
      <c r="FA190"/>
      <c r="FB190"/>
      <c r="FC190"/>
      <c r="FD190"/>
      <c r="FE190"/>
      <c r="GK190" s="12"/>
      <c r="GL190" s="12"/>
      <c r="GM190" s="12"/>
      <c r="GN190" s="12"/>
      <c r="GO190" s="12"/>
      <c r="GP190" s="12"/>
      <c r="GQ190" s="12"/>
      <c r="GR190" s="12"/>
      <c r="GS190" s="12"/>
      <c r="GT190" s="12"/>
      <c r="GU190" s="12"/>
      <c r="GV190" s="12"/>
      <c r="GW190" s="12"/>
      <c r="GX190" s="12"/>
      <c r="GY190" s="12"/>
      <c r="GZ190" s="12"/>
      <c r="HA190" s="12"/>
      <c r="HB190" s="12"/>
      <c r="HC190" s="12"/>
      <c r="HD190" s="12"/>
      <c r="HE190" s="12"/>
      <c r="HF190" s="12"/>
      <c r="HG190" s="12"/>
      <c r="HH190" s="12"/>
      <c r="HI190" s="12"/>
      <c r="HJ190" s="12"/>
      <c r="HK190" s="12"/>
      <c r="HL190" s="12"/>
      <c r="HM190" s="12"/>
      <c r="KC190" s="167"/>
    </row>
    <row r="191" spans="1:290" s="7" customFormat="1" ht="12.75" hidden="1" customHeight="1" x14ac:dyDescent="0.2">
      <c r="A191"/>
      <c r="B191"/>
      <c r="C191" s="14"/>
      <c r="D191" s="14"/>
      <c r="E191"/>
      <c r="F191"/>
      <c r="G191"/>
      <c r="H191"/>
      <c r="I191"/>
      <c r="J191"/>
      <c r="K191"/>
      <c r="L191"/>
      <c r="M191"/>
      <c r="N191"/>
      <c r="O191"/>
      <c r="P191"/>
      <c r="Q191"/>
      <c r="R191"/>
      <c r="S191"/>
      <c r="T191"/>
      <c r="U191"/>
      <c r="V191"/>
      <c r="W191"/>
      <c r="X191" s="4"/>
      <c r="Y191" s="4"/>
      <c r="Z191" s="4"/>
      <c r="AA191" s="4"/>
      <c r="AB191" s="4"/>
      <c r="AC191" s="4"/>
      <c r="AD191" s="4"/>
      <c r="AE191" s="4"/>
      <c r="AF191" s="4"/>
      <c r="AG191" s="4"/>
      <c r="AH191"/>
      <c r="AI191"/>
      <c r="AJ191" s="196"/>
      <c r="AK191"/>
      <c r="AL191"/>
      <c r="AM191"/>
      <c r="AN191" s="17"/>
      <c r="AO191"/>
      <c r="CY191" s="12"/>
      <c r="CZ191" s="12"/>
      <c r="DA191" s="12"/>
      <c r="DB191" s="12"/>
      <c r="DC191" s="12"/>
      <c r="DD191" s="12"/>
      <c r="DE191" s="12"/>
      <c r="DF191" s="12"/>
      <c r="DG191" s="12"/>
      <c r="DH191" s="12"/>
      <c r="DI191" s="12"/>
      <c r="DJ191" s="12"/>
      <c r="DK191" s="12"/>
      <c r="DL191" s="12"/>
      <c r="DM191" s="12"/>
      <c r="DN191" s="12"/>
      <c r="DO191" s="12"/>
      <c r="DP191" s="12"/>
      <c r="DQ191" s="12"/>
      <c r="DR191" s="12"/>
      <c r="DS191" s="12"/>
      <c r="DT191" s="12"/>
      <c r="DU191" s="12"/>
      <c r="DV191" s="12"/>
      <c r="DW191" s="12"/>
      <c r="DX191" s="12"/>
      <c r="DY191" s="12"/>
      <c r="DZ191" s="12"/>
      <c r="EA191" s="12"/>
      <c r="EB191" s="1"/>
      <c r="EC191"/>
      <c r="ED191"/>
      <c r="EE191"/>
      <c r="EF191"/>
      <c r="EG191"/>
      <c r="EH191"/>
      <c r="EI191"/>
      <c r="EJ191"/>
      <c r="EK191"/>
      <c r="EL191"/>
      <c r="EM191"/>
      <c r="EN191"/>
      <c r="EO191"/>
      <c r="EP191"/>
      <c r="EQ191"/>
      <c r="ER191"/>
      <c r="ES191"/>
      <c r="ET191"/>
      <c r="EU191"/>
      <c r="EV191"/>
      <c r="EW191"/>
      <c r="EX191"/>
      <c r="EY191"/>
      <c r="EZ191"/>
      <c r="FA191"/>
      <c r="FB191"/>
      <c r="FC191"/>
      <c r="FD191"/>
      <c r="FE191"/>
      <c r="GK191" s="12"/>
      <c r="GL191" s="12"/>
      <c r="GM191" s="12"/>
      <c r="GN191" s="12"/>
      <c r="GO191" s="12"/>
      <c r="GP191" s="12"/>
      <c r="GQ191" s="12"/>
      <c r="GR191" s="12"/>
      <c r="GS191" s="12"/>
      <c r="GT191" s="12"/>
      <c r="GU191" s="12"/>
      <c r="GV191" s="12"/>
      <c r="GW191" s="12"/>
      <c r="GX191" s="12"/>
      <c r="GY191" s="12"/>
      <c r="GZ191" s="12"/>
      <c r="HA191" s="12"/>
      <c r="HB191" s="12"/>
      <c r="HC191" s="12"/>
      <c r="HD191" s="12"/>
      <c r="HE191" s="12"/>
      <c r="HF191" s="12"/>
      <c r="HG191" s="12"/>
      <c r="HH191" s="12"/>
      <c r="HI191" s="12"/>
      <c r="HJ191" s="12"/>
      <c r="HK191" s="12"/>
      <c r="HL191" s="12"/>
      <c r="HM191" s="12"/>
      <c r="HR191"/>
      <c r="KC191" s="167"/>
    </row>
    <row r="192" spans="1:290" s="7" customFormat="1" ht="12.75" hidden="1" customHeight="1" x14ac:dyDescent="0.2">
      <c r="A192"/>
      <c r="B192"/>
      <c r="C192" s="14"/>
      <c r="D192" s="14"/>
      <c r="E192"/>
      <c r="F192"/>
      <c r="G192"/>
      <c r="H192"/>
      <c r="I192"/>
      <c r="J192"/>
      <c r="K192"/>
      <c r="L192"/>
      <c r="M192"/>
      <c r="N192"/>
      <c r="O192"/>
      <c r="P192"/>
      <c r="Q192"/>
      <c r="R192"/>
      <c r="S192"/>
      <c r="T192"/>
      <c r="U192"/>
      <c r="V192"/>
      <c r="W192"/>
      <c r="X192" s="4"/>
      <c r="Y192" s="4"/>
      <c r="Z192" s="4"/>
      <c r="AA192" s="4"/>
      <c r="AB192" s="4"/>
      <c r="AC192" s="4"/>
      <c r="AD192" s="4"/>
      <c r="AE192" s="4"/>
      <c r="AF192" s="4"/>
      <c r="AG192" s="4"/>
      <c r="AH192"/>
      <c r="AI192"/>
      <c r="AJ192" s="196"/>
      <c r="AK192"/>
      <c r="AL192"/>
      <c r="AM192"/>
      <c r="AN192" s="17"/>
      <c r="AO192"/>
      <c r="CY192" s="12"/>
      <c r="CZ192" s="12"/>
      <c r="DA192" s="12"/>
      <c r="DB192" s="12"/>
      <c r="DC192" s="12"/>
      <c r="DD192" s="12"/>
      <c r="DE192" s="12"/>
      <c r="DF192" s="12"/>
      <c r="DG192" s="12"/>
      <c r="DH192" s="12"/>
      <c r="DI192" s="12"/>
      <c r="DJ192" s="12"/>
      <c r="DK192" s="12"/>
      <c r="DL192" s="12"/>
      <c r="DM192" s="12"/>
      <c r="DN192" s="12"/>
      <c r="DO192" s="12"/>
      <c r="DP192" s="12"/>
      <c r="DQ192" s="12"/>
      <c r="DR192" s="12"/>
      <c r="DS192" s="12"/>
      <c r="DT192" s="12"/>
      <c r="DU192" s="12"/>
      <c r="DV192" s="12"/>
      <c r="DW192" s="12"/>
      <c r="DX192" s="12"/>
      <c r="DY192" s="12"/>
      <c r="DZ192" s="12"/>
      <c r="EA192" s="12"/>
      <c r="EB192" s="1"/>
      <c r="EC192"/>
      <c r="ED192"/>
      <c r="EE192"/>
      <c r="EF192"/>
      <c r="EG192"/>
      <c r="EH192"/>
      <c r="EI192"/>
      <c r="EJ192"/>
      <c r="EK192"/>
      <c r="EL192"/>
      <c r="EM192"/>
      <c r="EN192"/>
      <c r="EO192"/>
      <c r="EP192"/>
      <c r="EQ192"/>
      <c r="ER192"/>
      <c r="ES192"/>
      <c r="ET192"/>
      <c r="EU192"/>
      <c r="EV192"/>
      <c r="EW192"/>
      <c r="EX192"/>
      <c r="EY192"/>
      <c r="EZ192"/>
      <c r="FA192"/>
      <c r="FB192"/>
      <c r="FC192"/>
      <c r="FD192"/>
      <c r="FE192"/>
      <c r="GK192" s="12"/>
      <c r="GL192" s="12"/>
      <c r="GM192" s="12"/>
      <c r="GN192" s="12"/>
      <c r="GO192" s="12"/>
      <c r="GP192" s="12"/>
      <c r="GQ192" s="12"/>
      <c r="GR192" s="12"/>
      <c r="GS192" s="12"/>
      <c r="GT192" s="12"/>
      <c r="GU192" s="12"/>
      <c r="GV192" s="12"/>
      <c r="GW192" s="12"/>
      <c r="GX192" s="12"/>
      <c r="GY192" s="12"/>
      <c r="GZ192" s="12"/>
      <c r="HA192" s="12"/>
      <c r="HB192" s="12"/>
      <c r="HC192" s="12"/>
      <c r="HD192" s="12"/>
      <c r="HE192" s="12"/>
      <c r="HF192" s="12"/>
      <c r="HG192" s="12"/>
      <c r="HH192" s="12"/>
      <c r="HI192" s="12"/>
      <c r="HJ192" s="12"/>
      <c r="HK192" s="12"/>
      <c r="HL192" s="12"/>
      <c r="HM192" s="12"/>
      <c r="HR192"/>
      <c r="KC192" s="166"/>
      <c r="KD192" s="1"/>
    </row>
    <row r="193" spans="1:290" s="7" customFormat="1" ht="12.75" hidden="1" customHeight="1" x14ac:dyDescent="0.2">
      <c r="A193"/>
      <c r="B193"/>
      <c r="C193" s="14"/>
      <c r="D193" s="14"/>
      <c r="E193"/>
      <c r="F193"/>
      <c r="G193"/>
      <c r="H193"/>
      <c r="I193"/>
      <c r="J193"/>
      <c r="K193"/>
      <c r="L193"/>
      <c r="M193"/>
      <c r="N193"/>
      <c r="O193"/>
      <c r="P193"/>
      <c r="Q193"/>
      <c r="R193"/>
      <c r="S193"/>
      <c r="T193"/>
      <c r="U193"/>
      <c r="V193"/>
      <c r="W193"/>
      <c r="X193" s="4"/>
      <c r="Y193" s="4"/>
      <c r="Z193" s="4"/>
      <c r="AA193" s="4"/>
      <c r="AB193" s="4"/>
      <c r="AC193" s="4"/>
      <c r="AD193" s="4"/>
      <c r="AE193" s="4"/>
      <c r="AF193" s="4"/>
      <c r="AG193" s="4"/>
      <c r="AH193"/>
      <c r="AI193"/>
      <c r="AJ193" s="196"/>
      <c r="AK193"/>
      <c r="AL193"/>
      <c r="AM193"/>
      <c r="AN193" s="17"/>
      <c r="AO193"/>
      <c r="AP193"/>
      <c r="AQ193"/>
      <c r="AR193"/>
      <c r="AS193"/>
      <c r="AT193"/>
      <c r="AU193"/>
      <c r="AV193"/>
      <c r="AW193"/>
      <c r="AX193"/>
      <c r="AY193"/>
      <c r="AZ193"/>
      <c r="BA193"/>
      <c r="BB193"/>
      <c r="BC193"/>
      <c r="BD193"/>
      <c r="BE193"/>
      <c r="BF193"/>
      <c r="BG193"/>
      <c r="BH193"/>
      <c r="BI193"/>
      <c r="BJ193"/>
      <c r="BK193"/>
      <c r="BL193"/>
      <c r="BM193"/>
      <c r="CY193" s="12"/>
      <c r="CZ193" s="12"/>
      <c r="DA193" s="12"/>
      <c r="DB193" s="12"/>
      <c r="DC193" s="12"/>
      <c r="DD193" s="12"/>
      <c r="DE193" s="12"/>
      <c r="DF193" s="12"/>
      <c r="DG193" s="12"/>
      <c r="DH193" s="12"/>
      <c r="DI193" s="12"/>
      <c r="DJ193" s="12"/>
      <c r="DK193" s="12"/>
      <c r="DL193" s="12"/>
      <c r="DM193" s="12"/>
      <c r="DN193" s="12"/>
      <c r="DO193" s="12"/>
      <c r="DP193" s="12"/>
      <c r="DQ193" s="12"/>
      <c r="DR193" s="12"/>
      <c r="DS193" s="12"/>
      <c r="DT193" s="12"/>
      <c r="DU193" s="12"/>
      <c r="DV193" s="12"/>
      <c r="DW193" s="12"/>
      <c r="DX193" s="12"/>
      <c r="DY193" s="12"/>
      <c r="DZ193" s="12"/>
      <c r="EA193" s="12"/>
      <c r="EB193" s="1"/>
      <c r="EC193"/>
      <c r="ED193"/>
      <c r="EE193"/>
      <c r="EF193"/>
      <c r="EG193"/>
      <c r="EH193"/>
      <c r="EI193"/>
      <c r="EJ193"/>
      <c r="EK193"/>
      <c r="EL193"/>
      <c r="EM193"/>
      <c r="EN193"/>
      <c r="EO193"/>
      <c r="EP193"/>
      <c r="EQ193"/>
      <c r="ER193"/>
      <c r="ES193"/>
      <c r="ET193"/>
      <c r="EU193"/>
      <c r="EV193"/>
      <c r="EW193"/>
      <c r="EX193"/>
      <c r="EY193"/>
      <c r="EZ193"/>
      <c r="FA193"/>
      <c r="FB193"/>
      <c r="FC193"/>
      <c r="FD193"/>
      <c r="FE193"/>
      <c r="GK193" s="12"/>
      <c r="GL193" s="12"/>
      <c r="GM193" s="12"/>
      <c r="GN193" s="12"/>
      <c r="GO193" s="12"/>
      <c r="GP193" s="12"/>
      <c r="GQ193" s="12"/>
      <c r="GR193" s="12"/>
      <c r="GS193" s="12"/>
      <c r="GT193" s="12"/>
      <c r="GU193" s="12"/>
      <c r="GV193" s="12"/>
      <c r="GW193" s="12"/>
      <c r="GX193" s="12"/>
      <c r="GY193" s="12"/>
      <c r="GZ193" s="12"/>
      <c r="HA193" s="12"/>
      <c r="HB193" s="12"/>
      <c r="HC193" s="12"/>
      <c r="HD193" s="12"/>
      <c r="HE193" s="12"/>
      <c r="HF193" s="12"/>
      <c r="HG193" s="12"/>
      <c r="HH193" s="12"/>
      <c r="HI193" s="12"/>
      <c r="HJ193" s="12"/>
      <c r="HK193" s="12"/>
      <c r="HL193" s="12"/>
      <c r="HM193" s="12"/>
      <c r="HR193"/>
      <c r="KC193" s="166"/>
      <c r="KD193" s="1"/>
    </row>
    <row r="194" spans="1:290" ht="12.75" hidden="1" customHeight="1" x14ac:dyDescent="0.2">
      <c r="Y194" s="4"/>
      <c r="Z194" s="4"/>
      <c r="AA194" s="4"/>
      <c r="AB194" s="4"/>
      <c r="AC194" s="4"/>
      <c r="AD194" s="4"/>
      <c r="AE194" s="4"/>
      <c r="AF194" s="4"/>
      <c r="AG194" s="4"/>
    </row>
    <row r="195" spans="1:290" ht="12.75" hidden="1" customHeight="1" x14ac:dyDescent="0.2">
      <c r="Y195" s="4"/>
      <c r="Z195" s="4"/>
      <c r="AA195" s="4"/>
      <c r="AB195" s="4"/>
      <c r="AC195" s="4"/>
      <c r="AD195" s="4"/>
      <c r="AE195" s="4"/>
      <c r="AF195" s="4"/>
      <c r="AG195" s="4"/>
    </row>
    <row r="196" spans="1:290" ht="12.75" hidden="1" customHeight="1" x14ac:dyDescent="0.2">
      <c r="Y196" s="4"/>
      <c r="Z196" s="4"/>
      <c r="AA196" s="4"/>
      <c r="AB196" s="4"/>
      <c r="AC196" s="4"/>
      <c r="AD196" s="4"/>
      <c r="AE196" s="4"/>
      <c r="AF196" s="4"/>
      <c r="AG196" s="4"/>
    </row>
    <row r="197" spans="1:290" ht="13.5" hidden="1" customHeight="1" x14ac:dyDescent="0.2">
      <c r="Y197" s="4"/>
      <c r="Z197" s="4"/>
      <c r="AA197" s="4"/>
      <c r="AB197" s="4"/>
      <c r="AC197" s="4"/>
      <c r="AD197" s="4"/>
      <c r="AE197" s="4"/>
      <c r="AF197" s="4"/>
      <c r="AG197" s="4"/>
    </row>
    <row r="198" spans="1:290" hidden="1" x14ac:dyDescent="0.2">
      <c r="Y198" s="4"/>
      <c r="Z198" s="4"/>
      <c r="AA198" s="4"/>
      <c r="AB198" s="4"/>
      <c r="AC198" s="4"/>
      <c r="AD198" s="4"/>
      <c r="AE198" s="4"/>
      <c r="AF198" s="4"/>
      <c r="AG198" s="4"/>
    </row>
    <row r="199" spans="1:290" hidden="1" x14ac:dyDescent="0.2">
      <c r="Y199" s="4"/>
      <c r="Z199" s="4"/>
      <c r="AA199" s="4"/>
      <c r="AB199" s="4"/>
      <c r="AC199" s="4"/>
      <c r="AD199" s="4"/>
      <c r="AE199" s="4"/>
      <c r="AF199" s="4"/>
      <c r="AG199" s="4"/>
    </row>
    <row r="200" spans="1:290" hidden="1" x14ac:dyDescent="0.2">
      <c r="Y200" s="4"/>
      <c r="Z200" s="4"/>
      <c r="AA200" s="4"/>
      <c r="AB200" s="4"/>
      <c r="AC200" s="4"/>
      <c r="AD200" s="4"/>
      <c r="AE200" s="4"/>
      <c r="AF200" s="4"/>
      <c r="AG200" s="4"/>
    </row>
    <row r="201" spans="1:290" ht="14.25" hidden="1" customHeight="1" x14ac:dyDescent="0.2">
      <c r="Y201" s="4"/>
      <c r="Z201" s="4"/>
      <c r="AA201" s="4"/>
      <c r="AB201" s="4"/>
      <c r="AC201" s="4"/>
      <c r="AD201" s="4"/>
      <c r="AE201" s="4"/>
      <c r="AF201" s="4"/>
      <c r="AG201" s="4"/>
    </row>
    <row r="202" spans="1:290" ht="13.5" hidden="1" customHeight="1" x14ac:dyDescent="0.2">
      <c r="Y202" s="4"/>
      <c r="Z202" s="4"/>
      <c r="AA202" s="4"/>
      <c r="AB202" s="4"/>
      <c r="AC202" s="4"/>
      <c r="AD202" s="4"/>
      <c r="AE202" s="4"/>
      <c r="AF202" s="4"/>
      <c r="AG202" s="4"/>
    </row>
    <row r="203" spans="1:290" ht="12.75" hidden="1" customHeight="1" x14ac:dyDescent="0.2">
      <c r="Y203" s="4"/>
      <c r="Z203" s="4"/>
      <c r="AA203" s="4"/>
      <c r="AB203" s="4"/>
      <c r="AC203" s="4"/>
      <c r="AD203" s="4"/>
      <c r="AE203" s="4"/>
      <c r="AF203" s="4"/>
      <c r="AG203" s="4"/>
    </row>
    <row r="204" spans="1:290" ht="12.75" hidden="1" customHeight="1" x14ac:dyDescent="0.2">
      <c r="Y204" s="4"/>
      <c r="Z204" s="4"/>
      <c r="AA204" s="4"/>
      <c r="AB204" s="4"/>
      <c r="AC204" s="4"/>
      <c r="AD204" s="4"/>
      <c r="AE204" s="4"/>
      <c r="AF204" s="4"/>
      <c r="AG204" s="4"/>
    </row>
    <row r="205" spans="1:290" ht="12.75" hidden="1" customHeight="1" x14ac:dyDescent="0.2">
      <c r="Y205" s="4"/>
      <c r="Z205" s="4"/>
      <c r="AA205" s="4"/>
      <c r="AB205" s="4"/>
      <c r="AC205" s="4"/>
      <c r="AD205" s="4"/>
      <c r="AE205" s="4"/>
      <c r="AF205" s="4"/>
      <c r="AG205" s="4"/>
    </row>
    <row r="206" spans="1:290" ht="12.75" hidden="1" customHeight="1" x14ac:dyDescent="0.2">
      <c r="Y206" s="4"/>
      <c r="Z206" s="4"/>
      <c r="AA206" s="4"/>
      <c r="AB206" s="4"/>
      <c r="AC206" s="4"/>
      <c r="AD206" s="4"/>
      <c r="AE206" s="4"/>
      <c r="AF206" s="4"/>
      <c r="AG206" s="4"/>
    </row>
    <row r="207" spans="1:290" ht="12.75" hidden="1" customHeight="1" x14ac:dyDescent="0.2">
      <c r="Y207" s="4"/>
      <c r="Z207" s="4"/>
      <c r="AA207" s="4"/>
      <c r="AB207" s="4"/>
      <c r="AC207" s="4"/>
      <c r="AD207" s="4"/>
      <c r="AE207" s="4"/>
      <c r="AF207" s="4"/>
      <c r="AG207" s="4"/>
    </row>
    <row r="208" spans="1:290" ht="12.75" hidden="1" customHeight="1" x14ac:dyDescent="0.2">
      <c r="Y208" s="4"/>
      <c r="Z208" s="4"/>
      <c r="AA208" s="4"/>
      <c r="AB208" s="4"/>
      <c r="AC208" s="4"/>
      <c r="AD208" s="4"/>
      <c r="AE208" s="4"/>
      <c r="AF208" s="4"/>
      <c r="AG208" s="4"/>
    </row>
    <row r="209" spans="25:33" ht="12.75" hidden="1" customHeight="1" x14ac:dyDescent="0.2">
      <c r="Y209" s="4"/>
      <c r="Z209" s="4"/>
      <c r="AA209" s="4"/>
      <c r="AB209" s="4"/>
      <c r="AC209" s="4"/>
      <c r="AD209" s="4"/>
      <c r="AE209" s="4"/>
      <c r="AF209" s="4"/>
      <c r="AG209" s="4"/>
    </row>
    <row r="210" spans="25:33" ht="12.75" hidden="1" customHeight="1" x14ac:dyDescent="0.2">
      <c r="Y210" s="4"/>
      <c r="Z210" s="4"/>
      <c r="AA210" s="4"/>
      <c r="AB210" s="4"/>
      <c r="AC210" s="4"/>
      <c r="AD210" s="4"/>
      <c r="AE210" s="4"/>
      <c r="AF210" s="4"/>
      <c r="AG210" s="4"/>
    </row>
    <row r="211" spans="25:33" ht="12.75" hidden="1" customHeight="1" x14ac:dyDescent="0.2">
      <c r="Y211" s="4"/>
      <c r="Z211" s="4"/>
      <c r="AA211" s="4"/>
      <c r="AB211" s="4"/>
      <c r="AC211" s="4"/>
      <c r="AD211" s="4"/>
      <c r="AE211" s="4"/>
      <c r="AF211" s="4"/>
      <c r="AG211" s="4"/>
    </row>
    <row r="212" spans="25:33" ht="12.75" hidden="1" customHeight="1" x14ac:dyDescent="0.2">
      <c r="Y212" s="4"/>
      <c r="Z212" s="4"/>
      <c r="AA212" s="4"/>
      <c r="AB212" s="4"/>
      <c r="AC212" s="4"/>
      <c r="AD212" s="4"/>
      <c r="AE212" s="4"/>
      <c r="AF212" s="4"/>
      <c r="AG212" s="4"/>
    </row>
    <row r="213" spans="25:33" ht="12.75" hidden="1" customHeight="1" x14ac:dyDescent="0.2">
      <c r="Y213" s="4"/>
      <c r="Z213" s="4"/>
      <c r="AA213" s="4"/>
      <c r="AB213" s="4"/>
      <c r="AC213" s="4"/>
      <c r="AD213" s="4"/>
      <c r="AE213" s="4"/>
      <c r="AF213" s="4"/>
      <c r="AG213" s="4"/>
    </row>
    <row r="214" spans="25:33" ht="12.75" hidden="1" customHeight="1" x14ac:dyDescent="0.2">
      <c r="Y214" s="4"/>
      <c r="Z214" s="4"/>
      <c r="AA214" s="4"/>
      <c r="AB214" s="4"/>
      <c r="AC214" s="4"/>
      <c r="AD214" s="4"/>
      <c r="AE214" s="4"/>
      <c r="AF214" s="4"/>
      <c r="AG214" s="4"/>
    </row>
    <row r="215" spans="25:33" ht="12.75" hidden="1" customHeight="1" x14ac:dyDescent="0.2">
      <c r="Y215" s="4"/>
      <c r="Z215" s="4"/>
      <c r="AA215" s="4"/>
      <c r="AB215" s="4"/>
      <c r="AC215" s="4"/>
      <c r="AD215" s="4"/>
      <c r="AE215" s="4"/>
      <c r="AF215" s="4"/>
      <c r="AG215" s="4"/>
    </row>
    <row r="216" spans="25:33" ht="12.75" hidden="1" customHeight="1" x14ac:dyDescent="0.2">
      <c r="Y216" s="4"/>
      <c r="Z216" s="4"/>
      <c r="AA216" s="4"/>
      <c r="AB216" s="4"/>
      <c r="AC216" s="4"/>
      <c r="AD216" s="4"/>
      <c r="AE216" s="4"/>
      <c r="AF216" s="4"/>
      <c r="AG216" s="4"/>
    </row>
    <row r="217" spans="25:33" ht="12.75" hidden="1" customHeight="1" x14ac:dyDescent="0.2">
      <c r="Y217" s="4"/>
      <c r="Z217" s="4"/>
      <c r="AA217" s="4"/>
      <c r="AB217" s="4"/>
      <c r="AC217" s="4"/>
      <c r="AD217" s="4"/>
      <c r="AE217" s="4"/>
      <c r="AF217" s="4"/>
      <c r="AG217" s="4"/>
    </row>
    <row r="218" spans="25:33" ht="12.75" hidden="1" customHeight="1" x14ac:dyDescent="0.2">
      <c r="Y218" s="4"/>
      <c r="Z218" s="4"/>
      <c r="AA218" s="4"/>
      <c r="AB218" s="4"/>
      <c r="AC218" s="4"/>
      <c r="AD218" s="4"/>
      <c r="AE218" s="4"/>
      <c r="AF218" s="4"/>
      <c r="AG218" s="4"/>
    </row>
    <row r="219" spans="25:33" ht="12.75" hidden="1" customHeight="1" x14ac:dyDescent="0.2">
      <c r="Y219" s="4"/>
      <c r="Z219" s="4"/>
      <c r="AA219" s="4"/>
      <c r="AB219" s="4"/>
      <c r="AC219" s="4"/>
      <c r="AD219" s="4"/>
      <c r="AE219" s="4"/>
      <c r="AF219" s="4"/>
      <c r="AG219" s="4"/>
    </row>
    <row r="220" spans="25:33" ht="12.75" hidden="1" customHeight="1" x14ac:dyDescent="0.2">
      <c r="Y220" s="4"/>
      <c r="Z220" s="4"/>
      <c r="AA220" s="4"/>
      <c r="AB220" s="4"/>
      <c r="AC220" s="4"/>
      <c r="AD220" s="4"/>
      <c r="AE220" s="4"/>
      <c r="AF220" s="4"/>
      <c r="AG220" s="4"/>
    </row>
    <row r="221" spans="25:33" ht="12.75" hidden="1" customHeight="1" x14ac:dyDescent="0.2">
      <c r="Y221" s="4"/>
      <c r="Z221" s="4"/>
      <c r="AA221" s="4"/>
      <c r="AB221" s="4"/>
      <c r="AC221" s="4"/>
      <c r="AD221" s="4"/>
      <c r="AE221" s="4"/>
      <c r="AF221" s="4"/>
      <c r="AG221" s="4"/>
    </row>
    <row r="222" spans="25:33" ht="12.75" hidden="1" customHeight="1" x14ac:dyDescent="0.2">
      <c r="Y222" s="4"/>
      <c r="Z222" s="4"/>
      <c r="AA222" s="4"/>
      <c r="AB222" s="4"/>
      <c r="AC222" s="4"/>
      <c r="AD222" s="4"/>
      <c r="AE222" s="4"/>
      <c r="AF222" s="4"/>
      <c r="AG222" s="4"/>
    </row>
    <row r="223" spans="25:33" ht="12.75" hidden="1" customHeight="1" x14ac:dyDescent="0.2">
      <c r="Y223" s="4"/>
      <c r="Z223" s="4"/>
      <c r="AA223" s="4"/>
      <c r="AB223" s="4"/>
      <c r="AC223" s="4"/>
      <c r="AD223" s="4"/>
      <c r="AE223" s="4"/>
      <c r="AF223" s="4"/>
      <c r="AG223" s="4"/>
    </row>
    <row r="224" spans="25:33" ht="12.75" hidden="1" customHeight="1" x14ac:dyDescent="0.2">
      <c r="Y224" s="4"/>
      <c r="Z224" s="4"/>
      <c r="AA224" s="4"/>
      <c r="AB224" s="4"/>
      <c r="AC224" s="4"/>
      <c r="AD224" s="4"/>
      <c r="AE224" s="4"/>
      <c r="AF224" s="4"/>
      <c r="AG224" s="4"/>
    </row>
    <row r="225" spans="25:33" ht="12.75" hidden="1" customHeight="1" x14ac:dyDescent="0.2">
      <c r="Y225" s="4"/>
      <c r="Z225" s="4"/>
      <c r="AA225" s="4"/>
      <c r="AB225" s="4"/>
      <c r="AC225" s="4"/>
      <c r="AD225" s="4"/>
      <c r="AE225" s="4"/>
      <c r="AF225" s="4"/>
      <c r="AG225" s="4"/>
    </row>
    <row r="226" spans="25:33" ht="12.75" hidden="1" customHeight="1" x14ac:dyDescent="0.2">
      <c r="Y226" s="4"/>
      <c r="Z226" s="4"/>
      <c r="AA226" s="4"/>
      <c r="AB226" s="4"/>
      <c r="AC226" s="4"/>
      <c r="AD226" s="4"/>
      <c r="AE226" s="4"/>
      <c r="AF226" s="4"/>
      <c r="AG226" s="4"/>
    </row>
    <row r="227" spans="25:33" ht="12.75" hidden="1" customHeight="1" x14ac:dyDescent="0.2">
      <c r="Y227" s="4"/>
      <c r="Z227" s="4"/>
      <c r="AA227" s="4"/>
      <c r="AB227" s="4"/>
      <c r="AC227" s="4"/>
      <c r="AD227" s="4"/>
      <c r="AE227" s="4"/>
      <c r="AF227" s="4"/>
      <c r="AG227" s="4"/>
    </row>
    <row r="228" spans="25:33" ht="12.75" hidden="1" customHeight="1" x14ac:dyDescent="0.2">
      <c r="Y228" s="4"/>
      <c r="Z228" s="4"/>
      <c r="AA228" s="4"/>
      <c r="AB228" s="4"/>
      <c r="AC228" s="4"/>
      <c r="AD228" s="4"/>
      <c r="AE228" s="4"/>
      <c r="AF228" s="4"/>
      <c r="AG228" s="4"/>
    </row>
    <row r="229" spans="25:33" ht="12.75" hidden="1" customHeight="1" x14ac:dyDescent="0.2">
      <c r="Y229" s="4"/>
      <c r="Z229" s="4"/>
      <c r="AA229" s="4"/>
      <c r="AB229" s="4"/>
      <c r="AC229" s="4"/>
      <c r="AD229" s="4"/>
      <c r="AE229" s="4"/>
      <c r="AF229" s="4"/>
      <c r="AG229" s="4"/>
    </row>
    <row r="230" spans="25:33" ht="12.75" hidden="1" customHeight="1" x14ac:dyDescent="0.2">
      <c r="Y230" s="4"/>
      <c r="Z230" s="4"/>
      <c r="AA230" s="4"/>
      <c r="AB230" s="4"/>
      <c r="AC230" s="4"/>
      <c r="AD230" s="4"/>
      <c r="AE230" s="4"/>
      <c r="AF230" s="4"/>
      <c r="AG230" s="4"/>
    </row>
    <row r="231" spans="25:33" ht="12.75" hidden="1" customHeight="1" x14ac:dyDescent="0.2">
      <c r="Y231" s="4"/>
      <c r="Z231" s="4"/>
      <c r="AA231" s="4"/>
      <c r="AB231" s="4"/>
      <c r="AC231" s="4"/>
      <c r="AD231" s="4"/>
      <c r="AE231" s="4"/>
      <c r="AF231" s="4"/>
      <c r="AG231" s="4"/>
    </row>
    <row r="232" spans="25:33" ht="12.75" hidden="1" customHeight="1" x14ac:dyDescent="0.2">
      <c r="Y232" s="4"/>
      <c r="Z232" s="4"/>
      <c r="AA232" s="4"/>
      <c r="AB232" s="4"/>
      <c r="AC232" s="4"/>
      <c r="AD232" s="4"/>
      <c r="AE232" s="4"/>
      <c r="AF232" s="4"/>
      <c r="AG232" s="4"/>
    </row>
    <row r="233" spans="25:33" hidden="1" x14ac:dyDescent="0.2">
      <c r="Y233" s="4"/>
      <c r="Z233" s="4"/>
      <c r="AA233" s="4"/>
      <c r="AB233" s="4"/>
      <c r="AC233" s="4"/>
      <c r="AD233" s="4"/>
      <c r="AE233" s="4"/>
      <c r="AF233" s="4"/>
      <c r="AG233" s="4"/>
    </row>
    <row r="234" spans="25:33" hidden="1" x14ac:dyDescent="0.2">
      <c r="Y234" s="4"/>
      <c r="Z234" s="4"/>
      <c r="AA234" s="4"/>
      <c r="AB234" s="4"/>
      <c r="AC234" s="4"/>
      <c r="AD234" s="4"/>
      <c r="AE234" s="4"/>
      <c r="AF234" s="4"/>
      <c r="AG234" s="4"/>
    </row>
    <row r="235" spans="25:33" ht="14.25" hidden="1" customHeight="1" x14ac:dyDescent="0.2">
      <c r="Y235" s="4"/>
      <c r="Z235" s="4"/>
      <c r="AA235" s="4"/>
      <c r="AB235" s="4"/>
      <c r="AC235" s="4"/>
      <c r="AD235" s="4"/>
      <c r="AE235" s="4"/>
      <c r="AF235" s="4"/>
      <c r="AG235" s="4"/>
    </row>
    <row r="236" spans="25:33" ht="13.5" hidden="1" customHeight="1" x14ac:dyDescent="0.2">
      <c r="Y236" s="4"/>
      <c r="Z236" s="4"/>
      <c r="AA236" s="4"/>
      <c r="AB236" s="4"/>
      <c r="AC236" s="4"/>
      <c r="AD236" s="4"/>
      <c r="AE236" s="4"/>
      <c r="AF236" s="4"/>
      <c r="AG236" s="4"/>
    </row>
    <row r="237" spans="25:33" ht="12.75" hidden="1" customHeight="1" x14ac:dyDescent="0.2">
      <c r="Y237" s="4"/>
      <c r="Z237" s="4"/>
      <c r="AA237" s="4"/>
      <c r="AB237" s="4"/>
      <c r="AC237" s="4"/>
      <c r="AD237" s="4"/>
      <c r="AE237" s="4"/>
      <c r="AF237" s="4"/>
      <c r="AG237" s="4"/>
    </row>
    <row r="238" spans="25:33" ht="12.75" hidden="1" customHeight="1" x14ac:dyDescent="0.2">
      <c r="Y238" s="4"/>
      <c r="Z238" s="4"/>
      <c r="AA238" s="4"/>
      <c r="AB238" s="4"/>
      <c r="AC238" s="4"/>
      <c r="AD238" s="4"/>
      <c r="AE238" s="4"/>
      <c r="AF238" s="4"/>
      <c r="AG238" s="4"/>
    </row>
    <row r="239" spans="25:33" ht="12.75" hidden="1" customHeight="1" x14ac:dyDescent="0.2">
      <c r="Y239" s="4"/>
      <c r="Z239" s="4"/>
      <c r="AA239" s="4"/>
      <c r="AB239" s="4"/>
      <c r="AC239" s="4"/>
      <c r="AD239" s="4"/>
      <c r="AE239" s="4"/>
      <c r="AF239" s="4"/>
      <c r="AG239" s="4"/>
    </row>
    <row r="240" spans="25:33" ht="12.75" hidden="1" customHeight="1" x14ac:dyDescent="0.2">
      <c r="Y240" s="4"/>
      <c r="Z240" s="4"/>
      <c r="AA240" s="4"/>
      <c r="AB240" s="4"/>
      <c r="AC240" s="4"/>
      <c r="AD240" s="4"/>
      <c r="AE240" s="4"/>
      <c r="AF240" s="4"/>
      <c r="AG240" s="4"/>
    </row>
    <row r="241" spans="25:33" ht="12.75" hidden="1" customHeight="1" x14ac:dyDescent="0.2">
      <c r="Y241" s="4"/>
      <c r="Z241" s="4"/>
      <c r="AA241" s="4"/>
      <c r="AB241" s="4"/>
      <c r="AC241" s="4"/>
      <c r="AD241" s="4"/>
      <c r="AE241" s="4"/>
      <c r="AF241" s="4"/>
      <c r="AG241" s="4"/>
    </row>
    <row r="242" spans="25:33" ht="12.75" hidden="1" customHeight="1" x14ac:dyDescent="0.2">
      <c r="Y242" s="4"/>
      <c r="Z242" s="4"/>
      <c r="AA242" s="4"/>
      <c r="AB242" s="4"/>
      <c r="AC242" s="4"/>
      <c r="AD242" s="4"/>
      <c r="AE242" s="4"/>
      <c r="AF242" s="4"/>
      <c r="AG242" s="4"/>
    </row>
    <row r="243" spans="25:33" ht="12.75" hidden="1" customHeight="1" x14ac:dyDescent="0.2">
      <c r="Y243" s="4"/>
      <c r="Z243" s="4"/>
      <c r="AA243" s="4"/>
      <c r="AB243" s="4"/>
      <c r="AC243" s="4"/>
      <c r="AD243" s="4"/>
      <c r="AE243" s="4"/>
      <c r="AF243" s="4"/>
      <c r="AG243" s="4"/>
    </row>
    <row r="244" spans="25:33" ht="12.75" hidden="1" customHeight="1" x14ac:dyDescent="0.2">
      <c r="Y244" s="4"/>
      <c r="Z244" s="4"/>
      <c r="AA244" s="4"/>
      <c r="AB244" s="4"/>
      <c r="AC244" s="4"/>
      <c r="AD244" s="4"/>
      <c r="AE244" s="4"/>
      <c r="AF244" s="4"/>
      <c r="AG244" s="4"/>
    </row>
    <row r="245" spans="25:33" ht="12.75" hidden="1" customHeight="1" x14ac:dyDescent="0.2">
      <c r="Y245" s="4"/>
      <c r="Z245" s="4"/>
      <c r="AA245" s="4"/>
      <c r="AB245" s="4"/>
      <c r="AC245" s="4"/>
      <c r="AD245" s="4"/>
      <c r="AE245" s="4"/>
      <c r="AF245" s="4"/>
      <c r="AG245" s="4"/>
    </row>
    <row r="246" spans="25:33" ht="12.75" hidden="1" customHeight="1" x14ac:dyDescent="0.2">
      <c r="Y246" s="4"/>
      <c r="Z246" s="4"/>
      <c r="AA246" s="4"/>
      <c r="AB246" s="4"/>
      <c r="AC246" s="4"/>
      <c r="AD246" s="4"/>
      <c r="AE246" s="4"/>
      <c r="AF246" s="4"/>
      <c r="AG246" s="4"/>
    </row>
    <row r="247" spans="25:33" ht="12.75" hidden="1" customHeight="1" x14ac:dyDescent="0.2">
      <c r="Y247" s="4"/>
      <c r="Z247" s="4"/>
      <c r="AA247" s="4"/>
      <c r="AB247" s="4"/>
      <c r="AC247" s="4"/>
      <c r="AD247" s="4"/>
      <c r="AE247" s="4"/>
      <c r="AF247" s="4"/>
      <c r="AG247" s="4"/>
    </row>
    <row r="248" spans="25:33" ht="12.75" hidden="1" customHeight="1" x14ac:dyDescent="0.2">
      <c r="Y248" s="4"/>
      <c r="Z248" s="4"/>
      <c r="AA248" s="4"/>
      <c r="AB248" s="4"/>
      <c r="AC248" s="4"/>
      <c r="AD248" s="4"/>
      <c r="AE248" s="4"/>
      <c r="AF248" s="4"/>
      <c r="AG248" s="4"/>
    </row>
    <row r="249" spans="25:33" ht="12.75" hidden="1" customHeight="1" x14ac:dyDescent="0.2">
      <c r="Y249" s="4"/>
      <c r="Z249" s="4"/>
      <c r="AA249" s="4"/>
      <c r="AB249" s="4"/>
      <c r="AC249" s="4"/>
      <c r="AD249" s="4"/>
      <c r="AE249" s="4"/>
      <c r="AF249" s="4"/>
      <c r="AG249" s="4"/>
    </row>
    <row r="250" spans="25:33" ht="12.75" hidden="1" customHeight="1" x14ac:dyDescent="0.2">
      <c r="Y250" s="4"/>
      <c r="Z250" s="4"/>
      <c r="AA250" s="4"/>
      <c r="AB250" s="4"/>
      <c r="AC250" s="4"/>
      <c r="AD250" s="4"/>
      <c r="AE250" s="4"/>
      <c r="AF250" s="4"/>
      <c r="AG250" s="4"/>
    </row>
    <row r="251" spans="25:33" ht="12.75" hidden="1" customHeight="1" x14ac:dyDescent="0.2">
      <c r="Y251" s="4"/>
      <c r="Z251" s="4"/>
      <c r="AA251" s="4"/>
      <c r="AB251" s="4"/>
      <c r="AC251" s="4"/>
      <c r="AD251" s="4"/>
      <c r="AE251" s="4"/>
      <c r="AF251" s="4"/>
      <c r="AG251" s="4"/>
    </row>
    <row r="252" spans="25:33" ht="12.75" hidden="1" customHeight="1" x14ac:dyDescent="0.2">
      <c r="Y252" s="4"/>
      <c r="Z252" s="4"/>
      <c r="AA252" s="4"/>
      <c r="AB252" s="4"/>
      <c r="AC252" s="4"/>
      <c r="AD252" s="4"/>
      <c r="AE252" s="4"/>
      <c r="AF252" s="4"/>
      <c r="AG252" s="4"/>
    </row>
    <row r="253" spans="25:33" ht="12.75" hidden="1" customHeight="1" x14ac:dyDescent="0.2">
      <c r="Y253" s="4"/>
      <c r="Z253" s="4"/>
      <c r="AA253" s="4"/>
      <c r="AB253" s="4"/>
      <c r="AC253" s="4"/>
      <c r="AD253" s="4"/>
      <c r="AE253" s="4"/>
      <c r="AF253" s="4"/>
      <c r="AG253" s="4"/>
    </row>
    <row r="254" spans="25:33" ht="12.75" hidden="1" customHeight="1" x14ac:dyDescent="0.2">
      <c r="Y254" s="4"/>
      <c r="Z254" s="4"/>
      <c r="AA254" s="4"/>
      <c r="AB254" s="4"/>
      <c r="AC254" s="4"/>
      <c r="AD254" s="4"/>
      <c r="AE254" s="4"/>
      <c r="AF254" s="4"/>
      <c r="AG254" s="4"/>
    </row>
    <row r="255" spans="25:33" ht="12.75" hidden="1" customHeight="1" x14ac:dyDescent="0.2">
      <c r="Y255" s="4"/>
      <c r="Z255" s="4"/>
      <c r="AA255" s="4"/>
      <c r="AB255" s="4"/>
      <c r="AC255" s="4"/>
      <c r="AD255" s="4"/>
      <c r="AE255" s="4"/>
      <c r="AF255" s="4"/>
      <c r="AG255" s="4"/>
    </row>
    <row r="256" spans="25:33" ht="12.75" hidden="1" customHeight="1" x14ac:dyDescent="0.2">
      <c r="Y256" s="4"/>
      <c r="Z256" s="4"/>
      <c r="AA256" s="4"/>
      <c r="AB256" s="4"/>
      <c r="AC256" s="4"/>
      <c r="AD256" s="4"/>
      <c r="AE256" s="4"/>
      <c r="AF256" s="4"/>
      <c r="AG256" s="4"/>
    </row>
    <row r="257" spans="25:33" ht="12.75" hidden="1" customHeight="1" x14ac:dyDescent="0.2">
      <c r="Y257" s="4"/>
      <c r="Z257" s="4"/>
      <c r="AA257" s="4"/>
      <c r="AB257" s="4"/>
      <c r="AC257" s="4"/>
      <c r="AD257" s="4"/>
      <c r="AE257" s="4"/>
      <c r="AF257" s="4"/>
      <c r="AG257" s="4"/>
    </row>
    <row r="258" spans="25:33" ht="12.75" hidden="1" customHeight="1" x14ac:dyDescent="0.2">
      <c r="Y258" s="4"/>
      <c r="Z258" s="4"/>
      <c r="AA258" s="4"/>
      <c r="AB258" s="4"/>
      <c r="AC258" s="4"/>
      <c r="AD258" s="4"/>
      <c r="AE258" s="4"/>
      <c r="AF258" s="4"/>
      <c r="AG258" s="4"/>
    </row>
    <row r="259" spans="25:33" ht="12.75" hidden="1" customHeight="1" x14ac:dyDescent="0.2">
      <c r="Y259" s="4"/>
      <c r="Z259" s="4"/>
      <c r="AA259" s="4"/>
      <c r="AB259" s="4"/>
      <c r="AC259" s="4"/>
      <c r="AD259" s="4"/>
      <c r="AE259" s="4"/>
      <c r="AF259" s="4"/>
      <c r="AG259" s="4"/>
    </row>
    <row r="260" spans="25:33" ht="12.75" hidden="1" customHeight="1" x14ac:dyDescent="0.2">
      <c r="Y260" s="4"/>
      <c r="Z260" s="4"/>
      <c r="AA260" s="4"/>
      <c r="AB260" s="4"/>
      <c r="AC260" s="4"/>
      <c r="AD260" s="4"/>
      <c r="AE260" s="4"/>
      <c r="AF260" s="4"/>
      <c r="AG260" s="4"/>
    </row>
    <row r="261" spans="25:33" ht="12.75" hidden="1" customHeight="1" x14ac:dyDescent="0.2">
      <c r="Y261" s="4"/>
      <c r="Z261" s="4"/>
      <c r="AA261" s="4"/>
      <c r="AB261" s="4"/>
      <c r="AC261" s="4"/>
      <c r="AD261" s="4"/>
      <c r="AE261" s="4"/>
      <c r="AF261" s="4"/>
      <c r="AG261" s="4"/>
    </row>
    <row r="262" spans="25:33" ht="12.75" hidden="1" customHeight="1" x14ac:dyDescent="0.2">
      <c r="Y262" s="4"/>
      <c r="Z262" s="4"/>
      <c r="AA262" s="4"/>
      <c r="AB262" s="4"/>
      <c r="AC262" s="4"/>
      <c r="AD262" s="4"/>
      <c r="AE262" s="4"/>
      <c r="AF262" s="4"/>
      <c r="AG262" s="4"/>
    </row>
    <row r="263" spans="25:33" ht="12.75" hidden="1" customHeight="1" x14ac:dyDescent="0.2">
      <c r="Y263" s="4"/>
      <c r="Z263" s="4"/>
      <c r="AA263" s="4"/>
      <c r="AB263" s="4"/>
      <c r="AC263" s="4"/>
      <c r="AD263" s="4"/>
      <c r="AE263" s="4"/>
      <c r="AF263" s="4"/>
      <c r="AG263" s="4"/>
    </row>
    <row r="264" spans="25:33" ht="12.75" hidden="1" customHeight="1" x14ac:dyDescent="0.2">
      <c r="Y264" s="4"/>
      <c r="Z264" s="4"/>
      <c r="AA264" s="4"/>
      <c r="AB264" s="4"/>
      <c r="AC264" s="4"/>
      <c r="AD264" s="4"/>
      <c r="AE264" s="4"/>
      <c r="AF264" s="4"/>
      <c r="AG264" s="4"/>
    </row>
    <row r="265" spans="25:33" ht="12.75" hidden="1" customHeight="1" x14ac:dyDescent="0.2">
      <c r="Y265" s="4"/>
      <c r="Z265" s="4"/>
      <c r="AA265" s="4"/>
      <c r="AB265" s="4"/>
      <c r="AC265" s="4"/>
      <c r="AD265" s="4"/>
      <c r="AE265" s="4"/>
      <c r="AF265" s="4"/>
      <c r="AG265" s="4"/>
    </row>
    <row r="266" spans="25:33" ht="12.75" hidden="1" customHeight="1" x14ac:dyDescent="0.2">
      <c r="Y266" s="4"/>
      <c r="Z266" s="4"/>
      <c r="AA266" s="4"/>
      <c r="AB266" s="4"/>
      <c r="AC266" s="4"/>
      <c r="AD266" s="4"/>
      <c r="AE266" s="4"/>
      <c r="AF266" s="4"/>
      <c r="AG266" s="4"/>
    </row>
    <row r="267" spans="25:33" hidden="1" x14ac:dyDescent="0.2">
      <c r="Y267" s="4"/>
      <c r="Z267" s="4"/>
      <c r="AA267" s="4"/>
      <c r="AB267" s="4"/>
      <c r="AC267" s="4"/>
      <c r="AD267" s="4"/>
      <c r="AE267" s="4"/>
      <c r="AF267" s="4"/>
      <c r="AG267" s="4"/>
    </row>
    <row r="268" spans="25:33" hidden="1" x14ac:dyDescent="0.2">
      <c r="Y268" s="4"/>
      <c r="Z268" s="4"/>
      <c r="AA268" s="4"/>
      <c r="AB268" s="4"/>
      <c r="AC268" s="4"/>
      <c r="AD268" s="4"/>
      <c r="AE268" s="4"/>
      <c r="AF268" s="4"/>
      <c r="AG268" s="4"/>
    </row>
    <row r="269" spans="25:33" ht="14.25" hidden="1" customHeight="1" x14ac:dyDescent="0.2">
      <c r="Y269" s="4"/>
      <c r="Z269" s="4"/>
      <c r="AA269" s="4"/>
      <c r="AB269" s="4"/>
      <c r="AC269" s="4"/>
      <c r="AD269" s="4"/>
      <c r="AE269" s="4"/>
      <c r="AF269" s="4"/>
      <c r="AG269" s="4"/>
    </row>
    <row r="270" spans="25:33" ht="13.5" hidden="1" customHeight="1" x14ac:dyDescent="0.2">
      <c r="Y270" s="4"/>
      <c r="Z270" s="4"/>
      <c r="AA270" s="4"/>
      <c r="AB270" s="4"/>
      <c r="AC270" s="4"/>
      <c r="AD270" s="4"/>
      <c r="AE270" s="4"/>
      <c r="AF270" s="4"/>
      <c r="AG270" s="4"/>
    </row>
    <row r="271" spans="25:33" ht="12.75" hidden="1" customHeight="1" x14ac:dyDescent="0.2">
      <c r="Y271" s="4"/>
      <c r="Z271" s="4"/>
      <c r="AA271" s="4"/>
      <c r="AB271" s="4"/>
      <c r="AC271" s="4"/>
      <c r="AD271" s="4"/>
      <c r="AE271" s="4"/>
      <c r="AF271" s="4"/>
      <c r="AG271" s="4"/>
    </row>
    <row r="272" spans="25:33" ht="12.75" hidden="1" customHeight="1" x14ac:dyDescent="0.2">
      <c r="Y272" s="4"/>
      <c r="Z272" s="4"/>
      <c r="AA272" s="4"/>
      <c r="AB272" s="4"/>
      <c r="AC272" s="4"/>
      <c r="AD272" s="4"/>
      <c r="AE272" s="4"/>
      <c r="AF272" s="4"/>
      <c r="AG272" s="4"/>
    </row>
    <row r="273" spans="25:33" ht="12.75" hidden="1" customHeight="1" x14ac:dyDescent="0.2">
      <c r="Y273" s="4"/>
      <c r="Z273" s="4"/>
      <c r="AA273" s="4"/>
      <c r="AB273" s="4"/>
      <c r="AC273" s="4"/>
      <c r="AD273" s="4"/>
      <c r="AE273" s="4"/>
      <c r="AF273" s="4"/>
      <c r="AG273" s="4"/>
    </row>
    <row r="274" spans="25:33" ht="12.75" hidden="1" customHeight="1" x14ac:dyDescent="0.2">
      <c r="Y274" s="4"/>
      <c r="Z274" s="4"/>
      <c r="AA274" s="4"/>
      <c r="AB274" s="4"/>
      <c r="AC274" s="4"/>
      <c r="AD274" s="4"/>
      <c r="AE274" s="4"/>
      <c r="AF274" s="4"/>
      <c r="AG274" s="4"/>
    </row>
    <row r="275" spans="25:33" ht="12.75" hidden="1" customHeight="1" x14ac:dyDescent="0.2">
      <c r="Y275" s="4"/>
      <c r="Z275" s="4"/>
      <c r="AA275" s="4"/>
      <c r="AB275" s="4"/>
      <c r="AC275" s="4"/>
      <c r="AD275" s="4"/>
      <c r="AE275" s="4"/>
      <c r="AF275" s="4"/>
      <c r="AG275" s="4"/>
    </row>
    <row r="276" spans="25:33" ht="12.75" hidden="1" customHeight="1" x14ac:dyDescent="0.2">
      <c r="Y276" s="4"/>
      <c r="Z276" s="4"/>
      <c r="AA276" s="4"/>
      <c r="AB276" s="4"/>
      <c r="AC276" s="4"/>
      <c r="AD276" s="4"/>
      <c r="AE276" s="4"/>
      <c r="AF276" s="4"/>
      <c r="AG276" s="4"/>
    </row>
    <row r="277" spans="25:33" ht="12.75" hidden="1" customHeight="1" x14ac:dyDescent="0.2">
      <c r="Y277" s="4"/>
      <c r="Z277" s="4"/>
      <c r="AA277" s="4"/>
      <c r="AB277" s="4"/>
      <c r="AC277" s="4"/>
      <c r="AD277" s="4"/>
      <c r="AE277" s="4"/>
      <c r="AF277" s="4"/>
      <c r="AG277" s="4"/>
    </row>
    <row r="278" spans="25:33" ht="12.75" hidden="1" customHeight="1" x14ac:dyDescent="0.2">
      <c r="Y278" s="4"/>
      <c r="Z278" s="4"/>
      <c r="AA278" s="4"/>
      <c r="AB278" s="4"/>
      <c r="AC278" s="4"/>
      <c r="AD278" s="4"/>
      <c r="AE278" s="4"/>
      <c r="AF278" s="4"/>
      <c r="AG278" s="4"/>
    </row>
    <row r="279" spans="25:33" ht="12.75" hidden="1" customHeight="1" x14ac:dyDescent="0.2">
      <c r="Y279" s="4"/>
      <c r="Z279" s="4"/>
      <c r="AA279" s="4"/>
      <c r="AB279" s="4"/>
      <c r="AC279" s="4"/>
      <c r="AD279" s="4"/>
      <c r="AE279" s="4"/>
      <c r="AF279" s="4"/>
      <c r="AG279" s="4"/>
    </row>
    <row r="280" spans="25:33" ht="12.75" hidden="1" customHeight="1" x14ac:dyDescent="0.2">
      <c r="Y280" s="4"/>
      <c r="Z280" s="4"/>
      <c r="AA280" s="4"/>
      <c r="AB280" s="4"/>
      <c r="AC280" s="4"/>
      <c r="AD280" s="4"/>
      <c r="AE280" s="4"/>
      <c r="AF280" s="4"/>
      <c r="AG280" s="4"/>
    </row>
    <row r="281" spans="25:33" ht="12.75" hidden="1" customHeight="1" x14ac:dyDescent="0.2">
      <c r="Y281" s="4"/>
      <c r="Z281" s="4"/>
      <c r="AA281" s="4"/>
      <c r="AB281" s="4"/>
      <c r="AC281" s="4"/>
      <c r="AD281" s="4"/>
      <c r="AE281" s="4"/>
      <c r="AF281" s="4"/>
      <c r="AG281" s="4"/>
    </row>
    <row r="282" spans="25:33" ht="12.75" hidden="1" customHeight="1" x14ac:dyDescent="0.2">
      <c r="Y282" s="4"/>
      <c r="Z282" s="4"/>
      <c r="AA282" s="4"/>
      <c r="AB282" s="4"/>
      <c r="AC282" s="4"/>
      <c r="AD282" s="4"/>
      <c r="AE282" s="4"/>
      <c r="AF282" s="4"/>
      <c r="AG282" s="4"/>
    </row>
    <row r="283" spans="25:33" ht="12.75" hidden="1" customHeight="1" x14ac:dyDescent="0.2">
      <c r="Y283" s="4"/>
      <c r="Z283" s="4"/>
      <c r="AA283" s="4"/>
      <c r="AB283" s="4"/>
      <c r="AC283" s="4"/>
      <c r="AD283" s="4"/>
      <c r="AE283" s="4"/>
      <c r="AF283" s="4"/>
      <c r="AG283" s="4"/>
    </row>
    <row r="284" spans="25:33" ht="12.75" hidden="1" customHeight="1" x14ac:dyDescent="0.2">
      <c r="Y284" s="4"/>
      <c r="Z284" s="4"/>
      <c r="AA284" s="4"/>
      <c r="AB284" s="4"/>
      <c r="AC284" s="4"/>
      <c r="AD284" s="4"/>
      <c r="AE284" s="4"/>
      <c r="AF284" s="4"/>
      <c r="AG284" s="4"/>
    </row>
    <row r="285" spans="25:33" ht="12.75" hidden="1" customHeight="1" x14ac:dyDescent="0.2">
      <c r="Y285" s="4"/>
      <c r="Z285" s="4"/>
      <c r="AA285" s="4"/>
      <c r="AB285" s="4"/>
      <c r="AC285" s="4"/>
      <c r="AD285" s="4"/>
      <c r="AE285" s="4"/>
      <c r="AF285" s="4"/>
      <c r="AG285" s="4"/>
    </row>
    <row r="286" spans="25:33" ht="12.75" hidden="1" customHeight="1" x14ac:dyDescent="0.2">
      <c r="Y286" s="4"/>
      <c r="Z286" s="4"/>
      <c r="AA286" s="4"/>
      <c r="AB286" s="4"/>
      <c r="AC286" s="4"/>
      <c r="AD286" s="4"/>
      <c r="AE286" s="4"/>
      <c r="AF286" s="4"/>
      <c r="AG286" s="4"/>
    </row>
    <row r="287" spans="25:33" ht="12.75" hidden="1" customHeight="1" x14ac:dyDescent="0.2">
      <c r="Y287" s="4"/>
      <c r="Z287" s="4"/>
      <c r="AA287" s="4"/>
      <c r="AB287" s="4"/>
      <c r="AC287" s="4"/>
      <c r="AD287" s="4"/>
      <c r="AE287" s="4"/>
      <c r="AF287" s="4"/>
      <c r="AG287" s="4"/>
    </row>
    <row r="288" spans="25:33" ht="12.75" hidden="1" customHeight="1" x14ac:dyDescent="0.2">
      <c r="Y288" s="4"/>
      <c r="Z288" s="4"/>
      <c r="AA288" s="4"/>
      <c r="AB288" s="4"/>
      <c r="AC288" s="4"/>
      <c r="AD288" s="4"/>
      <c r="AE288" s="4"/>
      <c r="AF288" s="4"/>
      <c r="AG288" s="4"/>
    </row>
    <row r="289" spans="25:33" ht="12.75" hidden="1" customHeight="1" x14ac:dyDescent="0.2">
      <c r="Y289" s="4"/>
      <c r="Z289" s="4"/>
      <c r="AA289" s="4"/>
      <c r="AB289" s="4"/>
      <c r="AC289" s="4"/>
      <c r="AD289" s="4"/>
      <c r="AE289" s="4"/>
      <c r="AF289" s="4"/>
      <c r="AG289" s="4"/>
    </row>
    <row r="290" spans="25:33" ht="12.75" hidden="1" customHeight="1" x14ac:dyDescent="0.2">
      <c r="Y290" s="4"/>
      <c r="Z290" s="4"/>
      <c r="AA290" s="4"/>
      <c r="AB290" s="4"/>
      <c r="AC290" s="4"/>
      <c r="AD290" s="4"/>
      <c r="AE290" s="4"/>
      <c r="AF290" s="4"/>
      <c r="AG290" s="4"/>
    </row>
    <row r="291" spans="25:33" ht="12.75" hidden="1" customHeight="1" x14ac:dyDescent="0.2">
      <c r="Y291" s="4"/>
      <c r="Z291" s="4"/>
      <c r="AA291" s="4"/>
      <c r="AB291" s="4"/>
      <c r="AC291" s="4"/>
      <c r="AD291" s="4"/>
      <c r="AE291" s="4"/>
      <c r="AF291" s="4"/>
      <c r="AG291" s="4"/>
    </row>
    <row r="292" spans="25:33" ht="12.75" hidden="1" customHeight="1" x14ac:dyDescent="0.2">
      <c r="Y292" s="4"/>
      <c r="Z292" s="4"/>
      <c r="AA292" s="4"/>
      <c r="AB292" s="4"/>
      <c r="AC292" s="4"/>
      <c r="AD292" s="4"/>
      <c r="AE292" s="4"/>
      <c r="AF292" s="4"/>
      <c r="AG292" s="4"/>
    </row>
    <row r="293" spans="25:33" ht="12.75" hidden="1" customHeight="1" x14ac:dyDescent="0.2">
      <c r="Y293" s="4"/>
      <c r="Z293" s="4"/>
      <c r="AA293" s="4"/>
      <c r="AB293" s="4"/>
      <c r="AC293" s="4"/>
      <c r="AD293" s="4"/>
      <c r="AE293" s="4"/>
      <c r="AF293" s="4"/>
      <c r="AG293" s="4"/>
    </row>
    <row r="294" spans="25:33" ht="12.75" hidden="1" customHeight="1" x14ac:dyDescent="0.2">
      <c r="Y294" s="4"/>
      <c r="Z294" s="4"/>
      <c r="AA294" s="4"/>
      <c r="AB294" s="4"/>
      <c r="AC294" s="4"/>
      <c r="AD294" s="4"/>
      <c r="AE294" s="4"/>
      <c r="AF294" s="4"/>
      <c r="AG294" s="4"/>
    </row>
    <row r="295" spans="25:33" ht="12.75" hidden="1" customHeight="1" x14ac:dyDescent="0.2">
      <c r="Y295" s="4"/>
      <c r="Z295" s="4"/>
      <c r="AA295" s="4"/>
      <c r="AB295" s="4"/>
      <c r="AC295" s="4"/>
      <c r="AD295" s="4"/>
      <c r="AE295" s="4"/>
      <c r="AF295" s="4"/>
      <c r="AG295" s="4"/>
    </row>
    <row r="296" spans="25:33" ht="12.75" hidden="1" customHeight="1" x14ac:dyDescent="0.2">
      <c r="Y296" s="4"/>
      <c r="Z296" s="4"/>
      <c r="AA296" s="4"/>
      <c r="AB296" s="4"/>
      <c r="AC296" s="4"/>
      <c r="AD296" s="4"/>
      <c r="AE296" s="4"/>
      <c r="AF296" s="4"/>
      <c r="AG296" s="4"/>
    </row>
    <row r="297" spans="25:33" ht="12.75" hidden="1" customHeight="1" x14ac:dyDescent="0.2">
      <c r="Y297" s="4"/>
      <c r="Z297" s="4"/>
      <c r="AA297" s="4"/>
      <c r="AB297" s="4"/>
      <c r="AC297" s="4"/>
      <c r="AD297" s="4"/>
      <c r="AE297" s="4"/>
      <c r="AF297" s="4"/>
      <c r="AG297" s="4"/>
    </row>
    <row r="298" spans="25:33" ht="12.75" hidden="1" customHeight="1" x14ac:dyDescent="0.2">
      <c r="Y298" s="4"/>
      <c r="Z298" s="4"/>
      <c r="AA298" s="4"/>
      <c r="AB298" s="4"/>
      <c r="AC298" s="4"/>
      <c r="AD298" s="4"/>
      <c r="AE298" s="4"/>
      <c r="AF298" s="4"/>
      <c r="AG298" s="4"/>
    </row>
    <row r="299" spans="25:33" ht="12.75" hidden="1" customHeight="1" x14ac:dyDescent="0.2">
      <c r="Y299" s="4"/>
      <c r="Z299" s="4"/>
      <c r="AA299" s="4"/>
      <c r="AB299" s="4"/>
      <c r="AC299" s="4"/>
      <c r="AD299" s="4"/>
      <c r="AE299" s="4"/>
      <c r="AF299" s="4"/>
      <c r="AG299" s="4"/>
    </row>
    <row r="300" spans="25:33" ht="12.75" hidden="1" customHeight="1" x14ac:dyDescent="0.2">
      <c r="Y300" s="4"/>
      <c r="Z300" s="4"/>
      <c r="AA300" s="4"/>
      <c r="AB300" s="4"/>
      <c r="AC300" s="4"/>
      <c r="AD300" s="4"/>
      <c r="AE300" s="4"/>
      <c r="AF300" s="4"/>
      <c r="AG300" s="4"/>
    </row>
    <row r="301" spans="25:33" hidden="1" x14ac:dyDescent="0.2">
      <c r="Y301" s="4"/>
      <c r="Z301" s="4"/>
      <c r="AA301" s="4"/>
      <c r="AB301" s="4"/>
      <c r="AC301" s="4"/>
      <c r="AD301" s="4"/>
      <c r="AE301" s="4"/>
      <c r="AF301" s="4"/>
      <c r="AG301" s="4"/>
    </row>
    <row r="302" spans="25:33" hidden="1" x14ac:dyDescent="0.2">
      <c r="Y302" s="4"/>
      <c r="Z302" s="4"/>
      <c r="AA302" s="4"/>
      <c r="AB302" s="4"/>
      <c r="AC302" s="4"/>
      <c r="AD302" s="4"/>
      <c r="AE302" s="4"/>
      <c r="AF302" s="4"/>
      <c r="AG302" s="4"/>
    </row>
    <row r="303" spans="25:33" ht="14.25" hidden="1" customHeight="1" x14ac:dyDescent="0.2">
      <c r="Y303" s="4"/>
      <c r="Z303" s="4"/>
      <c r="AA303" s="4"/>
      <c r="AB303" s="4"/>
      <c r="AC303" s="4"/>
      <c r="AD303" s="4"/>
      <c r="AE303" s="4"/>
      <c r="AF303" s="4"/>
      <c r="AG303" s="4"/>
    </row>
    <row r="304" spans="25:33" ht="13.5" hidden="1" customHeight="1" x14ac:dyDescent="0.2">
      <c r="Y304" s="4"/>
      <c r="Z304" s="4"/>
      <c r="AA304" s="4"/>
      <c r="AB304" s="4"/>
      <c r="AC304" s="4"/>
      <c r="AD304" s="4"/>
      <c r="AE304" s="4"/>
      <c r="AF304" s="4"/>
      <c r="AG304" s="4"/>
    </row>
    <row r="305" spans="25:33" ht="12.75" hidden="1" customHeight="1" x14ac:dyDescent="0.2">
      <c r="Y305" s="4"/>
      <c r="Z305" s="4"/>
      <c r="AA305" s="4"/>
      <c r="AB305" s="4"/>
      <c r="AC305" s="4"/>
      <c r="AD305" s="4"/>
      <c r="AE305" s="4"/>
      <c r="AF305" s="4"/>
      <c r="AG305" s="4"/>
    </row>
    <row r="306" spans="25:33" ht="12.75" hidden="1" customHeight="1" x14ac:dyDescent="0.2">
      <c r="Y306" s="4"/>
      <c r="Z306" s="4"/>
      <c r="AA306" s="4"/>
      <c r="AB306" s="4"/>
      <c r="AC306" s="4"/>
      <c r="AD306" s="4"/>
      <c r="AE306" s="4"/>
      <c r="AF306" s="4"/>
      <c r="AG306" s="4"/>
    </row>
    <row r="307" spans="25:33" ht="12.75" hidden="1" customHeight="1" x14ac:dyDescent="0.2">
      <c r="Y307" s="4"/>
      <c r="Z307" s="4"/>
      <c r="AA307" s="4"/>
      <c r="AB307" s="4"/>
      <c r="AC307" s="4"/>
      <c r="AD307" s="4"/>
      <c r="AE307" s="4"/>
      <c r="AF307" s="4"/>
      <c r="AG307" s="4"/>
    </row>
    <row r="308" spans="25:33" ht="12.75" hidden="1" customHeight="1" x14ac:dyDescent="0.2">
      <c r="Y308" s="4"/>
      <c r="Z308" s="4"/>
      <c r="AA308" s="4"/>
      <c r="AB308" s="4"/>
      <c r="AC308" s="4"/>
      <c r="AD308" s="4"/>
      <c r="AE308" s="4"/>
      <c r="AF308" s="4"/>
      <c r="AG308" s="4"/>
    </row>
    <row r="309" spans="25:33" ht="12.75" hidden="1" customHeight="1" x14ac:dyDescent="0.2">
      <c r="Y309" s="4"/>
      <c r="Z309" s="4"/>
      <c r="AA309" s="4"/>
      <c r="AB309" s="4"/>
      <c r="AC309" s="4"/>
      <c r="AD309" s="4"/>
      <c r="AE309" s="4"/>
      <c r="AF309" s="4"/>
      <c r="AG309" s="4"/>
    </row>
    <row r="310" spans="25:33" ht="12.75" hidden="1" customHeight="1" x14ac:dyDescent="0.2">
      <c r="Y310" s="4"/>
      <c r="Z310" s="4"/>
      <c r="AA310" s="4"/>
      <c r="AB310" s="4"/>
      <c r="AC310" s="4"/>
      <c r="AD310" s="4"/>
      <c r="AE310" s="4"/>
      <c r="AF310" s="4"/>
      <c r="AG310" s="4"/>
    </row>
    <row r="311" spans="25:33" ht="12.75" hidden="1" customHeight="1" x14ac:dyDescent="0.2">
      <c r="Y311" s="4"/>
      <c r="Z311" s="4"/>
      <c r="AA311" s="4"/>
      <c r="AB311" s="4"/>
      <c r="AC311" s="4"/>
      <c r="AD311" s="4"/>
      <c r="AE311" s="4"/>
      <c r="AF311" s="4"/>
      <c r="AG311" s="4"/>
    </row>
    <row r="312" spans="25:33" ht="12.75" hidden="1" customHeight="1" x14ac:dyDescent="0.2">
      <c r="Y312" s="4"/>
      <c r="Z312" s="4"/>
      <c r="AA312" s="4"/>
      <c r="AB312" s="4"/>
      <c r="AC312" s="4"/>
      <c r="AD312" s="4"/>
      <c r="AE312" s="4"/>
      <c r="AF312" s="4"/>
      <c r="AG312" s="4"/>
    </row>
    <row r="313" spans="25:33" ht="12.75" hidden="1" customHeight="1" x14ac:dyDescent="0.2">
      <c r="Y313" s="4"/>
      <c r="Z313" s="4"/>
      <c r="AA313" s="4"/>
      <c r="AB313" s="4"/>
      <c r="AC313" s="4"/>
      <c r="AD313" s="4"/>
      <c r="AE313" s="4"/>
      <c r="AF313" s="4"/>
      <c r="AG313" s="4"/>
    </row>
    <row r="314" spans="25:33" ht="12.75" hidden="1" customHeight="1" x14ac:dyDescent="0.2">
      <c r="Y314" s="4"/>
      <c r="Z314" s="4"/>
      <c r="AA314" s="4"/>
      <c r="AB314" s="4"/>
      <c r="AC314" s="4"/>
      <c r="AD314" s="4"/>
      <c r="AE314" s="4"/>
      <c r="AF314" s="4"/>
      <c r="AG314" s="4"/>
    </row>
    <row r="315" spans="25:33" ht="12.75" hidden="1" customHeight="1" x14ac:dyDescent="0.2">
      <c r="Y315" s="4"/>
      <c r="Z315" s="4"/>
      <c r="AA315" s="4"/>
      <c r="AB315" s="4"/>
      <c r="AC315" s="4"/>
      <c r="AD315" s="4"/>
      <c r="AE315" s="4"/>
      <c r="AF315" s="4"/>
      <c r="AG315" s="4"/>
    </row>
    <row r="316" spans="25:33" ht="12.75" hidden="1" customHeight="1" x14ac:dyDescent="0.2">
      <c r="Y316" s="4"/>
      <c r="Z316" s="4"/>
      <c r="AA316" s="4"/>
      <c r="AB316" s="4"/>
      <c r="AC316" s="4"/>
      <c r="AD316" s="4"/>
      <c r="AE316" s="4"/>
      <c r="AF316" s="4"/>
      <c r="AG316" s="4"/>
    </row>
    <row r="317" spans="25:33" ht="12.75" hidden="1" customHeight="1" x14ac:dyDescent="0.2">
      <c r="Y317" s="4"/>
      <c r="Z317" s="4"/>
      <c r="AA317" s="4"/>
      <c r="AB317" s="4"/>
      <c r="AC317" s="4"/>
      <c r="AD317" s="4"/>
      <c r="AE317" s="4"/>
      <c r="AF317" s="4"/>
      <c r="AG317" s="4"/>
    </row>
    <row r="318" spans="25:33" ht="12.75" hidden="1" customHeight="1" x14ac:dyDescent="0.2">
      <c r="Y318" s="4"/>
      <c r="Z318" s="4"/>
      <c r="AA318" s="4"/>
      <c r="AB318" s="4"/>
      <c r="AC318" s="4"/>
      <c r="AD318" s="4"/>
      <c r="AE318" s="4"/>
      <c r="AF318" s="4"/>
      <c r="AG318" s="4"/>
    </row>
    <row r="319" spans="25:33" ht="12.75" hidden="1" customHeight="1" x14ac:dyDescent="0.2">
      <c r="Y319" s="4"/>
      <c r="Z319" s="4"/>
      <c r="AA319" s="4"/>
      <c r="AB319" s="4"/>
      <c r="AC319" s="4"/>
      <c r="AD319" s="4"/>
      <c r="AE319" s="4"/>
      <c r="AF319" s="4"/>
      <c r="AG319" s="4"/>
    </row>
    <row r="320" spans="25:33" ht="12.75" hidden="1" customHeight="1" x14ac:dyDescent="0.2">
      <c r="Y320" s="4"/>
      <c r="Z320" s="4"/>
      <c r="AA320" s="4"/>
      <c r="AB320" s="4"/>
      <c r="AC320" s="4"/>
      <c r="AD320" s="4"/>
      <c r="AE320" s="4"/>
      <c r="AF320" s="4"/>
      <c r="AG320" s="4"/>
    </row>
    <row r="321" spans="25:33" ht="12.75" hidden="1" customHeight="1" x14ac:dyDescent="0.2">
      <c r="Y321" s="4"/>
      <c r="Z321" s="4"/>
      <c r="AA321" s="4"/>
      <c r="AB321" s="4"/>
      <c r="AC321" s="4"/>
      <c r="AD321" s="4"/>
      <c r="AE321" s="4"/>
      <c r="AF321" s="4"/>
      <c r="AG321" s="4"/>
    </row>
    <row r="322" spans="25:33" ht="12.75" hidden="1" customHeight="1" x14ac:dyDescent="0.2">
      <c r="Y322" s="4"/>
      <c r="Z322" s="4"/>
      <c r="AA322" s="4"/>
      <c r="AB322" s="4"/>
      <c r="AC322" s="4"/>
      <c r="AD322" s="4"/>
      <c r="AE322" s="4"/>
      <c r="AF322" s="4"/>
      <c r="AG322" s="4"/>
    </row>
    <row r="323" spans="25:33" ht="12.75" hidden="1" customHeight="1" x14ac:dyDescent="0.2">
      <c r="Y323" s="4"/>
      <c r="Z323" s="4"/>
      <c r="AA323" s="4"/>
      <c r="AB323" s="4"/>
      <c r="AC323" s="4"/>
      <c r="AD323" s="4"/>
      <c r="AE323" s="4"/>
      <c r="AF323" s="4"/>
      <c r="AG323" s="4"/>
    </row>
    <row r="324" spans="25:33" ht="12.75" hidden="1" customHeight="1" x14ac:dyDescent="0.2">
      <c r="Y324" s="4"/>
      <c r="Z324" s="4"/>
      <c r="AA324" s="4"/>
      <c r="AB324" s="4"/>
      <c r="AC324" s="4"/>
      <c r="AD324" s="4"/>
      <c r="AE324" s="4"/>
      <c r="AF324" s="4"/>
      <c r="AG324" s="4"/>
    </row>
    <row r="325" spans="25:33" ht="12.75" hidden="1" customHeight="1" x14ac:dyDescent="0.2">
      <c r="Y325" s="4"/>
      <c r="Z325" s="4"/>
      <c r="AA325" s="4"/>
      <c r="AB325" s="4"/>
      <c r="AC325" s="4"/>
      <c r="AD325" s="4"/>
      <c r="AE325" s="4"/>
      <c r="AF325" s="4"/>
      <c r="AG325" s="4"/>
    </row>
    <row r="326" spans="25:33" ht="12.75" hidden="1" customHeight="1" x14ac:dyDescent="0.2">
      <c r="Y326" s="4"/>
      <c r="Z326" s="4"/>
      <c r="AA326" s="4"/>
      <c r="AB326" s="4"/>
      <c r="AC326" s="4"/>
      <c r="AD326" s="4"/>
      <c r="AE326" s="4"/>
      <c r="AF326" s="4"/>
      <c r="AG326" s="4"/>
    </row>
    <row r="327" spans="25:33" ht="12.75" hidden="1" customHeight="1" x14ac:dyDescent="0.2">
      <c r="Y327" s="4"/>
      <c r="Z327" s="4"/>
      <c r="AA327" s="4"/>
      <c r="AB327" s="4"/>
      <c r="AC327" s="4"/>
      <c r="AD327" s="4"/>
      <c r="AE327" s="4"/>
      <c r="AF327" s="4"/>
      <c r="AG327" s="4"/>
    </row>
    <row r="328" spans="25:33" ht="12.75" hidden="1" customHeight="1" x14ac:dyDescent="0.2">
      <c r="Y328" s="4"/>
      <c r="Z328" s="4"/>
      <c r="AA328" s="4"/>
      <c r="AB328" s="4"/>
      <c r="AC328" s="4"/>
      <c r="AD328" s="4"/>
      <c r="AE328" s="4"/>
      <c r="AF328" s="4"/>
      <c r="AG328" s="4"/>
    </row>
    <row r="329" spans="25:33" ht="12.75" hidden="1" customHeight="1" x14ac:dyDescent="0.2">
      <c r="Y329" s="4"/>
      <c r="Z329" s="4"/>
      <c r="AA329" s="4"/>
      <c r="AB329" s="4"/>
      <c r="AC329" s="4"/>
      <c r="AD329" s="4"/>
      <c r="AE329" s="4"/>
      <c r="AF329" s="4"/>
      <c r="AG329" s="4"/>
    </row>
    <row r="330" spans="25:33" ht="12.75" hidden="1" customHeight="1" x14ac:dyDescent="0.2">
      <c r="Y330" s="4"/>
      <c r="Z330" s="4"/>
      <c r="AA330" s="4"/>
      <c r="AB330" s="4"/>
      <c r="AC330" s="4"/>
      <c r="AD330" s="4"/>
      <c r="AE330" s="4"/>
      <c r="AF330" s="4"/>
      <c r="AG330" s="4"/>
    </row>
    <row r="331" spans="25:33" ht="12.75" hidden="1" customHeight="1" x14ac:dyDescent="0.2">
      <c r="Y331" s="4"/>
      <c r="Z331" s="4"/>
      <c r="AA331" s="4"/>
      <c r="AB331" s="4"/>
      <c r="AC331" s="4"/>
      <c r="AD331" s="4"/>
      <c r="AE331" s="4"/>
      <c r="AF331" s="4"/>
      <c r="AG331" s="4"/>
    </row>
    <row r="332" spans="25:33" ht="12.75" hidden="1" customHeight="1" x14ac:dyDescent="0.2">
      <c r="Y332" s="4"/>
      <c r="Z332" s="4"/>
      <c r="AA332" s="4"/>
      <c r="AB332" s="4"/>
      <c r="AC332" s="4"/>
      <c r="AD332" s="4"/>
      <c r="AE332" s="4"/>
      <c r="AF332" s="4"/>
      <c r="AG332" s="4"/>
    </row>
    <row r="333" spans="25:33" ht="12.75" hidden="1" customHeight="1" x14ac:dyDescent="0.2">
      <c r="Y333" s="4"/>
      <c r="Z333" s="4"/>
      <c r="AA333" s="4"/>
      <c r="AB333" s="4"/>
      <c r="AC333" s="4"/>
      <c r="AD333" s="4"/>
      <c r="AE333" s="4"/>
      <c r="AF333" s="4"/>
      <c r="AG333" s="4"/>
    </row>
    <row r="334" spans="25:33" ht="12.75" hidden="1" customHeight="1" x14ac:dyDescent="0.2">
      <c r="Y334" s="4"/>
      <c r="Z334" s="4"/>
      <c r="AA334" s="4"/>
      <c r="AB334" s="4"/>
      <c r="AC334" s="4"/>
      <c r="AD334" s="4"/>
      <c r="AE334" s="4"/>
      <c r="AF334" s="4"/>
      <c r="AG334" s="4"/>
    </row>
    <row r="335" spans="25:33" hidden="1" x14ac:dyDescent="0.2">
      <c r="Y335" s="4"/>
      <c r="Z335" s="4"/>
      <c r="AA335" s="4"/>
      <c r="AB335" s="4"/>
      <c r="AC335" s="4"/>
      <c r="AD335" s="4"/>
      <c r="AE335" s="4"/>
      <c r="AF335" s="4"/>
      <c r="AG335" s="4"/>
    </row>
    <row r="336" spans="25:33" hidden="1" x14ac:dyDescent="0.2">
      <c r="Y336" s="4"/>
      <c r="Z336" s="4"/>
      <c r="AA336" s="4"/>
      <c r="AB336" s="4"/>
      <c r="AC336" s="4"/>
      <c r="AD336" s="4"/>
      <c r="AE336" s="4"/>
      <c r="AF336" s="4"/>
      <c r="AG336" s="4"/>
    </row>
    <row r="337" spans="25:33" hidden="1" x14ac:dyDescent="0.2">
      <c r="Y337" s="4"/>
      <c r="Z337" s="4"/>
      <c r="AA337" s="4"/>
      <c r="AB337" s="4"/>
      <c r="AC337" s="4"/>
      <c r="AD337" s="4"/>
      <c r="AE337" s="4"/>
      <c r="AF337" s="4"/>
      <c r="AG337" s="4"/>
    </row>
    <row r="338" spans="25:33" hidden="1" x14ac:dyDescent="0.2">
      <c r="Y338" s="4"/>
      <c r="Z338" s="4"/>
      <c r="AA338" s="4"/>
      <c r="AB338" s="4"/>
      <c r="AC338" s="4"/>
      <c r="AD338" s="4"/>
      <c r="AE338" s="4"/>
      <c r="AF338" s="4"/>
      <c r="AG338" s="4"/>
    </row>
    <row r="339" spans="25:33" ht="14.25" hidden="1" customHeight="1" x14ac:dyDescent="0.2">
      <c r="Y339" s="4"/>
      <c r="Z339" s="4"/>
      <c r="AA339" s="4"/>
      <c r="AB339" s="4"/>
      <c r="AC339" s="4"/>
      <c r="AD339" s="4"/>
      <c r="AE339" s="4"/>
      <c r="AF339" s="4"/>
      <c r="AG339" s="4"/>
    </row>
    <row r="340" spans="25:33" ht="13.5" hidden="1" customHeight="1" x14ac:dyDescent="0.2">
      <c r="Y340" s="4"/>
      <c r="Z340" s="4"/>
      <c r="AA340" s="4"/>
      <c r="AB340" s="4"/>
      <c r="AC340" s="4"/>
      <c r="AD340" s="4"/>
      <c r="AE340" s="4"/>
      <c r="AF340" s="4"/>
      <c r="AG340" s="4"/>
    </row>
    <row r="341" spans="25:33" ht="12.75" hidden="1" customHeight="1" x14ac:dyDescent="0.2">
      <c r="Y341" s="4"/>
      <c r="Z341" s="4"/>
      <c r="AA341" s="4"/>
      <c r="AB341" s="4"/>
      <c r="AC341" s="4"/>
      <c r="AD341" s="4"/>
      <c r="AE341" s="4"/>
      <c r="AF341" s="4"/>
      <c r="AG341" s="4"/>
    </row>
    <row r="342" spans="25:33" ht="12.75" hidden="1" customHeight="1" x14ac:dyDescent="0.2">
      <c r="Y342" s="4"/>
      <c r="Z342" s="4"/>
      <c r="AA342" s="4"/>
      <c r="AB342" s="4"/>
      <c r="AC342" s="4"/>
      <c r="AD342" s="4"/>
      <c r="AE342" s="4"/>
      <c r="AF342" s="4"/>
      <c r="AG342" s="4"/>
    </row>
    <row r="343" spans="25:33" ht="12.75" hidden="1" customHeight="1" x14ac:dyDescent="0.2">
      <c r="Y343" s="4"/>
      <c r="Z343" s="4"/>
      <c r="AA343" s="4"/>
      <c r="AB343" s="4"/>
      <c r="AC343" s="4"/>
      <c r="AD343" s="4"/>
      <c r="AE343" s="4"/>
      <c r="AF343" s="4"/>
      <c r="AG343" s="4"/>
    </row>
    <row r="344" spans="25:33" ht="12.75" hidden="1" customHeight="1" x14ac:dyDescent="0.2">
      <c r="Y344" s="4"/>
      <c r="Z344" s="4"/>
      <c r="AA344" s="4"/>
      <c r="AB344" s="4"/>
      <c r="AC344" s="4"/>
      <c r="AD344" s="4"/>
      <c r="AE344" s="4"/>
      <c r="AF344" s="4"/>
      <c r="AG344" s="4"/>
    </row>
    <row r="345" spans="25:33" ht="12.75" hidden="1" customHeight="1" x14ac:dyDescent="0.2">
      <c r="Y345" s="4"/>
      <c r="Z345" s="4"/>
      <c r="AA345" s="4"/>
      <c r="AB345" s="4"/>
      <c r="AC345" s="4"/>
      <c r="AD345" s="4"/>
      <c r="AE345" s="4"/>
      <c r="AF345" s="4"/>
      <c r="AG345" s="4"/>
    </row>
    <row r="346" spans="25:33" ht="12.75" hidden="1" customHeight="1" x14ac:dyDescent="0.2">
      <c r="Y346" s="4"/>
      <c r="Z346" s="4"/>
      <c r="AA346" s="4"/>
      <c r="AB346" s="4"/>
      <c r="AC346" s="4"/>
      <c r="AD346" s="4"/>
      <c r="AE346" s="4"/>
      <c r="AF346" s="4"/>
      <c r="AG346" s="4"/>
    </row>
    <row r="347" spans="25:33" ht="12.75" hidden="1" customHeight="1" x14ac:dyDescent="0.2">
      <c r="Y347" s="4"/>
      <c r="Z347" s="4"/>
      <c r="AA347" s="4"/>
      <c r="AB347" s="4"/>
      <c r="AC347" s="4"/>
      <c r="AD347" s="4"/>
      <c r="AE347" s="4"/>
      <c r="AF347" s="4"/>
      <c r="AG347" s="4"/>
    </row>
    <row r="348" spans="25:33" ht="12.75" hidden="1" customHeight="1" x14ac:dyDescent="0.2">
      <c r="Y348" s="4"/>
      <c r="Z348" s="4"/>
      <c r="AA348" s="4"/>
      <c r="AB348" s="4"/>
      <c r="AC348" s="4"/>
      <c r="AD348" s="4"/>
      <c r="AE348" s="4"/>
      <c r="AF348" s="4"/>
      <c r="AG348" s="4"/>
    </row>
    <row r="349" spans="25:33" ht="12.75" hidden="1" customHeight="1" x14ac:dyDescent="0.2">
      <c r="Y349" s="4"/>
      <c r="Z349" s="4"/>
      <c r="AA349" s="4"/>
      <c r="AB349" s="4"/>
      <c r="AC349" s="4"/>
      <c r="AD349" s="4"/>
      <c r="AE349" s="4"/>
      <c r="AF349" s="4"/>
      <c r="AG349" s="4"/>
    </row>
    <row r="350" spans="25:33" ht="12.75" hidden="1" customHeight="1" x14ac:dyDescent="0.2">
      <c r="Y350" s="4"/>
      <c r="Z350" s="4"/>
      <c r="AA350" s="4"/>
      <c r="AB350" s="4"/>
      <c r="AC350" s="4"/>
      <c r="AD350" s="4"/>
      <c r="AE350" s="4"/>
      <c r="AF350" s="4"/>
      <c r="AG350" s="4"/>
    </row>
    <row r="351" spans="25:33" ht="12.75" hidden="1" customHeight="1" x14ac:dyDescent="0.2">
      <c r="Y351" s="4"/>
      <c r="Z351" s="4"/>
      <c r="AA351" s="4"/>
      <c r="AB351" s="4"/>
      <c r="AC351" s="4"/>
      <c r="AD351" s="4"/>
      <c r="AE351" s="4"/>
      <c r="AF351" s="4"/>
      <c r="AG351" s="4"/>
    </row>
    <row r="352" spans="25:33" ht="12.75" hidden="1" customHeight="1" x14ac:dyDescent="0.2">
      <c r="Y352" s="4"/>
      <c r="Z352" s="4"/>
      <c r="AA352" s="4"/>
      <c r="AB352" s="4"/>
      <c r="AC352" s="4"/>
      <c r="AD352" s="4"/>
      <c r="AE352" s="4"/>
      <c r="AF352" s="4"/>
      <c r="AG352" s="4"/>
    </row>
    <row r="353" spans="25:33" ht="12.75" hidden="1" customHeight="1" x14ac:dyDescent="0.2">
      <c r="Y353" s="4"/>
      <c r="Z353" s="4"/>
      <c r="AA353" s="4"/>
      <c r="AB353" s="4"/>
      <c r="AC353" s="4"/>
      <c r="AD353" s="4"/>
      <c r="AE353" s="4"/>
      <c r="AF353" s="4"/>
      <c r="AG353" s="4"/>
    </row>
    <row r="354" spans="25:33" ht="12.75" hidden="1" customHeight="1" x14ac:dyDescent="0.2">
      <c r="Y354" s="4"/>
      <c r="Z354" s="4"/>
      <c r="AA354" s="4"/>
      <c r="AB354" s="4"/>
      <c r="AC354" s="4"/>
      <c r="AD354" s="4"/>
      <c r="AE354" s="4"/>
      <c r="AF354" s="4"/>
      <c r="AG354" s="4"/>
    </row>
    <row r="355" spans="25:33" ht="12.75" hidden="1" customHeight="1" x14ac:dyDescent="0.2">
      <c r="Y355" s="4"/>
      <c r="Z355" s="4"/>
      <c r="AA355" s="4"/>
      <c r="AB355" s="4"/>
      <c r="AC355" s="4"/>
      <c r="AD355" s="4"/>
      <c r="AE355" s="4"/>
      <c r="AF355" s="4"/>
      <c r="AG355" s="4"/>
    </row>
    <row r="356" spans="25:33" ht="12.75" hidden="1" customHeight="1" x14ac:dyDescent="0.2">
      <c r="Y356" s="4"/>
      <c r="Z356" s="4"/>
      <c r="AA356" s="4"/>
      <c r="AB356" s="4"/>
      <c r="AC356" s="4"/>
      <c r="AD356" s="4"/>
      <c r="AE356" s="4"/>
      <c r="AF356" s="4"/>
      <c r="AG356" s="4"/>
    </row>
    <row r="357" spans="25:33" ht="12.75" hidden="1" customHeight="1" x14ac:dyDescent="0.2">
      <c r="Y357" s="4"/>
      <c r="Z357" s="4"/>
      <c r="AA357" s="4"/>
      <c r="AB357" s="4"/>
      <c r="AC357" s="4"/>
      <c r="AD357" s="4"/>
      <c r="AE357" s="4"/>
      <c r="AF357" s="4"/>
      <c r="AG357" s="4"/>
    </row>
    <row r="358" spans="25:33" ht="12.75" hidden="1" customHeight="1" x14ac:dyDescent="0.2">
      <c r="Y358" s="4"/>
      <c r="Z358" s="4"/>
      <c r="AA358" s="4"/>
      <c r="AB358" s="4"/>
      <c r="AC358" s="4"/>
      <c r="AD358" s="4"/>
      <c r="AE358" s="4"/>
      <c r="AF358" s="4"/>
      <c r="AG358" s="4"/>
    </row>
    <row r="359" spans="25:33" ht="12.75" hidden="1" customHeight="1" x14ac:dyDescent="0.2">
      <c r="Y359" s="4"/>
      <c r="Z359" s="4"/>
      <c r="AA359" s="4"/>
      <c r="AB359" s="4"/>
      <c r="AC359" s="4"/>
      <c r="AD359" s="4"/>
      <c r="AE359" s="4"/>
      <c r="AF359" s="4"/>
      <c r="AG359" s="4"/>
    </row>
    <row r="360" spans="25:33" ht="12.75" hidden="1" customHeight="1" x14ac:dyDescent="0.2">
      <c r="Y360" s="4"/>
      <c r="Z360" s="4"/>
      <c r="AA360" s="4"/>
      <c r="AB360" s="4"/>
      <c r="AC360" s="4"/>
      <c r="AD360" s="4"/>
      <c r="AE360" s="4"/>
      <c r="AF360" s="4"/>
      <c r="AG360" s="4"/>
    </row>
    <row r="361" spans="25:33" ht="12.75" hidden="1" customHeight="1" x14ac:dyDescent="0.2">
      <c r="Y361" s="4"/>
      <c r="Z361" s="4"/>
      <c r="AA361" s="4"/>
      <c r="AB361" s="4"/>
      <c r="AC361" s="4"/>
      <c r="AD361" s="4"/>
      <c r="AE361" s="4"/>
      <c r="AF361" s="4"/>
      <c r="AG361" s="4"/>
    </row>
    <row r="362" spans="25:33" ht="12.75" hidden="1" customHeight="1" x14ac:dyDescent="0.2">
      <c r="Y362" s="4"/>
      <c r="Z362" s="4"/>
      <c r="AA362" s="4"/>
      <c r="AB362" s="4"/>
      <c r="AC362" s="4"/>
      <c r="AD362" s="4"/>
      <c r="AE362" s="4"/>
      <c r="AF362" s="4"/>
      <c r="AG362" s="4"/>
    </row>
    <row r="363" spans="25:33" ht="12.75" hidden="1" customHeight="1" x14ac:dyDescent="0.2">
      <c r="Y363" s="4"/>
      <c r="Z363" s="4"/>
      <c r="AA363" s="4"/>
      <c r="AB363" s="4"/>
      <c r="AC363" s="4"/>
      <c r="AD363" s="4"/>
      <c r="AE363" s="4"/>
      <c r="AF363" s="4"/>
      <c r="AG363" s="4"/>
    </row>
    <row r="364" spans="25:33" ht="12.75" hidden="1" customHeight="1" x14ac:dyDescent="0.2">
      <c r="Y364" s="4"/>
      <c r="Z364" s="4"/>
      <c r="AA364" s="4"/>
      <c r="AB364" s="4"/>
      <c r="AC364" s="4"/>
      <c r="AD364" s="4"/>
      <c r="AE364" s="4"/>
      <c r="AF364" s="4"/>
      <c r="AG364" s="4"/>
    </row>
    <row r="365" spans="25:33" ht="12.75" hidden="1" customHeight="1" x14ac:dyDescent="0.2">
      <c r="Y365" s="4"/>
      <c r="Z365" s="4"/>
      <c r="AA365" s="4"/>
      <c r="AB365" s="4"/>
      <c r="AC365" s="4"/>
      <c r="AD365" s="4"/>
      <c r="AE365" s="4"/>
      <c r="AF365" s="4"/>
      <c r="AG365" s="4"/>
    </row>
    <row r="366" spans="25:33" ht="12.75" hidden="1" customHeight="1" x14ac:dyDescent="0.2">
      <c r="Y366" s="4"/>
      <c r="Z366" s="4"/>
      <c r="AA366" s="4"/>
      <c r="AB366" s="4"/>
      <c r="AC366" s="4"/>
      <c r="AD366" s="4"/>
      <c r="AE366" s="4"/>
      <c r="AF366" s="4"/>
      <c r="AG366" s="4"/>
    </row>
    <row r="367" spans="25:33" ht="12.75" hidden="1" customHeight="1" x14ac:dyDescent="0.2">
      <c r="Y367" s="4"/>
      <c r="Z367" s="4"/>
      <c r="AA367" s="4"/>
      <c r="AB367" s="4"/>
      <c r="AC367" s="4"/>
      <c r="AD367" s="4"/>
      <c r="AE367" s="4"/>
      <c r="AF367" s="4"/>
      <c r="AG367" s="4"/>
    </row>
    <row r="368" spans="25:33" ht="12.75" hidden="1" customHeight="1" x14ac:dyDescent="0.2">
      <c r="Y368" s="4"/>
      <c r="Z368" s="4"/>
      <c r="AA368" s="4"/>
      <c r="AB368" s="4"/>
      <c r="AC368" s="4"/>
      <c r="AD368" s="4"/>
      <c r="AE368" s="4"/>
      <c r="AF368" s="4"/>
      <c r="AG368" s="4"/>
    </row>
    <row r="369" spans="25:33" ht="12.75" hidden="1" customHeight="1" x14ac:dyDescent="0.2">
      <c r="Y369" s="4"/>
      <c r="Z369" s="4"/>
      <c r="AA369" s="4"/>
      <c r="AB369" s="4"/>
      <c r="AC369" s="4"/>
      <c r="AD369" s="4"/>
      <c r="AE369" s="4"/>
      <c r="AF369" s="4"/>
      <c r="AG369" s="4"/>
    </row>
    <row r="370" spans="25:33" ht="12.75" hidden="1" customHeight="1" x14ac:dyDescent="0.2">
      <c r="Y370" s="4"/>
      <c r="Z370" s="4"/>
      <c r="AA370" s="4"/>
      <c r="AB370" s="4"/>
      <c r="AC370" s="4"/>
      <c r="AD370" s="4"/>
      <c r="AE370" s="4"/>
      <c r="AF370" s="4"/>
      <c r="AG370" s="4"/>
    </row>
    <row r="371" spans="25:33" hidden="1" x14ac:dyDescent="0.2">
      <c r="Y371" s="4"/>
      <c r="Z371" s="4"/>
      <c r="AA371" s="4"/>
      <c r="AB371" s="4"/>
      <c r="AC371" s="4"/>
      <c r="AD371" s="4"/>
      <c r="AE371" s="4"/>
      <c r="AF371" s="4"/>
      <c r="AG371" s="4"/>
    </row>
    <row r="372" spans="25:33" hidden="1" x14ac:dyDescent="0.2">
      <c r="Y372" s="4"/>
      <c r="Z372" s="4"/>
      <c r="AA372" s="4"/>
      <c r="AB372" s="4"/>
      <c r="AC372" s="4"/>
      <c r="AD372" s="4"/>
      <c r="AE372" s="4"/>
      <c r="AF372" s="4"/>
      <c r="AG372" s="4"/>
    </row>
    <row r="373" spans="25:33" hidden="1" x14ac:dyDescent="0.2">
      <c r="Y373" s="4"/>
      <c r="Z373" s="4"/>
      <c r="AA373" s="4"/>
      <c r="AB373" s="4"/>
      <c r="AC373" s="4"/>
      <c r="AD373" s="4"/>
      <c r="AE373" s="4"/>
      <c r="AF373" s="4"/>
      <c r="AG373" s="4"/>
    </row>
    <row r="374" spans="25:33" hidden="1" x14ac:dyDescent="0.2">
      <c r="Y374" s="4"/>
      <c r="Z374" s="4"/>
      <c r="AA374" s="4"/>
      <c r="AB374" s="4"/>
      <c r="AC374" s="4"/>
      <c r="AD374" s="4"/>
      <c r="AE374" s="4"/>
      <c r="AF374" s="4"/>
      <c r="AG374" s="4"/>
    </row>
    <row r="375" spans="25:33" hidden="1" x14ac:dyDescent="0.2">
      <c r="Y375" s="4"/>
      <c r="Z375" s="4"/>
      <c r="AA375" s="4"/>
      <c r="AB375" s="4"/>
      <c r="AC375" s="4"/>
      <c r="AD375" s="4"/>
      <c r="AE375" s="4"/>
      <c r="AF375" s="4"/>
      <c r="AG375" s="4"/>
    </row>
    <row r="376" spans="25:33" hidden="1" x14ac:dyDescent="0.2">
      <c r="Y376" s="4"/>
      <c r="Z376" s="4"/>
      <c r="AA376" s="4"/>
      <c r="AB376" s="4"/>
      <c r="AC376" s="4"/>
      <c r="AD376" s="4"/>
      <c r="AE376" s="4"/>
      <c r="AF376" s="4"/>
      <c r="AG376" s="4"/>
    </row>
    <row r="377" spans="25:33" ht="14.25" hidden="1" customHeight="1" x14ac:dyDescent="0.2">
      <c r="Y377" s="4"/>
      <c r="Z377" s="4"/>
      <c r="AA377" s="4"/>
      <c r="AB377" s="4"/>
      <c r="AC377" s="4"/>
      <c r="AD377" s="4"/>
      <c r="AE377" s="4"/>
      <c r="AF377" s="4"/>
      <c r="AG377" s="4"/>
    </row>
    <row r="378" spans="25:33" hidden="1" x14ac:dyDescent="0.2">
      <c r="Y378" s="4"/>
      <c r="Z378" s="4"/>
      <c r="AA378" s="4"/>
      <c r="AB378" s="4"/>
      <c r="AC378" s="4"/>
      <c r="AD378" s="4"/>
      <c r="AE378" s="4"/>
      <c r="AF378" s="4"/>
      <c r="AG378" s="4"/>
    </row>
    <row r="379" spans="25:33" hidden="1" x14ac:dyDescent="0.2">
      <c r="Y379" s="4"/>
      <c r="Z379" s="4"/>
      <c r="AA379" s="4"/>
      <c r="AB379" s="4"/>
      <c r="AC379" s="4"/>
      <c r="AD379" s="4"/>
      <c r="AE379" s="4"/>
      <c r="AF379" s="4"/>
      <c r="AG379" s="4"/>
    </row>
    <row r="380" spans="25:33" hidden="1" x14ac:dyDescent="0.2">
      <c r="Y380" s="4"/>
      <c r="Z380" s="4"/>
      <c r="AA380" s="4"/>
      <c r="AB380" s="4"/>
      <c r="AC380" s="4"/>
      <c r="AD380" s="4"/>
      <c r="AE380" s="4"/>
      <c r="AF380" s="4"/>
      <c r="AG380" s="4"/>
    </row>
    <row r="381" spans="25:33" hidden="1" x14ac:dyDescent="0.2">
      <c r="Y381" s="4"/>
      <c r="Z381" s="4"/>
      <c r="AA381" s="4"/>
      <c r="AB381" s="4"/>
      <c r="AC381" s="4"/>
      <c r="AD381" s="4"/>
      <c r="AE381" s="4"/>
      <c r="AF381" s="4"/>
      <c r="AG381" s="4"/>
    </row>
    <row r="382" spans="25:33" hidden="1" x14ac:dyDescent="0.2">
      <c r="Y382" s="4"/>
      <c r="Z382" s="4"/>
      <c r="AA382" s="4"/>
      <c r="AB382" s="4"/>
      <c r="AC382" s="4"/>
      <c r="AD382" s="4"/>
      <c r="AE382" s="4"/>
      <c r="AF382" s="4"/>
      <c r="AG382" s="4"/>
    </row>
    <row r="383" spans="25:33" hidden="1" x14ac:dyDescent="0.2">
      <c r="Y383" s="4"/>
      <c r="Z383" s="4"/>
      <c r="AA383" s="4"/>
      <c r="AB383" s="4"/>
      <c r="AC383" s="4"/>
      <c r="AD383" s="4"/>
      <c r="AE383" s="4"/>
      <c r="AF383" s="4"/>
      <c r="AG383" s="4"/>
    </row>
    <row r="384" spans="25:33" hidden="1" x14ac:dyDescent="0.2">
      <c r="Y384" s="4"/>
      <c r="Z384" s="4"/>
      <c r="AA384" s="4"/>
      <c r="AB384" s="4"/>
      <c r="AC384" s="4"/>
      <c r="AD384" s="4"/>
      <c r="AE384" s="4"/>
      <c r="AF384" s="4"/>
      <c r="AG384" s="4"/>
    </row>
    <row r="385" spans="25:33" hidden="1" x14ac:dyDescent="0.2">
      <c r="Y385" s="4"/>
      <c r="Z385" s="4"/>
      <c r="AA385" s="4"/>
      <c r="AB385" s="4"/>
      <c r="AC385" s="4"/>
      <c r="AD385" s="4"/>
      <c r="AE385" s="4"/>
      <c r="AF385" s="4"/>
      <c r="AG385" s="4"/>
    </row>
    <row r="386" spans="25:33" hidden="1" x14ac:dyDescent="0.2">
      <c r="Y386" s="4"/>
      <c r="Z386" s="4"/>
      <c r="AA386" s="4"/>
      <c r="AB386" s="4"/>
      <c r="AC386" s="4"/>
      <c r="AD386" s="4"/>
      <c r="AE386" s="4"/>
      <c r="AF386" s="4"/>
      <c r="AG386" s="4"/>
    </row>
    <row r="387" spans="25:33" hidden="1" x14ac:dyDescent="0.2">
      <c r="Y387" s="4"/>
      <c r="Z387" s="4"/>
      <c r="AA387" s="4"/>
      <c r="AB387" s="4"/>
      <c r="AC387" s="4"/>
      <c r="AD387" s="4"/>
      <c r="AE387" s="4"/>
      <c r="AF387" s="4"/>
      <c r="AG387" s="4"/>
    </row>
    <row r="388" spans="25:33" hidden="1" x14ac:dyDescent="0.2">
      <c r="Y388" s="4"/>
      <c r="Z388" s="4"/>
      <c r="AA388" s="4"/>
      <c r="AB388" s="4"/>
      <c r="AC388" s="4"/>
      <c r="AD388" s="4"/>
      <c r="AE388" s="4"/>
      <c r="AF388" s="4"/>
      <c r="AG388" s="4"/>
    </row>
    <row r="389" spans="25:33" hidden="1" x14ac:dyDescent="0.2">
      <c r="Y389" s="4"/>
      <c r="Z389" s="4"/>
      <c r="AA389" s="4"/>
      <c r="AB389" s="4"/>
      <c r="AC389" s="4"/>
      <c r="AD389" s="4"/>
      <c r="AE389" s="4"/>
      <c r="AF389" s="4"/>
      <c r="AG389" s="4"/>
    </row>
    <row r="390" spans="25:33" hidden="1" x14ac:dyDescent="0.2">
      <c r="Y390" s="4"/>
      <c r="Z390" s="4"/>
      <c r="AA390" s="4"/>
      <c r="AB390" s="4"/>
      <c r="AC390" s="4"/>
      <c r="AD390" s="4"/>
      <c r="AE390" s="4"/>
      <c r="AF390" s="4"/>
      <c r="AG390" s="4"/>
    </row>
    <row r="391" spans="25:33" hidden="1" x14ac:dyDescent="0.2">
      <c r="Y391" s="4"/>
      <c r="Z391" s="4"/>
      <c r="AA391" s="4"/>
      <c r="AB391" s="4"/>
      <c r="AC391" s="4"/>
      <c r="AD391" s="4"/>
      <c r="AE391" s="4"/>
      <c r="AF391" s="4"/>
      <c r="AG391" s="4"/>
    </row>
    <row r="392" spans="25:33" hidden="1" x14ac:dyDescent="0.2">
      <c r="Y392" s="4"/>
      <c r="Z392" s="4"/>
      <c r="AA392" s="4"/>
      <c r="AB392" s="4"/>
      <c r="AC392" s="4"/>
      <c r="AD392" s="4"/>
      <c r="AE392" s="4"/>
      <c r="AF392" s="4"/>
      <c r="AG392" s="4"/>
    </row>
    <row r="393" spans="25:33" hidden="1" x14ac:dyDescent="0.2">
      <c r="Y393" s="4"/>
      <c r="Z393" s="4"/>
      <c r="AA393" s="4"/>
      <c r="AB393" s="4"/>
      <c r="AC393" s="4"/>
      <c r="AD393" s="4"/>
      <c r="AE393" s="4"/>
      <c r="AF393" s="4"/>
      <c r="AG393" s="4"/>
    </row>
    <row r="394" spans="25:33" hidden="1" x14ac:dyDescent="0.2">
      <c r="Y394" s="4"/>
      <c r="Z394" s="4"/>
      <c r="AA394" s="4"/>
      <c r="AB394" s="4"/>
      <c r="AC394" s="4"/>
      <c r="AD394" s="4"/>
      <c r="AE394" s="4"/>
      <c r="AF394" s="4"/>
      <c r="AG394" s="4"/>
    </row>
    <row r="395" spans="25:33" hidden="1" x14ac:dyDescent="0.2">
      <c r="Y395" s="4"/>
      <c r="Z395" s="4"/>
      <c r="AA395" s="4"/>
      <c r="AB395" s="4"/>
      <c r="AC395" s="4"/>
      <c r="AD395" s="4"/>
      <c r="AE395" s="4"/>
      <c r="AF395" s="4"/>
      <c r="AG395" s="4"/>
    </row>
    <row r="396" spans="25:33" hidden="1" x14ac:dyDescent="0.2">
      <c r="Y396" s="4"/>
      <c r="Z396" s="4"/>
      <c r="AA396" s="4"/>
      <c r="AB396" s="4"/>
      <c r="AC396" s="4"/>
      <c r="AD396" s="4"/>
      <c r="AE396" s="4"/>
      <c r="AF396" s="4"/>
      <c r="AG396" s="4"/>
    </row>
    <row r="397" spans="25:33" hidden="1" x14ac:dyDescent="0.2">
      <c r="Y397" s="4"/>
      <c r="Z397" s="4"/>
      <c r="AA397" s="4"/>
      <c r="AB397" s="4"/>
      <c r="AC397" s="4"/>
      <c r="AD397" s="4"/>
      <c r="AE397" s="4"/>
      <c r="AF397" s="4"/>
      <c r="AG397" s="4"/>
    </row>
    <row r="398" spans="25:33" hidden="1" x14ac:dyDescent="0.2">
      <c r="Y398" s="4"/>
      <c r="Z398" s="4"/>
      <c r="AA398" s="4"/>
      <c r="AB398" s="4"/>
      <c r="AC398" s="4"/>
      <c r="AD398" s="4"/>
      <c r="AE398" s="4"/>
      <c r="AF398" s="4"/>
      <c r="AG398" s="4"/>
    </row>
    <row r="399" spans="25:33" hidden="1" x14ac:dyDescent="0.2">
      <c r="Y399" s="4"/>
      <c r="Z399" s="4"/>
      <c r="AA399" s="4"/>
      <c r="AB399" s="4"/>
      <c r="AC399" s="4"/>
      <c r="AD399" s="4"/>
      <c r="AE399" s="4"/>
      <c r="AF399" s="4"/>
      <c r="AG399" s="4"/>
    </row>
    <row r="400" spans="25:33" hidden="1" x14ac:dyDescent="0.2">
      <c r="Y400" s="4"/>
      <c r="Z400" s="4"/>
      <c r="AA400" s="4"/>
      <c r="AB400" s="4"/>
      <c r="AC400" s="4"/>
      <c r="AD400" s="4"/>
      <c r="AE400" s="4"/>
      <c r="AF400" s="4"/>
      <c r="AG400" s="4"/>
    </row>
    <row r="401" spans="25:33" hidden="1" x14ac:dyDescent="0.2">
      <c r="Y401" s="4"/>
      <c r="Z401" s="4"/>
      <c r="AA401" s="4"/>
      <c r="AB401" s="4"/>
      <c r="AC401" s="4"/>
      <c r="AD401" s="4"/>
      <c r="AE401" s="4"/>
      <c r="AF401" s="4"/>
      <c r="AG401" s="4"/>
    </row>
    <row r="402" spans="25:33" hidden="1" x14ac:dyDescent="0.2">
      <c r="Y402" s="4"/>
      <c r="Z402" s="4"/>
      <c r="AA402" s="4"/>
      <c r="AB402" s="4"/>
      <c r="AC402" s="4"/>
      <c r="AD402" s="4"/>
      <c r="AE402" s="4"/>
      <c r="AF402" s="4"/>
      <c r="AG402" s="4"/>
    </row>
    <row r="403" spans="25:33" hidden="1" x14ac:dyDescent="0.2">
      <c r="Y403" s="4"/>
      <c r="Z403" s="4"/>
      <c r="AA403" s="4"/>
      <c r="AB403" s="4"/>
      <c r="AC403" s="4"/>
      <c r="AD403" s="4"/>
      <c r="AE403" s="4"/>
      <c r="AF403" s="4"/>
      <c r="AG403" s="4"/>
    </row>
    <row r="404" spans="25:33" hidden="1" x14ac:dyDescent="0.2">
      <c r="Y404" s="4"/>
      <c r="Z404" s="4"/>
      <c r="AA404" s="4"/>
      <c r="AB404" s="4"/>
      <c r="AC404" s="4"/>
      <c r="AD404" s="4"/>
      <c r="AE404" s="4"/>
      <c r="AF404" s="4"/>
      <c r="AG404" s="4"/>
    </row>
    <row r="405" spans="25:33" hidden="1" x14ac:dyDescent="0.2">
      <c r="Y405" s="4"/>
      <c r="Z405" s="4"/>
      <c r="AA405" s="4"/>
      <c r="AB405" s="4"/>
      <c r="AC405" s="4"/>
      <c r="AD405" s="4"/>
      <c r="AE405" s="4"/>
      <c r="AF405" s="4"/>
      <c r="AG405" s="4"/>
    </row>
    <row r="406" spans="25:33" hidden="1" x14ac:dyDescent="0.2">
      <c r="Y406" s="4"/>
      <c r="Z406" s="4"/>
      <c r="AA406" s="4"/>
      <c r="AB406" s="4"/>
      <c r="AC406" s="4"/>
      <c r="AD406" s="4"/>
      <c r="AE406" s="4"/>
      <c r="AF406" s="4"/>
      <c r="AG406" s="4"/>
    </row>
    <row r="407" spans="25:33" hidden="1" x14ac:dyDescent="0.2">
      <c r="Y407" s="4"/>
      <c r="Z407" s="4"/>
      <c r="AA407" s="4"/>
      <c r="AB407" s="4"/>
      <c r="AC407" s="4"/>
      <c r="AD407" s="4"/>
      <c r="AE407" s="4"/>
      <c r="AF407" s="4"/>
      <c r="AG407" s="4"/>
    </row>
    <row r="408" spans="25:33" hidden="1" x14ac:dyDescent="0.2">
      <c r="Y408" s="4"/>
      <c r="Z408" s="4"/>
      <c r="AA408" s="4"/>
      <c r="AB408" s="4"/>
      <c r="AC408" s="4"/>
      <c r="AD408" s="4"/>
      <c r="AE408" s="4"/>
      <c r="AF408" s="4"/>
      <c r="AG408" s="4"/>
    </row>
    <row r="409" spans="25:33" hidden="1" x14ac:dyDescent="0.2">
      <c r="Y409" s="4"/>
      <c r="Z409" s="4"/>
      <c r="AA409" s="4"/>
      <c r="AB409" s="4"/>
      <c r="AC409" s="4"/>
      <c r="AD409" s="4"/>
      <c r="AE409" s="4"/>
      <c r="AF409" s="4"/>
      <c r="AG409" s="4"/>
    </row>
    <row r="410" spans="25:33" hidden="1" x14ac:dyDescent="0.2">
      <c r="Y410" s="4"/>
      <c r="Z410" s="4"/>
      <c r="AA410" s="4"/>
      <c r="AB410" s="4"/>
      <c r="AC410" s="4"/>
      <c r="AD410" s="4"/>
      <c r="AE410" s="4"/>
      <c r="AF410" s="4"/>
      <c r="AG410" s="4"/>
    </row>
    <row r="411" spans="25:33" hidden="1" x14ac:dyDescent="0.2">
      <c r="Y411" s="4"/>
      <c r="Z411" s="4"/>
      <c r="AA411" s="4"/>
      <c r="AB411" s="4"/>
      <c r="AC411" s="4"/>
      <c r="AD411" s="4"/>
      <c r="AE411" s="4"/>
      <c r="AF411" s="4"/>
      <c r="AG411" s="4"/>
    </row>
    <row r="412" spans="25:33" hidden="1" x14ac:dyDescent="0.2">
      <c r="Y412" s="4"/>
      <c r="Z412" s="4"/>
      <c r="AA412" s="4"/>
      <c r="AB412" s="4"/>
      <c r="AC412" s="4"/>
      <c r="AD412" s="4"/>
      <c r="AE412" s="4"/>
      <c r="AF412" s="4"/>
      <c r="AG412" s="4"/>
    </row>
    <row r="413" spans="25:33" hidden="1" x14ac:dyDescent="0.2">
      <c r="Y413" s="4"/>
      <c r="Z413" s="4"/>
      <c r="AA413" s="4"/>
      <c r="AB413" s="4"/>
      <c r="AC413" s="4"/>
      <c r="AD413" s="4"/>
      <c r="AE413" s="4"/>
      <c r="AF413" s="4"/>
      <c r="AG413" s="4"/>
    </row>
    <row r="414" spans="25:33" hidden="1" x14ac:dyDescent="0.2">
      <c r="Y414" s="4"/>
      <c r="Z414" s="4"/>
      <c r="AA414" s="4"/>
      <c r="AB414" s="4"/>
      <c r="AC414" s="4"/>
      <c r="AD414" s="4"/>
      <c r="AE414" s="4"/>
      <c r="AF414" s="4"/>
      <c r="AG414" s="4"/>
    </row>
    <row r="415" spans="25:33" ht="14.25" hidden="1" customHeight="1" x14ac:dyDescent="0.2">
      <c r="Y415" s="4"/>
      <c r="Z415" s="4"/>
      <c r="AA415" s="4"/>
      <c r="AB415" s="4"/>
      <c r="AC415" s="4"/>
      <c r="AD415" s="4"/>
      <c r="AE415" s="4"/>
      <c r="AF415" s="4"/>
      <c r="AG415" s="4"/>
    </row>
    <row r="416" spans="25:33" ht="13.5" hidden="1" customHeight="1" x14ac:dyDescent="0.2">
      <c r="Y416" s="4"/>
      <c r="Z416" s="4"/>
      <c r="AA416" s="4"/>
      <c r="AB416" s="4"/>
      <c r="AC416" s="4"/>
      <c r="AD416" s="4"/>
      <c r="AE416" s="4"/>
      <c r="AF416" s="4"/>
      <c r="AG416" s="4"/>
    </row>
    <row r="417" spans="25:33" ht="12.75" hidden="1" customHeight="1" x14ac:dyDescent="0.2">
      <c r="Y417" s="4"/>
      <c r="Z417" s="4"/>
      <c r="AA417" s="4"/>
      <c r="AB417" s="4"/>
      <c r="AC417" s="4"/>
      <c r="AD417" s="4"/>
      <c r="AE417" s="4"/>
      <c r="AF417" s="4"/>
      <c r="AG417" s="4"/>
    </row>
    <row r="418" spans="25:33" ht="12.75" hidden="1" customHeight="1" x14ac:dyDescent="0.2">
      <c r="Y418" s="4"/>
      <c r="Z418" s="4"/>
      <c r="AA418" s="4"/>
      <c r="AB418" s="4"/>
      <c r="AC418" s="4"/>
      <c r="AD418" s="4"/>
      <c r="AE418" s="4"/>
      <c r="AF418" s="4"/>
      <c r="AG418" s="4"/>
    </row>
    <row r="419" spans="25:33" ht="12.75" hidden="1" customHeight="1" x14ac:dyDescent="0.2">
      <c r="Y419" s="4"/>
      <c r="Z419" s="4"/>
      <c r="AA419" s="4"/>
      <c r="AB419" s="4"/>
      <c r="AC419" s="4"/>
      <c r="AD419" s="4"/>
      <c r="AE419" s="4"/>
      <c r="AF419" s="4"/>
      <c r="AG419" s="4"/>
    </row>
    <row r="420" spans="25:33" ht="12.75" hidden="1" customHeight="1" x14ac:dyDescent="0.2">
      <c r="Y420" s="4"/>
      <c r="Z420" s="4"/>
      <c r="AA420" s="4"/>
      <c r="AB420" s="4"/>
      <c r="AC420" s="4"/>
      <c r="AD420" s="4"/>
      <c r="AE420" s="4"/>
      <c r="AF420" s="4"/>
      <c r="AG420" s="4"/>
    </row>
    <row r="421" spans="25:33" ht="12.75" hidden="1" customHeight="1" x14ac:dyDescent="0.2">
      <c r="Y421" s="4"/>
      <c r="Z421" s="4"/>
      <c r="AA421" s="4"/>
      <c r="AB421" s="4"/>
      <c r="AC421" s="4"/>
      <c r="AD421" s="4"/>
      <c r="AE421" s="4"/>
      <c r="AF421" s="4"/>
      <c r="AG421" s="4"/>
    </row>
    <row r="422" spans="25:33" ht="12.75" hidden="1" customHeight="1" x14ac:dyDescent="0.2">
      <c r="Y422" s="4"/>
      <c r="Z422" s="4"/>
      <c r="AA422" s="4"/>
      <c r="AB422" s="4"/>
      <c r="AC422" s="4"/>
      <c r="AD422" s="4"/>
      <c r="AE422" s="4"/>
      <c r="AF422" s="4"/>
      <c r="AG422" s="4"/>
    </row>
    <row r="423" spans="25:33" ht="12.75" hidden="1" customHeight="1" x14ac:dyDescent="0.2">
      <c r="Y423" s="4"/>
      <c r="Z423" s="4"/>
      <c r="AA423" s="4"/>
      <c r="AB423" s="4"/>
      <c r="AC423" s="4"/>
      <c r="AD423" s="4"/>
      <c r="AE423" s="4"/>
      <c r="AF423" s="4"/>
      <c r="AG423" s="4"/>
    </row>
    <row r="424" spans="25:33" ht="12.75" hidden="1" customHeight="1" x14ac:dyDescent="0.2">
      <c r="Y424" s="4"/>
      <c r="Z424" s="4"/>
      <c r="AA424" s="4"/>
      <c r="AB424" s="4"/>
      <c r="AC424" s="4"/>
      <c r="AD424" s="4"/>
      <c r="AE424" s="4"/>
      <c r="AF424" s="4"/>
      <c r="AG424" s="4"/>
    </row>
    <row r="425" spans="25:33" ht="12.75" hidden="1" customHeight="1" x14ac:dyDescent="0.2">
      <c r="Y425" s="4"/>
      <c r="Z425" s="4"/>
      <c r="AA425" s="4"/>
      <c r="AB425" s="4"/>
      <c r="AC425" s="4"/>
      <c r="AD425" s="4"/>
      <c r="AE425" s="4"/>
      <c r="AF425" s="4"/>
      <c r="AG425" s="4"/>
    </row>
    <row r="426" spans="25:33" ht="12.75" hidden="1" customHeight="1" x14ac:dyDescent="0.2">
      <c r="Y426" s="4"/>
      <c r="Z426" s="4"/>
      <c r="AA426" s="4"/>
      <c r="AB426" s="4"/>
      <c r="AC426" s="4"/>
      <c r="AD426" s="4"/>
      <c r="AE426" s="4"/>
      <c r="AF426" s="4"/>
      <c r="AG426" s="4"/>
    </row>
    <row r="427" spans="25:33" ht="12.75" hidden="1" customHeight="1" x14ac:dyDescent="0.2">
      <c r="Y427" s="4"/>
      <c r="Z427" s="4"/>
      <c r="AA427" s="4"/>
      <c r="AB427" s="4"/>
      <c r="AC427" s="4"/>
      <c r="AD427" s="4"/>
      <c r="AE427" s="4"/>
      <c r="AF427" s="4"/>
      <c r="AG427" s="4"/>
    </row>
    <row r="428" spans="25:33" ht="12.75" hidden="1" customHeight="1" x14ac:dyDescent="0.2">
      <c r="Y428" s="4"/>
      <c r="Z428" s="4"/>
      <c r="AA428" s="4"/>
      <c r="AB428" s="4"/>
      <c r="AC428" s="4"/>
      <c r="AD428" s="4"/>
      <c r="AE428" s="4"/>
      <c r="AF428" s="4"/>
      <c r="AG428" s="4"/>
    </row>
    <row r="429" spans="25:33" ht="12.75" hidden="1" customHeight="1" x14ac:dyDescent="0.2">
      <c r="Y429" s="4"/>
      <c r="Z429" s="4"/>
      <c r="AA429" s="4"/>
      <c r="AB429" s="4"/>
      <c r="AC429" s="4"/>
      <c r="AD429" s="4"/>
      <c r="AE429" s="4"/>
      <c r="AF429" s="4"/>
      <c r="AG429" s="4"/>
    </row>
    <row r="430" spans="25:33" ht="12.75" hidden="1" customHeight="1" x14ac:dyDescent="0.2">
      <c r="Y430" s="4"/>
      <c r="Z430" s="4"/>
      <c r="AA430" s="4"/>
      <c r="AB430" s="4"/>
      <c r="AC430" s="4"/>
      <c r="AD430" s="4"/>
      <c r="AE430" s="4"/>
      <c r="AF430" s="4"/>
      <c r="AG430" s="4"/>
    </row>
    <row r="431" spans="25:33" ht="12.75" hidden="1" customHeight="1" x14ac:dyDescent="0.2">
      <c r="Y431" s="4"/>
      <c r="Z431" s="4"/>
      <c r="AA431" s="4"/>
      <c r="AB431" s="4"/>
      <c r="AC431" s="4"/>
      <c r="AD431" s="4"/>
      <c r="AE431" s="4"/>
      <c r="AF431" s="4"/>
      <c r="AG431" s="4"/>
    </row>
    <row r="432" spans="25:33" ht="12.75" hidden="1" customHeight="1" x14ac:dyDescent="0.2">
      <c r="Y432" s="4"/>
      <c r="Z432" s="4"/>
      <c r="AA432" s="4"/>
      <c r="AB432" s="4"/>
      <c r="AC432" s="4"/>
      <c r="AD432" s="4"/>
      <c r="AE432" s="4"/>
      <c r="AF432" s="4"/>
      <c r="AG432" s="4"/>
    </row>
    <row r="433" spans="25:33" ht="12.75" hidden="1" customHeight="1" x14ac:dyDescent="0.2">
      <c r="Y433" s="4"/>
      <c r="Z433" s="4"/>
      <c r="AA433" s="4"/>
      <c r="AB433" s="4"/>
      <c r="AC433" s="4"/>
      <c r="AD433" s="4"/>
      <c r="AE433" s="4"/>
      <c r="AF433" s="4"/>
      <c r="AG433" s="4"/>
    </row>
    <row r="434" spans="25:33" ht="12.75" hidden="1" customHeight="1" x14ac:dyDescent="0.2">
      <c r="Y434" s="4"/>
      <c r="Z434" s="4"/>
      <c r="AA434" s="4"/>
      <c r="AB434" s="4"/>
      <c r="AC434" s="4"/>
      <c r="AD434" s="4"/>
      <c r="AE434" s="4"/>
      <c r="AF434" s="4"/>
      <c r="AG434" s="4"/>
    </row>
    <row r="435" spans="25:33" ht="12.75" hidden="1" customHeight="1" x14ac:dyDescent="0.2">
      <c r="Y435" s="4"/>
      <c r="Z435" s="4"/>
      <c r="AA435" s="4"/>
      <c r="AB435" s="4"/>
      <c r="AC435" s="4"/>
      <c r="AD435" s="4"/>
      <c r="AE435" s="4"/>
      <c r="AF435" s="4"/>
      <c r="AG435" s="4"/>
    </row>
    <row r="436" spans="25:33" ht="12.75" hidden="1" customHeight="1" x14ac:dyDescent="0.2">
      <c r="Y436" s="4"/>
      <c r="Z436" s="4"/>
      <c r="AA436" s="4"/>
      <c r="AB436" s="4"/>
      <c r="AC436" s="4"/>
      <c r="AD436" s="4"/>
      <c r="AE436" s="4"/>
      <c r="AF436" s="4"/>
      <c r="AG436" s="4"/>
    </row>
    <row r="437" spans="25:33" ht="12.75" hidden="1" customHeight="1" x14ac:dyDescent="0.2">
      <c r="Y437" s="4"/>
      <c r="Z437" s="4"/>
      <c r="AA437" s="4"/>
      <c r="AB437" s="4"/>
      <c r="AC437" s="4"/>
      <c r="AD437" s="4"/>
      <c r="AE437" s="4"/>
      <c r="AF437" s="4"/>
      <c r="AG437" s="4"/>
    </row>
    <row r="438" spans="25:33" ht="12.75" hidden="1" customHeight="1" x14ac:dyDescent="0.2">
      <c r="Y438" s="4"/>
      <c r="Z438" s="4"/>
      <c r="AA438" s="4"/>
      <c r="AB438" s="4"/>
      <c r="AC438" s="4"/>
      <c r="AD438" s="4"/>
      <c r="AE438" s="4"/>
      <c r="AF438" s="4"/>
      <c r="AG438" s="4"/>
    </row>
    <row r="439" spans="25:33" ht="12.75" hidden="1" customHeight="1" x14ac:dyDescent="0.2">
      <c r="Y439" s="4"/>
      <c r="Z439" s="4"/>
      <c r="AA439" s="4"/>
      <c r="AB439" s="4"/>
      <c r="AC439" s="4"/>
      <c r="AD439" s="4"/>
      <c r="AE439" s="4"/>
      <c r="AF439" s="4"/>
      <c r="AG439" s="4"/>
    </row>
    <row r="440" spans="25:33" ht="12.75" hidden="1" customHeight="1" x14ac:dyDescent="0.2">
      <c r="Y440" s="4"/>
      <c r="Z440" s="4"/>
      <c r="AA440" s="4"/>
      <c r="AB440" s="4"/>
      <c r="AC440" s="4"/>
      <c r="AD440" s="4"/>
      <c r="AE440" s="4"/>
      <c r="AF440" s="4"/>
      <c r="AG440" s="4"/>
    </row>
    <row r="441" spans="25:33" ht="12.75" hidden="1" customHeight="1" x14ac:dyDescent="0.2">
      <c r="Y441" s="4"/>
      <c r="Z441" s="4"/>
      <c r="AA441" s="4"/>
      <c r="AB441" s="4"/>
      <c r="AC441" s="4"/>
      <c r="AD441" s="4"/>
      <c r="AE441" s="4"/>
      <c r="AF441" s="4"/>
      <c r="AG441" s="4"/>
    </row>
    <row r="442" spans="25:33" ht="12.75" hidden="1" customHeight="1" x14ac:dyDescent="0.2">
      <c r="Y442" s="4"/>
      <c r="Z442" s="4"/>
      <c r="AA442" s="4"/>
      <c r="AB442" s="4"/>
      <c r="AC442" s="4"/>
      <c r="AD442" s="4"/>
      <c r="AE442" s="4"/>
      <c r="AF442" s="4"/>
      <c r="AG442" s="4"/>
    </row>
    <row r="443" spans="25:33" ht="12.75" hidden="1" customHeight="1" x14ac:dyDescent="0.2">
      <c r="Y443" s="4"/>
      <c r="Z443" s="4"/>
      <c r="AA443" s="4"/>
      <c r="AB443" s="4"/>
      <c r="AC443" s="4"/>
      <c r="AD443" s="4"/>
      <c r="AE443" s="4"/>
      <c r="AF443" s="4"/>
      <c r="AG443" s="4"/>
    </row>
    <row r="444" spans="25:33" ht="12.75" hidden="1" customHeight="1" x14ac:dyDescent="0.2">
      <c r="Y444" s="4"/>
      <c r="Z444" s="4"/>
      <c r="AA444" s="4"/>
      <c r="AB444" s="4"/>
      <c r="AC444" s="4"/>
      <c r="AD444" s="4"/>
      <c r="AE444" s="4"/>
      <c r="AF444" s="4"/>
      <c r="AG444" s="4"/>
    </row>
    <row r="445" spans="25:33" ht="12.75" hidden="1" customHeight="1" x14ac:dyDescent="0.2">
      <c r="Y445" s="4"/>
      <c r="Z445" s="4"/>
      <c r="AA445" s="4"/>
      <c r="AB445" s="4"/>
      <c r="AC445" s="4"/>
      <c r="AD445" s="4"/>
      <c r="AE445" s="4"/>
      <c r="AF445" s="4"/>
      <c r="AG445" s="4"/>
    </row>
    <row r="446" spans="25:33" ht="12.75" hidden="1" customHeight="1" x14ac:dyDescent="0.2">
      <c r="Y446" s="4"/>
      <c r="Z446" s="4"/>
      <c r="AA446" s="4"/>
      <c r="AB446" s="4"/>
      <c r="AC446" s="4"/>
      <c r="AD446" s="4"/>
      <c r="AE446" s="4"/>
      <c r="AF446" s="4"/>
      <c r="AG446" s="4"/>
    </row>
    <row r="447" spans="25:33" hidden="1" x14ac:dyDescent="0.2">
      <c r="Y447" s="4"/>
      <c r="Z447" s="4"/>
      <c r="AA447" s="4"/>
      <c r="AB447" s="4"/>
      <c r="AC447" s="4"/>
      <c r="AD447" s="4"/>
      <c r="AE447" s="4"/>
      <c r="AF447" s="4"/>
      <c r="AG447" s="4"/>
    </row>
    <row r="448" spans="25:33" hidden="1" x14ac:dyDescent="0.2">
      <c r="Y448" s="4"/>
      <c r="Z448" s="4"/>
      <c r="AA448" s="4"/>
      <c r="AB448" s="4"/>
      <c r="AC448" s="4"/>
      <c r="AD448" s="4"/>
      <c r="AE448" s="4"/>
      <c r="AF448" s="4"/>
      <c r="AG448" s="4"/>
    </row>
    <row r="449" spans="25:33" hidden="1" x14ac:dyDescent="0.2">
      <c r="Y449" s="4"/>
      <c r="Z449" s="4"/>
      <c r="AA449" s="4"/>
      <c r="AB449" s="4"/>
      <c r="AC449" s="4"/>
      <c r="AD449" s="4"/>
      <c r="AE449" s="4"/>
      <c r="AF449" s="4"/>
      <c r="AG449" s="4"/>
    </row>
    <row r="450" spans="25:33" hidden="1" x14ac:dyDescent="0.2">
      <c r="Y450" s="4"/>
      <c r="Z450" s="4"/>
      <c r="AA450" s="4"/>
      <c r="AB450" s="4"/>
      <c r="AC450" s="4"/>
      <c r="AD450" s="4"/>
      <c r="AE450" s="4"/>
      <c r="AF450" s="4"/>
      <c r="AG450" s="4"/>
    </row>
    <row r="451" spans="25:33" ht="14.25" hidden="1" customHeight="1" x14ac:dyDescent="0.2">
      <c r="Y451" s="4"/>
      <c r="Z451" s="4"/>
      <c r="AA451" s="4"/>
      <c r="AB451" s="4"/>
      <c r="AC451" s="4"/>
      <c r="AD451" s="4"/>
      <c r="AE451" s="4"/>
      <c r="AF451" s="4"/>
      <c r="AG451" s="4"/>
    </row>
    <row r="452" spans="25:33" ht="13.5" hidden="1" customHeight="1" x14ac:dyDescent="0.2">
      <c r="Y452" s="4"/>
      <c r="Z452" s="4"/>
      <c r="AA452" s="4"/>
      <c r="AB452" s="4"/>
      <c r="AC452" s="4"/>
      <c r="AD452" s="4"/>
      <c r="AE452" s="4"/>
      <c r="AF452" s="4"/>
      <c r="AG452" s="4"/>
    </row>
    <row r="453" spans="25:33" ht="12.75" hidden="1" customHeight="1" x14ac:dyDescent="0.2">
      <c r="Y453" s="4"/>
      <c r="Z453" s="4"/>
      <c r="AA453" s="4"/>
      <c r="AB453" s="4"/>
      <c r="AC453" s="4"/>
      <c r="AD453" s="4"/>
      <c r="AE453" s="4"/>
      <c r="AF453" s="4"/>
      <c r="AG453" s="4"/>
    </row>
    <row r="454" spans="25:33" ht="12.75" hidden="1" customHeight="1" x14ac:dyDescent="0.2">
      <c r="Y454" s="4"/>
      <c r="Z454" s="4"/>
      <c r="AA454" s="4"/>
      <c r="AB454" s="4"/>
      <c r="AC454" s="4"/>
      <c r="AD454" s="4"/>
      <c r="AE454" s="4"/>
      <c r="AF454" s="4"/>
      <c r="AG454" s="4"/>
    </row>
    <row r="455" spans="25:33" ht="12.75" hidden="1" customHeight="1" x14ac:dyDescent="0.2">
      <c r="Y455" s="4"/>
      <c r="Z455" s="4"/>
      <c r="AA455" s="4"/>
      <c r="AB455" s="4"/>
      <c r="AC455" s="4"/>
      <c r="AD455" s="4"/>
      <c r="AE455" s="4"/>
      <c r="AF455" s="4"/>
      <c r="AG455" s="4"/>
    </row>
    <row r="456" spans="25:33" ht="12.75" hidden="1" customHeight="1" x14ac:dyDescent="0.2">
      <c r="Y456" s="4"/>
      <c r="Z456" s="4"/>
      <c r="AA456" s="4"/>
      <c r="AB456" s="4"/>
      <c r="AC456" s="4"/>
      <c r="AD456" s="4"/>
      <c r="AE456" s="4"/>
      <c r="AF456" s="4"/>
      <c r="AG456" s="4"/>
    </row>
    <row r="457" spans="25:33" ht="12.75" hidden="1" customHeight="1" x14ac:dyDescent="0.2">
      <c r="Y457" s="4"/>
      <c r="Z457" s="4"/>
      <c r="AA457" s="4"/>
      <c r="AB457" s="4"/>
      <c r="AC457" s="4"/>
      <c r="AD457" s="4"/>
      <c r="AE457" s="4"/>
      <c r="AF457" s="4"/>
      <c r="AG457" s="4"/>
    </row>
    <row r="458" spans="25:33" ht="12.75" hidden="1" customHeight="1" x14ac:dyDescent="0.2">
      <c r="Y458" s="4"/>
      <c r="Z458" s="4"/>
      <c r="AA458" s="4"/>
      <c r="AB458" s="4"/>
      <c r="AC458" s="4"/>
      <c r="AD458" s="4"/>
      <c r="AE458" s="4"/>
      <c r="AF458" s="4"/>
      <c r="AG458" s="4"/>
    </row>
    <row r="459" spans="25:33" ht="12.75" hidden="1" customHeight="1" x14ac:dyDescent="0.2">
      <c r="Y459" s="4"/>
      <c r="Z459" s="4"/>
      <c r="AA459" s="4"/>
      <c r="AB459" s="4"/>
      <c r="AC459" s="4"/>
      <c r="AD459" s="4"/>
      <c r="AE459" s="4"/>
      <c r="AF459" s="4"/>
      <c r="AG459" s="4"/>
    </row>
    <row r="460" spans="25:33" ht="12.75" hidden="1" customHeight="1" x14ac:dyDescent="0.2">
      <c r="Y460" s="4"/>
      <c r="Z460" s="4"/>
      <c r="AA460" s="4"/>
      <c r="AB460" s="4"/>
      <c r="AC460" s="4"/>
      <c r="AD460" s="4"/>
      <c r="AE460" s="4"/>
      <c r="AF460" s="4"/>
      <c r="AG460" s="4"/>
    </row>
    <row r="461" spans="25:33" ht="12.75" hidden="1" customHeight="1" x14ac:dyDescent="0.2">
      <c r="Y461" s="4"/>
      <c r="Z461" s="4"/>
      <c r="AA461" s="4"/>
      <c r="AB461" s="4"/>
      <c r="AC461" s="4"/>
      <c r="AD461" s="4"/>
      <c r="AE461" s="4"/>
      <c r="AF461" s="4"/>
      <c r="AG461" s="4"/>
    </row>
    <row r="462" spans="25:33" ht="12.75" hidden="1" customHeight="1" x14ac:dyDescent="0.2">
      <c r="Y462" s="4"/>
      <c r="Z462" s="4"/>
      <c r="AA462" s="4"/>
      <c r="AB462" s="4"/>
      <c r="AC462" s="4"/>
      <c r="AD462" s="4"/>
      <c r="AE462" s="4"/>
      <c r="AF462" s="4"/>
      <c r="AG462" s="4"/>
    </row>
    <row r="463" spans="25:33" ht="12.75" hidden="1" customHeight="1" x14ac:dyDescent="0.2">
      <c r="Y463" s="4"/>
      <c r="Z463" s="4"/>
      <c r="AA463" s="4"/>
      <c r="AB463" s="4"/>
      <c r="AC463" s="4"/>
      <c r="AD463" s="4"/>
      <c r="AE463" s="4"/>
      <c r="AF463" s="4"/>
      <c r="AG463" s="4"/>
    </row>
    <row r="464" spans="25:33" ht="12.75" hidden="1" customHeight="1" x14ac:dyDescent="0.2">
      <c r="Y464" s="4"/>
      <c r="Z464" s="4"/>
      <c r="AA464" s="4"/>
      <c r="AB464" s="4"/>
      <c r="AC464" s="4"/>
      <c r="AD464" s="4"/>
      <c r="AE464" s="4"/>
      <c r="AF464" s="4"/>
      <c r="AG464" s="4"/>
    </row>
    <row r="465" spans="25:33" ht="12.75" hidden="1" customHeight="1" x14ac:dyDescent="0.2">
      <c r="Y465" s="4"/>
      <c r="Z465" s="4"/>
      <c r="AA465" s="4"/>
      <c r="AB465" s="4"/>
      <c r="AC465" s="4"/>
      <c r="AD465" s="4"/>
      <c r="AE465" s="4"/>
      <c r="AF465" s="4"/>
      <c r="AG465" s="4"/>
    </row>
    <row r="466" spans="25:33" ht="12.75" hidden="1" customHeight="1" x14ac:dyDescent="0.2">
      <c r="Y466" s="4"/>
      <c r="Z466" s="4"/>
      <c r="AA466" s="4"/>
      <c r="AB466" s="4"/>
      <c r="AC466" s="4"/>
      <c r="AD466" s="4"/>
      <c r="AE466" s="4"/>
      <c r="AF466" s="4"/>
      <c r="AG466" s="4"/>
    </row>
    <row r="467" spans="25:33" ht="12.75" hidden="1" customHeight="1" x14ac:dyDescent="0.2">
      <c r="Y467" s="4"/>
      <c r="Z467" s="4"/>
      <c r="AA467" s="4"/>
      <c r="AB467" s="4"/>
      <c r="AC467" s="4"/>
      <c r="AD467" s="4"/>
      <c r="AE467" s="4"/>
      <c r="AF467" s="4"/>
      <c r="AG467" s="4"/>
    </row>
    <row r="468" spans="25:33" ht="12.75" hidden="1" customHeight="1" x14ac:dyDescent="0.2">
      <c r="Y468" s="4"/>
      <c r="Z468" s="4"/>
      <c r="AA468" s="4"/>
      <c r="AB468" s="4"/>
      <c r="AC468" s="4"/>
      <c r="AD468" s="4"/>
      <c r="AE468" s="4"/>
      <c r="AF468" s="4"/>
      <c r="AG468" s="4"/>
    </row>
    <row r="469" spans="25:33" ht="12.75" hidden="1" customHeight="1" x14ac:dyDescent="0.2">
      <c r="Y469" s="4"/>
      <c r="Z469" s="4"/>
      <c r="AA469" s="4"/>
      <c r="AB469" s="4"/>
      <c r="AC469" s="4"/>
      <c r="AD469" s="4"/>
      <c r="AE469" s="4"/>
      <c r="AF469" s="4"/>
      <c r="AG469" s="4"/>
    </row>
    <row r="470" spans="25:33" ht="12.75" hidden="1" customHeight="1" x14ac:dyDescent="0.2">
      <c r="Y470" s="4"/>
      <c r="Z470" s="4"/>
      <c r="AA470" s="4"/>
      <c r="AB470" s="4"/>
      <c r="AC470" s="4"/>
      <c r="AD470" s="4"/>
      <c r="AE470" s="4"/>
      <c r="AF470" s="4"/>
      <c r="AG470" s="4"/>
    </row>
    <row r="471" spans="25:33" ht="12.75" hidden="1" customHeight="1" x14ac:dyDescent="0.2">
      <c r="Y471" s="4"/>
      <c r="Z471" s="4"/>
      <c r="AA471" s="4"/>
      <c r="AB471" s="4"/>
      <c r="AC471" s="4"/>
      <c r="AD471" s="4"/>
      <c r="AE471" s="4"/>
      <c r="AF471" s="4"/>
      <c r="AG471" s="4"/>
    </row>
    <row r="472" spans="25:33" ht="12.75" hidden="1" customHeight="1" x14ac:dyDescent="0.2">
      <c r="Y472" s="4"/>
      <c r="Z472" s="4"/>
      <c r="AA472" s="4"/>
      <c r="AB472" s="4"/>
      <c r="AC472" s="4"/>
      <c r="AD472" s="4"/>
      <c r="AE472" s="4"/>
      <c r="AF472" s="4"/>
      <c r="AG472" s="4"/>
    </row>
    <row r="473" spans="25:33" ht="12.75" hidden="1" customHeight="1" x14ac:dyDescent="0.2">
      <c r="Y473" s="4"/>
      <c r="Z473" s="4"/>
      <c r="AA473" s="4"/>
      <c r="AB473" s="4"/>
      <c r="AC473" s="4"/>
      <c r="AD473" s="4"/>
      <c r="AE473" s="4"/>
      <c r="AF473" s="4"/>
      <c r="AG473" s="4"/>
    </row>
    <row r="474" spans="25:33" ht="12.75" hidden="1" customHeight="1" x14ac:dyDescent="0.2">
      <c r="Y474" s="4"/>
      <c r="Z474" s="4"/>
      <c r="AA474" s="4"/>
      <c r="AB474" s="4"/>
      <c r="AC474" s="4"/>
      <c r="AD474" s="4"/>
      <c r="AE474" s="4"/>
      <c r="AF474" s="4"/>
      <c r="AG474" s="4"/>
    </row>
    <row r="475" spans="25:33" ht="12.75" hidden="1" customHeight="1" x14ac:dyDescent="0.2">
      <c r="Y475" s="4"/>
      <c r="Z475" s="4"/>
      <c r="AA475" s="4"/>
      <c r="AB475" s="4"/>
      <c r="AC475" s="4"/>
      <c r="AD475" s="4"/>
      <c r="AE475" s="4"/>
      <c r="AF475" s="4"/>
      <c r="AG475" s="4"/>
    </row>
    <row r="476" spans="25:33" ht="12.75" hidden="1" customHeight="1" x14ac:dyDescent="0.2">
      <c r="Y476" s="4"/>
      <c r="Z476" s="4"/>
      <c r="AA476" s="4"/>
      <c r="AB476" s="4"/>
      <c r="AC476" s="4"/>
      <c r="AD476" s="4"/>
      <c r="AE476" s="4"/>
      <c r="AF476" s="4"/>
      <c r="AG476" s="4"/>
    </row>
    <row r="477" spans="25:33" ht="12.75" hidden="1" customHeight="1" x14ac:dyDescent="0.2">
      <c r="Y477" s="4"/>
      <c r="Z477" s="4"/>
      <c r="AA477" s="4"/>
      <c r="AB477" s="4"/>
      <c r="AC477" s="4"/>
      <c r="AD477" s="4"/>
      <c r="AE477" s="4"/>
      <c r="AF477" s="4"/>
      <c r="AG477" s="4"/>
    </row>
    <row r="478" spans="25:33" ht="12.75" hidden="1" customHeight="1" x14ac:dyDescent="0.2">
      <c r="Y478" s="4"/>
      <c r="Z478" s="4"/>
      <c r="AA478" s="4"/>
      <c r="AB478" s="4"/>
      <c r="AC478" s="4"/>
      <c r="AD478" s="4"/>
      <c r="AE478" s="4"/>
      <c r="AF478" s="4"/>
      <c r="AG478" s="4"/>
    </row>
    <row r="479" spans="25:33" ht="12.75" hidden="1" customHeight="1" x14ac:dyDescent="0.2">
      <c r="Y479" s="4"/>
      <c r="Z479" s="4"/>
      <c r="AA479" s="4"/>
      <c r="AB479" s="4"/>
      <c r="AC479" s="4"/>
      <c r="AD479" s="4"/>
      <c r="AE479" s="4"/>
      <c r="AF479" s="4"/>
      <c r="AG479" s="4"/>
    </row>
    <row r="480" spans="25:33" ht="12.75" hidden="1" customHeight="1" x14ac:dyDescent="0.2">
      <c r="Y480" s="4"/>
      <c r="Z480" s="4"/>
      <c r="AA480" s="4"/>
      <c r="AB480" s="4"/>
      <c r="AC480" s="4"/>
      <c r="AD480" s="4"/>
      <c r="AE480" s="4"/>
      <c r="AF480" s="4"/>
      <c r="AG480" s="4"/>
    </row>
    <row r="481" spans="25:33" ht="12.75" hidden="1" customHeight="1" x14ac:dyDescent="0.2">
      <c r="Y481" s="4"/>
      <c r="Z481" s="4"/>
      <c r="AA481" s="4"/>
      <c r="AB481" s="4"/>
      <c r="AC481" s="4"/>
      <c r="AD481" s="4"/>
      <c r="AE481" s="4"/>
      <c r="AF481" s="4"/>
      <c r="AG481" s="4"/>
    </row>
    <row r="482" spans="25:33" ht="12.75" hidden="1" customHeight="1" x14ac:dyDescent="0.2">
      <c r="Y482" s="4"/>
      <c r="Z482" s="4"/>
      <c r="AA482" s="4"/>
      <c r="AB482" s="4"/>
      <c r="AC482" s="4"/>
      <c r="AD482" s="4"/>
      <c r="AE482" s="4"/>
      <c r="AF482" s="4"/>
      <c r="AG482" s="4"/>
    </row>
    <row r="483" spans="25:33" hidden="1" x14ac:dyDescent="0.2">
      <c r="Y483" s="4"/>
      <c r="Z483" s="4"/>
      <c r="AA483" s="4"/>
      <c r="AB483" s="4"/>
      <c r="AC483" s="4"/>
      <c r="AD483" s="4"/>
      <c r="AE483" s="4"/>
      <c r="AF483" s="4"/>
      <c r="AG483" s="4"/>
    </row>
    <row r="484" spans="25:33" hidden="1" x14ac:dyDescent="0.2">
      <c r="Y484" s="4"/>
      <c r="Z484" s="4"/>
      <c r="AA484" s="4"/>
      <c r="AB484" s="4"/>
      <c r="AC484" s="4"/>
      <c r="AD484" s="4"/>
      <c r="AE484" s="4"/>
      <c r="AF484" s="4"/>
      <c r="AG484" s="4"/>
    </row>
    <row r="485" spans="25:33" hidden="1" x14ac:dyDescent="0.2">
      <c r="Y485" s="4"/>
      <c r="Z485" s="4"/>
      <c r="AA485" s="4"/>
      <c r="AB485" s="4"/>
      <c r="AC485" s="4"/>
      <c r="AD485" s="4"/>
      <c r="AE485" s="4"/>
      <c r="AF485" s="4"/>
      <c r="AG485" s="4"/>
    </row>
    <row r="486" spans="25:33" hidden="1" x14ac:dyDescent="0.2">
      <c r="Y486" s="4"/>
      <c r="Z486" s="4"/>
      <c r="AA486" s="4"/>
      <c r="AB486" s="4"/>
      <c r="AC486" s="4"/>
      <c r="AD486" s="4"/>
      <c r="AE486" s="4"/>
      <c r="AF486" s="4"/>
      <c r="AG486" s="4"/>
    </row>
    <row r="487" spans="25:33" hidden="1" x14ac:dyDescent="0.2">
      <c r="Y487" s="4"/>
      <c r="Z487" s="4"/>
      <c r="AA487" s="4"/>
      <c r="AB487" s="4"/>
      <c r="AC487" s="4"/>
      <c r="AD487" s="4"/>
      <c r="AE487" s="4"/>
      <c r="AF487" s="4"/>
      <c r="AG487" s="4"/>
    </row>
    <row r="488" spans="25:33" hidden="1" x14ac:dyDescent="0.2">
      <c r="Y488" s="4"/>
      <c r="Z488" s="4"/>
      <c r="AA488" s="4"/>
      <c r="AB488" s="4"/>
      <c r="AC488" s="4"/>
      <c r="AD488" s="4"/>
      <c r="AE488" s="4"/>
      <c r="AF488" s="4"/>
      <c r="AG488" s="4"/>
    </row>
    <row r="489" spans="25:33" hidden="1" x14ac:dyDescent="0.2">
      <c r="Y489" s="4"/>
      <c r="Z489" s="4"/>
      <c r="AA489" s="4"/>
      <c r="AB489" s="4"/>
      <c r="AC489" s="4"/>
      <c r="AD489" s="4"/>
      <c r="AE489" s="4"/>
      <c r="AF489" s="4"/>
      <c r="AG489" s="4"/>
    </row>
    <row r="490" spans="25:33" hidden="1" x14ac:dyDescent="0.2">
      <c r="Y490" s="4"/>
      <c r="Z490" s="4"/>
      <c r="AA490" s="4"/>
      <c r="AB490" s="4"/>
      <c r="AC490" s="4"/>
      <c r="AD490" s="4"/>
      <c r="AE490" s="4"/>
      <c r="AF490" s="4"/>
      <c r="AG490" s="4"/>
    </row>
    <row r="491" spans="25:33" hidden="1" x14ac:dyDescent="0.2">
      <c r="Y491" s="4"/>
      <c r="Z491" s="4"/>
      <c r="AA491" s="4"/>
      <c r="AB491" s="4"/>
      <c r="AC491" s="4"/>
      <c r="AD491" s="4"/>
      <c r="AE491" s="4"/>
      <c r="AF491" s="4"/>
      <c r="AG491" s="4"/>
    </row>
    <row r="492" spans="25:33" hidden="1" x14ac:dyDescent="0.2">
      <c r="Y492" s="4"/>
      <c r="Z492" s="4"/>
      <c r="AA492" s="4"/>
      <c r="AB492" s="4"/>
      <c r="AC492" s="4"/>
      <c r="AD492" s="4"/>
      <c r="AE492" s="4"/>
      <c r="AF492" s="4"/>
      <c r="AG492" s="4"/>
    </row>
    <row r="493" spans="25:33" hidden="1" x14ac:dyDescent="0.2">
      <c r="Y493" s="4"/>
      <c r="Z493" s="4"/>
      <c r="AA493" s="4"/>
      <c r="AB493" s="4"/>
      <c r="AC493" s="4"/>
      <c r="AD493" s="4"/>
      <c r="AE493" s="4"/>
      <c r="AF493" s="4"/>
      <c r="AG493" s="4"/>
    </row>
    <row r="494" spans="25:33" hidden="1" x14ac:dyDescent="0.2">
      <c r="Y494" s="4"/>
      <c r="Z494" s="4"/>
      <c r="AA494" s="4"/>
      <c r="AB494" s="4"/>
      <c r="AC494" s="4"/>
      <c r="AD494" s="4"/>
      <c r="AE494" s="4"/>
      <c r="AF494" s="4"/>
      <c r="AG494" s="4"/>
    </row>
    <row r="495" spans="25:33" hidden="1" x14ac:dyDescent="0.2">
      <c r="Y495" s="4"/>
      <c r="Z495" s="4"/>
      <c r="AA495" s="4"/>
      <c r="AB495" s="4"/>
      <c r="AC495" s="4"/>
      <c r="AD495" s="4"/>
      <c r="AE495" s="4"/>
      <c r="AF495" s="4"/>
      <c r="AG495" s="4"/>
    </row>
    <row r="496" spans="25:33" hidden="1" x14ac:dyDescent="0.2">
      <c r="Y496" s="4"/>
      <c r="Z496" s="4"/>
      <c r="AA496" s="4"/>
      <c r="AB496" s="4"/>
      <c r="AC496" s="4"/>
      <c r="AD496" s="4"/>
      <c r="AE496" s="4"/>
      <c r="AF496" s="4"/>
      <c r="AG496" s="4"/>
    </row>
    <row r="497" spans="25:33" hidden="1" x14ac:dyDescent="0.2">
      <c r="Y497" s="4"/>
      <c r="Z497" s="4"/>
      <c r="AA497" s="4"/>
      <c r="AB497" s="4"/>
      <c r="AC497" s="4"/>
      <c r="AD497" s="4"/>
      <c r="AE497" s="4"/>
      <c r="AF497" s="4"/>
      <c r="AG497" s="4"/>
    </row>
    <row r="498" spans="25:33" hidden="1" x14ac:dyDescent="0.2">
      <c r="Y498" s="4"/>
      <c r="Z498" s="4"/>
      <c r="AA498" s="4"/>
      <c r="AB498" s="4"/>
      <c r="AC498" s="4"/>
      <c r="AD498" s="4"/>
      <c r="AE498" s="4"/>
      <c r="AF498" s="4"/>
      <c r="AG498" s="4"/>
    </row>
    <row r="499" spans="25:33" hidden="1" x14ac:dyDescent="0.2">
      <c r="Y499" s="4"/>
      <c r="Z499" s="4"/>
      <c r="AA499" s="4"/>
      <c r="AB499" s="4"/>
      <c r="AC499" s="4"/>
      <c r="AD499" s="4"/>
      <c r="AE499" s="4"/>
      <c r="AF499" s="4"/>
      <c r="AG499" s="4"/>
    </row>
    <row r="500" spans="25:33" hidden="1" x14ac:dyDescent="0.2">
      <c r="Y500" s="4"/>
      <c r="Z500" s="4"/>
      <c r="AA500" s="4"/>
      <c r="AB500" s="4"/>
      <c r="AC500" s="4"/>
      <c r="AD500" s="4"/>
      <c r="AE500" s="4"/>
      <c r="AF500" s="4"/>
      <c r="AG500" s="4"/>
    </row>
    <row r="501" spans="25:33" hidden="1" x14ac:dyDescent="0.2">
      <c r="Y501" s="4"/>
      <c r="Z501" s="4"/>
      <c r="AA501" s="4"/>
      <c r="AB501" s="4"/>
      <c r="AC501" s="4"/>
      <c r="AD501" s="4"/>
      <c r="AE501" s="4"/>
      <c r="AF501" s="4"/>
      <c r="AG501" s="4"/>
    </row>
    <row r="502" spans="25:33" hidden="1" x14ac:dyDescent="0.2">
      <c r="Y502" s="4"/>
      <c r="Z502" s="4"/>
      <c r="AA502" s="4"/>
      <c r="AB502" s="4"/>
      <c r="AC502" s="4"/>
      <c r="AD502" s="4"/>
      <c r="AE502" s="4"/>
      <c r="AF502" s="4"/>
      <c r="AG502" s="4"/>
    </row>
    <row r="503" spans="25:33" hidden="1" x14ac:dyDescent="0.2">
      <c r="Y503" s="4"/>
      <c r="Z503" s="4"/>
      <c r="AA503" s="4"/>
      <c r="AB503" s="4"/>
      <c r="AC503" s="4"/>
      <c r="AD503" s="4"/>
      <c r="AE503" s="4"/>
      <c r="AF503" s="4"/>
      <c r="AG503" s="4"/>
    </row>
    <row r="504" spans="25:33" hidden="1" x14ac:dyDescent="0.2">
      <c r="Y504" s="4"/>
      <c r="Z504" s="4"/>
      <c r="AA504" s="4"/>
      <c r="AB504" s="4"/>
      <c r="AC504" s="4"/>
      <c r="AD504" s="4"/>
      <c r="AE504" s="4"/>
      <c r="AF504" s="4"/>
      <c r="AG504" s="4"/>
    </row>
    <row r="505" spans="25:33" hidden="1" x14ac:dyDescent="0.2">
      <c r="Y505" s="4"/>
      <c r="Z505" s="4"/>
      <c r="AA505" s="4"/>
      <c r="AB505" s="4"/>
      <c r="AC505" s="4"/>
      <c r="AD505" s="4"/>
      <c r="AE505" s="4"/>
      <c r="AF505" s="4"/>
      <c r="AG505" s="4"/>
    </row>
    <row r="506" spans="25:33" hidden="1" x14ac:dyDescent="0.2">
      <c r="Y506" s="4"/>
      <c r="Z506" s="4"/>
      <c r="AA506" s="4"/>
      <c r="AB506" s="4"/>
      <c r="AC506" s="4"/>
      <c r="AD506" s="4"/>
      <c r="AE506" s="4"/>
      <c r="AF506" s="4"/>
      <c r="AG506" s="4"/>
    </row>
    <row r="507" spans="25:33" hidden="1" x14ac:dyDescent="0.2">
      <c r="Y507" s="4"/>
      <c r="Z507" s="4"/>
      <c r="AA507" s="4"/>
      <c r="AB507" s="4"/>
      <c r="AC507" s="4"/>
      <c r="AD507" s="4"/>
      <c r="AE507" s="4"/>
      <c r="AF507" s="4"/>
      <c r="AG507" s="4"/>
    </row>
    <row r="508" spans="25:33" hidden="1" x14ac:dyDescent="0.2">
      <c r="Y508" s="4"/>
      <c r="Z508" s="4"/>
      <c r="AA508" s="4"/>
      <c r="AB508" s="4"/>
      <c r="AC508" s="4"/>
      <c r="AD508" s="4"/>
      <c r="AE508" s="4"/>
      <c r="AF508" s="4"/>
      <c r="AG508" s="4"/>
    </row>
    <row r="509" spans="25:33" hidden="1" x14ac:dyDescent="0.2">
      <c r="Y509" s="4"/>
      <c r="Z509" s="4"/>
      <c r="AA509" s="4"/>
      <c r="AB509" s="4"/>
      <c r="AC509" s="4"/>
      <c r="AD509" s="4"/>
      <c r="AE509" s="4"/>
      <c r="AF509" s="4"/>
      <c r="AG509" s="4"/>
    </row>
    <row r="510" spans="25:33" hidden="1" x14ac:dyDescent="0.2">
      <c r="Y510" s="4"/>
      <c r="Z510" s="4"/>
      <c r="AA510" s="4"/>
      <c r="AB510" s="4"/>
      <c r="AC510" s="4"/>
      <c r="AD510" s="4"/>
      <c r="AE510" s="4"/>
      <c r="AF510" s="4"/>
      <c r="AG510" s="4"/>
    </row>
    <row r="511" spans="25:33" hidden="1" x14ac:dyDescent="0.2">
      <c r="Y511" s="4"/>
      <c r="Z511" s="4"/>
      <c r="AA511" s="4"/>
      <c r="AB511" s="4"/>
      <c r="AC511" s="4"/>
      <c r="AD511" s="4"/>
      <c r="AE511" s="4"/>
      <c r="AF511" s="4"/>
      <c r="AG511" s="4"/>
    </row>
    <row r="512" spans="25:33" hidden="1" x14ac:dyDescent="0.2">
      <c r="Y512" s="4"/>
      <c r="Z512" s="4"/>
      <c r="AA512" s="4"/>
      <c r="AB512" s="4"/>
      <c r="AC512" s="4"/>
      <c r="AD512" s="4"/>
      <c r="AE512" s="4"/>
      <c r="AF512" s="4"/>
      <c r="AG512" s="4"/>
    </row>
    <row r="513" spans="25:33" hidden="1" x14ac:dyDescent="0.2">
      <c r="Y513" s="4"/>
      <c r="Z513" s="4"/>
      <c r="AA513" s="4"/>
      <c r="AB513" s="4"/>
      <c r="AC513" s="4"/>
      <c r="AD513" s="4"/>
      <c r="AE513" s="4"/>
      <c r="AF513" s="4"/>
      <c r="AG513" s="4"/>
    </row>
    <row r="514" spans="25:33" hidden="1" x14ac:dyDescent="0.2">
      <c r="Y514" s="4"/>
      <c r="Z514" s="4"/>
      <c r="AA514" s="4"/>
      <c r="AB514" s="4"/>
      <c r="AC514" s="4"/>
      <c r="AD514" s="4"/>
      <c r="AE514" s="4"/>
      <c r="AF514" s="4"/>
      <c r="AG514" s="4"/>
    </row>
    <row r="515" spans="25:33" hidden="1" x14ac:dyDescent="0.2">
      <c r="Y515" s="4"/>
      <c r="Z515" s="4"/>
      <c r="AA515" s="4"/>
      <c r="AB515" s="4"/>
      <c r="AC515" s="4"/>
      <c r="AD515" s="4"/>
      <c r="AE515" s="4"/>
      <c r="AF515" s="4"/>
      <c r="AG515" s="4"/>
    </row>
    <row r="516" spans="25:33" hidden="1" x14ac:dyDescent="0.2">
      <c r="Y516" s="4"/>
      <c r="Z516" s="4"/>
      <c r="AA516" s="4"/>
      <c r="AB516" s="4"/>
      <c r="AC516" s="4"/>
      <c r="AD516" s="4"/>
      <c r="AE516" s="4"/>
      <c r="AF516" s="4"/>
      <c r="AG516" s="4"/>
    </row>
    <row r="517" spans="25:33" hidden="1" x14ac:dyDescent="0.2">
      <c r="Y517" s="4"/>
      <c r="Z517" s="4"/>
      <c r="AA517" s="4"/>
      <c r="AB517" s="4"/>
      <c r="AC517" s="4"/>
      <c r="AD517" s="4"/>
      <c r="AE517" s="4"/>
      <c r="AF517" s="4"/>
      <c r="AG517" s="4"/>
    </row>
    <row r="518" spans="25:33" hidden="1" x14ac:dyDescent="0.2">
      <c r="Y518" s="4"/>
      <c r="Z518" s="4"/>
      <c r="AA518" s="4"/>
      <c r="AB518" s="4"/>
      <c r="AC518" s="4"/>
      <c r="AD518" s="4"/>
      <c r="AE518" s="4"/>
      <c r="AF518" s="4"/>
      <c r="AG518" s="4"/>
    </row>
    <row r="519" spans="25:33" hidden="1" x14ac:dyDescent="0.2">
      <c r="Y519" s="4"/>
      <c r="Z519" s="4"/>
      <c r="AA519" s="4"/>
      <c r="AB519" s="4"/>
      <c r="AC519" s="4"/>
      <c r="AD519" s="4"/>
      <c r="AE519" s="4"/>
      <c r="AF519" s="4"/>
      <c r="AG519" s="4"/>
    </row>
    <row r="520" spans="25:33" hidden="1" x14ac:dyDescent="0.2">
      <c r="Y520" s="4"/>
      <c r="Z520" s="4"/>
      <c r="AA520" s="4"/>
      <c r="AB520" s="4"/>
      <c r="AC520" s="4"/>
      <c r="AD520" s="4"/>
      <c r="AE520" s="4"/>
      <c r="AF520" s="4"/>
      <c r="AG520" s="4"/>
    </row>
    <row r="521" spans="25:33" hidden="1" x14ac:dyDescent="0.2">
      <c r="Y521" s="4"/>
      <c r="Z521" s="4"/>
      <c r="AA521" s="4"/>
      <c r="AB521" s="4"/>
      <c r="AC521" s="4"/>
      <c r="AD521" s="4"/>
      <c r="AE521" s="4"/>
      <c r="AF521" s="4"/>
      <c r="AG521" s="4"/>
    </row>
    <row r="522" spans="25:33" hidden="1" x14ac:dyDescent="0.2">
      <c r="Y522" s="4"/>
      <c r="Z522" s="4"/>
      <c r="AA522" s="4"/>
      <c r="AB522" s="4"/>
      <c r="AC522" s="4"/>
      <c r="AD522" s="4"/>
      <c r="AE522" s="4"/>
      <c r="AF522" s="4"/>
      <c r="AG522" s="4"/>
    </row>
    <row r="523" spans="25:33" hidden="1" x14ac:dyDescent="0.2">
      <c r="Y523" s="4"/>
      <c r="Z523" s="4"/>
      <c r="AA523" s="4"/>
      <c r="AB523" s="4"/>
      <c r="AC523" s="4"/>
      <c r="AD523" s="4"/>
      <c r="AE523" s="4"/>
      <c r="AF523" s="4"/>
      <c r="AG523" s="4"/>
    </row>
    <row r="524" spans="25:33" hidden="1" x14ac:dyDescent="0.2">
      <c r="Y524" s="4"/>
      <c r="Z524" s="4"/>
      <c r="AA524" s="4"/>
      <c r="AB524" s="4"/>
      <c r="AC524" s="4"/>
      <c r="AD524" s="4"/>
      <c r="AE524" s="4"/>
      <c r="AF524" s="4"/>
      <c r="AG524" s="4"/>
    </row>
    <row r="525" spans="25:33" hidden="1" x14ac:dyDescent="0.2">
      <c r="Y525" s="4"/>
      <c r="Z525" s="4"/>
      <c r="AA525" s="4"/>
      <c r="AB525" s="4"/>
      <c r="AC525" s="4"/>
      <c r="AD525" s="4"/>
      <c r="AE525" s="4"/>
      <c r="AF525" s="4"/>
      <c r="AG525" s="4"/>
    </row>
    <row r="526" spans="25:33" hidden="1" x14ac:dyDescent="0.2">
      <c r="Y526" s="4"/>
      <c r="Z526" s="4"/>
      <c r="AA526" s="4"/>
      <c r="AB526" s="4"/>
      <c r="AC526" s="4"/>
      <c r="AD526" s="4"/>
      <c r="AE526" s="4"/>
      <c r="AF526" s="4"/>
      <c r="AG526" s="4"/>
    </row>
    <row r="527" spans="25:33" hidden="1" x14ac:dyDescent="0.2">
      <c r="Y527" s="4"/>
      <c r="Z527" s="4"/>
      <c r="AA527" s="4"/>
      <c r="AB527" s="4"/>
      <c r="AC527" s="4"/>
      <c r="AD527" s="4"/>
      <c r="AE527" s="4"/>
      <c r="AF527" s="4"/>
      <c r="AG527" s="4"/>
    </row>
    <row r="528" spans="25:33" hidden="1" x14ac:dyDescent="0.2">
      <c r="Y528" s="4"/>
      <c r="Z528" s="4"/>
      <c r="AA528" s="4"/>
      <c r="AB528" s="4"/>
      <c r="AC528" s="4"/>
      <c r="AD528" s="4"/>
      <c r="AE528" s="4"/>
      <c r="AF528" s="4"/>
      <c r="AG528" s="4"/>
    </row>
    <row r="529" spans="25:33" hidden="1" x14ac:dyDescent="0.2">
      <c r="Y529" s="4"/>
      <c r="Z529" s="4"/>
      <c r="AA529" s="4"/>
      <c r="AB529" s="4"/>
      <c r="AC529" s="4"/>
      <c r="AD529" s="4"/>
      <c r="AE529" s="4"/>
      <c r="AF529" s="4"/>
      <c r="AG529" s="4"/>
    </row>
    <row r="530" spans="25:33" hidden="1" x14ac:dyDescent="0.2">
      <c r="Y530" s="4"/>
      <c r="Z530" s="4"/>
      <c r="AA530" s="4"/>
      <c r="AB530" s="4"/>
      <c r="AC530" s="4"/>
      <c r="AD530" s="4"/>
      <c r="AE530" s="4"/>
      <c r="AF530" s="4"/>
      <c r="AG530" s="4"/>
    </row>
    <row r="531" spans="25:33" hidden="1" x14ac:dyDescent="0.2">
      <c r="Y531" s="4"/>
      <c r="Z531" s="4"/>
      <c r="AA531" s="4"/>
      <c r="AB531" s="4"/>
      <c r="AC531" s="4"/>
      <c r="AD531" s="4"/>
      <c r="AE531" s="4"/>
      <c r="AF531" s="4"/>
      <c r="AG531" s="4"/>
    </row>
    <row r="532" spans="25:33" hidden="1" x14ac:dyDescent="0.2">
      <c r="Y532" s="4"/>
      <c r="Z532" s="4"/>
      <c r="AA532" s="4"/>
      <c r="AB532" s="4"/>
      <c r="AC532" s="4"/>
      <c r="AD532" s="4"/>
      <c r="AE532" s="4"/>
      <c r="AF532" s="4"/>
      <c r="AG532" s="4"/>
    </row>
    <row r="533" spans="25:33" hidden="1" x14ac:dyDescent="0.2">
      <c r="Y533" s="4"/>
      <c r="Z533" s="4"/>
      <c r="AA533" s="4"/>
      <c r="AB533" s="4"/>
      <c r="AC533" s="4"/>
      <c r="AD533" s="4"/>
      <c r="AE533" s="4"/>
      <c r="AF533" s="4"/>
      <c r="AG533" s="4"/>
    </row>
    <row r="534" spans="25:33" hidden="1" x14ac:dyDescent="0.2">
      <c r="Y534" s="4"/>
      <c r="Z534" s="4"/>
      <c r="AA534" s="4"/>
      <c r="AB534" s="4"/>
      <c r="AC534" s="4"/>
      <c r="AD534" s="4"/>
      <c r="AE534" s="4"/>
      <c r="AF534" s="4"/>
      <c r="AG534" s="4"/>
    </row>
    <row r="535" spans="25:33" hidden="1" x14ac:dyDescent="0.2">
      <c r="Y535" s="4"/>
      <c r="Z535" s="4"/>
      <c r="AA535" s="4"/>
      <c r="AB535" s="4"/>
      <c r="AC535" s="4"/>
      <c r="AD535" s="4"/>
      <c r="AE535" s="4"/>
      <c r="AF535" s="4"/>
      <c r="AG535" s="4"/>
    </row>
    <row r="536" spans="25:33" hidden="1" x14ac:dyDescent="0.2">
      <c r="Y536" s="4"/>
      <c r="Z536" s="4"/>
      <c r="AA536" s="4"/>
      <c r="AB536" s="4"/>
      <c r="AC536" s="4"/>
      <c r="AD536" s="4"/>
      <c r="AE536" s="4"/>
      <c r="AF536" s="4"/>
      <c r="AG536" s="4"/>
    </row>
    <row r="537" spans="25:33" hidden="1" x14ac:dyDescent="0.2">
      <c r="Y537" s="4"/>
      <c r="Z537" s="4"/>
      <c r="AA537" s="4"/>
      <c r="AB537" s="4"/>
      <c r="AC537" s="4"/>
      <c r="AD537" s="4"/>
      <c r="AE537" s="4"/>
      <c r="AF537" s="4"/>
      <c r="AG537" s="4"/>
    </row>
    <row r="538" spans="25:33" hidden="1" x14ac:dyDescent="0.2">
      <c r="Y538" s="4"/>
      <c r="Z538" s="4"/>
      <c r="AA538" s="4"/>
      <c r="AB538" s="4"/>
      <c r="AC538" s="4"/>
      <c r="AD538" s="4"/>
      <c r="AE538" s="4"/>
      <c r="AF538" s="4"/>
      <c r="AG538" s="4"/>
    </row>
    <row r="539" spans="25:33" hidden="1" x14ac:dyDescent="0.2">
      <c r="Y539" s="4"/>
      <c r="Z539" s="4"/>
      <c r="AA539" s="4"/>
      <c r="AB539" s="4"/>
      <c r="AC539" s="4"/>
      <c r="AD539" s="4"/>
      <c r="AE539" s="4"/>
      <c r="AF539" s="4"/>
      <c r="AG539" s="4"/>
    </row>
    <row r="540" spans="25:33" hidden="1" x14ac:dyDescent="0.2">
      <c r="Y540" s="4"/>
      <c r="Z540" s="4"/>
      <c r="AA540" s="4"/>
      <c r="AB540" s="4"/>
      <c r="AC540" s="4"/>
      <c r="AD540" s="4"/>
      <c r="AE540" s="4"/>
      <c r="AF540" s="4"/>
      <c r="AG540" s="4"/>
    </row>
    <row r="541" spans="25:33" hidden="1" x14ac:dyDescent="0.2">
      <c r="Y541" s="4"/>
      <c r="Z541" s="4"/>
      <c r="AA541" s="4"/>
      <c r="AB541" s="4"/>
      <c r="AC541" s="4"/>
      <c r="AD541" s="4"/>
      <c r="AE541" s="4"/>
      <c r="AF541" s="4"/>
      <c r="AG541" s="4"/>
    </row>
    <row r="542" spans="25:33" hidden="1" x14ac:dyDescent="0.2">
      <c r="Y542" s="4"/>
      <c r="Z542" s="4"/>
      <c r="AA542" s="4"/>
      <c r="AB542" s="4"/>
      <c r="AC542" s="4"/>
      <c r="AD542" s="4"/>
      <c r="AE542" s="4"/>
      <c r="AF542" s="4"/>
      <c r="AG542" s="4"/>
    </row>
    <row r="543" spans="25:33" hidden="1" x14ac:dyDescent="0.2">
      <c r="Y543" s="4"/>
      <c r="Z543" s="4"/>
      <c r="AA543" s="4"/>
      <c r="AB543" s="4"/>
      <c r="AC543" s="4"/>
      <c r="AD543" s="4"/>
      <c r="AE543" s="4"/>
      <c r="AF543" s="4"/>
      <c r="AG543" s="4"/>
    </row>
    <row r="544" spans="25:33" hidden="1" x14ac:dyDescent="0.2">
      <c r="Y544" s="4"/>
      <c r="Z544" s="4"/>
      <c r="AA544" s="4"/>
      <c r="AB544" s="4"/>
      <c r="AC544" s="4"/>
      <c r="AD544" s="4"/>
      <c r="AE544" s="4"/>
      <c r="AF544" s="4"/>
      <c r="AG544" s="4"/>
    </row>
    <row r="545" spans="25:33" hidden="1" x14ac:dyDescent="0.2">
      <c r="Y545" s="4"/>
      <c r="Z545" s="4"/>
      <c r="AA545" s="4"/>
      <c r="AB545" s="4"/>
      <c r="AC545" s="4"/>
      <c r="AD545" s="4"/>
      <c r="AE545" s="4"/>
      <c r="AF545" s="4"/>
      <c r="AG545" s="4"/>
    </row>
    <row r="546" spans="25:33" hidden="1" x14ac:dyDescent="0.2">
      <c r="Y546" s="4"/>
      <c r="Z546" s="4"/>
      <c r="AA546" s="4"/>
      <c r="AB546" s="4"/>
      <c r="AC546" s="4"/>
      <c r="AD546" s="4"/>
      <c r="AE546" s="4"/>
      <c r="AF546" s="4"/>
      <c r="AG546" s="4"/>
    </row>
    <row r="547" spans="25:33" hidden="1" x14ac:dyDescent="0.2">
      <c r="Y547" s="4"/>
      <c r="Z547" s="4"/>
      <c r="AA547" s="4"/>
      <c r="AB547" s="4"/>
      <c r="AC547" s="4"/>
      <c r="AD547" s="4"/>
      <c r="AE547" s="4"/>
      <c r="AF547" s="4"/>
      <c r="AG547" s="4"/>
    </row>
    <row r="548" spans="25:33" hidden="1" x14ac:dyDescent="0.2">
      <c r="Y548" s="4"/>
      <c r="Z548" s="4"/>
      <c r="AA548" s="4"/>
      <c r="AB548" s="4"/>
      <c r="AC548" s="4"/>
      <c r="AD548" s="4"/>
      <c r="AE548" s="4"/>
      <c r="AF548" s="4"/>
      <c r="AG548" s="4"/>
    </row>
    <row r="549" spans="25:33" hidden="1" x14ac:dyDescent="0.2">
      <c r="Y549" s="4"/>
      <c r="Z549" s="4"/>
      <c r="AA549" s="4"/>
      <c r="AB549" s="4"/>
      <c r="AC549" s="4"/>
      <c r="AD549" s="4"/>
      <c r="AE549" s="4"/>
      <c r="AF549" s="4"/>
      <c r="AG549" s="4"/>
    </row>
    <row r="550" spans="25:33" hidden="1" x14ac:dyDescent="0.2">
      <c r="Y550" s="4"/>
      <c r="Z550" s="4"/>
      <c r="AA550" s="4"/>
      <c r="AB550" s="4"/>
      <c r="AC550" s="4"/>
      <c r="AD550" s="4"/>
      <c r="AE550" s="4"/>
      <c r="AF550" s="4"/>
      <c r="AG550" s="4"/>
    </row>
    <row r="551" spans="25:33" hidden="1" x14ac:dyDescent="0.2">
      <c r="Y551" s="4"/>
      <c r="Z551" s="4"/>
      <c r="AA551" s="4"/>
      <c r="AB551" s="4"/>
      <c r="AC551" s="4"/>
      <c r="AD551" s="4"/>
      <c r="AE551" s="4"/>
      <c r="AF551" s="4"/>
      <c r="AG551" s="4"/>
    </row>
    <row r="552" spans="25:33" hidden="1" x14ac:dyDescent="0.2">
      <c r="Y552" s="4"/>
      <c r="Z552" s="4"/>
      <c r="AA552" s="4"/>
      <c r="AB552" s="4"/>
      <c r="AC552" s="4"/>
      <c r="AD552" s="4"/>
      <c r="AE552" s="4"/>
      <c r="AF552" s="4"/>
      <c r="AG552" s="4"/>
    </row>
    <row r="553" spans="25:33" hidden="1" x14ac:dyDescent="0.2">
      <c r="Y553" s="4"/>
      <c r="Z553" s="4"/>
      <c r="AA553" s="4"/>
      <c r="AB553" s="4"/>
      <c r="AC553" s="4"/>
      <c r="AD553" s="4"/>
      <c r="AE553" s="4"/>
      <c r="AF553" s="4"/>
      <c r="AG553" s="4"/>
    </row>
    <row r="554" spans="25:33" hidden="1" x14ac:dyDescent="0.2">
      <c r="Y554" s="4"/>
      <c r="Z554" s="4"/>
      <c r="AA554" s="4"/>
      <c r="AB554" s="4"/>
      <c r="AC554" s="4"/>
      <c r="AD554" s="4"/>
      <c r="AE554" s="4"/>
      <c r="AF554" s="4"/>
      <c r="AG554" s="4"/>
    </row>
    <row r="555" spans="25:33" hidden="1" x14ac:dyDescent="0.2">
      <c r="Y555" s="4"/>
      <c r="Z555" s="4"/>
      <c r="AA555" s="4"/>
      <c r="AB555" s="4"/>
      <c r="AC555" s="4"/>
      <c r="AD555" s="4"/>
      <c r="AE555" s="4"/>
      <c r="AF555" s="4"/>
      <c r="AG555" s="4"/>
    </row>
    <row r="556" spans="25:33" hidden="1" x14ac:dyDescent="0.2">
      <c r="Y556" s="4"/>
      <c r="Z556" s="4"/>
      <c r="AA556" s="4"/>
      <c r="AB556" s="4"/>
      <c r="AC556" s="4"/>
      <c r="AD556" s="4"/>
      <c r="AE556" s="4"/>
      <c r="AF556" s="4"/>
      <c r="AG556" s="4"/>
    </row>
    <row r="557" spans="25:33" hidden="1" x14ac:dyDescent="0.2">
      <c r="Y557" s="4"/>
      <c r="Z557" s="4"/>
      <c r="AA557" s="4"/>
      <c r="AB557" s="4"/>
      <c r="AC557" s="4"/>
      <c r="AD557" s="4"/>
      <c r="AE557" s="4"/>
      <c r="AF557" s="4"/>
      <c r="AG557" s="4"/>
    </row>
    <row r="558" spans="25:33" hidden="1" x14ac:dyDescent="0.2">
      <c r="Y558" s="4"/>
      <c r="Z558" s="4"/>
      <c r="AA558" s="4"/>
      <c r="AB558" s="4"/>
      <c r="AC558" s="4"/>
      <c r="AD558" s="4"/>
      <c r="AE558" s="4"/>
      <c r="AF558" s="4"/>
      <c r="AG558" s="4"/>
    </row>
    <row r="559" spans="25:33" hidden="1" x14ac:dyDescent="0.2">
      <c r="Y559" s="4"/>
      <c r="Z559" s="4"/>
      <c r="AA559" s="4"/>
      <c r="AB559" s="4"/>
      <c r="AC559" s="4"/>
      <c r="AD559" s="4"/>
      <c r="AE559" s="4"/>
      <c r="AF559" s="4"/>
      <c r="AG559" s="4"/>
    </row>
    <row r="560" spans="25:33" hidden="1" x14ac:dyDescent="0.2">
      <c r="Y560" s="4"/>
      <c r="Z560" s="4"/>
      <c r="AA560" s="4"/>
      <c r="AB560" s="4"/>
      <c r="AC560" s="4"/>
      <c r="AD560" s="4"/>
      <c r="AE560" s="4"/>
      <c r="AF560" s="4"/>
      <c r="AG560" s="4"/>
    </row>
    <row r="561" spans="25:33" hidden="1" x14ac:dyDescent="0.2">
      <c r="Y561" s="4"/>
      <c r="Z561" s="4"/>
      <c r="AA561" s="4"/>
      <c r="AB561" s="4"/>
      <c r="AC561" s="4"/>
      <c r="AD561" s="4"/>
      <c r="AE561" s="4"/>
      <c r="AF561" s="4"/>
      <c r="AG561" s="4"/>
    </row>
    <row r="562" spans="25:33" hidden="1" x14ac:dyDescent="0.2">
      <c r="Y562" s="4"/>
      <c r="Z562" s="4"/>
      <c r="AA562" s="4"/>
      <c r="AB562" s="4"/>
      <c r="AC562" s="4"/>
      <c r="AD562" s="4"/>
      <c r="AE562" s="4"/>
      <c r="AF562" s="4"/>
      <c r="AG562" s="4"/>
    </row>
    <row r="563" spans="25:33" hidden="1" x14ac:dyDescent="0.2">
      <c r="Y563" s="4"/>
      <c r="Z563" s="4"/>
      <c r="AA563" s="4"/>
      <c r="AB563" s="4"/>
      <c r="AC563" s="4"/>
      <c r="AD563" s="4"/>
      <c r="AE563" s="4"/>
      <c r="AF563" s="4"/>
      <c r="AG563" s="4"/>
    </row>
    <row r="564" spans="25:33" hidden="1" x14ac:dyDescent="0.2">
      <c r="Y564" s="4"/>
      <c r="Z564" s="4"/>
      <c r="AA564" s="4"/>
      <c r="AB564" s="4"/>
      <c r="AC564" s="4"/>
      <c r="AD564" s="4"/>
      <c r="AE564" s="4"/>
      <c r="AF564" s="4"/>
      <c r="AG564" s="4"/>
    </row>
    <row r="565" spans="25:33" hidden="1" x14ac:dyDescent="0.2">
      <c r="Y565" s="4"/>
      <c r="Z565" s="4"/>
      <c r="AA565" s="4"/>
      <c r="AB565" s="4"/>
      <c r="AC565" s="4"/>
      <c r="AD565" s="4"/>
      <c r="AE565" s="4"/>
      <c r="AF565" s="4"/>
      <c r="AG565" s="4"/>
    </row>
    <row r="566" spans="25:33" hidden="1" x14ac:dyDescent="0.2">
      <c r="Y566" s="4"/>
      <c r="Z566" s="4"/>
      <c r="AA566" s="4"/>
      <c r="AB566" s="4"/>
      <c r="AC566" s="4"/>
      <c r="AD566" s="4"/>
      <c r="AE566" s="4"/>
      <c r="AF566" s="4"/>
      <c r="AG566" s="4"/>
    </row>
    <row r="567" spans="25:33" hidden="1" x14ac:dyDescent="0.2">
      <c r="Y567" s="4"/>
      <c r="Z567" s="4"/>
      <c r="AA567" s="4"/>
      <c r="AB567" s="4"/>
      <c r="AC567" s="4"/>
      <c r="AD567" s="4"/>
      <c r="AE567" s="4"/>
      <c r="AF567" s="4"/>
      <c r="AG567" s="4"/>
    </row>
    <row r="568" spans="25:33" hidden="1" x14ac:dyDescent="0.2">
      <c r="Y568" s="4"/>
      <c r="Z568" s="4"/>
      <c r="AA568" s="4"/>
      <c r="AB568" s="4"/>
      <c r="AC568" s="4"/>
      <c r="AD568" s="4"/>
      <c r="AE568" s="4"/>
      <c r="AF568" s="4"/>
      <c r="AG568" s="4"/>
    </row>
    <row r="569" spans="25:33" hidden="1" x14ac:dyDescent="0.2">
      <c r="Y569" s="4"/>
      <c r="Z569" s="4"/>
      <c r="AA569" s="4"/>
      <c r="AB569" s="4"/>
      <c r="AC569" s="4"/>
      <c r="AD569" s="4"/>
      <c r="AE569" s="4"/>
      <c r="AF569" s="4"/>
      <c r="AG569" s="4"/>
    </row>
    <row r="570" spans="25:33" hidden="1" x14ac:dyDescent="0.2">
      <c r="Y570" s="4"/>
      <c r="Z570" s="4"/>
      <c r="AA570" s="4"/>
      <c r="AB570" s="4"/>
      <c r="AC570" s="4"/>
      <c r="AD570" s="4"/>
      <c r="AE570" s="4"/>
      <c r="AF570" s="4"/>
      <c r="AG570" s="4"/>
    </row>
    <row r="571" spans="25:33" hidden="1" x14ac:dyDescent="0.2">
      <c r="Y571" s="4"/>
      <c r="Z571" s="4"/>
      <c r="AA571" s="4"/>
      <c r="AB571" s="4"/>
      <c r="AC571" s="4"/>
      <c r="AD571" s="4"/>
      <c r="AE571" s="4"/>
      <c r="AF571" s="4"/>
      <c r="AG571" s="4"/>
    </row>
    <row r="572" spans="25:33" hidden="1" x14ac:dyDescent="0.2">
      <c r="Y572" s="4"/>
      <c r="Z572" s="4"/>
      <c r="AA572" s="4"/>
      <c r="AB572" s="4"/>
      <c r="AC572" s="4"/>
      <c r="AD572" s="4"/>
      <c r="AE572" s="4"/>
      <c r="AF572" s="4"/>
      <c r="AG572" s="4"/>
    </row>
    <row r="573" spans="25:33" hidden="1" x14ac:dyDescent="0.2">
      <c r="Y573" s="4"/>
      <c r="Z573" s="4"/>
      <c r="AA573" s="4"/>
      <c r="AB573" s="4"/>
      <c r="AC573" s="4"/>
      <c r="AD573" s="4"/>
      <c r="AE573" s="4"/>
      <c r="AF573" s="4"/>
      <c r="AG573" s="4"/>
    </row>
    <row r="574" spans="25:33" hidden="1" x14ac:dyDescent="0.2">
      <c r="Y574" s="4"/>
      <c r="Z574" s="4"/>
      <c r="AA574" s="4"/>
      <c r="AB574" s="4"/>
      <c r="AC574" s="4"/>
      <c r="AD574" s="4"/>
      <c r="AE574" s="4"/>
      <c r="AF574" s="4"/>
      <c r="AG574" s="4"/>
    </row>
    <row r="575" spans="25:33" hidden="1" x14ac:dyDescent="0.2">
      <c r="Y575" s="4"/>
      <c r="Z575" s="4"/>
      <c r="AA575" s="4"/>
      <c r="AB575" s="4"/>
      <c r="AC575" s="4"/>
      <c r="AD575" s="4"/>
      <c r="AE575" s="4"/>
      <c r="AF575" s="4"/>
      <c r="AG575" s="4"/>
    </row>
    <row r="576" spans="25:33" hidden="1" x14ac:dyDescent="0.2">
      <c r="Y576" s="4"/>
      <c r="Z576" s="4"/>
      <c r="AA576" s="4"/>
      <c r="AB576" s="4"/>
      <c r="AC576" s="4"/>
      <c r="AD576" s="4"/>
      <c r="AE576" s="4"/>
      <c r="AF576" s="4"/>
      <c r="AG576" s="4"/>
    </row>
    <row r="577" spans="25:33" hidden="1" x14ac:dyDescent="0.2">
      <c r="Y577" s="4"/>
      <c r="Z577" s="4"/>
      <c r="AA577" s="4"/>
      <c r="AB577" s="4"/>
      <c r="AC577" s="4"/>
      <c r="AD577" s="4"/>
      <c r="AE577" s="4"/>
      <c r="AF577" s="4"/>
      <c r="AG577" s="4"/>
    </row>
    <row r="578" spans="25:33" hidden="1" x14ac:dyDescent="0.2">
      <c r="Y578" s="4"/>
      <c r="Z578" s="4"/>
      <c r="AA578" s="4"/>
      <c r="AB578" s="4"/>
      <c r="AC578" s="4"/>
      <c r="AD578" s="4"/>
      <c r="AE578" s="4"/>
      <c r="AF578" s="4"/>
      <c r="AG578" s="4"/>
    </row>
    <row r="579" spans="25:33" hidden="1" x14ac:dyDescent="0.2">
      <c r="Y579" s="4"/>
      <c r="Z579" s="4"/>
      <c r="AA579" s="4"/>
      <c r="AB579" s="4"/>
      <c r="AC579" s="4"/>
      <c r="AD579" s="4"/>
      <c r="AE579" s="4"/>
      <c r="AF579" s="4"/>
      <c r="AG579" s="4"/>
    </row>
    <row r="580" spans="25:33" hidden="1" x14ac:dyDescent="0.2">
      <c r="Y580" s="4"/>
      <c r="Z580" s="4"/>
      <c r="AA580" s="4"/>
      <c r="AB580" s="4"/>
      <c r="AC580" s="4"/>
      <c r="AD580" s="4"/>
      <c r="AE580" s="4"/>
      <c r="AF580" s="4"/>
      <c r="AG580" s="4"/>
    </row>
    <row r="581" spans="25:33" hidden="1" x14ac:dyDescent="0.2">
      <c r="Y581" s="4"/>
      <c r="Z581" s="4"/>
      <c r="AA581" s="4"/>
      <c r="AB581" s="4"/>
      <c r="AC581" s="4"/>
      <c r="AD581" s="4"/>
      <c r="AE581" s="4"/>
      <c r="AF581" s="4"/>
      <c r="AG581" s="4"/>
    </row>
    <row r="582" spans="25:33" hidden="1" x14ac:dyDescent="0.2">
      <c r="Y582" s="4"/>
      <c r="Z582" s="4"/>
      <c r="AA582" s="4"/>
      <c r="AB582" s="4"/>
      <c r="AC582" s="4"/>
      <c r="AD582" s="4"/>
      <c r="AE582" s="4"/>
      <c r="AF582" s="4"/>
      <c r="AG582" s="4"/>
    </row>
    <row r="583" spans="25:33" hidden="1" x14ac:dyDescent="0.2">
      <c r="Y583" s="4"/>
      <c r="Z583" s="4"/>
      <c r="AA583" s="4"/>
      <c r="AB583" s="4"/>
      <c r="AC583" s="4"/>
      <c r="AD583" s="4"/>
      <c r="AE583" s="4"/>
      <c r="AF583" s="4"/>
      <c r="AG583" s="4"/>
    </row>
    <row r="584" spans="25:33" hidden="1" x14ac:dyDescent="0.2">
      <c r="Y584" s="4"/>
      <c r="Z584" s="4"/>
      <c r="AA584" s="4"/>
      <c r="AB584" s="4"/>
      <c r="AC584" s="4"/>
      <c r="AD584" s="4"/>
      <c r="AE584" s="4"/>
      <c r="AF584" s="4"/>
      <c r="AG584" s="4"/>
    </row>
    <row r="585" spans="25:33" hidden="1" x14ac:dyDescent="0.2">
      <c r="Y585" s="4"/>
      <c r="Z585" s="4"/>
      <c r="AA585" s="4"/>
      <c r="AB585" s="4"/>
      <c r="AC585" s="4"/>
      <c r="AD585" s="4"/>
      <c r="AE585" s="4"/>
      <c r="AF585" s="4"/>
      <c r="AG585" s="4"/>
    </row>
    <row r="586" spans="25:33" hidden="1" x14ac:dyDescent="0.2">
      <c r="Y586" s="4"/>
      <c r="Z586" s="4"/>
      <c r="AA586" s="4"/>
      <c r="AB586" s="4"/>
      <c r="AC586" s="4"/>
      <c r="AD586" s="4"/>
      <c r="AE586" s="4"/>
      <c r="AF586" s="4"/>
      <c r="AG586" s="4"/>
    </row>
    <row r="587" spans="25:33" hidden="1" x14ac:dyDescent="0.2">
      <c r="Y587" s="4"/>
      <c r="Z587" s="4"/>
      <c r="AA587" s="4"/>
      <c r="AB587" s="4"/>
      <c r="AC587" s="4"/>
      <c r="AD587" s="4"/>
      <c r="AE587" s="4"/>
      <c r="AF587" s="4"/>
      <c r="AG587" s="4"/>
    </row>
    <row r="588" spans="25:33" hidden="1" x14ac:dyDescent="0.2">
      <c r="Y588" s="4"/>
      <c r="Z588" s="4"/>
      <c r="AA588" s="4"/>
      <c r="AB588" s="4"/>
      <c r="AC588" s="4"/>
      <c r="AD588" s="4"/>
      <c r="AE588" s="4"/>
      <c r="AF588" s="4"/>
      <c r="AG588" s="4"/>
    </row>
    <row r="589" spans="25:33" hidden="1" x14ac:dyDescent="0.2">
      <c r="Y589" s="4"/>
      <c r="Z589" s="4"/>
      <c r="AA589" s="4"/>
      <c r="AB589" s="4"/>
      <c r="AC589" s="4"/>
      <c r="AD589" s="4"/>
      <c r="AE589" s="4"/>
      <c r="AF589" s="4"/>
      <c r="AG589" s="4"/>
    </row>
    <row r="590" spans="25:33" hidden="1" x14ac:dyDescent="0.2">
      <c r="Y590" s="4"/>
      <c r="Z590" s="4"/>
      <c r="AA590" s="4"/>
      <c r="AB590" s="4"/>
      <c r="AC590" s="4"/>
      <c r="AD590" s="4"/>
      <c r="AE590" s="4"/>
      <c r="AF590" s="4"/>
      <c r="AG590" s="4"/>
    </row>
    <row r="591" spans="25:33" hidden="1" x14ac:dyDescent="0.2">
      <c r="Y591" s="4"/>
      <c r="Z591" s="4"/>
      <c r="AA591" s="4"/>
      <c r="AB591" s="4"/>
      <c r="AC591" s="4"/>
      <c r="AD591" s="4"/>
      <c r="AE591" s="4"/>
      <c r="AF591" s="4"/>
      <c r="AG591" s="4"/>
    </row>
    <row r="592" spans="25:33" hidden="1" x14ac:dyDescent="0.2">
      <c r="Y592" s="4"/>
      <c r="Z592" s="4"/>
      <c r="AA592" s="4"/>
      <c r="AB592" s="4"/>
      <c r="AC592" s="4"/>
      <c r="AD592" s="4"/>
      <c r="AE592" s="4"/>
      <c r="AF592" s="4"/>
      <c r="AG592" s="4"/>
    </row>
    <row r="593" spans="25:33" hidden="1" x14ac:dyDescent="0.2">
      <c r="Y593" s="4"/>
      <c r="Z593" s="4"/>
      <c r="AA593" s="4"/>
      <c r="AB593" s="4"/>
      <c r="AC593" s="4"/>
      <c r="AD593" s="4"/>
      <c r="AE593" s="4"/>
      <c r="AF593" s="4"/>
      <c r="AG593" s="4"/>
    </row>
    <row r="594" spans="25:33" hidden="1" x14ac:dyDescent="0.2">
      <c r="Y594" s="4"/>
      <c r="Z594" s="4"/>
      <c r="AA594" s="4"/>
      <c r="AB594" s="4"/>
      <c r="AC594" s="4"/>
      <c r="AD594" s="4"/>
      <c r="AE594" s="4"/>
      <c r="AF594" s="4"/>
      <c r="AG594" s="4"/>
    </row>
    <row r="595" spans="25:33" hidden="1" x14ac:dyDescent="0.2">
      <c r="Y595" s="4"/>
      <c r="Z595" s="4"/>
      <c r="AA595" s="4"/>
      <c r="AB595" s="4"/>
      <c r="AC595" s="4"/>
      <c r="AD595" s="4"/>
      <c r="AE595" s="4"/>
      <c r="AF595" s="4"/>
      <c r="AG595" s="4"/>
    </row>
    <row r="596" spans="25:33" hidden="1" x14ac:dyDescent="0.2">
      <c r="Y596" s="4"/>
      <c r="Z596" s="4"/>
      <c r="AA596" s="4"/>
      <c r="AB596" s="4"/>
      <c r="AC596" s="4"/>
      <c r="AD596" s="4"/>
      <c r="AE596" s="4"/>
      <c r="AF596" s="4"/>
      <c r="AG596" s="4"/>
    </row>
    <row r="597" spans="25:33" hidden="1" x14ac:dyDescent="0.2">
      <c r="Y597" s="4"/>
      <c r="Z597" s="4"/>
      <c r="AA597" s="4"/>
      <c r="AB597" s="4"/>
      <c r="AC597" s="4"/>
      <c r="AD597" s="4"/>
      <c r="AE597" s="4"/>
      <c r="AF597" s="4"/>
      <c r="AG597" s="4"/>
    </row>
    <row r="598" spans="25:33" hidden="1" x14ac:dyDescent="0.2">
      <c r="Y598" s="4"/>
      <c r="Z598" s="4"/>
      <c r="AA598" s="4"/>
      <c r="AB598" s="4"/>
      <c r="AC598" s="4"/>
      <c r="AD598" s="4"/>
      <c r="AE598" s="4"/>
      <c r="AF598" s="4"/>
      <c r="AG598" s="4"/>
    </row>
    <row r="599" spans="25:33" hidden="1" x14ac:dyDescent="0.2">
      <c r="Y599" s="4"/>
      <c r="Z599" s="4"/>
      <c r="AA599" s="4"/>
      <c r="AB599" s="4"/>
      <c r="AC599" s="4"/>
      <c r="AD599" s="4"/>
      <c r="AE599" s="4"/>
      <c r="AF599" s="4"/>
      <c r="AG599" s="4"/>
    </row>
    <row r="600" spans="25:33" hidden="1" x14ac:dyDescent="0.2">
      <c r="Y600" s="4"/>
      <c r="Z600" s="4"/>
      <c r="AA600" s="4"/>
      <c r="AB600" s="4"/>
      <c r="AC600" s="4"/>
      <c r="AD600" s="4"/>
      <c r="AE600" s="4"/>
      <c r="AF600" s="4"/>
      <c r="AG600" s="4"/>
    </row>
    <row r="601" spans="25:33" hidden="1" x14ac:dyDescent="0.2">
      <c r="Y601" s="4"/>
      <c r="Z601" s="4"/>
      <c r="AA601" s="4"/>
      <c r="AB601" s="4"/>
      <c r="AC601" s="4"/>
      <c r="AD601" s="4"/>
      <c r="AE601" s="4"/>
      <c r="AF601" s="4"/>
      <c r="AG601" s="4"/>
    </row>
    <row r="602" spans="25:33" hidden="1" x14ac:dyDescent="0.2">
      <c r="Y602" s="4"/>
      <c r="Z602" s="4"/>
      <c r="AA602" s="4"/>
      <c r="AB602" s="4"/>
      <c r="AC602" s="4"/>
      <c r="AD602" s="4"/>
      <c r="AE602" s="4"/>
      <c r="AF602" s="4"/>
      <c r="AG602" s="4"/>
    </row>
    <row r="603" spans="25:33" hidden="1" x14ac:dyDescent="0.2">
      <c r="Y603" s="4"/>
      <c r="Z603" s="4"/>
      <c r="AA603" s="4"/>
      <c r="AB603" s="4"/>
      <c r="AC603" s="4"/>
      <c r="AD603" s="4"/>
      <c r="AE603" s="4"/>
      <c r="AF603" s="4"/>
      <c r="AG603" s="4"/>
    </row>
    <row r="604" spans="25:33" hidden="1" x14ac:dyDescent="0.2">
      <c r="Y604" s="4"/>
      <c r="Z604" s="4"/>
      <c r="AA604" s="4"/>
      <c r="AB604" s="4"/>
      <c r="AC604" s="4"/>
      <c r="AD604" s="4"/>
      <c r="AE604" s="4"/>
      <c r="AF604" s="4"/>
      <c r="AG604" s="4"/>
    </row>
    <row r="605" spans="25:33" hidden="1" x14ac:dyDescent="0.2">
      <c r="Y605" s="4"/>
      <c r="Z605" s="4"/>
      <c r="AA605" s="4"/>
      <c r="AB605" s="4"/>
      <c r="AC605" s="4"/>
      <c r="AD605" s="4"/>
      <c r="AE605" s="4"/>
      <c r="AF605" s="4"/>
      <c r="AG605" s="4"/>
    </row>
    <row r="606" spans="25:33" hidden="1" x14ac:dyDescent="0.2">
      <c r="Y606" s="4"/>
      <c r="Z606" s="4"/>
      <c r="AA606" s="4"/>
      <c r="AB606" s="4"/>
      <c r="AC606" s="4"/>
      <c r="AD606" s="4"/>
      <c r="AE606" s="4"/>
      <c r="AF606" s="4"/>
      <c r="AG606" s="4"/>
    </row>
    <row r="607" spans="25:33" hidden="1" x14ac:dyDescent="0.2">
      <c r="Y607" s="4"/>
      <c r="Z607" s="4"/>
      <c r="AA607" s="4"/>
      <c r="AB607" s="4"/>
      <c r="AC607" s="4"/>
      <c r="AD607" s="4"/>
      <c r="AE607" s="4"/>
      <c r="AF607" s="4"/>
      <c r="AG607" s="4"/>
    </row>
    <row r="608" spans="25:33" hidden="1" x14ac:dyDescent="0.2">
      <c r="Y608" s="4"/>
      <c r="Z608" s="4"/>
      <c r="AA608" s="4"/>
      <c r="AB608" s="4"/>
      <c r="AC608" s="4"/>
      <c r="AD608" s="4"/>
      <c r="AE608" s="4"/>
      <c r="AF608" s="4"/>
      <c r="AG608" s="4"/>
    </row>
    <row r="609" spans="25:33" hidden="1" x14ac:dyDescent="0.2">
      <c r="Y609" s="4"/>
      <c r="Z609" s="4"/>
      <c r="AA609" s="4"/>
      <c r="AB609" s="4"/>
      <c r="AC609" s="4"/>
      <c r="AD609" s="4"/>
      <c r="AE609" s="4"/>
      <c r="AF609" s="4"/>
      <c r="AG609" s="4"/>
    </row>
    <row r="610" spans="25:33" hidden="1" x14ac:dyDescent="0.2">
      <c r="Y610" s="4"/>
      <c r="Z610" s="4"/>
      <c r="AA610" s="4"/>
      <c r="AB610" s="4"/>
      <c r="AC610" s="4"/>
      <c r="AD610" s="4"/>
      <c r="AE610" s="4"/>
      <c r="AF610" s="4"/>
      <c r="AG610" s="4"/>
    </row>
    <row r="611" spans="25:33" hidden="1" x14ac:dyDescent="0.2">
      <c r="Y611" s="4"/>
      <c r="Z611" s="4"/>
      <c r="AA611" s="4"/>
      <c r="AB611" s="4"/>
      <c r="AC611" s="4"/>
      <c r="AD611" s="4"/>
      <c r="AE611" s="4"/>
      <c r="AF611" s="4"/>
      <c r="AG611" s="4"/>
    </row>
    <row r="612" spans="25:33" hidden="1" x14ac:dyDescent="0.2">
      <c r="Y612" s="4"/>
      <c r="Z612" s="4"/>
      <c r="AA612" s="4"/>
      <c r="AB612" s="4"/>
      <c r="AC612" s="4"/>
      <c r="AD612" s="4"/>
      <c r="AE612" s="4"/>
      <c r="AF612" s="4"/>
      <c r="AG612" s="4"/>
    </row>
    <row r="613" spans="25:33" hidden="1" x14ac:dyDescent="0.2">
      <c r="Y613" s="4"/>
      <c r="Z613" s="4"/>
      <c r="AA613" s="4"/>
      <c r="AB613" s="4"/>
      <c r="AC613" s="4"/>
      <c r="AD613" s="4"/>
      <c r="AE613" s="4"/>
      <c r="AF613" s="4"/>
      <c r="AG613" s="4"/>
    </row>
    <row r="614" spans="25:33" hidden="1" x14ac:dyDescent="0.2">
      <c r="Y614" s="4"/>
      <c r="Z614" s="4"/>
      <c r="AA614" s="4"/>
      <c r="AB614" s="4"/>
      <c r="AC614" s="4"/>
      <c r="AD614" s="4"/>
      <c r="AE614" s="4"/>
      <c r="AF614" s="4"/>
      <c r="AG614" s="4"/>
    </row>
    <row r="615" spans="25:33" hidden="1" x14ac:dyDescent="0.2">
      <c r="Y615" s="4"/>
      <c r="Z615" s="4"/>
      <c r="AA615" s="4"/>
      <c r="AB615" s="4"/>
      <c r="AC615" s="4"/>
      <c r="AD615" s="4"/>
      <c r="AE615" s="4"/>
      <c r="AF615" s="4"/>
      <c r="AG615" s="4"/>
    </row>
    <row r="616" spans="25:33" hidden="1" x14ac:dyDescent="0.2">
      <c r="Y616" s="4"/>
      <c r="Z616" s="4"/>
      <c r="AA616" s="4"/>
      <c r="AB616" s="4"/>
      <c r="AC616" s="4"/>
      <c r="AD616" s="4"/>
      <c r="AE616" s="4"/>
      <c r="AF616" s="4"/>
      <c r="AG616" s="4"/>
    </row>
    <row r="617" spans="25:33" hidden="1" x14ac:dyDescent="0.2">
      <c r="Y617" s="4"/>
      <c r="Z617" s="4"/>
      <c r="AA617" s="4"/>
      <c r="AB617" s="4"/>
      <c r="AC617" s="4"/>
      <c r="AD617" s="4"/>
      <c r="AE617" s="4"/>
      <c r="AF617" s="4"/>
      <c r="AG617" s="4"/>
    </row>
    <row r="618" spans="25:33" hidden="1" x14ac:dyDescent="0.2">
      <c r="Y618" s="4"/>
      <c r="Z618" s="4"/>
      <c r="AA618" s="4"/>
      <c r="AB618" s="4"/>
      <c r="AC618" s="4"/>
      <c r="AD618" s="4"/>
      <c r="AE618" s="4"/>
      <c r="AF618" s="4"/>
      <c r="AG618" s="4"/>
    </row>
    <row r="619" spans="25:33" hidden="1" x14ac:dyDescent="0.2">
      <c r="Y619" s="4"/>
      <c r="Z619" s="4"/>
      <c r="AA619" s="4"/>
      <c r="AB619" s="4"/>
      <c r="AC619" s="4"/>
      <c r="AD619" s="4"/>
      <c r="AE619" s="4"/>
      <c r="AF619" s="4"/>
      <c r="AG619" s="4"/>
    </row>
    <row r="620" spans="25:33" hidden="1" x14ac:dyDescent="0.2">
      <c r="Y620" s="4"/>
      <c r="Z620" s="4"/>
      <c r="AA620" s="4"/>
      <c r="AB620" s="4"/>
      <c r="AC620" s="4"/>
      <c r="AD620" s="4"/>
      <c r="AE620" s="4"/>
      <c r="AF620" s="4"/>
      <c r="AG620" s="4"/>
    </row>
    <row r="621" spans="25:33" hidden="1" x14ac:dyDescent="0.2">
      <c r="Y621" s="4"/>
      <c r="Z621" s="4"/>
      <c r="AA621" s="4"/>
      <c r="AB621" s="4"/>
      <c r="AC621" s="4"/>
      <c r="AD621" s="4"/>
      <c r="AE621" s="4"/>
      <c r="AF621" s="4"/>
      <c r="AG621" s="4"/>
    </row>
    <row r="622" spans="25:33" hidden="1" x14ac:dyDescent="0.2">
      <c r="Y622" s="4"/>
      <c r="Z622" s="4"/>
      <c r="AA622" s="4"/>
      <c r="AB622" s="4"/>
      <c r="AC622" s="4"/>
      <c r="AD622" s="4"/>
      <c r="AE622" s="4"/>
      <c r="AF622" s="4"/>
      <c r="AG622" s="4"/>
    </row>
    <row r="623" spans="25:33" hidden="1" x14ac:dyDescent="0.2">
      <c r="Y623" s="4"/>
      <c r="Z623" s="4"/>
      <c r="AA623" s="4"/>
      <c r="AB623" s="4"/>
      <c r="AC623" s="4"/>
      <c r="AD623" s="4"/>
      <c r="AE623" s="4"/>
      <c r="AF623" s="4"/>
      <c r="AG623" s="4"/>
    </row>
    <row r="624" spans="25:33" hidden="1" x14ac:dyDescent="0.2">
      <c r="Y624" s="4"/>
      <c r="Z624" s="4"/>
      <c r="AA624" s="4"/>
      <c r="AB624" s="4"/>
      <c r="AC624" s="4"/>
      <c r="AD624" s="4"/>
      <c r="AE624" s="4"/>
      <c r="AF624" s="4"/>
      <c r="AG624" s="4"/>
    </row>
    <row r="625" spans="25:33" hidden="1" x14ac:dyDescent="0.2">
      <c r="Y625" s="4"/>
      <c r="Z625" s="4"/>
      <c r="AA625" s="4"/>
      <c r="AB625" s="4"/>
      <c r="AC625" s="4"/>
      <c r="AD625" s="4"/>
      <c r="AE625" s="4"/>
      <c r="AF625" s="4"/>
      <c r="AG625" s="4"/>
    </row>
    <row r="626" spans="25:33" hidden="1" x14ac:dyDescent="0.2">
      <c r="Y626" s="4"/>
      <c r="Z626" s="4"/>
      <c r="AA626" s="4"/>
      <c r="AB626" s="4"/>
      <c r="AC626" s="4"/>
      <c r="AD626" s="4"/>
      <c r="AE626" s="4"/>
      <c r="AF626" s="4"/>
      <c r="AG626" s="4"/>
    </row>
    <row r="627" spans="25:33" hidden="1" x14ac:dyDescent="0.2">
      <c r="Y627" s="4"/>
      <c r="Z627" s="4"/>
      <c r="AA627" s="4"/>
      <c r="AB627" s="4"/>
      <c r="AC627" s="4"/>
      <c r="AD627" s="4"/>
      <c r="AE627" s="4"/>
      <c r="AF627" s="4"/>
      <c r="AG627" s="4"/>
    </row>
    <row r="628" spans="25:33" hidden="1" x14ac:dyDescent="0.2">
      <c r="Y628" s="4"/>
      <c r="Z628" s="4"/>
      <c r="AA628" s="4"/>
      <c r="AB628" s="4"/>
      <c r="AC628" s="4"/>
      <c r="AD628" s="4"/>
      <c r="AE628" s="4"/>
      <c r="AF628" s="4"/>
      <c r="AG628" s="4"/>
    </row>
    <row r="629" spans="25:33" hidden="1" x14ac:dyDescent="0.2">
      <c r="Y629" s="4"/>
      <c r="Z629" s="4"/>
      <c r="AA629" s="4"/>
      <c r="AB629" s="4"/>
      <c r="AC629" s="4"/>
      <c r="AD629" s="4"/>
      <c r="AE629" s="4"/>
      <c r="AF629" s="4"/>
      <c r="AG629" s="4"/>
    </row>
    <row r="630" spans="25:33" hidden="1" x14ac:dyDescent="0.2">
      <c r="Y630" s="4"/>
      <c r="Z630" s="4"/>
      <c r="AA630" s="4"/>
      <c r="AB630" s="4"/>
      <c r="AC630" s="4"/>
      <c r="AD630" s="4"/>
      <c r="AE630" s="4"/>
      <c r="AF630" s="4"/>
      <c r="AG630" s="4"/>
    </row>
    <row r="631" spans="25:33" hidden="1" x14ac:dyDescent="0.2">
      <c r="Y631" s="4"/>
      <c r="Z631" s="4"/>
      <c r="AA631" s="4"/>
      <c r="AB631" s="4"/>
      <c r="AC631" s="4"/>
      <c r="AD631" s="4"/>
      <c r="AE631" s="4"/>
      <c r="AF631" s="4"/>
      <c r="AG631" s="4"/>
    </row>
    <row r="632" spans="25:33" hidden="1" x14ac:dyDescent="0.2">
      <c r="Y632" s="4"/>
      <c r="Z632" s="4"/>
      <c r="AA632" s="4"/>
      <c r="AB632" s="4"/>
      <c r="AC632" s="4"/>
      <c r="AD632" s="4"/>
      <c r="AE632" s="4"/>
      <c r="AF632" s="4"/>
      <c r="AG632" s="4"/>
    </row>
    <row r="633" spans="25:33" hidden="1" x14ac:dyDescent="0.2">
      <c r="Y633" s="4"/>
      <c r="Z633" s="4"/>
      <c r="AA633" s="4"/>
      <c r="AB633" s="4"/>
      <c r="AC633" s="4"/>
      <c r="AD633" s="4"/>
      <c r="AE633" s="4"/>
      <c r="AF633" s="4"/>
      <c r="AG633" s="4"/>
    </row>
    <row r="634" spans="25:33" hidden="1" x14ac:dyDescent="0.2">
      <c r="Y634" s="4"/>
      <c r="Z634" s="4"/>
      <c r="AA634" s="4"/>
      <c r="AB634" s="4"/>
      <c r="AC634" s="4"/>
      <c r="AD634" s="4"/>
      <c r="AE634" s="4"/>
      <c r="AF634" s="4"/>
      <c r="AG634" s="4"/>
    </row>
    <row r="635" spans="25:33" hidden="1" x14ac:dyDescent="0.2">
      <c r="Y635" s="4"/>
      <c r="Z635" s="4"/>
      <c r="AA635" s="4"/>
      <c r="AB635" s="4"/>
      <c r="AC635" s="4"/>
      <c r="AD635" s="4"/>
      <c r="AE635" s="4"/>
      <c r="AF635" s="4"/>
      <c r="AG635" s="4"/>
    </row>
    <row r="636" spans="25:33" hidden="1" x14ac:dyDescent="0.2">
      <c r="Y636" s="4"/>
      <c r="Z636" s="4"/>
      <c r="AA636" s="4"/>
      <c r="AB636" s="4"/>
      <c r="AC636" s="4"/>
      <c r="AD636" s="4"/>
      <c r="AE636" s="4"/>
      <c r="AF636" s="4"/>
      <c r="AG636" s="4"/>
    </row>
    <row r="637" spans="25:33" hidden="1" x14ac:dyDescent="0.2">
      <c r="Y637" s="4"/>
      <c r="Z637" s="4"/>
      <c r="AA637" s="4"/>
      <c r="AB637" s="4"/>
      <c r="AC637" s="4"/>
      <c r="AD637" s="4"/>
      <c r="AE637" s="4"/>
      <c r="AF637" s="4"/>
      <c r="AG637" s="4"/>
    </row>
    <row r="638" spans="25:33" hidden="1" x14ac:dyDescent="0.2">
      <c r="Y638" s="4"/>
      <c r="Z638" s="4"/>
      <c r="AA638" s="4"/>
      <c r="AB638" s="4"/>
      <c r="AC638" s="4"/>
      <c r="AD638" s="4"/>
      <c r="AE638" s="4"/>
      <c r="AF638" s="4"/>
      <c r="AG638" s="4"/>
    </row>
    <row r="639" spans="25:33" hidden="1" x14ac:dyDescent="0.2">
      <c r="Y639" s="4"/>
      <c r="Z639" s="4"/>
      <c r="AA639" s="4"/>
      <c r="AB639" s="4"/>
      <c r="AC639" s="4"/>
      <c r="AD639" s="4"/>
      <c r="AE639" s="4"/>
      <c r="AF639" s="4"/>
      <c r="AG639" s="4"/>
    </row>
    <row r="640" spans="25:33" hidden="1" x14ac:dyDescent="0.2">
      <c r="Y640" s="4"/>
      <c r="Z640" s="4"/>
      <c r="AA640" s="4"/>
      <c r="AB640" s="4"/>
      <c r="AC640" s="4"/>
      <c r="AD640" s="4"/>
      <c r="AE640" s="4"/>
      <c r="AF640" s="4"/>
      <c r="AG640" s="4"/>
    </row>
    <row r="641" spans="25:33" hidden="1" x14ac:dyDescent="0.2">
      <c r="Y641" s="4"/>
      <c r="Z641" s="4"/>
      <c r="AA641" s="4"/>
      <c r="AB641" s="4"/>
      <c r="AC641" s="4"/>
      <c r="AD641" s="4"/>
      <c r="AE641" s="4"/>
      <c r="AF641" s="4"/>
      <c r="AG641" s="4"/>
    </row>
    <row r="642" spans="25:33" hidden="1" x14ac:dyDescent="0.2">
      <c r="Y642" s="4"/>
      <c r="Z642" s="4"/>
      <c r="AA642" s="4"/>
      <c r="AB642" s="4"/>
      <c r="AC642" s="4"/>
      <c r="AD642" s="4"/>
      <c r="AE642" s="4"/>
      <c r="AF642" s="4"/>
      <c r="AG642" s="4"/>
    </row>
    <row r="643" spans="25:33" hidden="1" x14ac:dyDescent="0.2">
      <c r="Y643" s="4"/>
      <c r="Z643" s="4"/>
      <c r="AA643" s="4"/>
      <c r="AB643" s="4"/>
      <c r="AC643" s="4"/>
      <c r="AD643" s="4"/>
      <c r="AE643" s="4"/>
      <c r="AF643" s="4"/>
      <c r="AG643" s="4"/>
    </row>
    <row r="644" spans="25:33" hidden="1" x14ac:dyDescent="0.2">
      <c r="Y644" s="4"/>
      <c r="Z644" s="4"/>
      <c r="AA644" s="4"/>
      <c r="AB644" s="4"/>
      <c r="AC644" s="4"/>
      <c r="AD644" s="4"/>
      <c r="AE644" s="4"/>
      <c r="AF644" s="4"/>
      <c r="AG644" s="4"/>
    </row>
    <row r="645" spans="25:33" hidden="1" x14ac:dyDescent="0.2">
      <c r="Y645" s="4"/>
      <c r="Z645" s="4"/>
      <c r="AA645" s="4"/>
      <c r="AB645" s="4"/>
      <c r="AC645" s="4"/>
      <c r="AD645" s="4"/>
      <c r="AE645" s="4"/>
      <c r="AF645" s="4"/>
      <c r="AG645" s="4"/>
    </row>
    <row r="646" spans="25:33" hidden="1" x14ac:dyDescent="0.2">
      <c r="Y646" s="4"/>
      <c r="Z646" s="4"/>
      <c r="AA646" s="4"/>
      <c r="AB646" s="4"/>
      <c r="AC646" s="4"/>
      <c r="AD646" s="4"/>
      <c r="AE646" s="4"/>
      <c r="AF646" s="4"/>
      <c r="AG646" s="4"/>
    </row>
    <row r="647" spans="25:33" hidden="1" x14ac:dyDescent="0.2">
      <c r="Y647" s="4"/>
      <c r="Z647" s="4"/>
      <c r="AA647" s="4"/>
      <c r="AB647" s="4"/>
      <c r="AC647" s="4"/>
      <c r="AD647" s="4"/>
      <c r="AE647" s="4"/>
      <c r="AF647" s="4"/>
      <c r="AG647" s="4"/>
    </row>
    <row r="648" spans="25:33" hidden="1" x14ac:dyDescent="0.2">
      <c r="Y648" s="4"/>
      <c r="Z648" s="4"/>
      <c r="AA648" s="4"/>
      <c r="AB648" s="4"/>
      <c r="AC648" s="4"/>
      <c r="AD648" s="4"/>
      <c r="AE648" s="4"/>
      <c r="AF648" s="4"/>
      <c r="AG648" s="4"/>
    </row>
    <row r="649" spans="25:33" hidden="1" x14ac:dyDescent="0.2">
      <c r="Y649" s="4"/>
      <c r="Z649" s="4"/>
      <c r="AA649" s="4"/>
      <c r="AB649" s="4"/>
      <c r="AC649" s="4"/>
      <c r="AD649" s="4"/>
      <c r="AE649" s="4"/>
      <c r="AF649" s="4"/>
      <c r="AG649" s="4"/>
    </row>
    <row r="650" spans="25:33" hidden="1" x14ac:dyDescent="0.2">
      <c r="Y650" s="4"/>
      <c r="Z650" s="4"/>
      <c r="AA650" s="4"/>
      <c r="AB650" s="4"/>
      <c r="AC650" s="4"/>
      <c r="AD650" s="4"/>
      <c r="AE650" s="4"/>
      <c r="AF650" s="4"/>
      <c r="AG650" s="4"/>
    </row>
    <row r="651" spans="25:33" hidden="1" x14ac:dyDescent="0.2">
      <c r="Y651" s="4"/>
      <c r="Z651" s="4"/>
      <c r="AA651" s="4"/>
      <c r="AB651" s="4"/>
      <c r="AC651" s="4"/>
      <c r="AD651" s="4"/>
      <c r="AE651" s="4"/>
      <c r="AF651" s="4"/>
      <c r="AG651" s="4"/>
    </row>
    <row r="652" spans="25:33" hidden="1" x14ac:dyDescent="0.2">
      <c r="Y652" s="4"/>
      <c r="Z652" s="4"/>
      <c r="AA652" s="4"/>
      <c r="AB652" s="4"/>
      <c r="AC652" s="4"/>
      <c r="AD652" s="4"/>
      <c r="AE652" s="4"/>
      <c r="AF652" s="4"/>
      <c r="AG652" s="4"/>
    </row>
    <row r="653" spans="25:33" hidden="1" x14ac:dyDescent="0.2">
      <c r="Y653" s="4"/>
      <c r="Z653" s="4"/>
      <c r="AA653" s="4"/>
      <c r="AB653" s="4"/>
      <c r="AC653" s="4"/>
      <c r="AD653" s="4"/>
      <c r="AE653" s="4"/>
      <c r="AF653" s="4"/>
      <c r="AG653" s="4"/>
    </row>
    <row r="654" spans="25:33" hidden="1" x14ac:dyDescent="0.2">
      <c r="Y654" s="4"/>
      <c r="Z654" s="4"/>
      <c r="AA654" s="4"/>
      <c r="AB654" s="4"/>
      <c r="AC654" s="4"/>
      <c r="AD654" s="4"/>
      <c r="AE654" s="4"/>
      <c r="AF654" s="4"/>
      <c r="AG654" s="4"/>
    </row>
    <row r="655" spans="25:33" hidden="1" x14ac:dyDescent="0.2">
      <c r="Y655" s="4"/>
      <c r="Z655" s="4"/>
      <c r="AA655" s="4"/>
      <c r="AB655" s="4"/>
      <c r="AC655" s="4"/>
      <c r="AD655" s="4"/>
      <c r="AE655" s="4"/>
      <c r="AF655" s="4"/>
      <c r="AG655" s="4"/>
    </row>
    <row r="656" spans="25:33" hidden="1" x14ac:dyDescent="0.2">
      <c r="Y656" s="4"/>
      <c r="Z656" s="4"/>
      <c r="AA656" s="4"/>
      <c r="AB656" s="4"/>
      <c r="AC656" s="4"/>
      <c r="AD656" s="4"/>
      <c r="AE656" s="4"/>
      <c r="AF656" s="4"/>
      <c r="AG656" s="4"/>
    </row>
    <row r="657" spans="25:33" hidden="1" x14ac:dyDescent="0.2">
      <c r="Y657" s="4"/>
      <c r="Z657" s="4"/>
      <c r="AA657" s="4"/>
      <c r="AB657" s="4"/>
      <c r="AC657" s="4"/>
      <c r="AD657" s="4"/>
      <c r="AE657" s="4"/>
      <c r="AF657" s="4"/>
      <c r="AG657" s="4"/>
    </row>
    <row r="658" spans="25:33" hidden="1" x14ac:dyDescent="0.2">
      <c r="Y658" s="4"/>
      <c r="Z658" s="4"/>
      <c r="AA658" s="4"/>
      <c r="AB658" s="4"/>
      <c r="AC658" s="4"/>
      <c r="AD658" s="4"/>
      <c r="AE658" s="4"/>
      <c r="AF658" s="4"/>
      <c r="AG658" s="4"/>
    </row>
    <row r="659" spans="25:33" hidden="1" x14ac:dyDescent="0.2">
      <c r="Y659" s="4"/>
      <c r="Z659" s="4"/>
      <c r="AA659" s="4"/>
      <c r="AB659" s="4"/>
      <c r="AC659" s="4"/>
      <c r="AD659" s="4"/>
      <c r="AE659" s="4"/>
      <c r="AF659" s="4"/>
      <c r="AG659" s="4"/>
    </row>
    <row r="660" spans="25:33" hidden="1" x14ac:dyDescent="0.2">
      <c r="Y660" s="4"/>
      <c r="Z660" s="4"/>
      <c r="AA660" s="4"/>
      <c r="AB660" s="4"/>
      <c r="AC660" s="4"/>
      <c r="AD660" s="4"/>
      <c r="AE660" s="4"/>
      <c r="AF660" s="4"/>
      <c r="AG660" s="4"/>
    </row>
    <row r="661" spans="25:33" hidden="1" x14ac:dyDescent="0.2">
      <c r="Y661" s="4"/>
      <c r="Z661" s="4"/>
      <c r="AA661" s="4"/>
      <c r="AB661" s="4"/>
      <c r="AC661" s="4"/>
      <c r="AD661" s="4"/>
      <c r="AE661" s="4"/>
      <c r="AF661" s="4"/>
      <c r="AG661" s="4"/>
    </row>
    <row r="662" spans="25:33" hidden="1" x14ac:dyDescent="0.2">
      <c r="Y662" s="4"/>
      <c r="Z662" s="4"/>
      <c r="AA662" s="4"/>
      <c r="AB662" s="4"/>
      <c r="AC662" s="4"/>
      <c r="AD662" s="4"/>
      <c r="AE662" s="4"/>
      <c r="AF662" s="4"/>
      <c r="AG662" s="4"/>
    </row>
    <row r="663" spans="25:33" hidden="1" x14ac:dyDescent="0.2">
      <c r="Y663" s="4"/>
      <c r="Z663" s="4"/>
      <c r="AA663" s="4"/>
      <c r="AB663" s="4"/>
      <c r="AC663" s="4"/>
      <c r="AD663" s="4"/>
      <c r="AE663" s="4"/>
      <c r="AF663" s="4"/>
      <c r="AG663" s="4"/>
    </row>
    <row r="664" spans="25:33" hidden="1" x14ac:dyDescent="0.2">
      <c r="Y664" s="4"/>
      <c r="Z664" s="4"/>
      <c r="AA664" s="4"/>
      <c r="AB664" s="4"/>
      <c r="AC664" s="4"/>
      <c r="AD664" s="4"/>
      <c r="AE664" s="4"/>
      <c r="AF664" s="4"/>
      <c r="AG664" s="4"/>
    </row>
    <row r="665" spans="25:33" hidden="1" x14ac:dyDescent="0.2">
      <c r="Y665" s="4"/>
      <c r="Z665" s="4"/>
      <c r="AA665" s="4"/>
      <c r="AB665" s="4"/>
      <c r="AC665" s="4"/>
      <c r="AD665" s="4"/>
      <c r="AE665" s="4"/>
      <c r="AF665" s="4"/>
      <c r="AG665" s="4"/>
    </row>
    <row r="666" spans="25:33" hidden="1" x14ac:dyDescent="0.2">
      <c r="Y666" s="4"/>
      <c r="Z666" s="4"/>
      <c r="AA666" s="4"/>
      <c r="AB666" s="4"/>
      <c r="AC666" s="4"/>
      <c r="AD666" s="4"/>
      <c r="AE666" s="4"/>
      <c r="AF666" s="4"/>
      <c r="AG666" s="4"/>
    </row>
    <row r="667" spans="25:33" hidden="1" x14ac:dyDescent="0.2">
      <c r="Y667" s="4"/>
      <c r="Z667" s="4"/>
      <c r="AA667" s="4"/>
      <c r="AB667" s="4"/>
      <c r="AC667" s="4"/>
      <c r="AD667" s="4"/>
      <c r="AE667" s="4"/>
      <c r="AF667" s="4"/>
      <c r="AG667" s="4"/>
    </row>
    <row r="668" spans="25:33" hidden="1" x14ac:dyDescent="0.2">
      <c r="Y668" s="4"/>
      <c r="Z668" s="4"/>
      <c r="AA668" s="4"/>
      <c r="AB668" s="4"/>
      <c r="AC668" s="4"/>
      <c r="AD668" s="4"/>
      <c r="AE668" s="4"/>
      <c r="AF668" s="4"/>
      <c r="AG668" s="4"/>
    </row>
    <row r="669" spans="25:33" hidden="1" x14ac:dyDescent="0.2">
      <c r="Y669" s="4"/>
      <c r="Z669" s="4"/>
      <c r="AA669" s="4"/>
      <c r="AB669" s="4"/>
      <c r="AC669" s="4"/>
      <c r="AD669" s="4"/>
      <c r="AE669" s="4"/>
      <c r="AF669" s="4"/>
      <c r="AG669" s="4"/>
    </row>
    <row r="670" spans="25:33" hidden="1" x14ac:dyDescent="0.2">
      <c r="Y670" s="4"/>
      <c r="Z670" s="4"/>
      <c r="AA670" s="4"/>
      <c r="AB670" s="4"/>
      <c r="AC670" s="4"/>
      <c r="AD670" s="4"/>
      <c r="AE670" s="4"/>
      <c r="AF670" s="4"/>
      <c r="AG670" s="4"/>
    </row>
    <row r="671" spans="25:33" hidden="1" x14ac:dyDescent="0.2">
      <c r="Y671" s="4"/>
      <c r="Z671" s="4"/>
      <c r="AA671" s="4"/>
      <c r="AB671" s="4"/>
      <c r="AC671" s="4"/>
      <c r="AD671" s="4"/>
      <c r="AE671" s="4"/>
      <c r="AF671" s="4"/>
      <c r="AG671" s="4"/>
    </row>
    <row r="672" spans="25:33" hidden="1" x14ac:dyDescent="0.2">
      <c r="Y672" s="4"/>
      <c r="Z672" s="4"/>
      <c r="AA672" s="4"/>
      <c r="AB672" s="4"/>
      <c r="AC672" s="4"/>
      <c r="AD672" s="4"/>
      <c r="AE672" s="4"/>
      <c r="AF672" s="4"/>
      <c r="AG672" s="4"/>
    </row>
    <row r="673" spans="25:33" hidden="1" x14ac:dyDescent="0.2">
      <c r="Y673" s="4"/>
      <c r="Z673" s="4"/>
      <c r="AA673" s="4"/>
      <c r="AB673" s="4"/>
      <c r="AC673" s="4"/>
      <c r="AD673" s="4"/>
      <c r="AE673" s="4"/>
      <c r="AF673" s="4"/>
      <c r="AG673" s="4"/>
    </row>
    <row r="674" spans="25:33" hidden="1" x14ac:dyDescent="0.2">
      <c r="Y674" s="4"/>
      <c r="Z674" s="4"/>
      <c r="AA674" s="4"/>
      <c r="AB674" s="4"/>
      <c r="AC674" s="4"/>
      <c r="AD674" s="4"/>
      <c r="AE674" s="4"/>
      <c r="AF674" s="4"/>
      <c r="AG674" s="4"/>
    </row>
    <row r="675" spans="25:33" hidden="1" x14ac:dyDescent="0.2">
      <c r="Y675" s="4"/>
      <c r="Z675" s="4"/>
      <c r="AA675" s="4"/>
      <c r="AB675" s="4"/>
      <c r="AC675" s="4"/>
      <c r="AD675" s="4"/>
      <c r="AE675" s="4"/>
      <c r="AF675" s="4"/>
      <c r="AG675" s="4"/>
    </row>
    <row r="676" spans="25:33" hidden="1" x14ac:dyDescent="0.2">
      <c r="Y676" s="4"/>
      <c r="Z676" s="4"/>
      <c r="AA676" s="4"/>
      <c r="AB676" s="4"/>
      <c r="AC676" s="4"/>
      <c r="AD676" s="4"/>
      <c r="AE676" s="4"/>
      <c r="AF676" s="4"/>
      <c r="AG676" s="4"/>
    </row>
    <row r="677" spans="25:33" hidden="1" x14ac:dyDescent="0.2">
      <c r="Y677" s="4"/>
      <c r="Z677" s="4"/>
      <c r="AA677" s="4"/>
      <c r="AB677" s="4"/>
      <c r="AC677" s="4"/>
      <c r="AD677" s="4"/>
      <c r="AE677" s="4"/>
      <c r="AF677" s="4"/>
      <c r="AG677" s="4"/>
    </row>
    <row r="678" spans="25:33" hidden="1" x14ac:dyDescent="0.2">
      <c r="Y678" s="4"/>
      <c r="Z678" s="4"/>
      <c r="AA678" s="4"/>
      <c r="AB678" s="4"/>
      <c r="AC678" s="4"/>
      <c r="AD678" s="4"/>
      <c r="AE678" s="4"/>
      <c r="AF678" s="4"/>
      <c r="AG678" s="4"/>
    </row>
    <row r="679" spans="25:33" hidden="1" x14ac:dyDescent="0.2">
      <c r="Y679" s="4"/>
      <c r="Z679" s="4"/>
      <c r="AA679" s="4"/>
      <c r="AB679" s="4"/>
      <c r="AC679" s="4"/>
      <c r="AD679" s="4"/>
      <c r="AE679" s="4"/>
      <c r="AF679" s="4"/>
      <c r="AG679" s="4"/>
    </row>
    <row r="680" spans="25:33" hidden="1" x14ac:dyDescent="0.2">
      <c r="Y680" s="4"/>
      <c r="Z680" s="4"/>
      <c r="AA680" s="4"/>
      <c r="AB680" s="4"/>
      <c r="AC680" s="4"/>
      <c r="AD680" s="4"/>
      <c r="AE680" s="4"/>
      <c r="AF680" s="4"/>
      <c r="AG680" s="4"/>
    </row>
    <row r="681" spans="25:33" hidden="1" x14ac:dyDescent="0.2">
      <c r="Y681" s="4"/>
      <c r="Z681" s="4"/>
      <c r="AA681" s="4"/>
      <c r="AB681" s="4"/>
      <c r="AC681" s="4"/>
      <c r="AD681" s="4"/>
      <c r="AE681" s="4"/>
      <c r="AF681" s="4"/>
      <c r="AG681" s="4"/>
    </row>
    <row r="682" spans="25:33" hidden="1" x14ac:dyDescent="0.2">
      <c r="Y682" s="4"/>
      <c r="Z682" s="4"/>
      <c r="AA682" s="4"/>
      <c r="AB682" s="4"/>
      <c r="AC682" s="4"/>
      <c r="AD682" s="4"/>
      <c r="AE682" s="4"/>
      <c r="AF682" s="4"/>
      <c r="AG682" s="4"/>
    </row>
    <row r="683" spans="25:33" hidden="1" x14ac:dyDescent="0.2">
      <c r="Y683" s="4"/>
      <c r="Z683" s="4"/>
      <c r="AA683" s="4"/>
      <c r="AB683" s="4"/>
      <c r="AC683" s="4"/>
      <c r="AD683" s="4"/>
      <c r="AE683" s="4"/>
      <c r="AF683" s="4"/>
      <c r="AG683" s="4"/>
    </row>
    <row r="684" spans="25:33" hidden="1" x14ac:dyDescent="0.2">
      <c r="Y684" s="4"/>
      <c r="Z684" s="4"/>
      <c r="AA684" s="4"/>
      <c r="AB684" s="4"/>
      <c r="AC684" s="4"/>
      <c r="AD684" s="4"/>
      <c r="AE684" s="4"/>
      <c r="AF684" s="4"/>
      <c r="AG684" s="4"/>
    </row>
    <row r="685" spans="25:33" hidden="1" x14ac:dyDescent="0.2">
      <c r="Y685" s="4"/>
      <c r="Z685" s="4"/>
      <c r="AA685" s="4"/>
      <c r="AB685" s="4"/>
      <c r="AC685" s="4"/>
      <c r="AD685" s="4"/>
      <c r="AE685" s="4"/>
      <c r="AF685" s="4"/>
      <c r="AG685" s="4"/>
    </row>
    <row r="686" spans="25:33" hidden="1" x14ac:dyDescent="0.2">
      <c r="Y686" s="4"/>
      <c r="Z686" s="4"/>
      <c r="AA686" s="4"/>
      <c r="AB686" s="4"/>
      <c r="AC686" s="4"/>
      <c r="AD686" s="4"/>
      <c r="AE686" s="4"/>
      <c r="AF686" s="4"/>
      <c r="AG686" s="4"/>
    </row>
    <row r="687" spans="25:33" hidden="1" x14ac:dyDescent="0.2">
      <c r="AB687" s="4"/>
      <c r="AC687" s="4"/>
      <c r="AD687" s="4"/>
      <c r="AE687" s="4"/>
      <c r="AF687" s="4"/>
      <c r="AG687" s="4"/>
    </row>
    <row r="688" spans="25:33" hidden="1" x14ac:dyDescent="0.2">
      <c r="AB688" s="4"/>
      <c r="AC688" s="4"/>
      <c r="AD688" s="4"/>
      <c r="AE688" s="4"/>
      <c r="AF688" s="4"/>
      <c r="AG688" s="4"/>
    </row>
    <row r="689" spans="28:33" hidden="1" x14ac:dyDescent="0.2">
      <c r="AB689" s="4"/>
      <c r="AC689" s="4"/>
      <c r="AD689" s="4"/>
      <c r="AE689" s="4"/>
      <c r="AF689" s="4"/>
      <c r="AG689" s="4"/>
    </row>
    <row r="690" spans="28:33" hidden="1" x14ac:dyDescent="0.2">
      <c r="AB690" s="4"/>
      <c r="AC690" s="4"/>
      <c r="AD690" s="4"/>
      <c r="AE690" s="4"/>
      <c r="AF690" s="4"/>
      <c r="AG690" s="4"/>
    </row>
    <row r="691" spans="28:33" hidden="1" x14ac:dyDescent="0.2">
      <c r="AB691" s="4"/>
      <c r="AC691" s="4"/>
      <c r="AD691" s="4"/>
      <c r="AE691" s="4"/>
      <c r="AF691" s="4"/>
      <c r="AG691" s="4"/>
    </row>
    <row r="692" spans="28:33" hidden="1" x14ac:dyDescent="0.2">
      <c r="AB692" s="4"/>
      <c r="AC692" s="4"/>
      <c r="AD692" s="4"/>
      <c r="AE692" s="4"/>
      <c r="AF692" s="4"/>
      <c r="AG692" s="4"/>
    </row>
    <row r="693" spans="28:33" hidden="1" x14ac:dyDescent="0.2">
      <c r="AB693" s="4"/>
      <c r="AC693" s="4"/>
      <c r="AD693" s="4"/>
      <c r="AE693" s="4"/>
      <c r="AF693" s="4"/>
      <c r="AG693" s="4"/>
    </row>
  </sheetData>
  <sheetProtection algorithmName="SHA-512" hashValue="ztkwHPkdMJ7QfZ5kSBWPpbHcxVPRbPl+yHWxD5KYt4YSZKLZMLY4oEu+lle28f9G2jPg0K4KmfKUrq4yOAUzog==" saltValue="cGB5GMLCojwiTdndvLWFtg==" spinCount="100000" sheet="1" objects="1" scenarios="1" selectLockedCells="1"/>
  <mergeCells count="153">
    <mergeCell ref="A71:A83"/>
    <mergeCell ref="B71:AJ71"/>
    <mergeCell ref="AJ72:AJ82"/>
    <mergeCell ref="B83:AJ83"/>
    <mergeCell ref="P69:U69"/>
    <mergeCell ref="E41:F41"/>
    <mergeCell ref="E29:F29"/>
    <mergeCell ref="E30:F30"/>
    <mergeCell ref="E34:F34"/>
    <mergeCell ref="E37:F37"/>
    <mergeCell ref="B64:U66"/>
    <mergeCell ref="P68:U68"/>
    <mergeCell ref="H68:M68"/>
    <mergeCell ref="B68:E68"/>
    <mergeCell ref="E51:F51"/>
    <mergeCell ref="E50:F50"/>
    <mergeCell ref="E49:F49"/>
    <mergeCell ref="E48:F48"/>
    <mergeCell ref="E47:F47"/>
    <mergeCell ref="E46:F46"/>
    <mergeCell ref="E42:F42"/>
    <mergeCell ref="C31:D31"/>
    <mergeCell ref="E45:F45"/>
    <mergeCell ref="E44:F44"/>
    <mergeCell ref="B58:F58"/>
    <mergeCell ref="C39:D39"/>
    <mergeCell ref="E38:F38"/>
    <mergeCell ref="E39:F39"/>
    <mergeCell ref="E35:F35"/>
    <mergeCell ref="E19:F19"/>
    <mergeCell ref="E21:F21"/>
    <mergeCell ref="E26:F26"/>
    <mergeCell ref="E33:F33"/>
    <mergeCell ref="H69:M69"/>
    <mergeCell ref="B54:F54"/>
    <mergeCell ref="B55:F55"/>
    <mergeCell ref="B56:F56"/>
    <mergeCell ref="B57:F57"/>
    <mergeCell ref="B59:F59"/>
    <mergeCell ref="E36:F36"/>
    <mergeCell ref="C21:D21"/>
    <mergeCell ref="C22:D22"/>
    <mergeCell ref="C34:D34"/>
    <mergeCell ref="C36:D36"/>
    <mergeCell ref="B53:F53"/>
    <mergeCell ref="C51:D51"/>
    <mergeCell ref="C25:D25"/>
    <mergeCell ref="C26:D26"/>
    <mergeCell ref="E40:F40"/>
    <mergeCell ref="E25:F25"/>
    <mergeCell ref="C45:D45"/>
    <mergeCell ref="C32:D32"/>
    <mergeCell ref="C50:D50"/>
    <mergeCell ref="C46:D46"/>
    <mergeCell ref="C47:D47"/>
    <mergeCell ref="C48:D48"/>
    <mergeCell ref="C49:D49"/>
    <mergeCell ref="E13:F13"/>
    <mergeCell ref="C14:D14"/>
    <mergeCell ref="C15:D15"/>
    <mergeCell ref="C16:D16"/>
    <mergeCell ref="E17:F17"/>
    <mergeCell ref="E18:F18"/>
    <mergeCell ref="C17:D17"/>
    <mergeCell ref="C18:D18"/>
    <mergeCell ref="C19:D19"/>
    <mergeCell ref="F7:I7"/>
    <mergeCell ref="L7:M7"/>
    <mergeCell ref="P12:Q12"/>
    <mergeCell ref="C41:D41"/>
    <mergeCell ref="E43:F43"/>
    <mergeCell ref="F9:M9"/>
    <mergeCell ref="P11:Q11"/>
    <mergeCell ref="L11:M11"/>
    <mergeCell ref="N11:O11"/>
    <mergeCell ref="J12:K12"/>
    <mergeCell ref="C20:D20"/>
    <mergeCell ref="C42:D42"/>
    <mergeCell ref="C43:D43"/>
    <mergeCell ref="C23:D23"/>
    <mergeCell ref="E23:F23"/>
    <mergeCell ref="E31:F31"/>
    <mergeCell ref="E32:F32"/>
    <mergeCell ref="H12:I12"/>
    <mergeCell ref="E22:F22"/>
    <mergeCell ref="E20:F20"/>
    <mergeCell ref="E15:F15"/>
    <mergeCell ref="E16:F16"/>
    <mergeCell ref="H11:I11"/>
    <mergeCell ref="E14:F14"/>
    <mergeCell ref="AC6:AH6"/>
    <mergeCell ref="AH11:AI11"/>
    <mergeCell ref="AH12:AI12"/>
    <mergeCell ref="B2:U2"/>
    <mergeCell ref="B3:U3"/>
    <mergeCell ref="B4:U4"/>
    <mergeCell ref="T6:U6"/>
    <mergeCell ref="T7:U7"/>
    <mergeCell ref="T12:U12"/>
    <mergeCell ref="T11:U11"/>
    <mergeCell ref="V11:W11"/>
    <mergeCell ref="R9:U9"/>
    <mergeCell ref="R11:S11"/>
    <mergeCell ref="Z11:AA11"/>
    <mergeCell ref="Z12:AA12"/>
    <mergeCell ref="F6:M6"/>
    <mergeCell ref="F8:H8"/>
    <mergeCell ref="P7:Q7"/>
    <mergeCell ref="AD12:AE12"/>
    <mergeCell ref="V12:W12"/>
    <mergeCell ref="R12:S12"/>
    <mergeCell ref="B11:F11"/>
    <mergeCell ref="B12:F12"/>
    <mergeCell ref="L12:M12"/>
    <mergeCell ref="AB11:AC11"/>
    <mergeCell ref="AB12:AC12"/>
    <mergeCell ref="X11:Y11"/>
    <mergeCell ref="X12:Y12"/>
    <mergeCell ref="AF11:AG11"/>
    <mergeCell ref="AF12:AG12"/>
    <mergeCell ref="AD11:AE11"/>
    <mergeCell ref="C44:D44"/>
    <mergeCell ref="C37:D37"/>
    <mergeCell ref="C33:D33"/>
    <mergeCell ref="C35:D35"/>
    <mergeCell ref="C40:D40"/>
    <mergeCell ref="C28:D28"/>
    <mergeCell ref="C38:D38"/>
    <mergeCell ref="E24:F24"/>
    <mergeCell ref="E27:F27"/>
    <mergeCell ref="E28:F28"/>
    <mergeCell ref="C29:D29"/>
    <mergeCell ref="C30:D30"/>
    <mergeCell ref="C27:D27"/>
    <mergeCell ref="C24:D24"/>
    <mergeCell ref="C13:D13"/>
    <mergeCell ref="N12:O12"/>
    <mergeCell ref="J11:K11"/>
    <mergeCell ref="B75:F75"/>
    <mergeCell ref="B80:F80"/>
    <mergeCell ref="B81:F81"/>
    <mergeCell ref="B82:F82"/>
    <mergeCell ref="B76:F76"/>
    <mergeCell ref="B77:F77"/>
    <mergeCell ref="B78:F78"/>
    <mergeCell ref="B79:F79"/>
    <mergeCell ref="B60:F60"/>
    <mergeCell ref="B61:F61"/>
    <mergeCell ref="B62:F62"/>
    <mergeCell ref="B72:F72"/>
    <mergeCell ref="B73:F73"/>
    <mergeCell ref="B74:F74"/>
    <mergeCell ref="B69:E69"/>
  </mergeCells>
  <phoneticPr fontId="0" type="noConversion"/>
  <dataValidations count="14">
    <dataValidation type="decimal" errorStyle="warning" operator="notEqual" allowBlank="1" showInputMessage="1" showErrorMessage="1" errorTitle="Zero Means No Discharge" error="Only Enter Zero into a Flow Cell if there was No Discharge" sqref="G14:G51" xr:uid="{00000000-0002-0000-0100-000000000000}">
      <formula1>0</formula1>
    </dataValidation>
    <dataValidation type="decimal" operator="notEqual" allowBlank="1" showErrorMessage="1" errorTitle="Do Not Enter Zero" error="_x000a_Enter Results Exactly As Reported  by Lab or Determined by Equipment.  Use &quot;&lt;&quot; symbol in the &quot;Q&quot; column for &quot;Non-Detect&quot; Results.  Use &quot;&lt; 1&quot; for Bacteria Results of &quot;0&quot;." sqref="I14:I51 K14:K51 M14:M51 O14:O51 Q14:Q51 S14:S51 U14:U51 W14:W51 Y14:Y51 AA14:AA51 AC14:AC51 AE14:AE51 AG14:AG51 AI14:AI51" xr:uid="{00000000-0002-0000-0100-000001000000}">
      <formula1>0</formula1>
    </dataValidation>
    <dataValidation type="textLength" operator="lessThanOrEqual" allowBlank="1" sqref="F6:N6 R6" xr:uid="{00000000-0002-0000-0100-000002000000}">
      <formula1>60</formula1>
    </dataValidation>
    <dataValidation type="textLength" operator="lessThanOrEqual" allowBlank="1" sqref="F7:J7" xr:uid="{00000000-0002-0000-0100-000003000000}">
      <formula1>25</formula1>
    </dataValidation>
    <dataValidation type="textLength" operator="lessThanOrEqual" allowBlank="1" showInputMessage="1" showErrorMessage="1" sqref="Q7:R7" xr:uid="{00000000-0002-0000-0100-000004000000}">
      <formula1>21</formula1>
    </dataValidation>
    <dataValidation type="textLength" operator="lessThanOrEqual" allowBlank="1" showInputMessage="1" showErrorMessage="1" sqref="AC7:AG7" xr:uid="{00000000-0002-0000-0100-000005000000}">
      <formula1>9</formula1>
    </dataValidation>
    <dataValidation type="textLength" operator="lessThanOrEqual" allowBlank="1" showInputMessage="1" showErrorMessage="1" sqref="F8:I8" xr:uid="{00000000-0002-0000-0100-000006000000}">
      <formula1>5</formula1>
    </dataValidation>
    <dataValidation type="textLength" operator="lessThanOrEqual" allowBlank="1" showErrorMessage="1" sqref="AK7 T7:U7" xr:uid="{00000000-0002-0000-0100-000007000000}">
      <formula1>5</formula1>
    </dataValidation>
    <dataValidation type="date" operator="lessThan" allowBlank="1" showInputMessage="1" showErrorMessage="1" errorTitle="Data entry error" error="Enter date in text (January 1, 2000) or numeric format (MM/DD/YYYY)" sqref="AF9:AL9" xr:uid="{00000000-0002-0000-0100-000008000000}">
      <formula1>2958465</formula1>
    </dataValidation>
    <dataValidation type="list" allowBlank="1" showErrorMessage="1" sqref="H14:H51" xr:uid="{00000000-0002-0000-0100-000009000000}">
      <formula1>$BR$2:$BR$3</formula1>
    </dataValidation>
    <dataValidation type="list" allowBlank="1" showErrorMessage="1" errorTitle="Data Entry Error" error="You must enter a number from 1-12." sqref="P6" xr:uid="{00000000-0002-0000-0100-00000B000000}">
      <formula1>$BO$2:$BO$13</formula1>
    </dataValidation>
    <dataValidation type="list" allowBlank="1" showErrorMessage="1" sqref="J14:J51 L14:L51 N14:N51 P14:P51 R14:R51 T14:T51 V14:V51 X14:X51 Z14:Z51 AB14:AB51 AD14:AD51 AF14:AF51 AH14:AH51" xr:uid="{00000000-0002-0000-0100-00000C000000}">
      <formula1>$BR$2</formula1>
    </dataValidation>
    <dataValidation type="list" operator="lessThanOrEqual" allowBlank="1" sqref="L7:M7" xr:uid="{00000000-0002-0000-0100-00000D000000}">
      <formula1>$BQ$2:$BQ$68</formula1>
    </dataValidation>
    <dataValidation type="list" allowBlank="1" showInputMessage="1" showErrorMessage="1" sqref="T6:U6" xr:uid="{51DCBAAF-E9BF-4D6E-A9FD-691F990013DE}">
      <formula1>Years</formula1>
    </dataValidation>
  </dataValidations>
  <printOptions horizontalCentered="1"/>
  <pageMargins left="0.18" right="0.18" top="0.05" bottom="0.05" header="0.1" footer="0.1"/>
  <pageSetup scale="67" orientation="landscape" r:id="rId1"/>
  <headerFooter alignWithMargins="0"/>
  <cellWatches>
    <cellWatch r="J11"/>
  </cellWatche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89"/>
  <sheetViews>
    <sheetView tabSelected="1" zoomScaleNormal="100" workbookViewId="0">
      <selection activeCell="D77" sqref="D77:AJ79"/>
    </sheetView>
  </sheetViews>
  <sheetFormatPr defaultColWidth="0" defaultRowHeight="12.75" zeroHeight="1" x14ac:dyDescent="0.2"/>
  <cols>
    <col min="1" max="1" width="1.7109375" customWidth="1"/>
    <col min="2" max="36" width="3.7109375" customWidth="1"/>
    <col min="37" max="37" width="1.7109375" customWidth="1"/>
    <col min="38" max="41" width="3.7109375" hidden="1" customWidth="1"/>
    <col min="42" max="16384" width="9.140625" hidden="1"/>
  </cols>
  <sheetData>
    <row r="1" spans="1:37" ht="12" customHeight="1" x14ac:dyDescent="0.2">
      <c r="A1" s="457"/>
      <c r="B1" s="468" t="s">
        <v>1216</v>
      </c>
      <c r="C1" s="469"/>
      <c r="D1" s="469"/>
      <c r="E1" s="469"/>
      <c r="F1" s="469"/>
      <c r="G1" s="469"/>
      <c r="H1" s="469"/>
      <c r="I1" s="469"/>
      <c r="J1" s="469"/>
      <c r="K1" s="469"/>
      <c r="L1" s="469"/>
      <c r="M1" s="469"/>
      <c r="N1" s="469"/>
      <c r="O1" s="469"/>
      <c r="P1" s="469"/>
      <c r="Q1" s="469"/>
      <c r="R1" s="469"/>
      <c r="S1" s="469"/>
      <c r="T1" s="469"/>
      <c r="U1" s="469"/>
      <c r="V1" s="469"/>
      <c r="W1" s="469"/>
      <c r="X1" s="469"/>
      <c r="Y1" s="469"/>
      <c r="Z1" s="469"/>
      <c r="AA1" s="469"/>
      <c r="AB1" s="469"/>
      <c r="AC1" s="469"/>
      <c r="AD1" s="469"/>
      <c r="AE1" s="469"/>
      <c r="AF1" s="469"/>
      <c r="AG1" s="469"/>
      <c r="AH1" s="469"/>
      <c r="AI1" s="469"/>
      <c r="AJ1" s="469"/>
      <c r="AK1" s="457"/>
    </row>
    <row r="2" spans="1:37" ht="15" customHeight="1" x14ac:dyDescent="0.25">
      <c r="A2" s="457"/>
      <c r="B2" s="470" t="s">
        <v>1085</v>
      </c>
      <c r="C2" s="470"/>
      <c r="D2" s="470"/>
      <c r="E2" s="470"/>
      <c r="F2" s="470"/>
      <c r="G2" s="470"/>
      <c r="H2" s="470"/>
      <c r="I2" s="470"/>
      <c r="J2" s="470"/>
      <c r="K2" s="470"/>
      <c r="L2" s="470"/>
      <c r="M2" s="470"/>
      <c r="N2" s="470"/>
      <c r="O2" s="470"/>
      <c r="P2" s="470"/>
      <c r="Q2" s="470"/>
      <c r="R2" s="470"/>
      <c r="S2" s="470"/>
      <c r="T2" s="470"/>
      <c r="U2" s="470"/>
      <c r="V2" s="470"/>
      <c r="W2" s="470"/>
      <c r="X2" s="470"/>
      <c r="Y2" s="470"/>
      <c r="Z2" s="470"/>
      <c r="AA2" s="470"/>
      <c r="AB2" s="470"/>
      <c r="AC2" s="470"/>
      <c r="AD2" s="470"/>
      <c r="AE2" s="470"/>
      <c r="AF2" s="470"/>
      <c r="AG2" s="470"/>
      <c r="AH2" s="470"/>
      <c r="AI2" s="470"/>
      <c r="AJ2" s="470"/>
      <c r="AK2" s="457"/>
    </row>
    <row r="3" spans="1:37" ht="12.75" customHeight="1" x14ac:dyDescent="0.25">
      <c r="A3" s="457"/>
      <c r="B3" s="470" t="s">
        <v>6</v>
      </c>
      <c r="C3" s="470"/>
      <c r="D3" s="470"/>
      <c r="E3" s="470"/>
      <c r="F3" s="470"/>
      <c r="G3" s="470"/>
      <c r="H3" s="470"/>
      <c r="I3" s="470"/>
      <c r="J3" s="470"/>
      <c r="K3" s="470"/>
      <c r="L3" s="470"/>
      <c r="M3" s="470"/>
      <c r="N3" s="470"/>
      <c r="O3" s="470"/>
      <c r="P3" s="470"/>
      <c r="Q3" s="470"/>
      <c r="R3" s="470"/>
      <c r="S3" s="470"/>
      <c r="T3" s="470"/>
      <c r="U3" s="470"/>
      <c r="V3" s="470"/>
      <c r="W3" s="470"/>
      <c r="X3" s="470"/>
      <c r="Y3" s="470"/>
      <c r="Z3" s="470"/>
      <c r="AA3" s="470"/>
      <c r="AB3" s="470"/>
      <c r="AC3" s="470"/>
      <c r="AD3" s="470"/>
      <c r="AE3" s="470"/>
      <c r="AF3" s="470"/>
      <c r="AG3" s="470"/>
      <c r="AH3" s="470"/>
      <c r="AI3" s="470"/>
      <c r="AJ3" s="470"/>
      <c r="AK3" s="457"/>
    </row>
    <row r="4" spans="1:37" ht="12.75" customHeight="1" x14ac:dyDescent="0.2">
      <c r="A4" s="457"/>
      <c r="B4" s="457"/>
      <c r="C4" s="457"/>
      <c r="D4" s="457"/>
      <c r="E4" s="457"/>
      <c r="F4" s="457"/>
      <c r="G4" s="457"/>
      <c r="H4" s="457"/>
      <c r="I4" s="457"/>
      <c r="J4" s="457"/>
      <c r="K4" s="457"/>
      <c r="L4" s="457"/>
      <c r="M4" s="457"/>
      <c r="N4" s="457"/>
      <c r="O4" s="457"/>
      <c r="P4" s="457"/>
      <c r="Q4" s="457"/>
      <c r="R4" s="457"/>
      <c r="S4" s="457"/>
      <c r="T4" s="457"/>
      <c r="U4" s="457"/>
      <c r="V4" s="457"/>
      <c r="W4" s="457"/>
      <c r="X4" s="457"/>
      <c r="Y4" s="457"/>
      <c r="Z4" s="457"/>
      <c r="AA4" s="457"/>
      <c r="AB4" s="457"/>
      <c r="AC4" s="457"/>
      <c r="AD4" s="457"/>
      <c r="AE4" s="457"/>
      <c r="AF4" s="457"/>
      <c r="AG4" s="457"/>
      <c r="AH4" s="457"/>
      <c r="AI4" s="457"/>
      <c r="AJ4" s="457"/>
      <c r="AK4" s="457"/>
    </row>
    <row r="5" spans="1:37" ht="12.75" customHeight="1" x14ac:dyDescent="0.2">
      <c r="A5" s="457"/>
      <c r="B5" s="5"/>
      <c r="C5" s="465" t="s">
        <v>1163</v>
      </c>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57"/>
    </row>
    <row r="6" spans="1:37" ht="12.75" customHeight="1" x14ac:dyDescent="0.2">
      <c r="A6" s="457"/>
      <c r="B6" s="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57"/>
    </row>
    <row r="7" spans="1:37" ht="12.75" customHeight="1" x14ac:dyDescent="0.2">
      <c r="A7" s="457"/>
      <c r="B7" s="5"/>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57"/>
    </row>
    <row r="8" spans="1:37" ht="9" customHeight="1" x14ac:dyDescent="0.2">
      <c r="A8" s="457"/>
      <c r="B8" s="457"/>
      <c r="C8" s="457"/>
      <c r="D8" s="457"/>
      <c r="E8" s="457"/>
      <c r="F8" s="457"/>
      <c r="G8" s="457"/>
      <c r="H8" s="457"/>
      <c r="I8" s="457"/>
      <c r="J8" s="457"/>
      <c r="K8" s="457"/>
      <c r="L8" s="457"/>
      <c r="M8" s="457"/>
      <c r="N8" s="457"/>
      <c r="O8" s="457"/>
      <c r="P8" s="457"/>
      <c r="Q8" s="457"/>
      <c r="R8" s="457"/>
      <c r="S8" s="457"/>
      <c r="T8" s="457"/>
      <c r="U8" s="457"/>
      <c r="V8" s="457"/>
      <c r="W8" s="457"/>
      <c r="X8" s="457"/>
      <c r="Y8" s="457"/>
      <c r="Z8" s="457"/>
      <c r="AA8" s="457"/>
      <c r="AB8" s="457"/>
      <c r="AC8" s="457"/>
      <c r="AD8" s="457"/>
      <c r="AE8" s="457"/>
      <c r="AF8" s="457"/>
      <c r="AG8" s="457"/>
      <c r="AH8" s="457"/>
      <c r="AI8" s="457"/>
      <c r="AJ8" s="457"/>
      <c r="AK8" s="457"/>
    </row>
    <row r="9" spans="1:37" ht="12.75" customHeight="1" x14ac:dyDescent="0.2">
      <c r="A9" s="457"/>
      <c r="B9" s="5"/>
      <c r="C9" s="484" t="s">
        <v>56</v>
      </c>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57"/>
    </row>
    <row r="10" spans="1:37" ht="12.75" customHeight="1" x14ac:dyDescent="0.2">
      <c r="A10" s="457"/>
      <c r="B10" s="5"/>
      <c r="C10" s="484"/>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57"/>
    </row>
    <row r="11" spans="1:37" ht="12.75" customHeight="1" x14ac:dyDescent="0.2">
      <c r="A11" s="457"/>
      <c r="B11" s="5"/>
      <c r="C11" s="484"/>
      <c r="D11" s="484"/>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57"/>
    </row>
    <row r="12" spans="1:37" ht="12.75" customHeight="1" x14ac:dyDescent="0.2">
      <c r="A12" s="457"/>
      <c r="B12" s="5"/>
      <c r="C12" s="475"/>
      <c r="D12" s="475"/>
      <c r="E12" s="475"/>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5"/>
      <c r="AI12" s="475"/>
      <c r="AJ12" s="475"/>
      <c r="AK12" s="457"/>
    </row>
    <row r="13" spans="1:37" ht="12.75" customHeight="1" x14ac:dyDescent="0.2">
      <c r="A13" s="457"/>
      <c r="B13" s="5"/>
      <c r="C13" s="482" t="s">
        <v>843</v>
      </c>
      <c r="D13" s="482"/>
      <c r="E13" s="482"/>
      <c r="F13" s="482"/>
      <c r="G13" s="482"/>
      <c r="H13" s="482"/>
      <c r="I13" s="482"/>
      <c r="J13" s="482"/>
      <c r="K13" s="482"/>
      <c r="L13" s="482"/>
      <c r="M13" s="482"/>
      <c r="N13" s="482"/>
      <c r="O13" s="482"/>
      <c r="P13" s="482"/>
      <c r="Q13" s="482"/>
      <c r="R13" s="482"/>
      <c r="S13" s="482"/>
      <c r="T13" s="482"/>
      <c r="U13" s="482"/>
      <c r="V13" s="482"/>
      <c r="W13" s="482"/>
      <c r="X13" s="482"/>
      <c r="Y13" s="482"/>
      <c r="Z13" s="482"/>
      <c r="AA13" s="482"/>
      <c r="AB13" s="482"/>
      <c r="AC13" s="482"/>
      <c r="AD13" s="482"/>
      <c r="AE13" s="482"/>
      <c r="AF13" s="482"/>
      <c r="AG13" s="482"/>
      <c r="AH13" s="482"/>
      <c r="AI13" s="482"/>
      <c r="AJ13" s="482"/>
      <c r="AK13" s="457"/>
    </row>
    <row r="14" spans="1:37" ht="9" customHeight="1" x14ac:dyDescent="0.2">
      <c r="A14" s="457"/>
      <c r="B14" s="5"/>
      <c r="C14" s="485"/>
      <c r="D14" s="485"/>
      <c r="E14" s="485"/>
      <c r="F14" s="485"/>
      <c r="G14" s="485"/>
      <c r="H14" s="485"/>
      <c r="I14" s="485"/>
      <c r="J14" s="485"/>
      <c r="K14" s="485"/>
      <c r="L14" s="485"/>
      <c r="M14" s="485"/>
      <c r="N14" s="485"/>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457"/>
    </row>
    <row r="15" spans="1:37" ht="12.75" customHeight="1" x14ac:dyDescent="0.2">
      <c r="A15" s="457"/>
      <c r="B15" s="5"/>
      <c r="C15" s="138" t="s">
        <v>844</v>
      </c>
      <c r="D15" s="483" t="s">
        <v>856</v>
      </c>
      <c r="E15" s="483"/>
      <c r="F15" s="483"/>
      <c r="G15" s="483"/>
      <c r="H15" s="483"/>
      <c r="I15" s="483"/>
      <c r="J15" s="483"/>
      <c r="K15" s="483"/>
      <c r="L15" s="483"/>
      <c r="M15" s="483"/>
      <c r="N15" s="483"/>
      <c r="O15" s="483"/>
      <c r="P15" s="483"/>
      <c r="Q15" s="483"/>
      <c r="R15" s="483"/>
      <c r="S15" s="483"/>
      <c r="T15" s="483"/>
      <c r="U15" s="483"/>
      <c r="V15" s="483"/>
      <c r="W15" s="483"/>
      <c r="X15" s="483"/>
      <c r="Y15" s="483"/>
      <c r="Z15" s="483"/>
      <c r="AA15" s="483"/>
      <c r="AB15" s="483"/>
      <c r="AC15" s="483"/>
      <c r="AD15" s="483"/>
      <c r="AE15" s="483"/>
      <c r="AF15" s="483"/>
      <c r="AG15" s="483"/>
      <c r="AH15" s="483"/>
      <c r="AI15" s="483"/>
      <c r="AJ15" s="483"/>
      <c r="AK15" s="457"/>
    </row>
    <row r="16" spans="1:37" ht="9" customHeight="1" x14ac:dyDescent="0.2">
      <c r="A16" s="457"/>
      <c r="B16" s="5"/>
      <c r="C16" s="463"/>
      <c r="D16" s="463"/>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57"/>
    </row>
    <row r="17" spans="1:37" s="135" customFormat="1" ht="12.75" customHeight="1" x14ac:dyDescent="0.2">
      <c r="A17" s="457"/>
      <c r="B17" s="134"/>
      <c r="C17" s="138" t="s">
        <v>845</v>
      </c>
      <c r="D17" s="464" t="s">
        <v>851</v>
      </c>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57"/>
    </row>
    <row r="18" spans="1:37" s="135" customFormat="1" ht="12.75" customHeight="1" x14ac:dyDescent="0.2">
      <c r="A18" s="457"/>
      <c r="B18" s="134"/>
      <c r="C18" s="138"/>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464"/>
      <c r="AC18" s="464"/>
      <c r="AD18" s="464"/>
      <c r="AE18" s="464"/>
      <c r="AF18" s="464"/>
      <c r="AG18" s="464"/>
      <c r="AH18" s="464"/>
      <c r="AI18" s="464"/>
      <c r="AJ18" s="464"/>
      <c r="AK18" s="457"/>
    </row>
    <row r="19" spans="1:37" s="135" customFormat="1" ht="12.75" customHeight="1" x14ac:dyDescent="0.2">
      <c r="A19" s="457"/>
      <c r="B19" s="134"/>
      <c r="C19" s="139"/>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57"/>
    </row>
    <row r="20" spans="1:37" s="135" customFormat="1" ht="12.75" customHeight="1" x14ac:dyDescent="0.2">
      <c r="A20" s="457"/>
      <c r="B20" s="134"/>
      <c r="C20" s="139"/>
      <c r="D20" s="462"/>
      <c r="E20" s="462"/>
      <c r="F20" s="462"/>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462"/>
      <c r="AH20" s="462"/>
      <c r="AI20" s="462"/>
      <c r="AJ20" s="462"/>
      <c r="AK20" s="457"/>
    </row>
    <row r="21" spans="1:37" s="135" customFormat="1" ht="12.75" customHeight="1" x14ac:dyDescent="0.2">
      <c r="A21" s="457"/>
      <c r="B21" s="134"/>
      <c r="C21" s="139"/>
      <c r="D21" s="462"/>
      <c r="E21" s="462"/>
      <c r="F21" s="462"/>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462"/>
      <c r="AH21" s="462"/>
      <c r="AI21" s="462"/>
      <c r="AJ21" s="462"/>
      <c r="AK21" s="457"/>
    </row>
    <row r="22" spans="1:37" s="135" customFormat="1" ht="12.75" customHeight="1" x14ac:dyDescent="0.2">
      <c r="A22" s="457"/>
      <c r="B22" s="134"/>
      <c r="C22" s="139"/>
      <c r="D22" s="462"/>
      <c r="E22" s="462"/>
      <c r="F22" s="462"/>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462"/>
      <c r="AH22" s="462"/>
      <c r="AI22" s="462"/>
      <c r="AJ22" s="462"/>
      <c r="AK22" s="457"/>
    </row>
    <row r="23" spans="1:37" s="135" customFormat="1" ht="12.75" customHeight="1" x14ac:dyDescent="0.2">
      <c r="A23" s="457"/>
      <c r="B23" s="134"/>
      <c r="C23" s="139"/>
      <c r="D23" s="462"/>
      <c r="E23" s="462"/>
      <c r="F23" s="462"/>
      <c r="G23" s="462"/>
      <c r="H23" s="462"/>
      <c r="I23" s="462"/>
      <c r="J23" s="462"/>
      <c r="K23" s="462"/>
      <c r="L23" s="462"/>
      <c r="M23" s="462"/>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57"/>
    </row>
    <row r="24" spans="1:37" s="135" customFormat="1" ht="12.75" customHeight="1" x14ac:dyDescent="0.2">
      <c r="A24" s="457"/>
      <c r="B24" s="134"/>
      <c r="C24" s="139"/>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57"/>
    </row>
    <row r="25" spans="1:37" s="135" customFormat="1" ht="9" customHeight="1" x14ac:dyDescent="0.2">
      <c r="A25" s="457"/>
      <c r="B25" s="134"/>
      <c r="C25" s="463"/>
      <c r="D25" s="463"/>
      <c r="E25" s="463"/>
      <c r="F25" s="463"/>
      <c r="G25" s="463"/>
      <c r="H25" s="463"/>
      <c r="I25" s="463"/>
      <c r="J25" s="463"/>
      <c r="K25" s="463"/>
      <c r="L25" s="463"/>
      <c r="M25" s="463"/>
      <c r="N25" s="463"/>
      <c r="O25" s="463"/>
      <c r="P25" s="463"/>
      <c r="Q25" s="463"/>
      <c r="R25" s="463"/>
      <c r="S25" s="463"/>
      <c r="T25" s="463"/>
      <c r="U25" s="463"/>
      <c r="V25" s="463"/>
      <c r="W25" s="463"/>
      <c r="X25" s="463"/>
      <c r="Y25" s="463"/>
      <c r="Z25" s="463"/>
      <c r="AA25" s="463"/>
      <c r="AB25" s="463"/>
      <c r="AC25" s="463"/>
      <c r="AD25" s="463"/>
      <c r="AE25" s="463"/>
      <c r="AF25" s="463"/>
      <c r="AG25" s="463"/>
      <c r="AH25" s="463"/>
      <c r="AI25" s="463"/>
      <c r="AJ25" s="463"/>
      <c r="AK25" s="457"/>
    </row>
    <row r="26" spans="1:37" s="135" customFormat="1" ht="12.75" customHeight="1" x14ac:dyDescent="0.2">
      <c r="A26" s="457"/>
      <c r="B26" s="134"/>
      <c r="C26" s="139" t="s">
        <v>846</v>
      </c>
      <c r="D26" s="464" t="s">
        <v>847</v>
      </c>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57"/>
    </row>
    <row r="27" spans="1:37" s="135" customFormat="1" ht="12.75" customHeight="1" x14ac:dyDescent="0.2">
      <c r="A27" s="457"/>
      <c r="B27" s="134"/>
      <c r="C27" s="139"/>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57"/>
    </row>
    <row r="28" spans="1:37" s="135" customFormat="1" ht="12.75" customHeight="1" x14ac:dyDescent="0.2">
      <c r="A28" s="457"/>
      <c r="B28" s="134"/>
      <c r="C28" s="139"/>
      <c r="D28" s="462"/>
      <c r="E28" s="462"/>
      <c r="F28" s="462"/>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462"/>
      <c r="AH28" s="462"/>
      <c r="AI28" s="462"/>
      <c r="AJ28" s="462"/>
      <c r="AK28" s="457"/>
    </row>
    <row r="29" spans="1:37" s="135" customFormat="1" ht="12.75" customHeight="1" x14ac:dyDescent="0.2">
      <c r="A29" s="457"/>
      <c r="B29" s="134"/>
      <c r="C29" s="139"/>
      <c r="D29" s="462"/>
      <c r="E29" s="462"/>
      <c r="F29" s="462"/>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462"/>
      <c r="AH29" s="462"/>
      <c r="AI29" s="462"/>
      <c r="AJ29" s="462"/>
      <c r="AK29" s="457"/>
    </row>
    <row r="30" spans="1:37" s="135" customFormat="1" ht="9" customHeight="1" x14ac:dyDescent="0.2">
      <c r="A30" s="457"/>
      <c r="B30" s="134"/>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c r="AA30" s="463"/>
      <c r="AB30" s="463"/>
      <c r="AC30" s="463"/>
      <c r="AD30" s="463"/>
      <c r="AE30" s="463"/>
      <c r="AF30" s="463"/>
      <c r="AG30" s="463"/>
      <c r="AH30" s="463"/>
      <c r="AI30" s="463"/>
      <c r="AJ30" s="463"/>
      <c r="AK30" s="457"/>
    </row>
    <row r="31" spans="1:37" s="135" customFormat="1" ht="12.75" customHeight="1" x14ac:dyDescent="0.2">
      <c r="A31" s="457"/>
      <c r="B31" s="134"/>
      <c r="C31" s="139" t="s">
        <v>850</v>
      </c>
      <c r="D31" s="477" t="s">
        <v>849</v>
      </c>
      <c r="E31" s="477"/>
      <c r="F31" s="477"/>
      <c r="G31" s="477"/>
      <c r="H31" s="477"/>
      <c r="I31" s="477"/>
      <c r="J31" s="477"/>
      <c r="K31" s="477"/>
      <c r="L31" s="477"/>
      <c r="M31" s="477"/>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57"/>
    </row>
    <row r="32" spans="1:37" s="135" customFormat="1" ht="12.75" customHeight="1" x14ac:dyDescent="0.2">
      <c r="A32" s="457"/>
      <c r="B32" s="134"/>
      <c r="C32" s="139"/>
      <c r="D32" s="477"/>
      <c r="E32" s="477"/>
      <c r="F32" s="477"/>
      <c r="G32" s="477"/>
      <c r="H32" s="477"/>
      <c r="I32" s="477"/>
      <c r="J32" s="477"/>
      <c r="K32" s="477"/>
      <c r="L32" s="477"/>
      <c r="M32" s="477"/>
      <c r="N32" s="477"/>
      <c r="O32" s="477"/>
      <c r="P32" s="477"/>
      <c r="Q32" s="477"/>
      <c r="R32" s="477"/>
      <c r="S32" s="477"/>
      <c r="T32" s="477"/>
      <c r="U32" s="477"/>
      <c r="V32" s="477"/>
      <c r="W32" s="477"/>
      <c r="X32" s="477"/>
      <c r="Y32" s="477"/>
      <c r="Z32" s="477"/>
      <c r="AA32" s="477"/>
      <c r="AB32" s="477"/>
      <c r="AC32" s="477"/>
      <c r="AD32" s="477"/>
      <c r="AE32" s="477"/>
      <c r="AF32" s="477"/>
      <c r="AG32" s="477"/>
      <c r="AH32" s="477"/>
      <c r="AI32" s="477"/>
      <c r="AJ32" s="477"/>
      <c r="AK32" s="457"/>
    </row>
    <row r="33" spans="1:37" s="135" customFormat="1" ht="12.75" customHeight="1" x14ac:dyDescent="0.2">
      <c r="A33" s="457"/>
      <c r="B33" s="134"/>
      <c r="C33" s="139"/>
      <c r="D33" s="477"/>
      <c r="E33" s="477"/>
      <c r="F33" s="477"/>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c r="AE33" s="477"/>
      <c r="AF33" s="477"/>
      <c r="AG33" s="477"/>
      <c r="AH33" s="477"/>
      <c r="AI33" s="477"/>
      <c r="AJ33" s="477"/>
      <c r="AK33" s="457"/>
    </row>
    <row r="34" spans="1:37" s="135" customFormat="1" ht="12.75" customHeight="1" x14ac:dyDescent="0.2">
      <c r="A34" s="457"/>
      <c r="B34" s="134"/>
      <c r="C34" s="139"/>
      <c r="D34" s="477"/>
      <c r="E34" s="477"/>
      <c r="F34" s="477"/>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57"/>
    </row>
    <row r="35" spans="1:37" s="135" customFormat="1" ht="12.75" customHeight="1" x14ac:dyDescent="0.2">
      <c r="A35" s="457"/>
      <c r="B35" s="472"/>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57"/>
    </row>
    <row r="36" spans="1:37" ht="12.75" customHeight="1" x14ac:dyDescent="0.2">
      <c r="A36" s="457"/>
      <c r="B36" s="5"/>
      <c r="C36" s="471" t="s">
        <v>57</v>
      </c>
      <c r="D36" s="471"/>
      <c r="E36" s="471"/>
      <c r="F36" s="471"/>
      <c r="G36" s="471"/>
      <c r="H36" s="471"/>
      <c r="I36" s="471"/>
      <c r="J36" s="471"/>
      <c r="K36" s="471"/>
      <c r="L36" s="471"/>
      <c r="M36" s="471"/>
      <c r="N36" s="471"/>
      <c r="O36" s="471"/>
      <c r="P36" s="471"/>
      <c r="Q36" s="471"/>
      <c r="R36" s="471"/>
      <c r="S36" s="471"/>
      <c r="T36" s="471"/>
      <c r="U36" s="471"/>
      <c r="V36" s="471"/>
      <c r="W36" s="471"/>
      <c r="X36" s="471"/>
      <c r="Y36" s="471"/>
      <c r="Z36" s="471"/>
      <c r="AA36" s="471"/>
      <c r="AB36" s="471"/>
      <c r="AC36" s="471"/>
      <c r="AD36" s="471"/>
      <c r="AE36" s="471"/>
      <c r="AF36" s="471"/>
      <c r="AG36" s="471"/>
      <c r="AH36" s="471"/>
      <c r="AI36" s="471"/>
      <c r="AJ36" s="471"/>
      <c r="AK36" s="457"/>
    </row>
    <row r="37" spans="1:37" ht="12.75" customHeight="1" x14ac:dyDescent="0.2">
      <c r="A37" s="457"/>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row>
    <row r="38" spans="1:37" ht="12.75" customHeight="1" x14ac:dyDescent="0.2">
      <c r="A38" s="457"/>
      <c r="B38" s="11"/>
      <c r="C38" s="140" t="s">
        <v>844</v>
      </c>
      <c r="D38" s="465" t="s">
        <v>848</v>
      </c>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57"/>
    </row>
    <row r="39" spans="1:37" ht="12.75" customHeight="1" x14ac:dyDescent="0.2">
      <c r="A39" s="457"/>
      <c r="B39" s="11"/>
      <c r="C39" s="136"/>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57"/>
    </row>
    <row r="40" spans="1:37" ht="12.75" customHeight="1" x14ac:dyDescent="0.2">
      <c r="A40" s="457"/>
      <c r="B40" s="11"/>
      <c r="C40" s="136"/>
      <c r="D40" s="462"/>
      <c r="E40" s="462"/>
      <c r="F40" s="462"/>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2"/>
      <c r="AJ40" s="462"/>
      <c r="AK40" s="457"/>
    </row>
    <row r="41" spans="1:37" ht="9" customHeight="1" x14ac:dyDescent="0.2">
      <c r="A41" s="457"/>
      <c r="B41" s="457"/>
      <c r="C41" s="457"/>
      <c r="D41" s="457"/>
      <c r="E41" s="457"/>
      <c r="F41" s="457"/>
      <c r="G41" s="457"/>
      <c r="H41" s="457"/>
      <c r="I41" s="457"/>
      <c r="J41" s="457"/>
      <c r="K41" s="457"/>
      <c r="L41" s="457"/>
      <c r="M41" s="457"/>
      <c r="N41" s="457"/>
      <c r="O41" s="457"/>
      <c r="P41" s="457"/>
      <c r="Q41" s="457"/>
      <c r="R41" s="457"/>
      <c r="S41" s="457"/>
      <c r="T41" s="457"/>
      <c r="U41" s="457"/>
      <c r="V41" s="457"/>
      <c r="W41" s="457"/>
      <c r="X41" s="457"/>
      <c r="Y41" s="457"/>
      <c r="Z41" s="457"/>
      <c r="AA41" s="457"/>
      <c r="AB41" s="457"/>
      <c r="AC41" s="457"/>
      <c r="AD41" s="457"/>
      <c r="AE41" s="457"/>
      <c r="AF41" s="457"/>
      <c r="AG41" s="457"/>
      <c r="AH41" s="457"/>
      <c r="AI41" s="457"/>
      <c r="AJ41" s="457"/>
      <c r="AK41" s="457"/>
    </row>
    <row r="42" spans="1:37" ht="3" customHeight="1" x14ac:dyDescent="0.2">
      <c r="A42" s="457"/>
      <c r="B42" s="11"/>
      <c r="C42" s="39"/>
      <c r="D42" s="465" t="s">
        <v>11</v>
      </c>
      <c r="E42" s="462"/>
      <c r="F42" s="462"/>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57"/>
    </row>
    <row r="43" spans="1:37" ht="12.75" customHeight="1" x14ac:dyDescent="0.2">
      <c r="A43" s="457"/>
      <c r="B43" s="11"/>
      <c r="C43" s="137" t="s">
        <v>845</v>
      </c>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57"/>
    </row>
    <row r="44" spans="1:37" ht="12.75" customHeight="1" x14ac:dyDescent="0.2">
      <c r="A44" s="457"/>
      <c r="B44" s="11"/>
      <c r="C44" s="136"/>
      <c r="D44" s="462"/>
      <c r="E44" s="462"/>
      <c r="F44" s="462"/>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57"/>
    </row>
    <row r="45" spans="1:37" ht="12.75" customHeight="1" x14ac:dyDescent="0.2">
      <c r="A45" s="457"/>
      <c r="B45" s="11"/>
      <c r="C45" s="136"/>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462"/>
      <c r="AH45" s="462"/>
      <c r="AI45" s="462"/>
      <c r="AJ45" s="462"/>
      <c r="AK45" s="457"/>
    </row>
    <row r="46" spans="1:37" ht="12.75" customHeight="1" x14ac:dyDescent="0.2">
      <c r="A46" s="457"/>
      <c r="B46" s="11"/>
      <c r="C46" s="136"/>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462"/>
      <c r="AH46" s="462"/>
      <c r="AI46" s="462"/>
      <c r="AJ46" s="462"/>
      <c r="AK46" s="457"/>
    </row>
    <row r="47" spans="1:37" ht="12.75" customHeight="1" x14ac:dyDescent="0.2">
      <c r="A47" s="457"/>
      <c r="B47" s="11"/>
      <c r="C47" s="136"/>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462"/>
      <c r="AH47" s="462"/>
      <c r="AI47" s="462"/>
      <c r="AJ47" s="462"/>
      <c r="AK47" s="457"/>
    </row>
    <row r="48" spans="1:37" ht="12.75" customHeight="1" x14ac:dyDescent="0.2">
      <c r="A48" s="457"/>
      <c r="B48" s="11"/>
      <c r="C48" s="141"/>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2"/>
      <c r="AK48" s="457"/>
    </row>
    <row r="49" spans="1:37" ht="12.75" customHeight="1" x14ac:dyDescent="0.2">
      <c r="A49" s="457"/>
      <c r="B49" s="11"/>
      <c r="C49" s="141"/>
      <c r="D49" s="462"/>
      <c r="E49" s="462"/>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57"/>
    </row>
    <row r="50" spans="1:37" ht="9" customHeight="1" x14ac:dyDescent="0.2">
      <c r="A50" s="457"/>
      <c r="B50" s="393"/>
      <c r="C50" s="393"/>
      <c r="D50" s="393"/>
      <c r="E50" s="393"/>
      <c r="F50" s="393"/>
      <c r="G50" s="393"/>
      <c r="H50" s="393"/>
      <c r="I50" s="393"/>
      <c r="J50" s="393"/>
      <c r="K50" s="393"/>
      <c r="L50" s="393"/>
      <c r="M50" s="393"/>
      <c r="N50" s="393"/>
      <c r="O50" s="393"/>
      <c r="P50" s="393"/>
      <c r="Q50" s="393"/>
      <c r="R50" s="393"/>
      <c r="S50" s="393"/>
      <c r="T50" s="393"/>
      <c r="U50" s="393"/>
      <c r="V50" s="393"/>
      <c r="W50" s="393"/>
      <c r="X50" s="393"/>
      <c r="Y50" s="393"/>
      <c r="Z50" s="393"/>
      <c r="AA50" s="393"/>
      <c r="AB50" s="393"/>
      <c r="AC50" s="393"/>
      <c r="AD50" s="393"/>
      <c r="AE50" s="393"/>
      <c r="AF50" s="393"/>
      <c r="AG50" s="393"/>
      <c r="AH50" s="393"/>
      <c r="AI50" s="393"/>
      <c r="AJ50" s="393"/>
      <c r="AK50" s="457"/>
    </row>
    <row r="51" spans="1:37" ht="12.75" customHeight="1" x14ac:dyDescent="0.2">
      <c r="A51" s="457"/>
      <c r="B51" s="11"/>
      <c r="C51" s="140" t="s">
        <v>846</v>
      </c>
      <c r="D51" s="473" t="s">
        <v>852</v>
      </c>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c r="AJ51" s="462"/>
      <c r="AK51" s="457"/>
    </row>
    <row r="52" spans="1:37" ht="12.75" customHeight="1" x14ac:dyDescent="0.2">
      <c r="A52" s="457"/>
      <c r="B52" s="11"/>
      <c r="C52" s="141"/>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c r="AJ52" s="462"/>
      <c r="AK52" s="457"/>
    </row>
    <row r="53" spans="1:37" ht="12.75" customHeight="1" x14ac:dyDescent="0.2">
      <c r="A53" s="457"/>
      <c r="B53" s="11"/>
      <c r="C53" s="141"/>
      <c r="D53" s="462"/>
      <c r="E53" s="462"/>
      <c r="F53" s="462"/>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462"/>
      <c r="AH53" s="462"/>
      <c r="AI53" s="462"/>
      <c r="AJ53" s="462"/>
      <c r="AK53" s="457"/>
    </row>
    <row r="54" spans="1:37" ht="12.75" customHeight="1" x14ac:dyDescent="0.2">
      <c r="A54" s="457"/>
      <c r="B54" s="11"/>
      <c r="C54" s="141"/>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57"/>
    </row>
    <row r="55" spans="1:37" ht="9" customHeight="1" x14ac:dyDescent="0.2">
      <c r="A55" s="457"/>
      <c r="B55" s="393"/>
      <c r="C55" s="393"/>
      <c r="D55" s="393"/>
      <c r="E55" s="393"/>
      <c r="F55" s="393"/>
      <c r="G55" s="393"/>
      <c r="H55" s="393"/>
      <c r="I55" s="393"/>
      <c r="J55" s="393"/>
      <c r="K55" s="393"/>
      <c r="L55" s="393"/>
      <c r="M55" s="393"/>
      <c r="N55" s="393"/>
      <c r="O55" s="393"/>
      <c r="P55" s="393"/>
      <c r="Q55" s="393"/>
      <c r="R55" s="393"/>
      <c r="S55" s="393"/>
      <c r="T55" s="393"/>
      <c r="U55" s="393"/>
      <c r="V55" s="393"/>
      <c r="W55" s="393"/>
      <c r="X55" s="393"/>
      <c r="Y55" s="393"/>
      <c r="Z55" s="393"/>
      <c r="AA55" s="393"/>
      <c r="AB55" s="393"/>
      <c r="AC55" s="393"/>
      <c r="AD55" s="393"/>
      <c r="AE55" s="393"/>
      <c r="AF55" s="393"/>
      <c r="AG55" s="393"/>
      <c r="AH55" s="393"/>
      <c r="AI55" s="393"/>
      <c r="AJ55" s="393"/>
      <c r="AK55" s="457"/>
    </row>
    <row r="56" spans="1:37" ht="12.75" customHeight="1" x14ac:dyDescent="0.2">
      <c r="A56" s="457"/>
      <c r="B56" s="11"/>
      <c r="C56" s="467" t="s">
        <v>850</v>
      </c>
      <c r="D56" s="466" t="s">
        <v>1164</v>
      </c>
      <c r="E56" s="466"/>
      <c r="F56" s="466"/>
      <c r="G56" s="466"/>
      <c r="H56" s="466"/>
      <c r="I56" s="466"/>
      <c r="J56" s="466"/>
      <c r="K56" s="466"/>
      <c r="L56" s="466"/>
      <c r="M56" s="466"/>
      <c r="N56" s="466"/>
      <c r="O56" s="466"/>
      <c r="P56" s="466"/>
      <c r="Q56" s="466"/>
      <c r="R56" s="466"/>
      <c r="S56" s="466"/>
      <c r="T56" s="466"/>
      <c r="U56" s="466"/>
      <c r="V56" s="466"/>
      <c r="W56" s="466"/>
      <c r="X56" s="466"/>
      <c r="Y56" s="466"/>
      <c r="Z56" s="466"/>
      <c r="AA56" s="466"/>
      <c r="AB56" s="466"/>
      <c r="AC56" s="466"/>
      <c r="AD56" s="466"/>
      <c r="AE56" s="466"/>
      <c r="AF56" s="466"/>
      <c r="AG56" s="466"/>
      <c r="AH56" s="466"/>
      <c r="AI56" s="466"/>
      <c r="AJ56" s="466"/>
      <c r="AK56" s="457"/>
    </row>
    <row r="57" spans="1:37" ht="12.75" customHeight="1" x14ac:dyDescent="0.2">
      <c r="A57" s="457"/>
      <c r="B57" s="11"/>
      <c r="C57" s="467"/>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57"/>
    </row>
    <row r="58" spans="1:37" ht="12.75" customHeight="1" x14ac:dyDescent="0.2">
      <c r="A58" s="457"/>
      <c r="B58" s="11"/>
      <c r="C58" s="467"/>
      <c r="D58" s="466"/>
      <c r="E58" s="466"/>
      <c r="F58" s="466"/>
      <c r="G58" s="466"/>
      <c r="H58" s="466"/>
      <c r="I58" s="466"/>
      <c r="J58" s="466"/>
      <c r="K58" s="466"/>
      <c r="L58" s="466"/>
      <c r="M58" s="466"/>
      <c r="N58" s="466"/>
      <c r="O58" s="466"/>
      <c r="P58" s="466"/>
      <c r="Q58" s="466"/>
      <c r="R58" s="466"/>
      <c r="S58" s="466"/>
      <c r="T58" s="466"/>
      <c r="U58" s="466"/>
      <c r="V58" s="466"/>
      <c r="W58" s="466"/>
      <c r="X58" s="466"/>
      <c r="Y58" s="466"/>
      <c r="Z58" s="466"/>
      <c r="AA58" s="466"/>
      <c r="AB58" s="466"/>
      <c r="AC58" s="466"/>
      <c r="AD58" s="466"/>
      <c r="AE58" s="466"/>
      <c r="AF58" s="466"/>
      <c r="AG58" s="466"/>
      <c r="AH58" s="466"/>
      <c r="AI58" s="466"/>
      <c r="AJ58" s="466"/>
      <c r="AK58" s="457"/>
    </row>
    <row r="59" spans="1:37" ht="12.75" customHeight="1" x14ac:dyDescent="0.2">
      <c r="A59" s="457"/>
      <c r="B59" s="258"/>
      <c r="C59" s="467"/>
      <c r="D59" s="466"/>
      <c r="E59" s="466"/>
      <c r="F59" s="466"/>
      <c r="G59" s="466"/>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466"/>
      <c r="AK59" s="457"/>
    </row>
    <row r="60" spans="1:37" ht="9" customHeight="1" x14ac:dyDescent="0.2">
      <c r="A60" s="457"/>
      <c r="B60" s="393"/>
      <c r="C60" s="393"/>
      <c r="D60" s="393"/>
      <c r="E60" s="393"/>
      <c r="F60" s="393"/>
      <c r="G60" s="393"/>
      <c r="H60" s="393"/>
      <c r="I60" s="393"/>
      <c r="J60" s="393"/>
      <c r="K60" s="393"/>
      <c r="L60" s="393"/>
      <c r="M60" s="393"/>
      <c r="N60" s="393"/>
      <c r="O60" s="393"/>
      <c r="P60" s="393"/>
      <c r="Q60" s="393"/>
      <c r="R60" s="393"/>
      <c r="S60" s="393"/>
      <c r="T60" s="393"/>
      <c r="U60" s="393"/>
      <c r="V60" s="393"/>
      <c r="W60" s="393"/>
      <c r="X60" s="393"/>
      <c r="Y60" s="393"/>
      <c r="Z60" s="393"/>
      <c r="AA60" s="393"/>
      <c r="AB60" s="393"/>
      <c r="AC60" s="393"/>
      <c r="AD60" s="393"/>
      <c r="AE60" s="393"/>
      <c r="AF60" s="393"/>
      <c r="AG60" s="393"/>
      <c r="AH60" s="393"/>
      <c r="AI60" s="393"/>
      <c r="AJ60" s="393"/>
      <c r="AK60" s="457"/>
    </row>
    <row r="61" spans="1:37" ht="12.75" customHeight="1" x14ac:dyDescent="0.2">
      <c r="A61" s="457"/>
      <c r="B61" s="6"/>
      <c r="C61" s="140" t="s">
        <v>853</v>
      </c>
      <c r="D61" s="465" t="s">
        <v>1165</v>
      </c>
      <c r="E61" s="465"/>
      <c r="F61" s="465"/>
      <c r="G61" s="465"/>
      <c r="H61" s="465"/>
      <c r="I61" s="465"/>
      <c r="J61" s="465"/>
      <c r="K61" s="465"/>
      <c r="L61" s="465"/>
      <c r="M61" s="465"/>
      <c r="N61" s="465"/>
      <c r="O61" s="465"/>
      <c r="P61" s="465"/>
      <c r="Q61" s="465"/>
      <c r="R61" s="465"/>
      <c r="S61" s="465"/>
      <c r="T61" s="465"/>
      <c r="U61" s="465"/>
      <c r="V61" s="465"/>
      <c r="W61" s="465"/>
      <c r="X61" s="465"/>
      <c r="Y61" s="465"/>
      <c r="Z61" s="465"/>
      <c r="AA61" s="465"/>
      <c r="AB61" s="465"/>
      <c r="AC61" s="465"/>
      <c r="AD61" s="465"/>
      <c r="AE61" s="465"/>
      <c r="AF61" s="465"/>
      <c r="AG61" s="465"/>
      <c r="AH61" s="465"/>
      <c r="AI61" s="465"/>
      <c r="AJ61" s="465"/>
      <c r="AK61" s="457"/>
    </row>
    <row r="62" spans="1:37" ht="12.75" customHeight="1" x14ac:dyDescent="0.2">
      <c r="A62" s="457"/>
      <c r="B62" s="6"/>
      <c r="C62" s="39"/>
      <c r="D62" s="465"/>
      <c r="E62" s="465"/>
      <c r="F62" s="465"/>
      <c r="G62" s="465"/>
      <c r="H62" s="465"/>
      <c r="I62" s="465"/>
      <c r="J62" s="465"/>
      <c r="K62" s="465"/>
      <c r="L62" s="465"/>
      <c r="M62" s="465"/>
      <c r="N62" s="465"/>
      <c r="O62" s="465"/>
      <c r="P62" s="465"/>
      <c r="Q62" s="465"/>
      <c r="R62" s="465"/>
      <c r="S62" s="465"/>
      <c r="T62" s="465"/>
      <c r="U62" s="465"/>
      <c r="V62" s="465"/>
      <c r="W62" s="465"/>
      <c r="X62" s="465"/>
      <c r="Y62" s="465"/>
      <c r="Z62" s="465"/>
      <c r="AA62" s="465"/>
      <c r="AB62" s="465"/>
      <c r="AC62" s="465"/>
      <c r="AD62" s="465"/>
      <c r="AE62" s="465"/>
      <c r="AF62" s="465"/>
      <c r="AG62" s="465"/>
      <c r="AH62" s="465"/>
      <c r="AI62" s="465"/>
      <c r="AJ62" s="465"/>
      <c r="AK62" s="457"/>
    </row>
    <row r="63" spans="1:37" ht="12.75" customHeight="1" x14ac:dyDescent="0.2">
      <c r="A63" s="457"/>
      <c r="B63" s="159"/>
      <c r="C63" s="39"/>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57"/>
    </row>
    <row r="64" spans="1:37" ht="9" customHeight="1" x14ac:dyDescent="0.2">
      <c r="A64" s="457"/>
      <c r="B64" s="393"/>
      <c r="C64" s="393"/>
      <c r="D64" s="393"/>
      <c r="E64" s="393"/>
      <c r="F64" s="393"/>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457"/>
    </row>
    <row r="65" spans="1:37" ht="12.75" customHeight="1" x14ac:dyDescent="0.2">
      <c r="A65" s="457"/>
      <c r="B65" s="11"/>
      <c r="C65" s="140" t="s">
        <v>854</v>
      </c>
      <c r="D65" s="465" t="s">
        <v>1086</v>
      </c>
      <c r="E65" s="465"/>
      <c r="F65" s="465"/>
      <c r="G65" s="465"/>
      <c r="H65" s="465"/>
      <c r="I65" s="465"/>
      <c r="J65" s="465"/>
      <c r="K65" s="465"/>
      <c r="L65" s="465"/>
      <c r="M65" s="465"/>
      <c r="N65" s="465"/>
      <c r="O65" s="465"/>
      <c r="P65" s="465"/>
      <c r="Q65" s="465"/>
      <c r="R65" s="465"/>
      <c r="S65" s="465"/>
      <c r="T65" s="465"/>
      <c r="U65" s="465"/>
      <c r="V65" s="465"/>
      <c r="W65" s="465"/>
      <c r="X65" s="465"/>
      <c r="Y65" s="465"/>
      <c r="Z65" s="465"/>
      <c r="AA65" s="465"/>
      <c r="AB65" s="465"/>
      <c r="AC65" s="465"/>
      <c r="AD65" s="465"/>
      <c r="AE65" s="465"/>
      <c r="AF65" s="465"/>
      <c r="AG65" s="465"/>
      <c r="AH65" s="465"/>
      <c r="AI65" s="465"/>
      <c r="AJ65" s="465"/>
      <c r="AK65" s="457"/>
    </row>
    <row r="66" spans="1:37" ht="12.75" customHeight="1" x14ac:dyDescent="0.2">
      <c r="A66" s="457"/>
      <c r="B66" s="11"/>
      <c r="C66" s="136"/>
      <c r="D66" s="462"/>
      <c r="E66" s="462"/>
      <c r="F66" s="462"/>
      <c r="G66" s="462"/>
      <c r="H66" s="462"/>
      <c r="I66" s="462"/>
      <c r="J66" s="462"/>
      <c r="K66" s="462"/>
      <c r="L66" s="462"/>
      <c r="M66" s="462"/>
      <c r="N66" s="462"/>
      <c r="O66" s="462"/>
      <c r="P66" s="462"/>
      <c r="Q66" s="462"/>
      <c r="R66" s="462"/>
      <c r="S66" s="462"/>
      <c r="T66" s="462"/>
      <c r="U66" s="462"/>
      <c r="V66" s="462"/>
      <c r="W66" s="462"/>
      <c r="X66" s="462"/>
      <c r="Y66" s="462"/>
      <c r="Z66" s="462"/>
      <c r="AA66" s="462"/>
      <c r="AB66" s="462"/>
      <c r="AC66" s="462"/>
      <c r="AD66" s="462"/>
      <c r="AE66" s="462"/>
      <c r="AF66" s="462"/>
      <c r="AG66" s="462"/>
      <c r="AH66" s="462"/>
      <c r="AI66" s="462"/>
      <c r="AJ66" s="462"/>
      <c r="AK66" s="457"/>
    </row>
    <row r="67" spans="1:37" ht="12.75" customHeight="1" x14ac:dyDescent="0.2">
      <c r="A67" s="457"/>
      <c r="B67" s="458"/>
      <c r="C67" s="458"/>
      <c r="D67" s="458"/>
      <c r="E67" s="458"/>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7"/>
    </row>
    <row r="68" spans="1:37" ht="12.75" customHeight="1" x14ac:dyDescent="0.2">
      <c r="A68" s="457"/>
      <c r="B68" s="11"/>
      <c r="C68" s="481" t="s">
        <v>855</v>
      </c>
      <c r="D68" s="481"/>
      <c r="E68" s="481"/>
      <c r="F68" s="481"/>
      <c r="G68" s="481"/>
      <c r="H68" s="481"/>
      <c r="I68" s="481"/>
      <c r="J68" s="481"/>
      <c r="K68" s="481"/>
      <c r="L68" s="481"/>
      <c r="M68" s="481"/>
      <c r="N68" s="481"/>
      <c r="O68" s="481"/>
      <c r="P68" s="481"/>
      <c r="Q68" s="481"/>
      <c r="R68" s="481"/>
      <c r="S68" s="481"/>
      <c r="T68" s="481"/>
      <c r="U68" s="481"/>
      <c r="V68" s="481"/>
      <c r="W68" s="481"/>
      <c r="X68" s="481"/>
      <c r="Y68" s="481"/>
      <c r="Z68" s="481"/>
      <c r="AA68" s="481"/>
      <c r="AB68" s="481"/>
      <c r="AC68" s="481"/>
      <c r="AD68" s="481"/>
      <c r="AE68" s="481"/>
      <c r="AF68" s="481"/>
      <c r="AG68" s="481"/>
      <c r="AH68" s="481"/>
      <c r="AI68" s="481"/>
      <c r="AJ68" s="481"/>
      <c r="AK68" s="457"/>
    </row>
    <row r="69" spans="1:37" ht="9" customHeight="1" x14ac:dyDescent="0.2">
      <c r="A69" s="457"/>
      <c r="B69" s="458"/>
      <c r="C69" s="458"/>
      <c r="D69" s="458"/>
      <c r="E69" s="458"/>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7"/>
    </row>
    <row r="70" spans="1:37" ht="12.75" customHeight="1" x14ac:dyDescent="0.2">
      <c r="A70" s="457"/>
      <c r="B70" s="11"/>
      <c r="C70" s="148" t="s">
        <v>844</v>
      </c>
      <c r="D70" s="473" t="s">
        <v>58</v>
      </c>
      <c r="E70" s="462"/>
      <c r="F70" s="462"/>
      <c r="G70" s="462"/>
      <c r="H70" s="462"/>
      <c r="I70" s="462"/>
      <c r="J70" s="462"/>
      <c r="K70" s="462"/>
      <c r="L70" s="462"/>
      <c r="M70" s="462"/>
      <c r="N70" s="462"/>
      <c r="O70" s="462"/>
      <c r="P70" s="462"/>
      <c r="Q70" s="462"/>
      <c r="R70" s="462"/>
      <c r="S70" s="462"/>
      <c r="T70" s="462"/>
      <c r="U70" s="462"/>
      <c r="V70" s="462"/>
      <c r="W70" s="462"/>
      <c r="X70" s="462"/>
      <c r="Y70" s="462"/>
      <c r="Z70" s="462"/>
      <c r="AA70" s="462"/>
      <c r="AB70" s="462"/>
      <c r="AC70" s="462"/>
      <c r="AD70" s="462"/>
      <c r="AE70" s="462"/>
      <c r="AF70" s="462"/>
      <c r="AG70" s="462"/>
      <c r="AH70" s="462"/>
      <c r="AI70" s="462"/>
      <c r="AJ70" s="462"/>
      <c r="AK70" s="457"/>
    </row>
    <row r="71" spans="1:37" ht="12.75" customHeight="1" x14ac:dyDescent="0.2">
      <c r="A71" s="457"/>
      <c r="B71" s="11"/>
      <c r="C71" s="148"/>
      <c r="D71" s="462"/>
      <c r="E71" s="462"/>
      <c r="F71" s="462"/>
      <c r="G71" s="462"/>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462"/>
      <c r="AK71" s="457"/>
    </row>
    <row r="72" spans="1:37" ht="12.75" customHeight="1" x14ac:dyDescent="0.2">
      <c r="A72" s="457"/>
      <c r="B72" s="11"/>
      <c r="C72" s="148"/>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57"/>
    </row>
    <row r="73" spans="1:37" ht="9" customHeight="1" x14ac:dyDescent="0.2">
      <c r="A73" s="457"/>
      <c r="B73" s="458"/>
      <c r="C73" s="458"/>
      <c r="D73" s="458"/>
      <c r="E73" s="458"/>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7"/>
    </row>
    <row r="74" spans="1:37" ht="12.75" customHeight="1" x14ac:dyDescent="0.2">
      <c r="A74" s="457"/>
      <c r="B74" s="11"/>
      <c r="C74" s="148" t="s">
        <v>845</v>
      </c>
      <c r="D74" s="462" t="s">
        <v>660</v>
      </c>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57"/>
    </row>
    <row r="75" spans="1:37" ht="12.75" customHeight="1" x14ac:dyDescent="0.2">
      <c r="A75" s="457"/>
      <c r="B75" s="11"/>
      <c r="C75" s="148"/>
      <c r="D75" s="460"/>
      <c r="E75" s="460"/>
      <c r="F75" s="460"/>
      <c r="G75" s="460"/>
      <c r="H75" s="460"/>
      <c r="I75" s="460"/>
      <c r="J75" s="460"/>
      <c r="K75" s="460"/>
      <c r="L75" s="460"/>
      <c r="M75" s="460"/>
      <c r="N75" s="460"/>
      <c r="O75" s="460"/>
      <c r="P75" s="460"/>
      <c r="Q75" s="460"/>
      <c r="R75" s="460"/>
      <c r="S75" s="460"/>
      <c r="T75" s="460"/>
      <c r="U75" s="460"/>
      <c r="V75" s="460"/>
      <c r="W75" s="460"/>
      <c r="X75" s="460"/>
      <c r="Y75" s="460"/>
      <c r="Z75" s="460"/>
      <c r="AA75" s="460"/>
      <c r="AB75" s="460"/>
      <c r="AC75" s="460"/>
      <c r="AD75" s="460"/>
      <c r="AE75" s="460"/>
      <c r="AF75" s="460"/>
      <c r="AG75" s="460"/>
      <c r="AH75" s="460"/>
      <c r="AI75" s="460"/>
      <c r="AJ75" s="460"/>
      <c r="AK75" s="457"/>
    </row>
    <row r="76" spans="1:37" ht="9" customHeight="1" x14ac:dyDescent="0.2">
      <c r="A76" s="457"/>
      <c r="B76" s="458"/>
      <c r="C76" s="461"/>
      <c r="D76" s="461"/>
      <c r="E76" s="461"/>
      <c r="F76" s="461"/>
      <c r="G76" s="461"/>
      <c r="H76" s="461"/>
      <c r="I76" s="461"/>
      <c r="J76" s="461"/>
      <c r="K76" s="461"/>
      <c r="L76" s="461"/>
      <c r="M76" s="461"/>
      <c r="N76" s="461"/>
      <c r="O76" s="461"/>
      <c r="P76" s="461"/>
      <c r="Q76" s="461"/>
      <c r="R76" s="461"/>
      <c r="S76" s="461"/>
      <c r="T76" s="461"/>
      <c r="U76" s="461"/>
      <c r="V76" s="461"/>
      <c r="W76" s="461"/>
      <c r="X76" s="461"/>
      <c r="Y76" s="461"/>
      <c r="Z76" s="461"/>
      <c r="AA76" s="461"/>
      <c r="AB76" s="461"/>
      <c r="AC76" s="461"/>
      <c r="AD76" s="461"/>
      <c r="AE76" s="461"/>
      <c r="AF76" s="461"/>
      <c r="AG76" s="461"/>
      <c r="AH76" s="461"/>
      <c r="AI76" s="461"/>
      <c r="AJ76" s="461"/>
      <c r="AK76" s="457"/>
    </row>
    <row r="77" spans="1:37" ht="12.75" customHeight="1" x14ac:dyDescent="0.2">
      <c r="A77" s="457"/>
      <c r="B77" s="11"/>
      <c r="C77" s="148" t="s">
        <v>846</v>
      </c>
      <c r="D77" s="459" t="s">
        <v>661</v>
      </c>
      <c r="E77" s="460"/>
      <c r="F77" s="460"/>
      <c r="G77" s="460"/>
      <c r="H77" s="460"/>
      <c r="I77" s="460"/>
      <c r="J77" s="460"/>
      <c r="K77" s="460"/>
      <c r="L77" s="460"/>
      <c r="M77" s="460"/>
      <c r="N77" s="460"/>
      <c r="O77" s="460"/>
      <c r="P77" s="460"/>
      <c r="Q77" s="460"/>
      <c r="R77" s="460"/>
      <c r="S77" s="460"/>
      <c r="T77" s="460"/>
      <c r="U77" s="460"/>
      <c r="V77" s="460"/>
      <c r="W77" s="460"/>
      <c r="X77" s="460"/>
      <c r="Y77" s="460"/>
      <c r="Z77" s="460"/>
      <c r="AA77" s="460"/>
      <c r="AB77" s="460"/>
      <c r="AC77" s="460"/>
      <c r="AD77" s="460"/>
      <c r="AE77" s="460"/>
      <c r="AF77" s="460"/>
      <c r="AG77" s="460"/>
      <c r="AH77" s="460"/>
      <c r="AI77" s="460"/>
      <c r="AJ77" s="460"/>
      <c r="AK77" s="457"/>
    </row>
    <row r="78" spans="1:37" ht="12.75" customHeight="1" x14ac:dyDescent="0.2">
      <c r="A78" s="457"/>
      <c r="B78" s="11"/>
      <c r="C78" s="148"/>
      <c r="D78" s="460"/>
      <c r="E78" s="460"/>
      <c r="F78" s="460"/>
      <c r="G78" s="460"/>
      <c r="H78" s="460"/>
      <c r="I78" s="460"/>
      <c r="J78" s="460"/>
      <c r="K78" s="460"/>
      <c r="L78" s="460"/>
      <c r="M78" s="460"/>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57"/>
    </row>
    <row r="79" spans="1:37" ht="12.75" customHeight="1" x14ac:dyDescent="0.2">
      <c r="A79" s="457"/>
      <c r="B79" s="11"/>
      <c r="C79" s="148"/>
      <c r="D79" s="460"/>
      <c r="E79" s="460"/>
      <c r="F79" s="460"/>
      <c r="G79" s="460"/>
      <c r="H79" s="460"/>
      <c r="I79" s="460"/>
      <c r="J79" s="460"/>
      <c r="K79" s="460"/>
      <c r="L79" s="460"/>
      <c r="M79" s="460"/>
      <c r="N79" s="460"/>
      <c r="O79" s="460"/>
      <c r="P79" s="460"/>
      <c r="Q79" s="460"/>
      <c r="R79" s="460"/>
      <c r="S79" s="460"/>
      <c r="T79" s="460"/>
      <c r="U79" s="460"/>
      <c r="V79" s="460"/>
      <c r="W79" s="460"/>
      <c r="X79" s="460"/>
      <c r="Y79" s="460"/>
      <c r="Z79" s="460"/>
      <c r="AA79" s="460"/>
      <c r="AB79" s="460"/>
      <c r="AC79" s="460"/>
      <c r="AD79" s="460"/>
      <c r="AE79" s="460"/>
      <c r="AF79" s="460"/>
      <c r="AG79" s="460"/>
      <c r="AH79" s="460"/>
      <c r="AI79" s="460"/>
      <c r="AJ79" s="460"/>
      <c r="AK79" s="457"/>
    </row>
    <row r="80" spans="1:37" ht="9" customHeight="1" x14ac:dyDescent="0.2">
      <c r="A80" s="457"/>
      <c r="B80" s="457"/>
      <c r="C80" s="457"/>
      <c r="D80" s="457"/>
      <c r="E80" s="457"/>
      <c r="F80" s="457"/>
      <c r="G80" s="457"/>
      <c r="H80" s="457"/>
      <c r="I80" s="457"/>
      <c r="J80" s="457"/>
      <c r="K80" s="457"/>
      <c r="L80" s="457"/>
      <c r="M80" s="457"/>
      <c r="N80" s="457"/>
      <c r="O80" s="457"/>
      <c r="P80" s="457"/>
      <c r="Q80" s="457"/>
      <c r="R80" s="457"/>
      <c r="S80" s="457"/>
      <c r="T80" s="457"/>
      <c r="U80" s="457"/>
      <c r="V80" s="457"/>
      <c r="W80" s="457"/>
      <c r="X80" s="457"/>
      <c r="Y80" s="457"/>
      <c r="Z80" s="457"/>
      <c r="AA80" s="457"/>
      <c r="AB80" s="457"/>
      <c r="AC80" s="457"/>
      <c r="AD80" s="457"/>
      <c r="AE80" s="457"/>
      <c r="AF80" s="457"/>
      <c r="AG80" s="457"/>
      <c r="AH80" s="457"/>
      <c r="AI80" s="457"/>
      <c r="AJ80" s="457"/>
      <c r="AK80" s="457"/>
    </row>
    <row r="81" spans="1:37" ht="12.75" customHeight="1" x14ac:dyDescent="0.2">
      <c r="A81" s="281"/>
      <c r="B81" s="281"/>
      <c r="C81" s="282" t="s">
        <v>850</v>
      </c>
      <c r="D81" s="456" t="s">
        <v>1233</v>
      </c>
      <c r="E81" s="456"/>
      <c r="F81" s="456"/>
      <c r="G81" s="456"/>
      <c r="H81" s="456"/>
      <c r="I81" s="456"/>
      <c r="J81" s="456"/>
      <c r="K81" s="456"/>
      <c r="L81" s="456"/>
      <c r="M81" s="456"/>
      <c r="N81" s="456"/>
      <c r="O81" s="456"/>
      <c r="P81" s="456"/>
      <c r="Q81" s="456"/>
      <c r="R81" s="456"/>
      <c r="S81" s="456"/>
      <c r="T81" s="456"/>
      <c r="U81" s="456"/>
      <c r="V81" s="456"/>
      <c r="W81" s="456"/>
      <c r="X81" s="456"/>
      <c r="Y81" s="456"/>
      <c r="Z81" s="456"/>
      <c r="AA81" s="456"/>
      <c r="AB81" s="456"/>
      <c r="AC81" s="456"/>
      <c r="AD81" s="456"/>
      <c r="AE81" s="456"/>
      <c r="AF81" s="456"/>
      <c r="AG81" s="456"/>
      <c r="AH81" s="456"/>
      <c r="AI81" s="456"/>
      <c r="AJ81" s="283"/>
      <c r="AK81" s="281"/>
    </row>
    <row r="82" spans="1:37" ht="12.75" customHeight="1" x14ac:dyDescent="0.2">
      <c r="A82" s="281"/>
      <c r="B82" s="281"/>
      <c r="C82" s="282"/>
      <c r="D82" s="456"/>
      <c r="E82" s="456"/>
      <c r="F82" s="456"/>
      <c r="G82" s="456"/>
      <c r="H82" s="456"/>
      <c r="I82" s="456"/>
      <c r="J82" s="456"/>
      <c r="K82" s="456"/>
      <c r="L82" s="456"/>
      <c r="M82" s="456"/>
      <c r="N82" s="456"/>
      <c r="O82" s="456"/>
      <c r="P82" s="456"/>
      <c r="Q82" s="456"/>
      <c r="R82" s="456"/>
      <c r="S82" s="456"/>
      <c r="T82" s="456"/>
      <c r="U82" s="456"/>
      <c r="V82" s="456"/>
      <c r="W82" s="456"/>
      <c r="X82" s="456"/>
      <c r="Y82" s="456"/>
      <c r="Z82" s="456"/>
      <c r="AA82" s="456"/>
      <c r="AB82" s="456"/>
      <c r="AC82" s="456"/>
      <c r="AD82" s="456"/>
      <c r="AE82" s="456"/>
      <c r="AF82" s="456"/>
      <c r="AG82" s="456"/>
      <c r="AH82" s="456"/>
      <c r="AI82" s="456"/>
      <c r="AJ82" s="283"/>
      <c r="AK82" s="281"/>
    </row>
    <row r="83" spans="1:37" ht="12.75" customHeight="1" x14ac:dyDescent="0.2">
      <c r="A83" s="281"/>
      <c r="B83" s="281"/>
      <c r="C83" s="282"/>
      <c r="D83" s="456"/>
      <c r="E83" s="456"/>
      <c r="F83" s="456"/>
      <c r="G83" s="456"/>
      <c r="H83" s="456"/>
      <c r="I83" s="456"/>
      <c r="J83" s="456"/>
      <c r="K83" s="456"/>
      <c r="L83" s="456"/>
      <c r="M83" s="456"/>
      <c r="N83" s="456"/>
      <c r="O83" s="456"/>
      <c r="P83" s="456"/>
      <c r="Q83" s="456"/>
      <c r="R83" s="456"/>
      <c r="S83" s="456"/>
      <c r="T83" s="456"/>
      <c r="U83" s="456"/>
      <c r="V83" s="456"/>
      <c r="W83" s="456"/>
      <c r="X83" s="456"/>
      <c r="Y83" s="456"/>
      <c r="Z83" s="456"/>
      <c r="AA83" s="456"/>
      <c r="AB83" s="456"/>
      <c r="AC83" s="456"/>
      <c r="AD83" s="456"/>
      <c r="AE83" s="456"/>
      <c r="AF83" s="456"/>
      <c r="AG83" s="456"/>
      <c r="AH83" s="456"/>
      <c r="AI83" s="456"/>
      <c r="AJ83" s="283"/>
      <c r="AK83" s="281"/>
    </row>
    <row r="84" spans="1:37" ht="12.75" customHeight="1" x14ac:dyDescent="0.2">
      <c r="A84" s="281"/>
      <c r="B84" s="281"/>
      <c r="C84" s="281"/>
      <c r="D84" s="281"/>
      <c r="E84" s="281"/>
      <c r="F84" s="281"/>
      <c r="G84" s="281"/>
      <c r="H84" s="281"/>
      <c r="I84" s="281"/>
      <c r="J84" s="281"/>
      <c r="K84" s="281"/>
      <c r="L84" s="281"/>
      <c r="M84" s="281"/>
      <c r="N84" s="281"/>
      <c r="O84" s="281"/>
      <c r="P84" s="281"/>
      <c r="Q84" s="281"/>
      <c r="R84" s="281"/>
      <c r="S84" s="281"/>
      <c r="T84" s="281"/>
      <c r="U84" s="281"/>
      <c r="V84" s="281"/>
      <c r="W84" s="281"/>
      <c r="X84" s="281"/>
      <c r="Y84" s="281"/>
      <c r="Z84" s="281"/>
      <c r="AA84" s="281"/>
      <c r="AB84" s="281"/>
      <c r="AC84" s="281"/>
      <c r="AD84" s="281"/>
      <c r="AE84" s="281"/>
      <c r="AF84" s="281"/>
      <c r="AG84" s="281"/>
      <c r="AH84" s="281"/>
      <c r="AI84" s="281"/>
      <c r="AJ84" s="281"/>
      <c r="AK84" s="281"/>
    </row>
    <row r="85" spans="1:37" ht="12.75" customHeight="1" x14ac:dyDescent="0.2">
      <c r="A85" s="196"/>
      <c r="B85" s="284"/>
      <c r="C85" s="478" t="s">
        <v>1252</v>
      </c>
      <c r="D85" s="479"/>
      <c r="E85" s="479"/>
      <c r="F85" s="479"/>
      <c r="G85" s="479"/>
      <c r="H85" s="479"/>
      <c r="I85" s="479"/>
      <c r="J85" s="479"/>
      <c r="K85" s="479"/>
      <c r="L85" s="479"/>
      <c r="M85" s="479"/>
      <c r="N85" s="479"/>
      <c r="O85" s="479"/>
      <c r="P85" s="479"/>
      <c r="Q85" s="479"/>
      <c r="R85" s="479"/>
      <c r="S85" s="479"/>
      <c r="T85" s="479"/>
      <c r="U85" s="479"/>
      <c r="V85" s="479"/>
      <c r="W85" s="479"/>
      <c r="X85" s="479"/>
      <c r="Y85" s="479"/>
      <c r="Z85" s="479"/>
      <c r="AA85" s="479"/>
      <c r="AB85" s="479"/>
      <c r="AC85" s="479"/>
      <c r="AD85" s="479"/>
      <c r="AE85" s="479"/>
      <c r="AF85" s="479"/>
      <c r="AG85" s="479"/>
      <c r="AH85" s="479"/>
      <c r="AI85" s="479"/>
      <c r="AJ85" s="479"/>
      <c r="AK85" s="284"/>
    </row>
    <row r="86" spans="1:37" x14ac:dyDescent="0.2">
      <c r="A86" s="284"/>
      <c r="B86" s="284"/>
      <c r="C86" s="479"/>
      <c r="D86" s="479"/>
      <c r="E86" s="479"/>
      <c r="F86" s="479"/>
      <c r="G86" s="479"/>
      <c r="H86" s="479"/>
      <c r="I86" s="479"/>
      <c r="J86" s="479"/>
      <c r="K86" s="479"/>
      <c r="L86" s="479"/>
      <c r="M86" s="479"/>
      <c r="N86" s="479"/>
      <c r="O86" s="479"/>
      <c r="P86" s="479"/>
      <c r="Q86" s="479"/>
      <c r="R86" s="479"/>
      <c r="S86" s="479"/>
      <c r="T86" s="479"/>
      <c r="U86" s="479"/>
      <c r="V86" s="479"/>
      <c r="W86" s="479"/>
      <c r="X86" s="479"/>
      <c r="Y86" s="479"/>
      <c r="Z86" s="479"/>
      <c r="AA86" s="479"/>
      <c r="AB86" s="479"/>
      <c r="AC86" s="479"/>
      <c r="AD86" s="479"/>
      <c r="AE86" s="479"/>
      <c r="AF86" s="479"/>
      <c r="AG86" s="479"/>
      <c r="AH86" s="479"/>
      <c r="AI86" s="479"/>
      <c r="AJ86" s="479"/>
      <c r="AK86" s="284"/>
    </row>
    <row r="87" spans="1:37" x14ac:dyDescent="0.2">
      <c r="A87" s="284"/>
      <c r="B87" s="284"/>
      <c r="C87" s="479"/>
      <c r="D87" s="479"/>
      <c r="E87" s="479"/>
      <c r="F87" s="479"/>
      <c r="G87" s="479"/>
      <c r="H87" s="479"/>
      <c r="I87" s="479"/>
      <c r="J87" s="479"/>
      <c r="K87" s="479"/>
      <c r="L87" s="479"/>
      <c r="M87" s="479"/>
      <c r="N87" s="479"/>
      <c r="O87" s="479"/>
      <c r="P87" s="479"/>
      <c r="Q87" s="479"/>
      <c r="R87" s="479"/>
      <c r="S87" s="479"/>
      <c r="T87" s="479"/>
      <c r="U87" s="479"/>
      <c r="V87" s="479"/>
      <c r="W87" s="479"/>
      <c r="X87" s="479"/>
      <c r="Y87" s="479"/>
      <c r="Z87" s="479"/>
      <c r="AA87" s="479"/>
      <c r="AB87" s="479"/>
      <c r="AC87" s="479"/>
      <c r="AD87" s="479"/>
      <c r="AE87" s="479"/>
      <c r="AF87" s="479"/>
      <c r="AG87" s="479"/>
      <c r="AH87" s="479"/>
      <c r="AI87" s="479"/>
      <c r="AJ87" s="479"/>
      <c r="AK87" s="284"/>
    </row>
    <row r="88" spans="1:37" x14ac:dyDescent="0.2">
      <c r="A88" s="284"/>
      <c r="B88" s="284"/>
      <c r="C88" s="480"/>
      <c r="D88" s="480"/>
      <c r="E88" s="480"/>
      <c r="F88" s="480"/>
      <c r="G88" s="480"/>
      <c r="H88" s="480"/>
      <c r="I88" s="480"/>
      <c r="J88" s="480"/>
      <c r="K88" s="480"/>
      <c r="L88" s="480"/>
      <c r="M88" s="480"/>
      <c r="N88" s="480"/>
      <c r="O88" s="480"/>
      <c r="P88" s="480"/>
      <c r="Q88" s="480"/>
      <c r="R88" s="480"/>
      <c r="S88" s="480"/>
      <c r="T88" s="480"/>
      <c r="U88" s="480"/>
      <c r="V88" s="480"/>
      <c r="W88" s="480"/>
      <c r="X88" s="480"/>
      <c r="Y88" s="480"/>
      <c r="Z88" s="480"/>
      <c r="AA88" s="480"/>
      <c r="AB88" s="480"/>
      <c r="AC88" s="480"/>
      <c r="AD88" s="480"/>
      <c r="AE88" s="480"/>
      <c r="AF88" s="480"/>
      <c r="AG88" s="480"/>
      <c r="AH88" s="480"/>
      <c r="AI88" s="480"/>
      <c r="AJ88" s="480"/>
      <c r="AK88" s="284"/>
    </row>
    <row r="89" spans="1:37" ht="9" customHeight="1" x14ac:dyDescent="0.2">
      <c r="A89" s="476"/>
      <c r="B89" s="476"/>
      <c r="C89" s="476"/>
      <c r="D89" s="476"/>
      <c r="E89" s="476"/>
      <c r="F89" s="476"/>
      <c r="G89" s="476"/>
      <c r="H89" s="476"/>
      <c r="I89" s="476"/>
      <c r="J89" s="476"/>
      <c r="K89" s="476"/>
      <c r="L89" s="476"/>
      <c r="M89" s="476"/>
      <c r="N89" s="476"/>
      <c r="O89" s="476"/>
      <c r="P89" s="476"/>
      <c r="Q89" s="476"/>
      <c r="R89" s="476"/>
      <c r="S89" s="476"/>
      <c r="T89" s="476"/>
      <c r="U89" s="476"/>
      <c r="V89" s="476"/>
      <c r="W89" s="476"/>
      <c r="X89" s="476"/>
      <c r="Y89" s="476"/>
      <c r="Z89" s="476"/>
      <c r="AA89" s="476"/>
      <c r="AB89" s="476"/>
      <c r="AC89" s="476"/>
      <c r="AD89" s="476"/>
      <c r="AE89" s="476"/>
      <c r="AF89" s="476"/>
      <c r="AG89" s="476"/>
      <c r="AH89" s="476"/>
      <c r="AI89" s="476"/>
      <c r="AJ89" s="476"/>
      <c r="AK89" s="284"/>
    </row>
  </sheetData>
  <sheetProtection algorithmName="SHA-512" hashValue="cMlVnnEa9shvjcxu7b1OXs7EUvYvHKCcSxhyx73whmCR8/+qeBPmVR3VZh7rKNph5UqpcBKAveUqtxkGDV5c2A==" saltValue="BZtqbvnSlnRuaYcsB6CTTg==" spinCount="100000" sheet="1" objects="1" scenarios="1" selectLockedCells="1" selectUnlockedCells="1"/>
  <mergeCells count="46">
    <mergeCell ref="C5:AJ7"/>
    <mergeCell ref="A89:AJ89"/>
    <mergeCell ref="D70:AJ72"/>
    <mergeCell ref="C30:AJ30"/>
    <mergeCell ref="D31:AJ34"/>
    <mergeCell ref="D65:AJ66"/>
    <mergeCell ref="C85:AJ88"/>
    <mergeCell ref="C68:AJ68"/>
    <mergeCell ref="A1:A80"/>
    <mergeCell ref="B60:AJ60"/>
    <mergeCell ref="B8:AJ8"/>
    <mergeCell ref="B37:AJ37"/>
    <mergeCell ref="C13:AJ13"/>
    <mergeCell ref="D15:AJ15"/>
    <mergeCell ref="C9:AJ11"/>
    <mergeCell ref="C14:AJ14"/>
    <mergeCell ref="AK1:AK80"/>
    <mergeCell ref="B1:AJ1"/>
    <mergeCell ref="B4:AJ4"/>
    <mergeCell ref="B2:AJ2"/>
    <mergeCell ref="B3:AJ3"/>
    <mergeCell ref="C36:AJ36"/>
    <mergeCell ref="B35:AJ35"/>
    <mergeCell ref="B55:AJ55"/>
    <mergeCell ref="B64:AJ64"/>
    <mergeCell ref="C16:AJ16"/>
    <mergeCell ref="D17:AJ24"/>
    <mergeCell ref="D51:AJ54"/>
    <mergeCell ref="D38:AJ40"/>
    <mergeCell ref="D42:AJ49"/>
    <mergeCell ref="B41:AJ41"/>
    <mergeCell ref="C12:AJ12"/>
    <mergeCell ref="C25:AJ25"/>
    <mergeCell ref="D26:AJ29"/>
    <mergeCell ref="B50:AJ50"/>
    <mergeCell ref="D61:AJ63"/>
    <mergeCell ref="D56:AJ59"/>
    <mergeCell ref="C56:C59"/>
    <mergeCell ref="D81:AI83"/>
    <mergeCell ref="B80:AJ80"/>
    <mergeCell ref="B69:AJ69"/>
    <mergeCell ref="B67:AJ67"/>
    <mergeCell ref="D77:AJ79"/>
    <mergeCell ref="B76:AJ76"/>
    <mergeCell ref="D74:AJ75"/>
    <mergeCell ref="B73:AJ73"/>
  </mergeCells>
  <phoneticPr fontId="0" type="noConversion"/>
  <printOptions horizontalCentered="1"/>
  <pageMargins left="0.2" right="0.2" top="0.2" bottom="0.2" header="0.18" footer="0.18"/>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Outfall 1 Limits</vt:lpstr>
      <vt:lpstr>Outfall 1 Daily</vt:lpstr>
      <vt:lpstr>Instructions</vt:lpstr>
      <vt:lpstr>Parameters</vt:lpstr>
      <vt:lpstr>Instructions!Print_Area</vt:lpstr>
      <vt:lpstr>'Outfall 1 Daily'!Print_Area</vt:lpstr>
      <vt:lpstr>'Outfall 1 Limits'!Print_Area</vt:lpstr>
      <vt:lpstr>Range</vt:lpstr>
      <vt:lpstr>Years</vt:lpstr>
    </vt:vector>
  </TitlesOfParts>
  <Company>DEP - Commonwealth of 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Daily Effluent Monitoring Spreadsheet</dc:title>
  <dc:creator>Sean Furjanic</dc:creator>
  <dc:description>Version 19, updated to add UV Functional parameter and address problems with statistics for UV Transmittance and related parameters</dc:description>
  <cp:lastModifiedBy>Zachary</cp:lastModifiedBy>
  <cp:lastPrinted>2015-02-27T15:27:20Z</cp:lastPrinted>
  <dcterms:created xsi:type="dcterms:W3CDTF">2007-05-07T12:39:57Z</dcterms:created>
  <dcterms:modified xsi:type="dcterms:W3CDTF">2024-09-13T13:40:26Z</dcterms:modified>
</cp:coreProperties>
</file>