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zsteckler\OneDrive - Commonwealth of Pennsylvania\Documents\Forms and Guidance Docs\PFAS Updates\Daily Effluent Form\"/>
    </mc:Choice>
  </mc:AlternateContent>
  <xr:revisionPtr revIDLastSave="17" documentId="8_{B9557782-A2EE-49D1-936B-7DB309807B55}" xr6:coauthVersionLast="45" xr6:coauthVersionMax="45" xr10:uidLastSave="{0F92D77D-1460-4B99-86DB-8A3BB284556F}"/>
  <bookViews>
    <workbookView xWindow="-110" yWindow="-110" windowWidth="19420" windowHeight="10420" activeTab="2" xr2:uid="{00000000-000D-0000-FFFF-FFFF00000000}"/>
  </bookViews>
  <sheets>
    <sheet name="Outfall 1 Limits" sheetId="12" r:id="rId1"/>
    <sheet name="Outfall 1 Daily" sheetId="9" r:id="rId2"/>
    <sheet name="Instructions" sheetId="11" r:id="rId3"/>
  </sheets>
  <definedNames>
    <definedName name="_xlnm._FilterDatabase" localSheetId="1" hidden="1">'Outfall 1 Daily'!$BS$1:$BS$379</definedName>
    <definedName name="End" localSheetId="0">'Outfall 1 Limits'!#REF!</definedName>
    <definedName name="End">#REF!</definedName>
    <definedName name="Parameters">'Outfall 1 Daily'!$G$11:$BM$11</definedName>
    <definedName name="_xlnm.Print_Area" localSheetId="2">Instructions!$A$1:$AK$84</definedName>
    <definedName name="_xlnm.Print_Area" localSheetId="1">'Outfall 1 Daily'!$A$1:$AN$71</definedName>
    <definedName name="_xlnm.Print_Area" localSheetId="0">'Outfall 1 Limits'!$A$1:$AL$132</definedName>
    <definedName name="Range">'Outfall 1 Daily'!XAY5:XAY42</definedName>
    <definedName name="Start" localSheetId="0">'Outfall 1 Limits'!#REF!</definedName>
    <definedName name="Start">#REF!</definedName>
    <definedName name="StartEnd" localSheetId="0">'Outfall 1 Limits'!#REF!</definedName>
    <definedName name="StartEnd">#REF!</definedName>
    <definedName name="Text" localSheetId="0">'Outfall 1 Limits'!#REF!</definedName>
    <definedName name="Text">#REF!</definedName>
    <definedName name="Years">'Outfall 1 Daily'!$BP$2:$BP$80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28" i="12" l="1"/>
  <c r="AL124" i="12"/>
  <c r="AL120" i="12"/>
  <c r="AL116" i="12"/>
  <c r="AL112" i="12"/>
  <c r="AL108" i="12"/>
  <c r="AL104" i="12"/>
  <c r="AL100" i="12"/>
  <c r="AL96" i="12"/>
  <c r="AL92" i="12"/>
  <c r="AL88" i="12"/>
  <c r="AL84" i="12"/>
  <c r="AL80" i="12"/>
  <c r="AL76" i="12"/>
  <c r="AL72" i="12"/>
  <c r="AL68" i="12"/>
  <c r="AL64" i="12"/>
  <c r="AL60" i="12"/>
  <c r="AL56" i="12"/>
  <c r="AL52" i="12"/>
  <c r="AL48" i="12"/>
  <c r="AL44" i="12"/>
  <c r="AL40" i="12"/>
  <c r="AL36" i="12"/>
  <c r="AL32" i="12"/>
  <c r="AL28" i="12"/>
  <c r="AL24" i="12"/>
  <c r="AL20" i="12"/>
  <c r="AL16" i="12"/>
  <c r="AX128" i="12" l="1"/>
  <c r="AX124" i="12"/>
  <c r="AX120" i="12"/>
  <c r="AX116" i="12"/>
  <c r="AX112" i="12"/>
  <c r="AX108" i="12"/>
  <c r="AX104" i="12"/>
  <c r="AX100" i="12"/>
  <c r="AX96" i="12"/>
  <c r="AX92" i="12"/>
  <c r="AX88" i="12"/>
  <c r="AX84" i="12"/>
  <c r="AX80" i="12"/>
  <c r="AX76" i="12"/>
  <c r="AX72" i="12"/>
  <c r="AX68" i="12"/>
  <c r="AX64" i="12"/>
  <c r="AX60" i="12"/>
  <c r="AX56" i="12"/>
  <c r="AX24" i="12"/>
  <c r="AX52" i="12"/>
  <c r="AX48" i="12"/>
  <c r="AX44" i="12"/>
  <c r="AX40" i="12"/>
  <c r="AX36" i="12"/>
  <c r="AX32" i="12"/>
  <c r="AX28" i="12"/>
  <c r="BL11" i="9"/>
  <c r="BJ11" i="9"/>
  <c r="BH11" i="9"/>
  <c r="BF11" i="9"/>
  <c r="BD11" i="9"/>
  <c r="BB11" i="9"/>
  <c r="AZ11" i="9"/>
  <c r="AX11" i="9"/>
  <c r="AV11" i="9"/>
  <c r="AT11" i="9"/>
  <c r="AR11" i="9"/>
  <c r="AP11" i="9"/>
  <c r="AN11" i="9"/>
  <c r="AL11" i="9"/>
  <c r="AJ11" i="9"/>
  <c r="AH11" i="9"/>
  <c r="AF11" i="9"/>
  <c r="AD11" i="9"/>
  <c r="AB11" i="9"/>
  <c r="Z11" i="9"/>
  <c r="X11" i="9"/>
  <c r="V11" i="9"/>
  <c r="T11" i="9"/>
  <c r="R11" i="9"/>
  <c r="P11" i="9"/>
  <c r="N11" i="9"/>
  <c r="L11" i="9"/>
  <c r="J11" i="9"/>
  <c r="H11" i="9"/>
  <c r="LF51" i="9" l="1"/>
  <c r="LF50" i="9"/>
  <c r="LF49" i="9"/>
  <c r="LF48" i="9"/>
  <c r="LF47" i="9"/>
  <c r="LF46" i="9"/>
  <c r="LF41" i="9"/>
  <c r="LF40" i="9"/>
  <c r="LF39" i="9"/>
  <c r="LF38" i="9"/>
  <c r="LF37" i="9"/>
  <c r="LF36" i="9"/>
  <c r="LF35" i="9"/>
  <c r="LF34" i="9"/>
  <c r="LF33" i="9"/>
  <c r="LF32" i="9"/>
  <c r="LF31" i="9"/>
  <c r="LF30" i="9"/>
  <c r="LF29" i="9"/>
  <c r="LF28" i="9"/>
  <c r="LF27" i="9"/>
  <c r="LF26" i="9"/>
  <c r="LF25" i="9"/>
  <c r="LF24" i="9"/>
  <c r="LF23" i="9"/>
  <c r="LF22" i="9"/>
  <c r="LF21" i="9"/>
  <c r="LF20" i="9"/>
  <c r="LF19" i="9"/>
  <c r="LF18" i="9"/>
  <c r="LF17" i="9"/>
  <c r="LF16" i="9"/>
  <c r="LF15" i="9"/>
  <c r="LF14" i="9"/>
  <c r="LE51" i="9"/>
  <c r="LE50" i="9"/>
  <c r="LE49" i="9"/>
  <c r="LE48" i="9"/>
  <c r="LE47" i="9"/>
  <c r="LE46" i="9"/>
  <c r="LE41" i="9"/>
  <c r="LE40" i="9"/>
  <c r="LE39" i="9"/>
  <c r="LE38" i="9"/>
  <c r="LE37" i="9"/>
  <c r="LE36" i="9"/>
  <c r="LE35" i="9"/>
  <c r="LE34" i="9"/>
  <c r="LE33" i="9"/>
  <c r="LE32" i="9"/>
  <c r="LE31" i="9"/>
  <c r="LE30" i="9"/>
  <c r="LE29" i="9"/>
  <c r="LE28" i="9"/>
  <c r="LE27" i="9"/>
  <c r="LE26" i="9"/>
  <c r="LE25" i="9"/>
  <c r="LE24" i="9"/>
  <c r="LE23" i="9"/>
  <c r="LE22" i="9"/>
  <c r="LE21" i="9"/>
  <c r="LE20" i="9"/>
  <c r="LE19" i="9"/>
  <c r="LE18" i="9"/>
  <c r="LE17" i="9"/>
  <c r="LE16" i="9"/>
  <c r="LE15" i="9"/>
  <c r="LE14" i="9"/>
  <c r="LD51" i="9"/>
  <c r="LD50" i="9"/>
  <c r="LD49" i="9"/>
  <c r="LD48" i="9"/>
  <c r="LD47" i="9"/>
  <c r="LD46" i="9"/>
  <c r="LD41" i="9"/>
  <c r="LD40" i="9"/>
  <c r="LD39" i="9"/>
  <c r="LD38" i="9"/>
  <c r="LD37" i="9"/>
  <c r="LD36" i="9"/>
  <c r="LD35" i="9"/>
  <c r="LD34" i="9"/>
  <c r="LD33" i="9"/>
  <c r="LD32" i="9"/>
  <c r="LD31" i="9"/>
  <c r="LD30" i="9"/>
  <c r="LD29" i="9"/>
  <c r="LD28" i="9"/>
  <c r="LD27" i="9"/>
  <c r="LD26" i="9"/>
  <c r="LD25" i="9"/>
  <c r="LD24" i="9"/>
  <c r="LD23" i="9"/>
  <c r="LD22" i="9"/>
  <c r="LD21" i="9"/>
  <c r="LD20" i="9"/>
  <c r="LD19" i="9"/>
  <c r="LD18" i="9"/>
  <c r="LD17" i="9"/>
  <c r="LD16" i="9"/>
  <c r="LD15" i="9"/>
  <c r="LD14" i="9"/>
  <c r="LC51" i="9"/>
  <c r="LC50" i="9"/>
  <c r="LC49" i="9"/>
  <c r="LC48" i="9"/>
  <c r="LC47" i="9"/>
  <c r="LC46" i="9"/>
  <c r="LC41" i="9"/>
  <c r="LC40" i="9"/>
  <c r="LC39" i="9"/>
  <c r="LC38" i="9"/>
  <c r="LC37" i="9"/>
  <c r="LC36" i="9"/>
  <c r="LC35" i="9"/>
  <c r="LC34" i="9"/>
  <c r="LC33" i="9"/>
  <c r="LC32" i="9"/>
  <c r="LC31" i="9"/>
  <c r="LC30" i="9"/>
  <c r="LC29" i="9"/>
  <c r="LC28" i="9"/>
  <c r="LC27" i="9"/>
  <c r="LC26" i="9"/>
  <c r="LC25" i="9"/>
  <c r="LC24" i="9"/>
  <c r="LC23" i="9"/>
  <c r="LC22" i="9"/>
  <c r="LC21" i="9"/>
  <c r="LC20" i="9"/>
  <c r="LC19" i="9"/>
  <c r="LC18" i="9"/>
  <c r="LC17" i="9"/>
  <c r="LC16" i="9"/>
  <c r="LC15" i="9"/>
  <c r="LC14" i="9"/>
  <c r="LB51" i="9"/>
  <c r="LB50" i="9"/>
  <c r="LB49" i="9"/>
  <c r="LB48" i="9"/>
  <c r="LB47" i="9"/>
  <c r="LB46" i="9"/>
  <c r="LB41" i="9"/>
  <c r="LB40" i="9"/>
  <c r="LB39" i="9"/>
  <c r="LB38" i="9"/>
  <c r="LB37" i="9"/>
  <c r="LB36" i="9"/>
  <c r="LB35" i="9"/>
  <c r="LB34" i="9"/>
  <c r="LB33" i="9"/>
  <c r="LB32" i="9"/>
  <c r="LB31" i="9"/>
  <c r="LB30" i="9"/>
  <c r="LB29" i="9"/>
  <c r="LB28" i="9"/>
  <c r="LB27" i="9"/>
  <c r="LB26" i="9"/>
  <c r="LB25" i="9"/>
  <c r="LB24" i="9"/>
  <c r="LB23" i="9"/>
  <c r="LB22" i="9"/>
  <c r="LB21" i="9"/>
  <c r="LB20" i="9"/>
  <c r="LB19" i="9"/>
  <c r="LB18" i="9"/>
  <c r="LB17" i="9"/>
  <c r="LB16" i="9"/>
  <c r="LB15" i="9"/>
  <c r="LB14" i="9"/>
  <c r="LA51" i="9"/>
  <c r="LA50" i="9"/>
  <c r="LA49" i="9"/>
  <c r="LA48" i="9"/>
  <c r="LA47" i="9"/>
  <c r="LA46" i="9"/>
  <c r="LA41" i="9"/>
  <c r="LA40" i="9"/>
  <c r="LA39" i="9"/>
  <c r="LA38" i="9"/>
  <c r="LA37" i="9"/>
  <c r="LA36" i="9"/>
  <c r="LA35" i="9"/>
  <c r="LA34" i="9"/>
  <c r="LA33" i="9"/>
  <c r="LA32" i="9"/>
  <c r="LA31" i="9"/>
  <c r="LA30" i="9"/>
  <c r="LA29" i="9"/>
  <c r="LA28" i="9"/>
  <c r="LA27" i="9"/>
  <c r="LA26" i="9"/>
  <c r="LA25" i="9"/>
  <c r="LA24" i="9"/>
  <c r="LA23" i="9"/>
  <c r="LA22" i="9"/>
  <c r="LA21" i="9"/>
  <c r="LA20" i="9"/>
  <c r="LA19" i="9"/>
  <c r="LA18" i="9"/>
  <c r="LA17" i="9"/>
  <c r="LA16" i="9"/>
  <c r="LA15" i="9"/>
  <c r="LA14" i="9"/>
  <c r="KZ51" i="9"/>
  <c r="KZ50" i="9"/>
  <c r="KZ49" i="9"/>
  <c r="KZ48" i="9"/>
  <c r="KZ47" i="9"/>
  <c r="KZ46" i="9"/>
  <c r="KZ41" i="9"/>
  <c r="KZ40" i="9"/>
  <c r="KZ39" i="9"/>
  <c r="KZ38" i="9"/>
  <c r="KZ37" i="9"/>
  <c r="KZ36" i="9"/>
  <c r="KZ35" i="9"/>
  <c r="KZ34" i="9"/>
  <c r="KZ33" i="9"/>
  <c r="KZ32" i="9"/>
  <c r="KZ31" i="9"/>
  <c r="KZ30" i="9"/>
  <c r="KZ29" i="9"/>
  <c r="KZ28" i="9"/>
  <c r="KZ27" i="9"/>
  <c r="KZ26" i="9"/>
  <c r="KZ25" i="9"/>
  <c r="KZ24" i="9"/>
  <c r="KZ23" i="9"/>
  <c r="KZ22" i="9"/>
  <c r="KZ21" i="9"/>
  <c r="KZ20" i="9"/>
  <c r="KZ19" i="9"/>
  <c r="KZ18" i="9"/>
  <c r="KZ17" i="9"/>
  <c r="KZ16" i="9"/>
  <c r="KZ15" i="9"/>
  <c r="KZ14" i="9"/>
  <c r="KY51" i="9"/>
  <c r="KY50" i="9"/>
  <c r="KY49" i="9"/>
  <c r="KY48" i="9"/>
  <c r="KY47" i="9"/>
  <c r="KY46" i="9"/>
  <c r="KY41" i="9"/>
  <c r="KY40" i="9"/>
  <c r="KY39" i="9"/>
  <c r="KY38" i="9"/>
  <c r="KY37" i="9"/>
  <c r="KY36" i="9"/>
  <c r="KY35" i="9"/>
  <c r="KY34" i="9"/>
  <c r="KY33" i="9"/>
  <c r="KY32" i="9"/>
  <c r="KY31" i="9"/>
  <c r="KY30" i="9"/>
  <c r="KY29" i="9"/>
  <c r="KY28" i="9"/>
  <c r="KY27" i="9"/>
  <c r="KY26" i="9"/>
  <c r="KY25" i="9"/>
  <c r="KY24" i="9"/>
  <c r="KY23" i="9"/>
  <c r="KY22" i="9"/>
  <c r="KY21" i="9"/>
  <c r="KY20" i="9"/>
  <c r="KY19" i="9"/>
  <c r="KY18" i="9"/>
  <c r="KY17" i="9"/>
  <c r="KY16" i="9"/>
  <c r="KY15" i="9"/>
  <c r="KY14" i="9"/>
  <c r="KX51" i="9"/>
  <c r="KX50" i="9"/>
  <c r="KX49" i="9"/>
  <c r="KX48" i="9"/>
  <c r="KX47" i="9"/>
  <c r="KX46" i="9"/>
  <c r="KX41" i="9"/>
  <c r="KX40" i="9"/>
  <c r="KX39" i="9"/>
  <c r="KX38" i="9"/>
  <c r="KX37" i="9"/>
  <c r="KX36" i="9"/>
  <c r="KX35" i="9"/>
  <c r="KX34" i="9"/>
  <c r="KX33" i="9"/>
  <c r="KX32" i="9"/>
  <c r="KX31" i="9"/>
  <c r="KX30" i="9"/>
  <c r="KX29" i="9"/>
  <c r="KX28" i="9"/>
  <c r="KX27" i="9"/>
  <c r="KX26" i="9"/>
  <c r="KX25" i="9"/>
  <c r="KX24" i="9"/>
  <c r="KX23" i="9"/>
  <c r="KX22" i="9"/>
  <c r="KX21" i="9"/>
  <c r="KX20" i="9"/>
  <c r="KX19" i="9"/>
  <c r="KX18" i="9"/>
  <c r="KX17" i="9"/>
  <c r="KX16" i="9"/>
  <c r="KX15" i="9"/>
  <c r="KX14" i="9"/>
  <c r="KW51" i="9"/>
  <c r="KW50" i="9"/>
  <c r="KW49" i="9"/>
  <c r="KW48" i="9"/>
  <c r="KW47" i="9"/>
  <c r="KW46" i="9"/>
  <c r="KW41" i="9"/>
  <c r="KW40" i="9"/>
  <c r="KW39" i="9"/>
  <c r="KW38" i="9"/>
  <c r="KW37" i="9"/>
  <c r="KW36" i="9"/>
  <c r="KW35" i="9"/>
  <c r="KW34" i="9"/>
  <c r="KW33" i="9"/>
  <c r="KW32" i="9"/>
  <c r="KW31" i="9"/>
  <c r="KW30" i="9"/>
  <c r="KW29" i="9"/>
  <c r="KW28" i="9"/>
  <c r="KW27" i="9"/>
  <c r="KW26" i="9"/>
  <c r="KW25" i="9"/>
  <c r="KW24" i="9"/>
  <c r="KW23" i="9"/>
  <c r="KW22" i="9"/>
  <c r="KW21" i="9"/>
  <c r="KW20" i="9"/>
  <c r="KW19" i="9"/>
  <c r="KW18" i="9"/>
  <c r="KW17" i="9"/>
  <c r="KW16" i="9"/>
  <c r="KW15" i="9"/>
  <c r="KW14" i="9"/>
  <c r="KV51" i="9"/>
  <c r="KV50" i="9"/>
  <c r="KV49" i="9"/>
  <c r="KV48" i="9"/>
  <c r="KV47" i="9"/>
  <c r="KV46" i="9"/>
  <c r="KV41" i="9"/>
  <c r="KV40" i="9"/>
  <c r="KV39" i="9"/>
  <c r="KV38" i="9"/>
  <c r="KV37" i="9"/>
  <c r="KV36" i="9"/>
  <c r="KV35" i="9"/>
  <c r="KV34" i="9"/>
  <c r="KV33" i="9"/>
  <c r="KV32" i="9"/>
  <c r="KV31" i="9"/>
  <c r="KV30" i="9"/>
  <c r="KV29" i="9"/>
  <c r="KV28" i="9"/>
  <c r="KV27" i="9"/>
  <c r="KV26" i="9"/>
  <c r="KV25" i="9"/>
  <c r="KV24" i="9"/>
  <c r="KV23" i="9"/>
  <c r="KV22" i="9"/>
  <c r="KV21" i="9"/>
  <c r="KV20" i="9"/>
  <c r="KV19" i="9"/>
  <c r="KV18" i="9"/>
  <c r="KV17" i="9"/>
  <c r="KV16" i="9"/>
  <c r="KV15" i="9"/>
  <c r="KV14" i="9"/>
  <c r="KU51" i="9"/>
  <c r="KU50" i="9"/>
  <c r="KU49" i="9"/>
  <c r="KU48" i="9"/>
  <c r="KU47" i="9"/>
  <c r="KU46" i="9"/>
  <c r="KU41" i="9"/>
  <c r="KU40" i="9"/>
  <c r="KU39" i="9"/>
  <c r="KU38" i="9"/>
  <c r="KU37" i="9"/>
  <c r="KU36" i="9"/>
  <c r="KU35" i="9"/>
  <c r="KU34" i="9"/>
  <c r="KU33" i="9"/>
  <c r="KU32" i="9"/>
  <c r="KU31" i="9"/>
  <c r="KU30" i="9"/>
  <c r="KU29" i="9"/>
  <c r="KU28" i="9"/>
  <c r="KU27" i="9"/>
  <c r="KU26" i="9"/>
  <c r="KU25" i="9"/>
  <c r="KU24" i="9"/>
  <c r="KU23" i="9"/>
  <c r="KU22" i="9"/>
  <c r="KU21" i="9"/>
  <c r="KU20" i="9"/>
  <c r="KU19" i="9"/>
  <c r="KU18" i="9"/>
  <c r="KU17" i="9"/>
  <c r="KU16" i="9"/>
  <c r="KU15" i="9"/>
  <c r="KU14" i="9"/>
  <c r="KT51" i="9"/>
  <c r="KT50" i="9"/>
  <c r="KT49" i="9"/>
  <c r="KT48" i="9"/>
  <c r="KT47" i="9"/>
  <c r="KT46" i="9"/>
  <c r="KT41" i="9"/>
  <c r="KT40" i="9"/>
  <c r="KT39" i="9"/>
  <c r="KT38" i="9"/>
  <c r="KT37" i="9"/>
  <c r="KT36" i="9"/>
  <c r="KT35" i="9"/>
  <c r="KT34" i="9"/>
  <c r="KT33" i="9"/>
  <c r="KT32" i="9"/>
  <c r="KT31" i="9"/>
  <c r="KT30" i="9"/>
  <c r="KT29" i="9"/>
  <c r="KT28" i="9"/>
  <c r="KT27" i="9"/>
  <c r="KT26" i="9"/>
  <c r="KT25" i="9"/>
  <c r="KT24" i="9"/>
  <c r="KT23" i="9"/>
  <c r="KT22" i="9"/>
  <c r="KT21" i="9"/>
  <c r="KT20" i="9"/>
  <c r="KT19" i="9"/>
  <c r="KT18" i="9"/>
  <c r="KT17" i="9"/>
  <c r="KT16" i="9"/>
  <c r="KT15" i="9"/>
  <c r="KT14" i="9"/>
  <c r="KS51" i="9"/>
  <c r="KS50" i="9"/>
  <c r="KS49" i="9"/>
  <c r="KS48" i="9"/>
  <c r="KS47" i="9"/>
  <c r="KS46" i="9"/>
  <c r="KS41" i="9"/>
  <c r="KS40" i="9"/>
  <c r="KS39" i="9"/>
  <c r="KS38" i="9"/>
  <c r="KS37" i="9"/>
  <c r="KS36" i="9"/>
  <c r="KS35" i="9"/>
  <c r="KS34" i="9"/>
  <c r="KS33" i="9"/>
  <c r="KS32" i="9"/>
  <c r="KS31" i="9"/>
  <c r="KS30" i="9"/>
  <c r="KS29" i="9"/>
  <c r="KS28" i="9"/>
  <c r="KS27" i="9"/>
  <c r="KS26" i="9"/>
  <c r="KS25" i="9"/>
  <c r="KS24" i="9"/>
  <c r="KS23" i="9"/>
  <c r="KS22" i="9"/>
  <c r="KS21" i="9"/>
  <c r="KS20" i="9"/>
  <c r="KS19" i="9"/>
  <c r="KS18" i="9"/>
  <c r="KS17" i="9"/>
  <c r="KS16" i="9"/>
  <c r="KS15" i="9"/>
  <c r="KS14" i="9"/>
  <c r="KR51" i="9"/>
  <c r="KR50" i="9"/>
  <c r="KR49" i="9"/>
  <c r="KR48" i="9"/>
  <c r="KR47" i="9"/>
  <c r="KR46" i="9"/>
  <c r="KR41" i="9"/>
  <c r="KR40" i="9"/>
  <c r="KR39" i="9"/>
  <c r="KR38" i="9"/>
  <c r="KR37" i="9"/>
  <c r="KR36" i="9"/>
  <c r="KR35" i="9"/>
  <c r="KR34" i="9"/>
  <c r="KR33" i="9"/>
  <c r="KR32" i="9"/>
  <c r="KR31" i="9"/>
  <c r="KR30" i="9"/>
  <c r="KR29" i="9"/>
  <c r="KR28" i="9"/>
  <c r="KR27" i="9"/>
  <c r="KR26" i="9"/>
  <c r="KR25" i="9"/>
  <c r="KR24" i="9"/>
  <c r="KR23" i="9"/>
  <c r="KR22" i="9"/>
  <c r="KR21" i="9"/>
  <c r="KR20" i="9"/>
  <c r="KR19" i="9"/>
  <c r="KR18" i="9"/>
  <c r="KR17" i="9"/>
  <c r="KR16" i="9"/>
  <c r="KR15" i="9"/>
  <c r="KR14" i="9"/>
  <c r="KQ51" i="9"/>
  <c r="KQ50" i="9"/>
  <c r="KQ49" i="9"/>
  <c r="KQ48" i="9"/>
  <c r="KQ47" i="9"/>
  <c r="KQ46" i="9"/>
  <c r="KQ41" i="9"/>
  <c r="KQ40" i="9"/>
  <c r="KQ39" i="9"/>
  <c r="KQ38" i="9"/>
  <c r="KQ37" i="9"/>
  <c r="KQ36" i="9"/>
  <c r="KQ35" i="9"/>
  <c r="KQ34" i="9"/>
  <c r="KQ33" i="9"/>
  <c r="KQ32" i="9"/>
  <c r="KQ31" i="9"/>
  <c r="KQ30" i="9"/>
  <c r="KQ29" i="9"/>
  <c r="KQ28" i="9"/>
  <c r="KQ27" i="9"/>
  <c r="KQ26" i="9"/>
  <c r="KQ25" i="9"/>
  <c r="KQ24" i="9"/>
  <c r="KQ23" i="9"/>
  <c r="KQ22" i="9"/>
  <c r="KQ21" i="9"/>
  <c r="KQ20" i="9"/>
  <c r="KQ19" i="9"/>
  <c r="KQ18" i="9"/>
  <c r="KQ17" i="9"/>
  <c r="KQ16" i="9"/>
  <c r="KQ15" i="9"/>
  <c r="KQ14" i="9"/>
  <c r="KP51" i="9"/>
  <c r="KP50" i="9"/>
  <c r="KP49" i="9"/>
  <c r="KP48" i="9"/>
  <c r="KP47" i="9"/>
  <c r="KP46" i="9"/>
  <c r="KP41" i="9"/>
  <c r="KP40" i="9"/>
  <c r="KP39" i="9"/>
  <c r="KP38" i="9"/>
  <c r="KP37" i="9"/>
  <c r="KP36" i="9"/>
  <c r="KP35" i="9"/>
  <c r="KP34" i="9"/>
  <c r="KP33" i="9"/>
  <c r="KP32" i="9"/>
  <c r="KP31" i="9"/>
  <c r="KP30" i="9"/>
  <c r="KP29" i="9"/>
  <c r="KP28" i="9"/>
  <c r="KP27" i="9"/>
  <c r="KP26" i="9"/>
  <c r="KP25" i="9"/>
  <c r="KP24" i="9"/>
  <c r="KP23" i="9"/>
  <c r="KP22" i="9"/>
  <c r="KP21" i="9"/>
  <c r="KP20" i="9"/>
  <c r="KP19" i="9"/>
  <c r="KP18" i="9"/>
  <c r="KP17" i="9"/>
  <c r="KP16" i="9"/>
  <c r="KP15" i="9"/>
  <c r="KP14" i="9"/>
  <c r="KO51" i="9"/>
  <c r="KO50" i="9"/>
  <c r="KO49" i="9"/>
  <c r="KO48" i="9"/>
  <c r="KO47" i="9"/>
  <c r="KO46" i="9"/>
  <c r="KO41" i="9"/>
  <c r="KO40" i="9"/>
  <c r="KO39" i="9"/>
  <c r="KO38" i="9"/>
  <c r="KO37" i="9"/>
  <c r="KO36" i="9"/>
  <c r="KO35" i="9"/>
  <c r="KO34" i="9"/>
  <c r="KO33" i="9"/>
  <c r="KO32" i="9"/>
  <c r="KO31" i="9"/>
  <c r="KO30" i="9"/>
  <c r="KO29" i="9"/>
  <c r="KO28" i="9"/>
  <c r="KO27" i="9"/>
  <c r="KO26" i="9"/>
  <c r="KO25" i="9"/>
  <c r="KO24" i="9"/>
  <c r="KO23" i="9"/>
  <c r="KO22" i="9"/>
  <c r="KO21" i="9"/>
  <c r="KO20" i="9"/>
  <c r="KO19" i="9"/>
  <c r="KO18" i="9"/>
  <c r="KO17" i="9"/>
  <c r="KO16" i="9"/>
  <c r="KO15" i="9"/>
  <c r="KO14" i="9"/>
  <c r="KN51" i="9"/>
  <c r="KN50" i="9"/>
  <c r="KN49" i="9"/>
  <c r="KN48" i="9"/>
  <c r="KN47" i="9"/>
  <c r="KN46" i="9"/>
  <c r="KN41" i="9"/>
  <c r="KN40" i="9"/>
  <c r="KN39" i="9"/>
  <c r="KN38" i="9"/>
  <c r="KN37" i="9"/>
  <c r="KN36" i="9"/>
  <c r="KN35" i="9"/>
  <c r="KN34" i="9"/>
  <c r="KN33" i="9"/>
  <c r="KN32" i="9"/>
  <c r="KN31" i="9"/>
  <c r="KN30" i="9"/>
  <c r="KN29" i="9"/>
  <c r="KN28" i="9"/>
  <c r="KN27" i="9"/>
  <c r="KN26" i="9"/>
  <c r="KN25" i="9"/>
  <c r="KN24" i="9"/>
  <c r="KN23" i="9"/>
  <c r="KN22" i="9"/>
  <c r="KN21" i="9"/>
  <c r="KN20" i="9"/>
  <c r="KN19" i="9"/>
  <c r="KN18" i="9"/>
  <c r="KN17" i="9"/>
  <c r="KN16" i="9"/>
  <c r="KN15" i="9"/>
  <c r="KN14" i="9"/>
  <c r="KM51" i="9"/>
  <c r="KM50" i="9"/>
  <c r="KM49" i="9"/>
  <c r="KM48" i="9"/>
  <c r="KM47" i="9"/>
  <c r="KM46" i="9"/>
  <c r="KM41" i="9"/>
  <c r="KM40" i="9"/>
  <c r="KM39" i="9"/>
  <c r="KM38" i="9"/>
  <c r="KM37" i="9"/>
  <c r="KM36" i="9"/>
  <c r="KM35" i="9"/>
  <c r="KM34" i="9"/>
  <c r="KM33" i="9"/>
  <c r="KM32" i="9"/>
  <c r="KM31" i="9"/>
  <c r="KM30" i="9"/>
  <c r="KM29" i="9"/>
  <c r="KM28" i="9"/>
  <c r="KM27" i="9"/>
  <c r="KM26" i="9"/>
  <c r="KM25" i="9"/>
  <c r="KM24" i="9"/>
  <c r="KM23" i="9"/>
  <c r="KM22" i="9"/>
  <c r="KM21" i="9"/>
  <c r="KM20" i="9"/>
  <c r="KM19" i="9"/>
  <c r="KM18" i="9"/>
  <c r="KM17" i="9"/>
  <c r="KM16" i="9"/>
  <c r="KM15" i="9"/>
  <c r="KM14" i="9"/>
  <c r="KL51" i="9"/>
  <c r="KL50" i="9"/>
  <c r="KL49" i="9"/>
  <c r="KL48" i="9"/>
  <c r="KL47" i="9"/>
  <c r="KL46" i="9"/>
  <c r="KL41" i="9"/>
  <c r="KL40" i="9"/>
  <c r="KL39" i="9"/>
  <c r="KL38" i="9"/>
  <c r="KL37" i="9"/>
  <c r="KL36" i="9"/>
  <c r="KL35" i="9"/>
  <c r="KL34" i="9"/>
  <c r="KL33" i="9"/>
  <c r="KL32" i="9"/>
  <c r="KL31" i="9"/>
  <c r="KL30" i="9"/>
  <c r="KL29" i="9"/>
  <c r="KL28" i="9"/>
  <c r="KL27" i="9"/>
  <c r="KL26" i="9"/>
  <c r="KL25" i="9"/>
  <c r="KL24" i="9"/>
  <c r="KL23" i="9"/>
  <c r="KL22" i="9"/>
  <c r="KL21" i="9"/>
  <c r="KL20" i="9"/>
  <c r="KL19" i="9"/>
  <c r="KL18" i="9"/>
  <c r="KL17" i="9"/>
  <c r="KL16" i="9"/>
  <c r="KL15" i="9"/>
  <c r="KL14" i="9"/>
  <c r="KK51" i="9"/>
  <c r="KK50" i="9"/>
  <c r="KK49" i="9"/>
  <c r="KK48" i="9"/>
  <c r="KK47" i="9"/>
  <c r="KK46" i="9"/>
  <c r="KK41" i="9"/>
  <c r="KK40" i="9"/>
  <c r="KK39" i="9"/>
  <c r="KK38" i="9"/>
  <c r="KK37" i="9"/>
  <c r="KK36" i="9"/>
  <c r="KK35" i="9"/>
  <c r="KK34" i="9"/>
  <c r="KK33" i="9"/>
  <c r="KK32" i="9"/>
  <c r="KK31" i="9"/>
  <c r="KK30" i="9"/>
  <c r="KK29" i="9"/>
  <c r="KK28" i="9"/>
  <c r="KK27" i="9"/>
  <c r="KK26" i="9"/>
  <c r="KK25" i="9"/>
  <c r="KK24" i="9"/>
  <c r="KK23" i="9"/>
  <c r="KK22" i="9"/>
  <c r="KK21" i="9"/>
  <c r="KK20" i="9"/>
  <c r="KK19" i="9"/>
  <c r="KK18" i="9"/>
  <c r="KK17" i="9"/>
  <c r="KK16" i="9"/>
  <c r="KK15" i="9"/>
  <c r="KK14" i="9"/>
  <c r="KJ51" i="9"/>
  <c r="KJ50" i="9"/>
  <c r="KJ49" i="9"/>
  <c r="KJ48" i="9"/>
  <c r="KJ47" i="9"/>
  <c r="KJ46" i="9"/>
  <c r="KJ41" i="9"/>
  <c r="KJ40" i="9"/>
  <c r="KJ39" i="9"/>
  <c r="KJ38" i="9"/>
  <c r="KJ37" i="9"/>
  <c r="KJ36" i="9"/>
  <c r="KJ35" i="9"/>
  <c r="KJ34" i="9"/>
  <c r="KJ33" i="9"/>
  <c r="KJ32" i="9"/>
  <c r="KJ31" i="9"/>
  <c r="KJ30" i="9"/>
  <c r="KJ29" i="9"/>
  <c r="KJ28" i="9"/>
  <c r="KJ27" i="9"/>
  <c r="KJ26" i="9"/>
  <c r="KJ25" i="9"/>
  <c r="KJ24" i="9"/>
  <c r="KJ23" i="9"/>
  <c r="KJ22" i="9"/>
  <c r="KJ21" i="9"/>
  <c r="KJ20" i="9"/>
  <c r="KJ19" i="9"/>
  <c r="KJ18" i="9"/>
  <c r="KJ17" i="9"/>
  <c r="KJ16" i="9"/>
  <c r="KJ15" i="9"/>
  <c r="KJ14" i="9"/>
  <c r="KI51" i="9"/>
  <c r="KI50" i="9"/>
  <c r="KI49" i="9"/>
  <c r="KI48" i="9"/>
  <c r="KI47" i="9"/>
  <c r="KI46" i="9"/>
  <c r="KI41" i="9"/>
  <c r="KI40" i="9"/>
  <c r="KI39" i="9"/>
  <c r="KI38" i="9"/>
  <c r="KI37" i="9"/>
  <c r="KI36" i="9"/>
  <c r="KI35" i="9"/>
  <c r="KI34" i="9"/>
  <c r="KI33" i="9"/>
  <c r="KI32" i="9"/>
  <c r="KI31" i="9"/>
  <c r="KI30" i="9"/>
  <c r="KI29" i="9"/>
  <c r="KI28" i="9"/>
  <c r="KI27" i="9"/>
  <c r="KI26" i="9"/>
  <c r="KI25" i="9"/>
  <c r="KI24" i="9"/>
  <c r="KI23" i="9"/>
  <c r="KI22" i="9"/>
  <c r="KI21" i="9"/>
  <c r="KI20" i="9"/>
  <c r="KI19" i="9"/>
  <c r="KI18" i="9"/>
  <c r="KI17" i="9"/>
  <c r="KI16" i="9"/>
  <c r="KI15" i="9"/>
  <c r="KI14" i="9"/>
  <c r="KH51" i="9"/>
  <c r="KH50" i="9"/>
  <c r="KH49" i="9"/>
  <c r="KH48" i="9"/>
  <c r="KH47" i="9"/>
  <c r="KH46" i="9"/>
  <c r="KH41" i="9"/>
  <c r="KH40" i="9"/>
  <c r="KH39" i="9"/>
  <c r="KH38" i="9"/>
  <c r="KH37" i="9"/>
  <c r="KH36" i="9"/>
  <c r="KH35" i="9"/>
  <c r="KH34" i="9"/>
  <c r="KH33" i="9"/>
  <c r="KH32" i="9"/>
  <c r="KH31" i="9"/>
  <c r="KH30" i="9"/>
  <c r="KH29" i="9"/>
  <c r="KH28" i="9"/>
  <c r="KH27" i="9"/>
  <c r="KH26" i="9"/>
  <c r="KH25" i="9"/>
  <c r="KH24" i="9"/>
  <c r="KH23" i="9"/>
  <c r="KH22" i="9"/>
  <c r="KH21" i="9"/>
  <c r="KH20" i="9"/>
  <c r="KH19" i="9"/>
  <c r="KH18" i="9"/>
  <c r="KH17" i="9"/>
  <c r="KH16" i="9"/>
  <c r="KH15" i="9"/>
  <c r="KH14" i="9"/>
  <c r="KG51" i="9"/>
  <c r="KG50" i="9"/>
  <c r="KG49" i="9"/>
  <c r="KG48" i="9"/>
  <c r="KG47" i="9"/>
  <c r="KG46" i="9"/>
  <c r="KG41" i="9"/>
  <c r="KG40" i="9"/>
  <c r="KG39" i="9"/>
  <c r="KG38" i="9"/>
  <c r="KG37" i="9"/>
  <c r="KG36" i="9"/>
  <c r="KG35" i="9"/>
  <c r="KG34" i="9"/>
  <c r="KG33" i="9"/>
  <c r="KG32" i="9"/>
  <c r="KG31" i="9"/>
  <c r="KG30" i="9"/>
  <c r="KG29" i="9"/>
  <c r="KG28" i="9"/>
  <c r="KG27" i="9"/>
  <c r="KG26" i="9"/>
  <c r="KG25" i="9"/>
  <c r="KG24" i="9"/>
  <c r="KG23" i="9"/>
  <c r="KG22" i="9"/>
  <c r="KG21" i="9"/>
  <c r="KG20" i="9"/>
  <c r="KG19" i="9"/>
  <c r="KG18" i="9"/>
  <c r="KG17" i="9"/>
  <c r="KG16" i="9"/>
  <c r="KG15" i="9"/>
  <c r="KG14" i="9"/>
  <c r="KF51" i="9"/>
  <c r="KF50" i="9"/>
  <c r="KF49" i="9"/>
  <c r="KF48" i="9"/>
  <c r="KF47" i="9"/>
  <c r="KF46" i="9"/>
  <c r="KF41" i="9"/>
  <c r="KF40" i="9"/>
  <c r="KF39" i="9"/>
  <c r="KF38" i="9"/>
  <c r="KF37" i="9"/>
  <c r="KF36" i="9"/>
  <c r="KF35" i="9"/>
  <c r="KF34" i="9"/>
  <c r="KF33" i="9"/>
  <c r="KF32" i="9"/>
  <c r="KF31" i="9"/>
  <c r="KF30" i="9"/>
  <c r="KF29" i="9"/>
  <c r="KF28" i="9"/>
  <c r="KF27" i="9"/>
  <c r="KF26" i="9"/>
  <c r="KF25" i="9"/>
  <c r="KF24" i="9"/>
  <c r="KF23" i="9"/>
  <c r="KF22" i="9"/>
  <c r="KF21" i="9"/>
  <c r="KF20" i="9"/>
  <c r="KF19" i="9"/>
  <c r="KF18" i="9"/>
  <c r="KF17" i="9"/>
  <c r="KF16" i="9"/>
  <c r="KF15" i="9"/>
  <c r="KF14" i="9"/>
  <c r="KE51" i="9"/>
  <c r="KE50" i="9"/>
  <c r="KE49" i="9"/>
  <c r="KE48" i="9"/>
  <c r="KE47" i="9"/>
  <c r="KE46" i="9"/>
  <c r="KE41" i="9"/>
  <c r="KE40" i="9"/>
  <c r="KE39" i="9"/>
  <c r="KE38" i="9"/>
  <c r="KE37" i="9"/>
  <c r="KE36" i="9"/>
  <c r="KE35" i="9"/>
  <c r="KE34" i="9"/>
  <c r="KE33" i="9"/>
  <c r="KE32" i="9"/>
  <c r="KE31" i="9"/>
  <c r="KE30" i="9"/>
  <c r="KE29" i="9"/>
  <c r="KE28" i="9"/>
  <c r="KE27" i="9"/>
  <c r="KE26" i="9"/>
  <c r="KE25" i="9"/>
  <c r="KE24" i="9"/>
  <c r="KE23" i="9"/>
  <c r="KE22" i="9"/>
  <c r="KE21" i="9"/>
  <c r="KE20" i="9"/>
  <c r="KE19" i="9"/>
  <c r="KE18" i="9"/>
  <c r="KE17" i="9"/>
  <c r="KE16" i="9"/>
  <c r="KE15" i="9"/>
  <c r="KE14" i="9"/>
  <c r="KE84" i="9" l="1"/>
  <c r="KE83" i="9"/>
  <c r="KE82" i="9"/>
  <c r="KF84" i="9"/>
  <c r="KF83" i="9"/>
  <c r="KF82" i="9"/>
  <c r="KG84" i="9"/>
  <c r="KG83" i="9"/>
  <c r="KG82" i="9"/>
  <c r="KH84" i="9"/>
  <c r="KH83" i="9"/>
  <c r="KH82" i="9"/>
  <c r="KI84" i="9"/>
  <c r="KI83" i="9"/>
  <c r="KI82" i="9"/>
  <c r="KJ84" i="9"/>
  <c r="KJ83" i="9"/>
  <c r="KJ82" i="9"/>
  <c r="KK84" i="9"/>
  <c r="KK83" i="9"/>
  <c r="KK82" i="9"/>
  <c r="KL84" i="9"/>
  <c r="KL83" i="9"/>
  <c r="KL82" i="9"/>
  <c r="KM84" i="9"/>
  <c r="KM83" i="9"/>
  <c r="KM82" i="9"/>
  <c r="KN84" i="9"/>
  <c r="KN83" i="9"/>
  <c r="KN82" i="9"/>
  <c r="KO84" i="9"/>
  <c r="KO83" i="9"/>
  <c r="KO82" i="9"/>
  <c r="KP84" i="9"/>
  <c r="KP83" i="9"/>
  <c r="KP82" i="9"/>
  <c r="KQ84" i="9"/>
  <c r="KQ83" i="9"/>
  <c r="KQ82" i="9"/>
  <c r="KR84" i="9"/>
  <c r="KR83" i="9"/>
  <c r="KR82" i="9"/>
  <c r="KS84" i="9"/>
  <c r="KS83" i="9"/>
  <c r="KS82" i="9"/>
  <c r="KT84" i="9"/>
  <c r="KT83" i="9"/>
  <c r="KT82" i="9"/>
  <c r="KU84" i="9"/>
  <c r="KU83" i="9"/>
  <c r="KU82" i="9"/>
  <c r="KV84" i="9"/>
  <c r="KV83" i="9"/>
  <c r="KV82" i="9"/>
  <c r="KW84" i="9"/>
  <c r="KW83" i="9"/>
  <c r="KW82" i="9"/>
  <c r="KX84" i="9"/>
  <c r="KX83" i="9"/>
  <c r="KX82" i="9"/>
  <c r="KY84" i="9"/>
  <c r="KY83" i="9"/>
  <c r="KY82" i="9"/>
  <c r="KZ84" i="9"/>
  <c r="KZ83" i="9"/>
  <c r="KZ82" i="9"/>
  <c r="LA84" i="9"/>
  <c r="LA83" i="9"/>
  <c r="LA82" i="9"/>
  <c r="LB84" i="9"/>
  <c r="LB83" i="9"/>
  <c r="LB82" i="9"/>
  <c r="LC84" i="9"/>
  <c r="LC83" i="9"/>
  <c r="LC82" i="9"/>
  <c r="LD84" i="9"/>
  <c r="LD83" i="9"/>
  <c r="LD82" i="9"/>
  <c r="LE84" i="9"/>
  <c r="LE83" i="9"/>
  <c r="LE82" i="9"/>
  <c r="LF84" i="9"/>
  <c r="LF83" i="9"/>
  <c r="LF82" i="9"/>
  <c r="KE78" i="9"/>
  <c r="KE77" i="9"/>
  <c r="KE76" i="9"/>
  <c r="KE90" i="9"/>
  <c r="KE89" i="9"/>
  <c r="KE88" i="9"/>
  <c r="KF78" i="9"/>
  <c r="KF77" i="9"/>
  <c r="KF76" i="9"/>
  <c r="KF90" i="9"/>
  <c r="KF89" i="9"/>
  <c r="KF88" i="9"/>
  <c r="KG78" i="9"/>
  <c r="KG77" i="9"/>
  <c r="KG76" i="9"/>
  <c r="KG90" i="9"/>
  <c r="KG89" i="9"/>
  <c r="KG88" i="9"/>
  <c r="KH78" i="9"/>
  <c r="KH77" i="9"/>
  <c r="KH76" i="9"/>
  <c r="KH90" i="9"/>
  <c r="KH89" i="9"/>
  <c r="KH88" i="9"/>
  <c r="KI78" i="9"/>
  <c r="KI77" i="9"/>
  <c r="KI76" i="9"/>
  <c r="KI90" i="9"/>
  <c r="KI89" i="9"/>
  <c r="KI88" i="9"/>
  <c r="KJ78" i="9"/>
  <c r="KJ77" i="9"/>
  <c r="KJ76" i="9"/>
  <c r="KJ90" i="9"/>
  <c r="KJ89" i="9"/>
  <c r="KJ88" i="9"/>
  <c r="KK78" i="9"/>
  <c r="KK77" i="9"/>
  <c r="KK76" i="9"/>
  <c r="KK90" i="9"/>
  <c r="KK88" i="9"/>
  <c r="KK89" i="9"/>
  <c r="KL78" i="9"/>
  <c r="KL77" i="9"/>
  <c r="KL76" i="9"/>
  <c r="KL90" i="9"/>
  <c r="KL89" i="9"/>
  <c r="KL88" i="9"/>
  <c r="KM78" i="9"/>
  <c r="KM77" i="9"/>
  <c r="KM76" i="9"/>
  <c r="KM90" i="9"/>
  <c r="KM89" i="9"/>
  <c r="KM88" i="9"/>
  <c r="KN78" i="9"/>
  <c r="KN77" i="9"/>
  <c r="KN76" i="9"/>
  <c r="KN90" i="9"/>
  <c r="KN89" i="9"/>
  <c r="KN88" i="9"/>
  <c r="KO78" i="9"/>
  <c r="KO77" i="9"/>
  <c r="KO76" i="9"/>
  <c r="KO90" i="9"/>
  <c r="KO89" i="9"/>
  <c r="KO88" i="9"/>
  <c r="KP78" i="9"/>
  <c r="KP77" i="9"/>
  <c r="KP76" i="9"/>
  <c r="KP90" i="9"/>
  <c r="KP89" i="9"/>
  <c r="KP88" i="9"/>
  <c r="KQ78" i="9"/>
  <c r="KQ77" i="9"/>
  <c r="KQ76" i="9"/>
  <c r="KQ90" i="9"/>
  <c r="KQ89" i="9"/>
  <c r="KQ88" i="9"/>
  <c r="KR78" i="9"/>
  <c r="KR77" i="9"/>
  <c r="KR76" i="9"/>
  <c r="KR90" i="9"/>
  <c r="KR89" i="9"/>
  <c r="KR88" i="9"/>
  <c r="KS78" i="9"/>
  <c r="KS77" i="9"/>
  <c r="KS76" i="9"/>
  <c r="KS90" i="9"/>
  <c r="KS89" i="9"/>
  <c r="KS88" i="9"/>
  <c r="KT78" i="9"/>
  <c r="KT77" i="9"/>
  <c r="KT76" i="9"/>
  <c r="KT90" i="9"/>
  <c r="KT89" i="9"/>
  <c r="KT88" i="9"/>
  <c r="KU78" i="9"/>
  <c r="KU77" i="9"/>
  <c r="KU76" i="9"/>
  <c r="KU90" i="9"/>
  <c r="KU89" i="9"/>
  <c r="KU88" i="9"/>
  <c r="KV78" i="9"/>
  <c r="KV77" i="9"/>
  <c r="KV76" i="9"/>
  <c r="KV90" i="9"/>
  <c r="KV89" i="9"/>
  <c r="KV88" i="9"/>
  <c r="KW78" i="9"/>
  <c r="KW77" i="9"/>
  <c r="KW76" i="9"/>
  <c r="KW90" i="9"/>
  <c r="KW89" i="9"/>
  <c r="KW88" i="9"/>
  <c r="KX78" i="9"/>
  <c r="KX77" i="9"/>
  <c r="KX76" i="9"/>
  <c r="KX90" i="9"/>
  <c r="KX89" i="9"/>
  <c r="KX88" i="9"/>
  <c r="KY78" i="9"/>
  <c r="KY77" i="9"/>
  <c r="KY76" i="9"/>
  <c r="KY90" i="9"/>
  <c r="KY89" i="9"/>
  <c r="KY88" i="9"/>
  <c r="KZ78" i="9"/>
  <c r="KZ77" i="9"/>
  <c r="KZ76" i="9"/>
  <c r="KZ90" i="9"/>
  <c r="KZ89" i="9"/>
  <c r="KZ88" i="9"/>
  <c r="LA78" i="9"/>
  <c r="LA77" i="9"/>
  <c r="LA76" i="9"/>
  <c r="LA90" i="9"/>
  <c r="LA89" i="9"/>
  <c r="LA88" i="9"/>
  <c r="LB78" i="9"/>
  <c r="LB77" i="9"/>
  <c r="LB76" i="9"/>
  <c r="LB90" i="9"/>
  <c r="LB89" i="9"/>
  <c r="LB88" i="9"/>
  <c r="LC78" i="9"/>
  <c r="LC77" i="9"/>
  <c r="LC76" i="9"/>
  <c r="LC90" i="9"/>
  <c r="LC89" i="9"/>
  <c r="LC88" i="9"/>
  <c r="LD78" i="9"/>
  <c r="LD77" i="9"/>
  <c r="LD76" i="9"/>
  <c r="LD90" i="9"/>
  <c r="LD89" i="9"/>
  <c r="LD88" i="9"/>
  <c r="LE78" i="9"/>
  <c r="LE77" i="9"/>
  <c r="LE76" i="9"/>
  <c r="LE90" i="9"/>
  <c r="LE89" i="9"/>
  <c r="LE88" i="9"/>
  <c r="LF78" i="9"/>
  <c r="LF77" i="9"/>
  <c r="LF76" i="9"/>
  <c r="LF90" i="9"/>
  <c r="LF89" i="9"/>
  <c r="LF88" i="9"/>
  <c r="FE15" i="9"/>
  <c r="FE22" i="9" s="1"/>
  <c r="FD15" i="9"/>
  <c r="FD22" i="9" s="1"/>
  <c r="FC15" i="9"/>
  <c r="FC22" i="9" s="1"/>
  <c r="FB15" i="9"/>
  <c r="FB22" i="9" s="1"/>
  <c r="FA15" i="9"/>
  <c r="FA22" i="9" s="1"/>
  <c r="EZ15" i="9"/>
  <c r="EZ22" i="9" s="1"/>
  <c r="EY15" i="9"/>
  <c r="EY22" i="9" s="1"/>
  <c r="EX15" i="9"/>
  <c r="EX22" i="9" s="1"/>
  <c r="EW15" i="9"/>
  <c r="EW22" i="9" s="1"/>
  <c r="EV15" i="9"/>
  <c r="EV22" i="9" s="1"/>
  <c r="EU15" i="9"/>
  <c r="EU22" i="9" s="1"/>
  <c r="ET15" i="9"/>
  <c r="ET22" i="9" s="1"/>
  <c r="ES15" i="9"/>
  <c r="ES22" i="9" s="1"/>
  <c r="ER15" i="9"/>
  <c r="ER22" i="9" s="1"/>
  <c r="EQ15" i="9"/>
  <c r="EQ22" i="9" s="1"/>
  <c r="EP15" i="9"/>
  <c r="EP22" i="9" s="1"/>
  <c r="EO15" i="9"/>
  <c r="EO22" i="9" s="1"/>
  <c r="EN15" i="9"/>
  <c r="EN22" i="9" s="1"/>
  <c r="EM15" i="9"/>
  <c r="EM22" i="9" s="1"/>
  <c r="EL15" i="9"/>
  <c r="EL22" i="9" s="1"/>
  <c r="KM85" i="9" l="1"/>
  <c r="KM86" i="9" s="1"/>
  <c r="KI85" i="9"/>
  <c r="KI86" i="9" s="1"/>
  <c r="KE85" i="9"/>
  <c r="KE86" i="9" s="1"/>
  <c r="LC79" i="9"/>
  <c r="LC80" i="9" s="1"/>
  <c r="KW79" i="9"/>
  <c r="KW80" i="9" s="1"/>
  <c r="KS79" i="9"/>
  <c r="KS80" i="9" s="1"/>
  <c r="KM79" i="9"/>
  <c r="KM80" i="9" s="1"/>
  <c r="KK79" i="9"/>
  <c r="KK80" i="9" s="1"/>
  <c r="KI79" i="9"/>
  <c r="KI80" i="9" s="1"/>
  <c r="KG79" i="9"/>
  <c r="KG80" i="9" s="1"/>
  <c r="KE79" i="9"/>
  <c r="KE80" i="9" s="1"/>
  <c r="LC85" i="9"/>
  <c r="LC86" i="9" s="1"/>
  <c r="KY85" i="9"/>
  <c r="KY86" i="9" s="1"/>
  <c r="KU85" i="9"/>
  <c r="KU86" i="9" s="1"/>
  <c r="KQ85" i="9"/>
  <c r="KQ86" i="9" s="1"/>
  <c r="LE79" i="9"/>
  <c r="LE80" i="9" s="1"/>
  <c r="LA79" i="9"/>
  <c r="LA80" i="9" s="1"/>
  <c r="KY79" i="9"/>
  <c r="KY80" i="9" s="1"/>
  <c r="KU79" i="9"/>
  <c r="KU80" i="9" s="1"/>
  <c r="KQ79" i="9"/>
  <c r="KQ80" i="9" s="1"/>
  <c r="KO79" i="9"/>
  <c r="KO80" i="9" s="1"/>
  <c r="LF79" i="9"/>
  <c r="LF80" i="9" s="1"/>
  <c r="LD79" i="9"/>
  <c r="LD80" i="9" s="1"/>
  <c r="LB79" i="9"/>
  <c r="LB80" i="9" s="1"/>
  <c r="KZ79" i="9"/>
  <c r="KZ80" i="9" s="1"/>
  <c r="KX79" i="9"/>
  <c r="KX80" i="9" s="1"/>
  <c r="KV79" i="9"/>
  <c r="KV80" i="9" s="1"/>
  <c r="KT79" i="9"/>
  <c r="KT80" i="9" s="1"/>
  <c r="KR79" i="9"/>
  <c r="KR80" i="9" s="1"/>
  <c r="KP79" i="9"/>
  <c r="KP80" i="9" s="1"/>
  <c r="KN79" i="9"/>
  <c r="KN80" i="9" s="1"/>
  <c r="KL79" i="9"/>
  <c r="KL80" i="9" s="1"/>
  <c r="KK91" i="9"/>
  <c r="KK92" i="9" s="1"/>
  <c r="KJ79" i="9"/>
  <c r="KJ80" i="9" s="1"/>
  <c r="KH79" i="9"/>
  <c r="KH80" i="9" s="1"/>
  <c r="KF79" i="9"/>
  <c r="KF80" i="9" s="1"/>
  <c r="LE85" i="9"/>
  <c r="LE86" i="9" s="1"/>
  <c r="LA85" i="9"/>
  <c r="LA86" i="9" s="1"/>
  <c r="KW85" i="9"/>
  <c r="KW86" i="9" s="1"/>
  <c r="KS85" i="9"/>
  <c r="KS86" i="9" s="1"/>
  <c r="KO85" i="9"/>
  <c r="KO86" i="9" s="1"/>
  <c r="KK85" i="9"/>
  <c r="KK86" i="9" s="1"/>
  <c r="KG85" i="9"/>
  <c r="KG86" i="9" s="1"/>
  <c r="LF85" i="9"/>
  <c r="LF86" i="9" s="1"/>
  <c r="LD85" i="9"/>
  <c r="LD86" i="9" s="1"/>
  <c r="LB85" i="9"/>
  <c r="LB86" i="9" s="1"/>
  <c r="KZ85" i="9"/>
  <c r="KZ86" i="9" s="1"/>
  <c r="KX85" i="9"/>
  <c r="KX86" i="9" s="1"/>
  <c r="KV85" i="9"/>
  <c r="KV86" i="9" s="1"/>
  <c r="KT85" i="9"/>
  <c r="KT86" i="9" s="1"/>
  <c r="KR85" i="9"/>
  <c r="KR86" i="9" s="1"/>
  <c r="KP85" i="9"/>
  <c r="KP86" i="9" s="1"/>
  <c r="KN85" i="9"/>
  <c r="KN86" i="9" s="1"/>
  <c r="KL85" i="9"/>
  <c r="KL86" i="9" s="1"/>
  <c r="KJ85" i="9"/>
  <c r="KJ86" i="9" s="1"/>
  <c r="KH85" i="9"/>
  <c r="KH86" i="9" s="1"/>
  <c r="KF85" i="9"/>
  <c r="KF86" i="9" s="1"/>
  <c r="LF91" i="9"/>
  <c r="LF92" i="9" s="1"/>
  <c r="LE91" i="9"/>
  <c r="LE92" i="9" s="1"/>
  <c r="LD91" i="9"/>
  <c r="LD92" i="9" s="1"/>
  <c r="LC91" i="9"/>
  <c r="LC92" i="9" s="1"/>
  <c r="LB91" i="9"/>
  <c r="LB92" i="9" s="1"/>
  <c r="LA91" i="9"/>
  <c r="LA92" i="9" s="1"/>
  <c r="KZ91" i="9"/>
  <c r="KZ92" i="9" s="1"/>
  <c r="KY91" i="9"/>
  <c r="KY92" i="9" s="1"/>
  <c r="KX91" i="9"/>
  <c r="KX92" i="9" s="1"/>
  <c r="KW91" i="9"/>
  <c r="KW92" i="9" s="1"/>
  <c r="KV91" i="9"/>
  <c r="KV92" i="9" s="1"/>
  <c r="KU91" i="9"/>
  <c r="KU92" i="9" s="1"/>
  <c r="KT91" i="9"/>
  <c r="KT92" i="9" s="1"/>
  <c r="KS91" i="9"/>
  <c r="KS92" i="9" s="1"/>
  <c r="KR91" i="9"/>
  <c r="KR92" i="9" s="1"/>
  <c r="KQ91" i="9"/>
  <c r="KQ92" i="9" s="1"/>
  <c r="KP91" i="9"/>
  <c r="KP92" i="9" s="1"/>
  <c r="KO91" i="9"/>
  <c r="KO92" i="9" s="1"/>
  <c r="KN91" i="9"/>
  <c r="KN92" i="9" s="1"/>
  <c r="KM91" i="9"/>
  <c r="KM92" i="9" s="1"/>
  <c r="KL91" i="9"/>
  <c r="KL92" i="9" s="1"/>
  <c r="KJ91" i="9"/>
  <c r="KJ92" i="9" s="1"/>
  <c r="KI91" i="9"/>
  <c r="KI92" i="9" s="1"/>
  <c r="KH91" i="9"/>
  <c r="KH92" i="9" s="1"/>
  <c r="KG91" i="9"/>
  <c r="KG92" i="9" s="1"/>
  <c r="KF91" i="9"/>
  <c r="KF92" i="9" s="1"/>
  <c r="KE91" i="9"/>
  <c r="KE92" i="9" s="1"/>
  <c r="EK15" i="9"/>
  <c r="EK22" i="9" s="1"/>
  <c r="EJ15" i="9"/>
  <c r="EJ22" i="9" s="1"/>
  <c r="EI15" i="9"/>
  <c r="EI22" i="9" s="1"/>
  <c r="EH15" i="9"/>
  <c r="EH22" i="9" s="1"/>
  <c r="EG15" i="9"/>
  <c r="EG22" i="9" s="1"/>
  <c r="EF15" i="9"/>
  <c r="EF22" i="9" s="1"/>
  <c r="EE15" i="9"/>
  <c r="EE22" i="9" s="1"/>
  <c r="FE14" i="9"/>
  <c r="FE21" i="9" s="1"/>
  <c r="FD14" i="9"/>
  <c r="FD21" i="9" s="1"/>
  <c r="FC14" i="9"/>
  <c r="FC21" i="9" s="1"/>
  <c r="FB14" i="9"/>
  <c r="FB21" i="9" s="1"/>
  <c r="FA14" i="9"/>
  <c r="FA21" i="9" s="1"/>
  <c r="EZ14" i="9"/>
  <c r="EZ21" i="9" s="1"/>
  <c r="EY14" i="9"/>
  <c r="EY21" i="9" s="1"/>
  <c r="EX14" i="9"/>
  <c r="EX21" i="9" s="1"/>
  <c r="EW14" i="9"/>
  <c r="EW21" i="9" s="1"/>
  <c r="EV14" i="9"/>
  <c r="EV21" i="9" s="1"/>
  <c r="EU14" i="9"/>
  <c r="EU21" i="9" s="1"/>
  <c r="ET14" i="9"/>
  <c r="ET21" i="9" s="1"/>
  <c r="ES14" i="9"/>
  <c r="ES21" i="9" s="1"/>
  <c r="ER14" i="9"/>
  <c r="ER21" i="9" s="1"/>
  <c r="EQ14" i="9"/>
  <c r="EQ21" i="9" s="1"/>
  <c r="EP14" i="9"/>
  <c r="EP21" i="9" s="1"/>
  <c r="EO14" i="9"/>
  <c r="EO21" i="9" s="1"/>
  <c r="EN14" i="9"/>
  <c r="EN21" i="9" s="1"/>
  <c r="EM14" i="9"/>
  <c r="EM21" i="9" s="1"/>
  <c r="EL14" i="9"/>
  <c r="EL21" i="9" s="1"/>
  <c r="EK14" i="9"/>
  <c r="EK21" i="9" s="1"/>
  <c r="EJ14" i="9"/>
  <c r="EJ21" i="9" s="1"/>
  <c r="EI14" i="9"/>
  <c r="EI21" i="9" s="1"/>
  <c r="EH14" i="9"/>
  <c r="EH21" i="9" s="1"/>
  <c r="EG14" i="9"/>
  <c r="EG21" i="9" s="1"/>
  <c r="EF14" i="9"/>
  <c r="EF21" i="9" s="1"/>
  <c r="EE14" i="9"/>
  <c r="EE21" i="9" s="1"/>
  <c r="ED14" i="9"/>
  <c r="ED21" i="9" s="1"/>
  <c r="FE13" i="9"/>
  <c r="FE20" i="9" s="1"/>
  <c r="FD13" i="9"/>
  <c r="FD20" i="9" s="1"/>
  <c r="FC13" i="9"/>
  <c r="FC20" i="9" s="1"/>
  <c r="FB13" i="9"/>
  <c r="FB20" i="9" s="1"/>
  <c r="FA13" i="9"/>
  <c r="FA20" i="9" s="1"/>
  <c r="EZ13" i="9"/>
  <c r="EZ20" i="9" s="1"/>
  <c r="EY13" i="9"/>
  <c r="EY20" i="9" s="1"/>
  <c r="EX13" i="9"/>
  <c r="EX20" i="9" s="1"/>
  <c r="EW13" i="9"/>
  <c r="EW20" i="9" s="1"/>
  <c r="EV13" i="9"/>
  <c r="EV20" i="9" s="1"/>
  <c r="EU13" i="9"/>
  <c r="EU20" i="9" s="1"/>
  <c r="ET13" i="9"/>
  <c r="ET20" i="9" s="1"/>
  <c r="ES13" i="9"/>
  <c r="ES20" i="9" s="1"/>
  <c r="ER13" i="9"/>
  <c r="ER20" i="9" s="1"/>
  <c r="EQ13" i="9"/>
  <c r="EQ20" i="9" s="1"/>
  <c r="EP13" i="9"/>
  <c r="EP20" i="9" s="1"/>
  <c r="EO13" i="9"/>
  <c r="EO20" i="9" s="1"/>
  <c r="EN13" i="9"/>
  <c r="EN20" i="9" s="1"/>
  <c r="EM13" i="9"/>
  <c r="EM20" i="9" s="1"/>
  <c r="EL13" i="9"/>
  <c r="EL20" i="9" s="1"/>
  <c r="EK13" i="9"/>
  <c r="EK20" i="9" s="1"/>
  <c r="EJ13" i="9"/>
  <c r="EJ20" i="9" s="1"/>
  <c r="EI13" i="9"/>
  <c r="EI20" i="9" s="1"/>
  <c r="EH13" i="9"/>
  <c r="EH20" i="9" s="1"/>
  <c r="EG13" i="9"/>
  <c r="EG20" i="9" s="1"/>
  <c r="EF13" i="9"/>
  <c r="EF20" i="9" s="1"/>
  <c r="EE13" i="9"/>
  <c r="EE20" i="9" s="1"/>
  <c r="ED13" i="9"/>
  <c r="ED20" i="9" s="1"/>
  <c r="EC14" i="9" l="1"/>
  <c r="EC21" i="9" s="1"/>
  <c r="EC15" i="9"/>
  <c r="EC22" i="9" s="1"/>
  <c r="EC13" i="9"/>
  <c r="EC20" i="9" s="1"/>
  <c r="KD51" i="9"/>
  <c r="KD50" i="9"/>
  <c r="KD49" i="9"/>
  <c r="KD48" i="9"/>
  <c r="KD47" i="9"/>
  <c r="KD46" i="9"/>
  <c r="KD41" i="9"/>
  <c r="KD40" i="9"/>
  <c r="KD39" i="9"/>
  <c r="KD38" i="9"/>
  <c r="KD37" i="9"/>
  <c r="KD36" i="9"/>
  <c r="KD35" i="9"/>
  <c r="KD34" i="9"/>
  <c r="KD33" i="9"/>
  <c r="KD32" i="9"/>
  <c r="KD31" i="9"/>
  <c r="KD30" i="9"/>
  <c r="KD29" i="9"/>
  <c r="KD28" i="9"/>
  <c r="KD27" i="9"/>
  <c r="KD26" i="9"/>
  <c r="KD25" i="9"/>
  <c r="KD24" i="9"/>
  <c r="KD23" i="9"/>
  <c r="KD22" i="9"/>
  <c r="KD21" i="9"/>
  <c r="KD20" i="9"/>
  <c r="KD19" i="9"/>
  <c r="KD18" i="9"/>
  <c r="KD17" i="9"/>
  <c r="KD16" i="9"/>
  <c r="KD15" i="9"/>
  <c r="KD14" i="9"/>
  <c r="KD88" i="9" l="1"/>
  <c r="KD89" i="9"/>
  <c r="KD90" i="9"/>
  <c r="KD83" i="9"/>
  <c r="KD82" i="9"/>
  <c r="KD84" i="9"/>
  <c r="KD77" i="9"/>
  <c r="KD78" i="9"/>
  <c r="KD76" i="9"/>
  <c r="KD52" i="9"/>
  <c r="BU51" i="9"/>
  <c r="BU50" i="9"/>
  <c r="BU49" i="9"/>
  <c r="BU48" i="9"/>
  <c r="BU47" i="9"/>
  <c r="BU46" i="9"/>
  <c r="BU45" i="9"/>
  <c r="BU44" i="9"/>
  <c r="BU43" i="9"/>
  <c r="BU42" i="9"/>
  <c r="BU41" i="9"/>
  <c r="BU40" i="9"/>
  <c r="BU39" i="9"/>
  <c r="BU38" i="9"/>
  <c r="BU37" i="9"/>
  <c r="BU36" i="9"/>
  <c r="BU35" i="9"/>
  <c r="BU34" i="9"/>
  <c r="BU33" i="9"/>
  <c r="BU32" i="9"/>
  <c r="BU31" i="9"/>
  <c r="BU30" i="9"/>
  <c r="BU29" i="9"/>
  <c r="BU28" i="9"/>
  <c r="BU27" i="9"/>
  <c r="BU26" i="9"/>
  <c r="BU25" i="9"/>
  <c r="BU24" i="9"/>
  <c r="BU23" i="9"/>
  <c r="BU22" i="9"/>
  <c r="BU21" i="9"/>
  <c r="BU20" i="9"/>
  <c r="BU19" i="9"/>
  <c r="BU18" i="9"/>
  <c r="BU17" i="9"/>
  <c r="BU16" i="9"/>
  <c r="BU15" i="9"/>
  <c r="BU14" i="9"/>
  <c r="BU67" i="9" l="1"/>
  <c r="BU68" i="9" s="1"/>
  <c r="BU71" i="9"/>
  <c r="BU72" i="9" s="1"/>
  <c r="BU75" i="9"/>
  <c r="KD85" i="9"/>
  <c r="KD86" i="9" s="1"/>
  <c r="BU69" i="9"/>
  <c r="BU70" i="9" s="1"/>
  <c r="KD91" i="9"/>
  <c r="KD92" i="9" s="1"/>
  <c r="BU73" i="9"/>
  <c r="EA51" i="9" l="1"/>
  <c r="EA50" i="9"/>
  <c r="EA49" i="9"/>
  <c r="EA48" i="9"/>
  <c r="EA47" i="9"/>
  <c r="EA46" i="9"/>
  <c r="EA45" i="9"/>
  <c r="EA41" i="9"/>
  <c r="EA40" i="9"/>
  <c r="EA39" i="9"/>
  <c r="EA38" i="9"/>
  <c r="EA37" i="9"/>
  <c r="EA36" i="9"/>
  <c r="EA35" i="9"/>
  <c r="EA34" i="9"/>
  <c r="EA33" i="9"/>
  <c r="EA32" i="9"/>
  <c r="EA31" i="9"/>
  <c r="EA30" i="9"/>
  <c r="EA29" i="9"/>
  <c r="EA28" i="9"/>
  <c r="EA27" i="9"/>
  <c r="EA26" i="9"/>
  <c r="EA25" i="9"/>
  <c r="EA24" i="9"/>
  <c r="EA23" i="9"/>
  <c r="EA22" i="9"/>
  <c r="EA21" i="9"/>
  <c r="EA20" i="9"/>
  <c r="EA19" i="9"/>
  <c r="EA18" i="9"/>
  <c r="EA17" i="9"/>
  <c r="EA16" i="9"/>
  <c r="EA15" i="9"/>
  <c r="EA14" i="9"/>
  <c r="DZ14" i="9"/>
  <c r="DZ51" i="9"/>
  <c r="DZ50" i="9"/>
  <c r="DZ49" i="9"/>
  <c r="DZ48" i="9"/>
  <c r="DZ47" i="9"/>
  <c r="DZ46" i="9"/>
  <c r="DZ45" i="9"/>
  <c r="DZ41" i="9"/>
  <c r="DZ40" i="9"/>
  <c r="DZ39" i="9"/>
  <c r="DZ38" i="9"/>
  <c r="DZ37" i="9"/>
  <c r="DZ36" i="9"/>
  <c r="DZ35" i="9"/>
  <c r="DZ34" i="9"/>
  <c r="DZ33" i="9"/>
  <c r="DZ32" i="9"/>
  <c r="DZ31" i="9"/>
  <c r="DZ30" i="9"/>
  <c r="DZ29" i="9"/>
  <c r="DZ28" i="9"/>
  <c r="DZ27" i="9"/>
  <c r="DZ26" i="9"/>
  <c r="DZ25" i="9"/>
  <c r="DZ24" i="9"/>
  <c r="DZ23" i="9"/>
  <c r="DZ22" i="9"/>
  <c r="DZ21" i="9"/>
  <c r="DZ20" i="9"/>
  <c r="DZ19" i="9"/>
  <c r="DZ18" i="9"/>
  <c r="DZ17" i="9"/>
  <c r="DZ16" i="9"/>
  <c r="DZ15" i="9"/>
  <c r="DY14" i="9"/>
  <c r="DY51" i="9"/>
  <c r="DY50" i="9"/>
  <c r="DY49" i="9"/>
  <c r="DY48" i="9"/>
  <c r="DY47" i="9"/>
  <c r="DY46" i="9"/>
  <c r="DY45" i="9"/>
  <c r="DY41" i="9"/>
  <c r="DY40" i="9"/>
  <c r="DY39" i="9"/>
  <c r="DY38" i="9"/>
  <c r="DY37" i="9"/>
  <c r="DY36" i="9"/>
  <c r="DY35" i="9"/>
  <c r="DY34" i="9"/>
  <c r="DY33" i="9"/>
  <c r="DY32" i="9"/>
  <c r="DY31" i="9"/>
  <c r="DY30" i="9"/>
  <c r="DY29" i="9"/>
  <c r="DY28" i="9"/>
  <c r="DY27" i="9"/>
  <c r="DY26" i="9"/>
  <c r="DY25" i="9"/>
  <c r="DY24" i="9"/>
  <c r="DY23" i="9"/>
  <c r="DY22" i="9"/>
  <c r="DY21" i="9"/>
  <c r="DY20" i="9"/>
  <c r="DY19" i="9"/>
  <c r="DY18" i="9"/>
  <c r="DY17" i="9"/>
  <c r="DY16" i="9"/>
  <c r="DY15" i="9"/>
  <c r="DX14" i="9"/>
  <c r="DX51" i="9"/>
  <c r="DX50" i="9"/>
  <c r="DX49" i="9"/>
  <c r="DX48" i="9"/>
  <c r="DX47" i="9"/>
  <c r="DX46" i="9"/>
  <c r="DX45" i="9"/>
  <c r="DX41" i="9"/>
  <c r="DX40" i="9"/>
  <c r="DX39" i="9"/>
  <c r="DX38" i="9"/>
  <c r="DX37" i="9"/>
  <c r="DX36" i="9"/>
  <c r="DX35" i="9"/>
  <c r="DX34" i="9"/>
  <c r="DX33" i="9"/>
  <c r="DX32" i="9"/>
  <c r="DX31" i="9"/>
  <c r="DX30" i="9"/>
  <c r="DX29" i="9"/>
  <c r="DX28" i="9"/>
  <c r="DX27" i="9"/>
  <c r="DX26" i="9"/>
  <c r="DX25" i="9"/>
  <c r="DX24" i="9"/>
  <c r="DX23" i="9"/>
  <c r="DX22" i="9"/>
  <c r="DX21" i="9"/>
  <c r="DX20" i="9"/>
  <c r="DX19" i="9"/>
  <c r="DX18" i="9"/>
  <c r="DX17" i="9"/>
  <c r="DX16" i="9"/>
  <c r="DX15" i="9"/>
  <c r="DW14" i="9"/>
  <c r="DW51" i="9"/>
  <c r="DW50" i="9"/>
  <c r="DW49" i="9"/>
  <c r="DW48" i="9"/>
  <c r="DW47" i="9"/>
  <c r="DW46" i="9"/>
  <c r="DW45" i="9"/>
  <c r="DW41" i="9"/>
  <c r="DW40" i="9"/>
  <c r="DW39" i="9"/>
  <c r="DW38" i="9"/>
  <c r="DW37" i="9"/>
  <c r="DW36" i="9"/>
  <c r="DW35" i="9"/>
  <c r="DW34" i="9"/>
  <c r="DW33" i="9"/>
  <c r="DW32" i="9"/>
  <c r="DW31" i="9"/>
  <c r="DW30" i="9"/>
  <c r="DW29" i="9"/>
  <c r="DW28" i="9"/>
  <c r="DW27" i="9"/>
  <c r="DW26" i="9"/>
  <c r="DW25" i="9"/>
  <c r="DW24" i="9"/>
  <c r="DW23" i="9"/>
  <c r="DW22" i="9"/>
  <c r="DW21" i="9"/>
  <c r="DW20" i="9"/>
  <c r="DW19" i="9"/>
  <c r="DW18" i="9"/>
  <c r="DW17" i="9"/>
  <c r="DW16" i="9"/>
  <c r="DW15" i="9"/>
  <c r="DV14" i="9"/>
  <c r="DV51" i="9"/>
  <c r="DV50" i="9"/>
  <c r="DV49" i="9"/>
  <c r="DV48" i="9"/>
  <c r="DV47" i="9"/>
  <c r="DV46" i="9"/>
  <c r="DV45" i="9"/>
  <c r="DV41" i="9"/>
  <c r="DV40" i="9"/>
  <c r="DV39" i="9"/>
  <c r="DV38" i="9"/>
  <c r="DV37" i="9"/>
  <c r="DV36" i="9"/>
  <c r="DV35" i="9"/>
  <c r="DV34" i="9"/>
  <c r="DV33" i="9"/>
  <c r="DV32" i="9"/>
  <c r="DV31" i="9"/>
  <c r="DV30" i="9"/>
  <c r="DV29" i="9"/>
  <c r="DV28" i="9"/>
  <c r="DV27" i="9"/>
  <c r="DV26" i="9"/>
  <c r="DV25" i="9"/>
  <c r="DV24" i="9"/>
  <c r="DV23" i="9"/>
  <c r="DV22" i="9"/>
  <c r="DV21" i="9"/>
  <c r="DV20" i="9"/>
  <c r="DV19" i="9"/>
  <c r="DV18" i="9"/>
  <c r="DV17" i="9"/>
  <c r="DV16" i="9"/>
  <c r="DV15" i="9"/>
  <c r="DU14" i="9"/>
  <c r="DU51" i="9"/>
  <c r="DU50" i="9"/>
  <c r="DU49" i="9"/>
  <c r="DU48" i="9"/>
  <c r="DU47" i="9"/>
  <c r="DU46" i="9"/>
  <c r="DU45" i="9"/>
  <c r="DU41" i="9"/>
  <c r="DU40" i="9"/>
  <c r="DU39" i="9"/>
  <c r="DU38" i="9"/>
  <c r="DU37" i="9"/>
  <c r="DU36" i="9"/>
  <c r="DU35" i="9"/>
  <c r="DU34" i="9"/>
  <c r="DU33" i="9"/>
  <c r="DU32" i="9"/>
  <c r="DU31" i="9"/>
  <c r="DU30" i="9"/>
  <c r="DU29" i="9"/>
  <c r="DU28" i="9"/>
  <c r="DU27" i="9"/>
  <c r="DU26" i="9"/>
  <c r="DU25" i="9"/>
  <c r="DU24" i="9"/>
  <c r="DU23" i="9"/>
  <c r="DU22" i="9"/>
  <c r="DU21" i="9"/>
  <c r="DU20" i="9"/>
  <c r="DU19" i="9"/>
  <c r="DU18" i="9"/>
  <c r="DU17" i="9"/>
  <c r="DU16" i="9"/>
  <c r="DU15" i="9"/>
  <c r="DT14" i="9"/>
  <c r="DT51" i="9"/>
  <c r="DT50" i="9"/>
  <c r="DT49" i="9"/>
  <c r="DT48" i="9"/>
  <c r="DT47" i="9"/>
  <c r="DT46" i="9"/>
  <c r="DT45" i="9"/>
  <c r="DT41" i="9"/>
  <c r="DT40" i="9"/>
  <c r="DT39" i="9"/>
  <c r="DT38" i="9"/>
  <c r="DT37" i="9"/>
  <c r="DT36" i="9"/>
  <c r="DT35" i="9"/>
  <c r="DT34" i="9"/>
  <c r="DT33" i="9"/>
  <c r="DT32" i="9"/>
  <c r="DT31" i="9"/>
  <c r="DT30" i="9"/>
  <c r="DT29" i="9"/>
  <c r="DT28" i="9"/>
  <c r="DT27" i="9"/>
  <c r="DT26" i="9"/>
  <c r="DT25" i="9"/>
  <c r="DT24" i="9"/>
  <c r="DT23" i="9"/>
  <c r="DT22" i="9"/>
  <c r="DT21" i="9"/>
  <c r="DT20" i="9"/>
  <c r="DT19" i="9"/>
  <c r="DT18" i="9"/>
  <c r="DT17" i="9"/>
  <c r="DT16" i="9"/>
  <c r="DT15" i="9"/>
  <c r="DS14" i="9"/>
  <c r="DS51" i="9"/>
  <c r="DS50" i="9"/>
  <c r="DS49" i="9"/>
  <c r="DS48" i="9"/>
  <c r="DS47" i="9"/>
  <c r="DS46" i="9"/>
  <c r="DS45" i="9"/>
  <c r="DS41" i="9"/>
  <c r="DS40" i="9"/>
  <c r="DS39" i="9"/>
  <c r="DS38" i="9"/>
  <c r="DS37" i="9"/>
  <c r="DS36" i="9"/>
  <c r="DS35" i="9"/>
  <c r="DS34" i="9"/>
  <c r="DS33" i="9"/>
  <c r="DS32" i="9"/>
  <c r="DS31" i="9"/>
  <c r="DS30" i="9"/>
  <c r="DS29" i="9"/>
  <c r="DS28" i="9"/>
  <c r="DS27" i="9"/>
  <c r="DS26" i="9"/>
  <c r="DS25" i="9"/>
  <c r="DS24" i="9"/>
  <c r="DS23" i="9"/>
  <c r="DS22" i="9"/>
  <c r="DS21" i="9"/>
  <c r="DS20" i="9"/>
  <c r="DS19" i="9"/>
  <c r="DS18" i="9"/>
  <c r="DS17" i="9"/>
  <c r="DS16" i="9"/>
  <c r="DS15" i="9"/>
  <c r="DR14" i="9"/>
  <c r="DR51" i="9"/>
  <c r="DR50" i="9"/>
  <c r="DR49" i="9"/>
  <c r="DR48" i="9"/>
  <c r="DR47" i="9"/>
  <c r="DR46" i="9"/>
  <c r="DR45" i="9"/>
  <c r="DR41" i="9"/>
  <c r="DR40" i="9"/>
  <c r="DR39" i="9"/>
  <c r="DR38" i="9"/>
  <c r="DR37" i="9"/>
  <c r="DR36" i="9"/>
  <c r="DR35" i="9"/>
  <c r="DR34" i="9"/>
  <c r="DR33" i="9"/>
  <c r="DR32" i="9"/>
  <c r="DR31" i="9"/>
  <c r="DR30" i="9"/>
  <c r="DR29" i="9"/>
  <c r="DR28" i="9"/>
  <c r="DR27" i="9"/>
  <c r="DR26" i="9"/>
  <c r="DR25" i="9"/>
  <c r="DR24" i="9"/>
  <c r="DR23" i="9"/>
  <c r="DR22" i="9"/>
  <c r="DR21" i="9"/>
  <c r="DR20" i="9"/>
  <c r="DR19" i="9"/>
  <c r="DR18" i="9"/>
  <c r="DR17" i="9"/>
  <c r="DR16" i="9"/>
  <c r="DR15" i="9"/>
  <c r="DQ14" i="9"/>
  <c r="DQ51" i="9"/>
  <c r="DQ50" i="9"/>
  <c r="DQ49" i="9"/>
  <c r="DQ48" i="9"/>
  <c r="DQ47" i="9"/>
  <c r="DQ46" i="9"/>
  <c r="DQ45" i="9"/>
  <c r="DQ41" i="9"/>
  <c r="DQ40" i="9"/>
  <c r="DQ39" i="9"/>
  <c r="DQ38" i="9"/>
  <c r="DQ37" i="9"/>
  <c r="DQ36" i="9"/>
  <c r="DQ35" i="9"/>
  <c r="DQ34" i="9"/>
  <c r="DQ33" i="9"/>
  <c r="DQ32" i="9"/>
  <c r="DQ31" i="9"/>
  <c r="DQ30" i="9"/>
  <c r="DQ29" i="9"/>
  <c r="DQ28" i="9"/>
  <c r="DQ27" i="9"/>
  <c r="DQ26" i="9"/>
  <c r="DQ25" i="9"/>
  <c r="DQ24" i="9"/>
  <c r="DQ23" i="9"/>
  <c r="DQ22" i="9"/>
  <c r="DQ21" i="9"/>
  <c r="DQ20" i="9"/>
  <c r="DQ19" i="9"/>
  <c r="DQ18" i="9"/>
  <c r="DQ17" i="9"/>
  <c r="DQ16" i="9"/>
  <c r="DQ15" i="9"/>
  <c r="DP14" i="9"/>
  <c r="DP51" i="9"/>
  <c r="DP50" i="9"/>
  <c r="DP49" i="9"/>
  <c r="DP48" i="9"/>
  <c r="DP47" i="9"/>
  <c r="DP46" i="9"/>
  <c r="DP45" i="9"/>
  <c r="DP41" i="9"/>
  <c r="DP40" i="9"/>
  <c r="DP39" i="9"/>
  <c r="DP38" i="9"/>
  <c r="DP37" i="9"/>
  <c r="DP36" i="9"/>
  <c r="DP35" i="9"/>
  <c r="DP34" i="9"/>
  <c r="DP33" i="9"/>
  <c r="DP32" i="9"/>
  <c r="DP31" i="9"/>
  <c r="DP30" i="9"/>
  <c r="DP29" i="9"/>
  <c r="DP28" i="9"/>
  <c r="DP27" i="9"/>
  <c r="DP26" i="9"/>
  <c r="DP25" i="9"/>
  <c r="DP24" i="9"/>
  <c r="DP23" i="9"/>
  <c r="DP22" i="9"/>
  <c r="DP21" i="9"/>
  <c r="DP20" i="9"/>
  <c r="DP19" i="9"/>
  <c r="DP18" i="9"/>
  <c r="DP17" i="9"/>
  <c r="DP16" i="9"/>
  <c r="DP15" i="9"/>
  <c r="DO14" i="9"/>
  <c r="DO51" i="9"/>
  <c r="DO50" i="9"/>
  <c r="DO49" i="9"/>
  <c r="DO48" i="9"/>
  <c r="DO47" i="9"/>
  <c r="DO46" i="9"/>
  <c r="DO45" i="9"/>
  <c r="DO41" i="9"/>
  <c r="DO40" i="9"/>
  <c r="DO39" i="9"/>
  <c r="DO38" i="9"/>
  <c r="DO37" i="9"/>
  <c r="DO36" i="9"/>
  <c r="DO35" i="9"/>
  <c r="DO34" i="9"/>
  <c r="DO33" i="9"/>
  <c r="DO32" i="9"/>
  <c r="DO31" i="9"/>
  <c r="DO30" i="9"/>
  <c r="DO29" i="9"/>
  <c r="DO28" i="9"/>
  <c r="DO27" i="9"/>
  <c r="DO26" i="9"/>
  <c r="DO25" i="9"/>
  <c r="DO24" i="9"/>
  <c r="DO23" i="9"/>
  <c r="DO22" i="9"/>
  <c r="DO21" i="9"/>
  <c r="DO20" i="9"/>
  <c r="DO19" i="9"/>
  <c r="DO18" i="9"/>
  <c r="DO17" i="9"/>
  <c r="DO16" i="9"/>
  <c r="DO15" i="9"/>
  <c r="DN14" i="9"/>
  <c r="DN51" i="9"/>
  <c r="DN50" i="9"/>
  <c r="DN49" i="9"/>
  <c r="DN48" i="9"/>
  <c r="DN47" i="9"/>
  <c r="DN46" i="9"/>
  <c r="DN45" i="9"/>
  <c r="DN41" i="9"/>
  <c r="DN40" i="9"/>
  <c r="DN39" i="9"/>
  <c r="DN38" i="9"/>
  <c r="DN37" i="9"/>
  <c r="DN36" i="9"/>
  <c r="DN35" i="9"/>
  <c r="DN34" i="9"/>
  <c r="DN33" i="9"/>
  <c r="DN32" i="9"/>
  <c r="DN31" i="9"/>
  <c r="DN30" i="9"/>
  <c r="DN29" i="9"/>
  <c r="DN28" i="9"/>
  <c r="DN27" i="9"/>
  <c r="DN26" i="9"/>
  <c r="DN25" i="9"/>
  <c r="DN24" i="9"/>
  <c r="DN23" i="9"/>
  <c r="DN22" i="9"/>
  <c r="DN21" i="9"/>
  <c r="DN20" i="9"/>
  <c r="DN19" i="9"/>
  <c r="DN18" i="9"/>
  <c r="DN17" i="9"/>
  <c r="DN16" i="9"/>
  <c r="DN15" i="9"/>
  <c r="DM14" i="9"/>
  <c r="DM51" i="9"/>
  <c r="DM50" i="9"/>
  <c r="DM49" i="9"/>
  <c r="DM48" i="9"/>
  <c r="DM47" i="9"/>
  <c r="DM46" i="9"/>
  <c r="DM45" i="9"/>
  <c r="DM41" i="9"/>
  <c r="DM40" i="9"/>
  <c r="DM39" i="9"/>
  <c r="DM38" i="9"/>
  <c r="DM37" i="9"/>
  <c r="DM36" i="9"/>
  <c r="DM35" i="9"/>
  <c r="DM34" i="9"/>
  <c r="DM33" i="9"/>
  <c r="DM32" i="9"/>
  <c r="DM31" i="9"/>
  <c r="DM30" i="9"/>
  <c r="DM29" i="9"/>
  <c r="DM28" i="9"/>
  <c r="DM27" i="9"/>
  <c r="DM26" i="9"/>
  <c r="DM25" i="9"/>
  <c r="DM24" i="9"/>
  <c r="DM23" i="9"/>
  <c r="DM22" i="9"/>
  <c r="DM21" i="9"/>
  <c r="DM20" i="9"/>
  <c r="DM19" i="9"/>
  <c r="DM18" i="9"/>
  <c r="DM17" i="9"/>
  <c r="DM16" i="9"/>
  <c r="DM15" i="9"/>
  <c r="DL14" i="9"/>
  <c r="DL51" i="9"/>
  <c r="DL50" i="9"/>
  <c r="DL49" i="9"/>
  <c r="DL48" i="9"/>
  <c r="DL47" i="9"/>
  <c r="DL46" i="9"/>
  <c r="DL45" i="9"/>
  <c r="DL41" i="9"/>
  <c r="DL40" i="9"/>
  <c r="DL39" i="9"/>
  <c r="DL38" i="9"/>
  <c r="DL37" i="9"/>
  <c r="DL36" i="9"/>
  <c r="DL35" i="9"/>
  <c r="DL34" i="9"/>
  <c r="DL33" i="9"/>
  <c r="DL32" i="9"/>
  <c r="DL31" i="9"/>
  <c r="DL30" i="9"/>
  <c r="DL29" i="9"/>
  <c r="DL28" i="9"/>
  <c r="DL27" i="9"/>
  <c r="DL26" i="9"/>
  <c r="DL25" i="9"/>
  <c r="DL24" i="9"/>
  <c r="DL23" i="9"/>
  <c r="DL22" i="9"/>
  <c r="DL21" i="9"/>
  <c r="DL20" i="9"/>
  <c r="DL19" i="9"/>
  <c r="DL18" i="9"/>
  <c r="DL17" i="9"/>
  <c r="DL16" i="9"/>
  <c r="DL15" i="9"/>
  <c r="DK14" i="9"/>
  <c r="DK51" i="9"/>
  <c r="DK50" i="9"/>
  <c r="DK49" i="9"/>
  <c r="DK48" i="9"/>
  <c r="DK47" i="9"/>
  <c r="DK46" i="9"/>
  <c r="DK45" i="9"/>
  <c r="DK41" i="9"/>
  <c r="DK40" i="9"/>
  <c r="DK39" i="9"/>
  <c r="DK38" i="9"/>
  <c r="DK37" i="9"/>
  <c r="DK36" i="9"/>
  <c r="DK35" i="9"/>
  <c r="DK34" i="9"/>
  <c r="DK33" i="9"/>
  <c r="DK32" i="9"/>
  <c r="DK31" i="9"/>
  <c r="DK30" i="9"/>
  <c r="DK29" i="9"/>
  <c r="DK28" i="9"/>
  <c r="DK27" i="9"/>
  <c r="DK26" i="9"/>
  <c r="DK25" i="9"/>
  <c r="DK24" i="9"/>
  <c r="DK23" i="9"/>
  <c r="DK22" i="9"/>
  <c r="DK21" i="9"/>
  <c r="DK20" i="9"/>
  <c r="DK19" i="9"/>
  <c r="DK18" i="9"/>
  <c r="DK17" i="9"/>
  <c r="DK16" i="9"/>
  <c r="DK15" i="9"/>
  <c r="DJ14" i="9"/>
  <c r="DJ51" i="9"/>
  <c r="DJ50" i="9"/>
  <c r="DJ49" i="9"/>
  <c r="DJ48" i="9"/>
  <c r="DJ47" i="9"/>
  <c r="DJ46" i="9"/>
  <c r="DJ45" i="9"/>
  <c r="DJ41" i="9"/>
  <c r="DJ40" i="9"/>
  <c r="DJ39" i="9"/>
  <c r="DJ38" i="9"/>
  <c r="DJ37" i="9"/>
  <c r="DJ36" i="9"/>
  <c r="DJ35" i="9"/>
  <c r="DJ34" i="9"/>
  <c r="DJ33" i="9"/>
  <c r="DJ32" i="9"/>
  <c r="DJ31" i="9"/>
  <c r="DJ30" i="9"/>
  <c r="DJ29" i="9"/>
  <c r="DJ28" i="9"/>
  <c r="DJ27" i="9"/>
  <c r="DJ26" i="9"/>
  <c r="DJ25" i="9"/>
  <c r="DJ24" i="9"/>
  <c r="DJ23" i="9"/>
  <c r="DJ22" i="9"/>
  <c r="DJ21" i="9"/>
  <c r="DJ20" i="9"/>
  <c r="DJ19" i="9"/>
  <c r="DJ18" i="9"/>
  <c r="DJ17" i="9"/>
  <c r="DJ16" i="9"/>
  <c r="DJ15" i="9"/>
  <c r="DI14" i="9"/>
  <c r="DI51" i="9"/>
  <c r="DI50" i="9"/>
  <c r="DI49" i="9"/>
  <c r="DI48" i="9"/>
  <c r="DI47" i="9"/>
  <c r="DI46" i="9"/>
  <c r="DI45" i="9"/>
  <c r="DI41" i="9"/>
  <c r="DI40" i="9"/>
  <c r="DI39" i="9"/>
  <c r="DI38" i="9"/>
  <c r="DI37" i="9"/>
  <c r="DI36" i="9"/>
  <c r="DI35" i="9"/>
  <c r="DI34" i="9"/>
  <c r="DI33" i="9"/>
  <c r="DI32" i="9"/>
  <c r="DI31" i="9"/>
  <c r="DI30" i="9"/>
  <c r="DI29" i="9"/>
  <c r="DI28" i="9"/>
  <c r="DI27" i="9"/>
  <c r="DI26" i="9"/>
  <c r="DI25" i="9"/>
  <c r="DI24" i="9"/>
  <c r="DI23" i="9"/>
  <c r="DI22" i="9"/>
  <c r="DI21" i="9"/>
  <c r="DI20" i="9"/>
  <c r="DI19" i="9"/>
  <c r="DI18" i="9"/>
  <c r="DI17" i="9"/>
  <c r="DI16" i="9"/>
  <c r="DI15" i="9"/>
  <c r="DH14" i="9"/>
  <c r="DH51" i="9"/>
  <c r="DH50" i="9"/>
  <c r="DH49" i="9"/>
  <c r="DH48" i="9"/>
  <c r="DH47" i="9"/>
  <c r="DH46" i="9"/>
  <c r="DH45" i="9"/>
  <c r="DH41" i="9"/>
  <c r="DH40" i="9"/>
  <c r="DH39" i="9"/>
  <c r="DH38" i="9"/>
  <c r="DH37" i="9"/>
  <c r="DH36" i="9"/>
  <c r="DH35" i="9"/>
  <c r="DH34" i="9"/>
  <c r="DH33" i="9"/>
  <c r="DH32" i="9"/>
  <c r="DH31" i="9"/>
  <c r="DH30" i="9"/>
  <c r="DH29" i="9"/>
  <c r="DH28" i="9"/>
  <c r="DH27" i="9"/>
  <c r="DH26" i="9"/>
  <c r="DH25" i="9"/>
  <c r="DH24" i="9"/>
  <c r="DH23" i="9"/>
  <c r="DH22" i="9"/>
  <c r="DH21" i="9"/>
  <c r="DH20" i="9"/>
  <c r="DH19" i="9"/>
  <c r="DH18" i="9"/>
  <c r="DH17" i="9"/>
  <c r="DH16" i="9"/>
  <c r="DH15" i="9"/>
  <c r="DG14" i="9"/>
  <c r="DG51" i="9"/>
  <c r="DG50" i="9"/>
  <c r="DG49" i="9"/>
  <c r="DG48" i="9"/>
  <c r="DG47" i="9"/>
  <c r="DG46" i="9"/>
  <c r="DG45" i="9"/>
  <c r="DG41" i="9"/>
  <c r="DG40" i="9"/>
  <c r="DG39" i="9"/>
  <c r="DG38" i="9"/>
  <c r="DG37" i="9"/>
  <c r="DG36" i="9"/>
  <c r="DG35" i="9"/>
  <c r="DG34" i="9"/>
  <c r="DG33" i="9"/>
  <c r="DG32" i="9"/>
  <c r="DG31" i="9"/>
  <c r="DG30" i="9"/>
  <c r="DG29" i="9"/>
  <c r="DG28" i="9"/>
  <c r="DG27" i="9"/>
  <c r="DG26" i="9"/>
  <c r="DG25" i="9"/>
  <c r="DG24" i="9"/>
  <c r="DG23" i="9"/>
  <c r="DG22" i="9"/>
  <c r="DG21" i="9"/>
  <c r="DG20" i="9"/>
  <c r="DG19" i="9"/>
  <c r="DG18" i="9"/>
  <c r="DG17" i="9"/>
  <c r="DG16" i="9"/>
  <c r="DG15" i="9"/>
  <c r="DF14" i="9"/>
  <c r="DF51" i="9"/>
  <c r="DF50" i="9"/>
  <c r="DF49" i="9"/>
  <c r="DF48" i="9"/>
  <c r="DF47" i="9"/>
  <c r="DF46" i="9"/>
  <c r="DF45" i="9"/>
  <c r="DF41" i="9"/>
  <c r="DF40" i="9"/>
  <c r="DF39" i="9"/>
  <c r="DF38" i="9"/>
  <c r="DF37" i="9"/>
  <c r="DF36" i="9"/>
  <c r="DF35" i="9"/>
  <c r="DF34" i="9"/>
  <c r="DF33" i="9"/>
  <c r="DF32" i="9"/>
  <c r="DF31" i="9"/>
  <c r="DF30" i="9"/>
  <c r="DF29" i="9"/>
  <c r="DF28" i="9"/>
  <c r="DF27" i="9"/>
  <c r="DF26" i="9"/>
  <c r="DF25" i="9"/>
  <c r="DF24" i="9"/>
  <c r="DF23" i="9"/>
  <c r="DF22" i="9"/>
  <c r="DF21" i="9"/>
  <c r="DF20" i="9"/>
  <c r="DF19" i="9"/>
  <c r="DF18" i="9"/>
  <c r="DF17" i="9"/>
  <c r="DF16" i="9"/>
  <c r="DF15" i="9"/>
  <c r="DE14" i="9"/>
  <c r="DE51" i="9"/>
  <c r="DE50" i="9"/>
  <c r="DE49" i="9"/>
  <c r="DE48" i="9"/>
  <c r="DE47" i="9"/>
  <c r="DE46" i="9"/>
  <c r="DE45" i="9"/>
  <c r="DE41" i="9"/>
  <c r="DE40" i="9"/>
  <c r="DE39" i="9"/>
  <c r="DE38" i="9"/>
  <c r="DE37" i="9"/>
  <c r="DE36" i="9"/>
  <c r="DE35" i="9"/>
  <c r="DE34" i="9"/>
  <c r="DE33" i="9"/>
  <c r="DE32" i="9"/>
  <c r="DE31" i="9"/>
  <c r="DE30" i="9"/>
  <c r="DE29" i="9"/>
  <c r="DE28" i="9"/>
  <c r="DE27" i="9"/>
  <c r="DE26" i="9"/>
  <c r="DE25" i="9"/>
  <c r="DE24" i="9"/>
  <c r="DE23" i="9"/>
  <c r="DE22" i="9"/>
  <c r="DE21" i="9"/>
  <c r="DE20" i="9"/>
  <c r="DE19" i="9"/>
  <c r="DE18" i="9"/>
  <c r="DE17" i="9"/>
  <c r="DE16" i="9"/>
  <c r="DE15" i="9"/>
  <c r="DD14" i="9"/>
  <c r="DD51" i="9"/>
  <c r="DD50" i="9"/>
  <c r="DD49" i="9"/>
  <c r="DD48" i="9"/>
  <c r="DD47" i="9"/>
  <c r="DD46" i="9"/>
  <c r="DD45" i="9"/>
  <c r="DD41" i="9"/>
  <c r="DD40" i="9"/>
  <c r="DD39" i="9"/>
  <c r="DD38" i="9"/>
  <c r="DD37" i="9"/>
  <c r="DD36" i="9"/>
  <c r="DD35" i="9"/>
  <c r="DD34" i="9"/>
  <c r="DD33" i="9"/>
  <c r="DD32" i="9"/>
  <c r="DD31" i="9"/>
  <c r="DD30" i="9"/>
  <c r="DD29" i="9"/>
  <c r="DD28" i="9"/>
  <c r="DD27" i="9"/>
  <c r="DD26" i="9"/>
  <c r="DD25" i="9"/>
  <c r="DD24" i="9"/>
  <c r="DD23" i="9"/>
  <c r="DD22" i="9"/>
  <c r="DD21" i="9"/>
  <c r="DD20" i="9"/>
  <c r="DD19" i="9"/>
  <c r="DD18" i="9"/>
  <c r="DD17" i="9"/>
  <c r="DD16" i="9"/>
  <c r="DD15" i="9"/>
  <c r="DC14" i="9"/>
  <c r="DC51" i="9"/>
  <c r="DC50" i="9"/>
  <c r="DC49" i="9"/>
  <c r="DC48" i="9"/>
  <c r="DC47" i="9"/>
  <c r="DC46" i="9"/>
  <c r="DC45" i="9"/>
  <c r="DC41" i="9"/>
  <c r="DC40" i="9"/>
  <c r="DC39" i="9"/>
  <c r="DC38" i="9"/>
  <c r="DC37" i="9"/>
  <c r="DC36" i="9"/>
  <c r="DC35" i="9"/>
  <c r="DC34" i="9"/>
  <c r="DC33" i="9"/>
  <c r="DC32" i="9"/>
  <c r="DC31" i="9"/>
  <c r="DC30" i="9"/>
  <c r="DC29" i="9"/>
  <c r="DC28" i="9"/>
  <c r="DC27" i="9"/>
  <c r="DC26" i="9"/>
  <c r="DC25" i="9"/>
  <c r="DC24" i="9"/>
  <c r="DC23" i="9"/>
  <c r="DC22" i="9"/>
  <c r="DC21" i="9"/>
  <c r="DC20" i="9"/>
  <c r="DC19" i="9"/>
  <c r="DC18" i="9"/>
  <c r="DC17" i="9"/>
  <c r="DC16" i="9"/>
  <c r="DC15" i="9"/>
  <c r="DB14" i="9"/>
  <c r="DB51" i="9"/>
  <c r="DB50" i="9"/>
  <c r="DB49" i="9"/>
  <c r="DB48" i="9"/>
  <c r="DB47" i="9"/>
  <c r="DB46" i="9"/>
  <c r="DB45" i="9"/>
  <c r="DB41" i="9"/>
  <c r="DB40" i="9"/>
  <c r="DB39" i="9"/>
  <c r="DB38" i="9"/>
  <c r="DB37" i="9"/>
  <c r="DB36" i="9"/>
  <c r="DB35" i="9"/>
  <c r="DB34" i="9"/>
  <c r="DB33" i="9"/>
  <c r="DB32" i="9"/>
  <c r="DB31" i="9"/>
  <c r="DB30" i="9"/>
  <c r="DB29" i="9"/>
  <c r="DB28" i="9"/>
  <c r="DB27" i="9"/>
  <c r="DB26" i="9"/>
  <c r="DB25" i="9"/>
  <c r="DB24" i="9"/>
  <c r="DB23" i="9"/>
  <c r="DB22" i="9"/>
  <c r="DB21" i="9"/>
  <c r="DB20" i="9"/>
  <c r="DB19" i="9"/>
  <c r="DB18" i="9"/>
  <c r="DB17" i="9"/>
  <c r="DB16" i="9"/>
  <c r="DB15" i="9"/>
  <c r="DA14" i="9"/>
  <c r="DA51" i="9"/>
  <c r="DA50" i="9"/>
  <c r="DA49" i="9"/>
  <c r="DA48" i="9"/>
  <c r="DA47" i="9"/>
  <c r="DA46" i="9"/>
  <c r="DA45" i="9"/>
  <c r="DA41" i="9"/>
  <c r="DA40" i="9"/>
  <c r="DA39" i="9"/>
  <c r="DA38" i="9"/>
  <c r="DA37" i="9"/>
  <c r="DA36" i="9"/>
  <c r="DA35" i="9"/>
  <c r="DA34" i="9"/>
  <c r="DA33" i="9"/>
  <c r="DA32" i="9"/>
  <c r="DA31" i="9"/>
  <c r="DA30" i="9"/>
  <c r="DA29" i="9"/>
  <c r="DA28" i="9"/>
  <c r="DA27" i="9"/>
  <c r="DA26" i="9"/>
  <c r="DA25" i="9"/>
  <c r="DA24" i="9"/>
  <c r="DA23" i="9"/>
  <c r="DA22" i="9"/>
  <c r="DA21" i="9"/>
  <c r="DA20" i="9"/>
  <c r="DA19" i="9"/>
  <c r="DA18" i="9"/>
  <c r="DA17" i="9"/>
  <c r="DA16" i="9"/>
  <c r="DA15" i="9"/>
  <c r="CZ51" i="9"/>
  <c r="CZ50" i="9"/>
  <c r="CZ49" i="9"/>
  <c r="CZ48" i="9"/>
  <c r="CZ47" i="9"/>
  <c r="CZ46" i="9"/>
  <c r="CZ45" i="9"/>
  <c r="CZ41" i="9"/>
  <c r="CZ40" i="9"/>
  <c r="CZ39" i="9"/>
  <c r="CZ38" i="9"/>
  <c r="CZ37" i="9"/>
  <c r="CZ36" i="9"/>
  <c r="CZ35" i="9"/>
  <c r="CZ34" i="9"/>
  <c r="CZ33" i="9"/>
  <c r="CZ32" i="9"/>
  <c r="CZ31" i="9"/>
  <c r="CZ30" i="9"/>
  <c r="CZ29" i="9"/>
  <c r="CZ28" i="9"/>
  <c r="CZ27" i="9"/>
  <c r="CZ26" i="9"/>
  <c r="CZ25" i="9"/>
  <c r="CZ24" i="9"/>
  <c r="CZ23" i="9"/>
  <c r="CZ22" i="9"/>
  <c r="CZ21" i="9"/>
  <c r="CZ20" i="9"/>
  <c r="CZ19" i="9"/>
  <c r="CZ18" i="9"/>
  <c r="CZ17" i="9"/>
  <c r="CZ16" i="9"/>
  <c r="CZ15" i="9"/>
  <c r="CZ14" i="9"/>
  <c r="CY51" i="9"/>
  <c r="CY50" i="9"/>
  <c r="CY49" i="9"/>
  <c r="CY48" i="9"/>
  <c r="CY47" i="9"/>
  <c r="CY46" i="9"/>
  <c r="CY41" i="9"/>
  <c r="CY40" i="9"/>
  <c r="CY39" i="9"/>
  <c r="CY38" i="9"/>
  <c r="CY37" i="9"/>
  <c r="CY36" i="9"/>
  <c r="CY35" i="9"/>
  <c r="CY34" i="9"/>
  <c r="CY33" i="9"/>
  <c r="CY32" i="9"/>
  <c r="CY31" i="9"/>
  <c r="CY30" i="9"/>
  <c r="CY29" i="9"/>
  <c r="CY28" i="9"/>
  <c r="CY27" i="9"/>
  <c r="CY26" i="9"/>
  <c r="CY25" i="9"/>
  <c r="CY24" i="9"/>
  <c r="CY23" i="9"/>
  <c r="CY22" i="9"/>
  <c r="CY21" i="9"/>
  <c r="CY19" i="9"/>
  <c r="CY17" i="9"/>
  <c r="CY15" i="9"/>
  <c r="FE37" i="9" l="1"/>
  <c r="FD37" i="9"/>
  <c r="FC37" i="9"/>
  <c r="FB37" i="9"/>
  <c r="FA37" i="9"/>
  <c r="EZ37" i="9"/>
  <c r="EY37" i="9"/>
  <c r="EX37" i="9"/>
  <c r="EW37" i="9"/>
  <c r="EV37" i="9"/>
  <c r="EU37" i="9"/>
  <c r="ET37" i="9"/>
  <c r="ES37" i="9"/>
  <c r="ER37" i="9"/>
  <c r="EQ37" i="9"/>
  <c r="EP37" i="9"/>
  <c r="EO37" i="9"/>
  <c r="EN37" i="9"/>
  <c r="EM37" i="9"/>
  <c r="EL37" i="9"/>
  <c r="EK37" i="9"/>
  <c r="EJ37" i="9"/>
  <c r="EI37" i="9"/>
  <c r="EH37" i="9"/>
  <c r="EG37" i="9"/>
  <c r="EF37" i="9"/>
  <c r="EE37" i="9"/>
  <c r="ED37" i="9"/>
  <c r="EC37" i="9"/>
  <c r="IU14" i="9" l="1"/>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IU51" i="9" l="1"/>
  <c r="IU50" i="9"/>
  <c r="IU49" i="9"/>
  <c r="IU48" i="9"/>
  <c r="IU47" i="9"/>
  <c r="IU46" i="9"/>
  <c r="IU45" i="9"/>
  <c r="IU44" i="9"/>
  <c r="IU43" i="9"/>
  <c r="IU42" i="9"/>
  <c r="IU41" i="9"/>
  <c r="IU40" i="9"/>
  <c r="IU39" i="9"/>
  <c r="IU38" i="9"/>
  <c r="IU37" i="9"/>
  <c r="IU36" i="9"/>
  <c r="IU35" i="9"/>
  <c r="IU34" i="9"/>
  <c r="IU33" i="9"/>
  <c r="IU32" i="9"/>
  <c r="IU31" i="9"/>
  <c r="IU30" i="9"/>
  <c r="IU29" i="9"/>
  <c r="IU28" i="9"/>
  <c r="IU27" i="9"/>
  <c r="IU26" i="9"/>
  <c r="IU25" i="9"/>
  <c r="IU24" i="9"/>
  <c r="IU23" i="9"/>
  <c r="IU22" i="9"/>
  <c r="IU21" i="9"/>
  <c r="IU20" i="9"/>
  <c r="IU19" i="9"/>
  <c r="IU18" i="9"/>
  <c r="IU17" i="9"/>
  <c r="IU16" i="9"/>
  <c r="IU15" i="9"/>
  <c r="IT51" i="9"/>
  <c r="IT50" i="9"/>
  <c r="IT49" i="9"/>
  <c r="IT48" i="9"/>
  <c r="IT47" i="9"/>
  <c r="IT46" i="9"/>
  <c r="IT45" i="9"/>
  <c r="IT44" i="9"/>
  <c r="IT43" i="9"/>
  <c r="IT42" i="9"/>
  <c r="IT41" i="9"/>
  <c r="IT40" i="9"/>
  <c r="IT39" i="9"/>
  <c r="IT38" i="9"/>
  <c r="IT37" i="9"/>
  <c r="IT36" i="9"/>
  <c r="IT35" i="9"/>
  <c r="IT34" i="9"/>
  <c r="IT33" i="9"/>
  <c r="IT32" i="9"/>
  <c r="IT31" i="9"/>
  <c r="IT30" i="9"/>
  <c r="IT29" i="9"/>
  <c r="IT28" i="9"/>
  <c r="IT27" i="9"/>
  <c r="IT26" i="9"/>
  <c r="IT25" i="9"/>
  <c r="IT24" i="9"/>
  <c r="IT23" i="9"/>
  <c r="IT22" i="9"/>
  <c r="IT21" i="9"/>
  <c r="IT20" i="9"/>
  <c r="IT19" i="9"/>
  <c r="IT18" i="9"/>
  <c r="IT17" i="9"/>
  <c r="IT16" i="9"/>
  <c r="IT15" i="9"/>
  <c r="IS51" i="9"/>
  <c r="IS50" i="9"/>
  <c r="IS49" i="9"/>
  <c r="IS48" i="9"/>
  <c r="IS47" i="9"/>
  <c r="IS46" i="9"/>
  <c r="IS45" i="9"/>
  <c r="IS44" i="9"/>
  <c r="IS43" i="9"/>
  <c r="IS42" i="9"/>
  <c r="IS41" i="9"/>
  <c r="IS40" i="9"/>
  <c r="IS39" i="9"/>
  <c r="IS38" i="9"/>
  <c r="IS37" i="9"/>
  <c r="IS36" i="9"/>
  <c r="IS35" i="9"/>
  <c r="IS34" i="9"/>
  <c r="IS33" i="9"/>
  <c r="IS32" i="9"/>
  <c r="IS31" i="9"/>
  <c r="IS30" i="9"/>
  <c r="IS29" i="9"/>
  <c r="IS28" i="9"/>
  <c r="IS27" i="9"/>
  <c r="IS26" i="9"/>
  <c r="IS25" i="9"/>
  <c r="IS24" i="9"/>
  <c r="IS23" i="9"/>
  <c r="IS22" i="9"/>
  <c r="IS21" i="9"/>
  <c r="IS20" i="9"/>
  <c r="IS19" i="9"/>
  <c r="IS18" i="9"/>
  <c r="IS17" i="9"/>
  <c r="IS16" i="9"/>
  <c r="IS15" i="9"/>
  <c r="IR51" i="9"/>
  <c r="IR50" i="9"/>
  <c r="IR49" i="9"/>
  <c r="IR48" i="9"/>
  <c r="IR47" i="9"/>
  <c r="IR46" i="9"/>
  <c r="IR45" i="9"/>
  <c r="IR44" i="9"/>
  <c r="IR43" i="9"/>
  <c r="IR42" i="9"/>
  <c r="IR41" i="9"/>
  <c r="IR40" i="9"/>
  <c r="IR39" i="9"/>
  <c r="IR38" i="9"/>
  <c r="IR37" i="9"/>
  <c r="IR36" i="9"/>
  <c r="IR35" i="9"/>
  <c r="IR34" i="9"/>
  <c r="IR33" i="9"/>
  <c r="IR32" i="9"/>
  <c r="IR31" i="9"/>
  <c r="IR30" i="9"/>
  <c r="IR29" i="9"/>
  <c r="IR28" i="9"/>
  <c r="IR27" i="9"/>
  <c r="IR26" i="9"/>
  <c r="IR25" i="9"/>
  <c r="IR24" i="9"/>
  <c r="IR23" i="9"/>
  <c r="IR22" i="9"/>
  <c r="IR21" i="9"/>
  <c r="IR20" i="9"/>
  <c r="IR19" i="9"/>
  <c r="IR18" i="9"/>
  <c r="IR17" i="9"/>
  <c r="IR16" i="9"/>
  <c r="IR15" i="9"/>
  <c r="IQ51" i="9"/>
  <c r="IQ50" i="9"/>
  <c r="IQ49" i="9"/>
  <c r="IQ48" i="9"/>
  <c r="IQ47" i="9"/>
  <c r="IQ46" i="9"/>
  <c r="IQ45" i="9"/>
  <c r="IQ44" i="9"/>
  <c r="IQ43" i="9"/>
  <c r="IQ42" i="9"/>
  <c r="IQ41" i="9"/>
  <c r="IQ40" i="9"/>
  <c r="IQ39" i="9"/>
  <c r="IQ38" i="9"/>
  <c r="IQ37" i="9"/>
  <c r="IQ36" i="9"/>
  <c r="IQ35" i="9"/>
  <c r="IQ34" i="9"/>
  <c r="IQ33" i="9"/>
  <c r="IQ32" i="9"/>
  <c r="IQ31" i="9"/>
  <c r="IQ30" i="9"/>
  <c r="IQ29" i="9"/>
  <c r="IQ28" i="9"/>
  <c r="IQ27" i="9"/>
  <c r="IQ26" i="9"/>
  <c r="IQ25" i="9"/>
  <c r="IQ24" i="9"/>
  <c r="IQ23" i="9"/>
  <c r="IQ22" i="9"/>
  <c r="IQ21" i="9"/>
  <c r="IQ20" i="9"/>
  <c r="IQ19" i="9"/>
  <c r="IQ18" i="9"/>
  <c r="IQ17" i="9"/>
  <c r="IQ16" i="9"/>
  <c r="IQ15" i="9"/>
  <c r="IP51" i="9"/>
  <c r="IP50" i="9"/>
  <c r="IP49" i="9"/>
  <c r="IP48" i="9"/>
  <c r="IP47" i="9"/>
  <c r="IP46" i="9"/>
  <c r="IP45" i="9"/>
  <c r="IP44" i="9"/>
  <c r="IP43" i="9"/>
  <c r="IP42" i="9"/>
  <c r="IP41" i="9"/>
  <c r="IP40" i="9"/>
  <c r="IP39" i="9"/>
  <c r="IP38" i="9"/>
  <c r="IP37" i="9"/>
  <c r="IP36" i="9"/>
  <c r="IP35" i="9"/>
  <c r="IP34" i="9"/>
  <c r="IP33" i="9"/>
  <c r="IP32" i="9"/>
  <c r="IP31" i="9"/>
  <c r="IP30" i="9"/>
  <c r="IP29" i="9"/>
  <c r="IP28" i="9"/>
  <c r="IP27" i="9"/>
  <c r="IP26" i="9"/>
  <c r="IP25" i="9"/>
  <c r="IP24" i="9"/>
  <c r="IP23" i="9"/>
  <c r="IP22" i="9"/>
  <c r="IP21" i="9"/>
  <c r="IP20" i="9"/>
  <c r="IP19" i="9"/>
  <c r="IP18" i="9"/>
  <c r="IP17" i="9"/>
  <c r="IP16" i="9"/>
  <c r="IP15" i="9"/>
  <c r="IO51" i="9"/>
  <c r="IO50" i="9"/>
  <c r="IO49" i="9"/>
  <c r="IO48" i="9"/>
  <c r="IO47" i="9"/>
  <c r="IO46" i="9"/>
  <c r="IO45" i="9"/>
  <c r="IO44" i="9"/>
  <c r="IO43" i="9"/>
  <c r="IO42" i="9"/>
  <c r="IO41" i="9"/>
  <c r="IO40" i="9"/>
  <c r="IO39" i="9"/>
  <c r="IO38" i="9"/>
  <c r="IO37" i="9"/>
  <c r="IO36" i="9"/>
  <c r="IO35" i="9"/>
  <c r="IO34" i="9"/>
  <c r="IO33" i="9"/>
  <c r="IO32" i="9"/>
  <c r="IO31" i="9"/>
  <c r="IO30" i="9"/>
  <c r="IO29" i="9"/>
  <c r="IO28" i="9"/>
  <c r="IO27" i="9"/>
  <c r="IO26" i="9"/>
  <c r="IO25" i="9"/>
  <c r="IO24" i="9"/>
  <c r="IO23" i="9"/>
  <c r="IO22" i="9"/>
  <c r="IO21" i="9"/>
  <c r="IO20" i="9"/>
  <c r="IO19" i="9"/>
  <c r="IO18" i="9"/>
  <c r="IO17" i="9"/>
  <c r="IO16" i="9"/>
  <c r="IO15" i="9"/>
  <c r="IN51" i="9"/>
  <c r="IN50" i="9"/>
  <c r="IN49" i="9"/>
  <c r="IN48" i="9"/>
  <c r="IN47" i="9"/>
  <c r="IN46" i="9"/>
  <c r="IN45" i="9"/>
  <c r="IN44" i="9"/>
  <c r="IN43" i="9"/>
  <c r="IN42" i="9"/>
  <c r="IN41" i="9"/>
  <c r="IN40" i="9"/>
  <c r="IN39" i="9"/>
  <c r="IN38" i="9"/>
  <c r="IN37" i="9"/>
  <c r="IN36" i="9"/>
  <c r="IN35" i="9"/>
  <c r="IN34" i="9"/>
  <c r="IN33" i="9"/>
  <c r="IN32" i="9"/>
  <c r="IN31" i="9"/>
  <c r="IN30" i="9"/>
  <c r="IN29" i="9"/>
  <c r="IN28" i="9"/>
  <c r="IN27" i="9"/>
  <c r="IN26" i="9"/>
  <c r="IN25" i="9"/>
  <c r="IN24" i="9"/>
  <c r="IN23" i="9"/>
  <c r="IN22" i="9"/>
  <c r="IN21" i="9"/>
  <c r="IN20" i="9"/>
  <c r="IN19" i="9"/>
  <c r="IN18" i="9"/>
  <c r="IN17" i="9"/>
  <c r="IN16" i="9"/>
  <c r="IN15" i="9"/>
  <c r="IM51" i="9"/>
  <c r="IM50" i="9"/>
  <c r="IM49" i="9"/>
  <c r="IM48" i="9"/>
  <c r="IM47" i="9"/>
  <c r="IM46" i="9"/>
  <c r="IM45" i="9"/>
  <c r="IM44" i="9"/>
  <c r="IM43" i="9"/>
  <c r="IM42" i="9"/>
  <c r="IM41" i="9"/>
  <c r="IM40" i="9"/>
  <c r="IM39" i="9"/>
  <c r="IM38" i="9"/>
  <c r="IM37" i="9"/>
  <c r="IM36" i="9"/>
  <c r="IM35" i="9"/>
  <c r="IM34" i="9"/>
  <c r="IM33" i="9"/>
  <c r="IM32" i="9"/>
  <c r="IM31" i="9"/>
  <c r="IM30" i="9"/>
  <c r="IM29" i="9"/>
  <c r="IM28" i="9"/>
  <c r="IM27" i="9"/>
  <c r="IM26" i="9"/>
  <c r="IM25" i="9"/>
  <c r="IM24" i="9"/>
  <c r="IM23" i="9"/>
  <c r="IM22" i="9"/>
  <c r="IM21" i="9"/>
  <c r="IM20" i="9"/>
  <c r="IM19" i="9"/>
  <c r="IM18" i="9"/>
  <c r="IM17" i="9"/>
  <c r="IM16" i="9"/>
  <c r="IM15" i="9"/>
  <c r="IL51" i="9"/>
  <c r="IL50" i="9"/>
  <c r="IL49" i="9"/>
  <c r="IL48" i="9"/>
  <c r="IL47" i="9"/>
  <c r="IL46" i="9"/>
  <c r="IL45" i="9"/>
  <c r="IL44" i="9"/>
  <c r="IL43" i="9"/>
  <c r="IL42" i="9"/>
  <c r="IL41" i="9"/>
  <c r="IL40" i="9"/>
  <c r="IL39" i="9"/>
  <c r="IL38" i="9"/>
  <c r="IL37" i="9"/>
  <c r="IL36" i="9"/>
  <c r="IL35" i="9"/>
  <c r="IL34" i="9"/>
  <c r="IL33" i="9"/>
  <c r="IL32" i="9"/>
  <c r="IL31" i="9"/>
  <c r="IL30" i="9"/>
  <c r="IL29" i="9"/>
  <c r="IL28" i="9"/>
  <c r="IL27" i="9"/>
  <c r="IL26" i="9"/>
  <c r="IL25" i="9"/>
  <c r="IL24" i="9"/>
  <c r="IL23" i="9"/>
  <c r="IL22" i="9"/>
  <c r="IL21" i="9"/>
  <c r="IL20" i="9"/>
  <c r="IL19" i="9"/>
  <c r="IL18" i="9"/>
  <c r="IL17" i="9"/>
  <c r="IL16" i="9"/>
  <c r="IL15" i="9"/>
  <c r="IK51" i="9"/>
  <c r="IK50" i="9"/>
  <c r="IK49" i="9"/>
  <c r="IK48" i="9"/>
  <c r="IK47" i="9"/>
  <c r="IK46" i="9"/>
  <c r="IK45" i="9"/>
  <c r="IK44" i="9"/>
  <c r="IK43" i="9"/>
  <c r="IK42" i="9"/>
  <c r="IK41" i="9"/>
  <c r="IK40" i="9"/>
  <c r="IK39" i="9"/>
  <c r="IK38" i="9"/>
  <c r="IK37" i="9"/>
  <c r="IK36" i="9"/>
  <c r="IK35" i="9"/>
  <c r="IK34" i="9"/>
  <c r="IK33" i="9"/>
  <c r="IK32" i="9"/>
  <c r="IK31" i="9"/>
  <c r="IK30" i="9"/>
  <c r="IK29" i="9"/>
  <c r="IK28" i="9"/>
  <c r="IK27" i="9"/>
  <c r="IK26" i="9"/>
  <c r="IK25" i="9"/>
  <c r="IK24" i="9"/>
  <c r="IK23" i="9"/>
  <c r="IK22" i="9"/>
  <c r="IK21" i="9"/>
  <c r="IK20" i="9"/>
  <c r="IK19" i="9"/>
  <c r="IK18" i="9"/>
  <c r="IK17" i="9"/>
  <c r="IK16" i="9"/>
  <c r="IK15" i="9"/>
  <c r="IJ51" i="9"/>
  <c r="IJ50" i="9"/>
  <c r="IJ49" i="9"/>
  <c r="IJ48" i="9"/>
  <c r="IJ47" i="9"/>
  <c r="IJ46" i="9"/>
  <c r="IJ45" i="9"/>
  <c r="IJ44" i="9"/>
  <c r="IJ43" i="9"/>
  <c r="IJ42" i="9"/>
  <c r="IJ41" i="9"/>
  <c r="IJ40" i="9"/>
  <c r="IJ39" i="9"/>
  <c r="IJ38" i="9"/>
  <c r="IJ37" i="9"/>
  <c r="IJ36" i="9"/>
  <c r="IJ35" i="9"/>
  <c r="IJ34" i="9"/>
  <c r="IJ33" i="9"/>
  <c r="IJ32" i="9"/>
  <c r="IJ31" i="9"/>
  <c r="IJ30" i="9"/>
  <c r="IJ29" i="9"/>
  <c r="IJ28" i="9"/>
  <c r="IJ27" i="9"/>
  <c r="IJ26" i="9"/>
  <c r="IJ25" i="9"/>
  <c r="IJ24" i="9"/>
  <c r="IJ23" i="9"/>
  <c r="IJ22" i="9"/>
  <c r="IJ21" i="9"/>
  <c r="IJ20" i="9"/>
  <c r="IJ19" i="9"/>
  <c r="IJ18" i="9"/>
  <c r="IJ17" i="9"/>
  <c r="IJ16" i="9"/>
  <c r="IJ15" i="9"/>
  <c r="II51" i="9"/>
  <c r="II50" i="9"/>
  <c r="II49" i="9"/>
  <c r="II48" i="9"/>
  <c r="II47" i="9"/>
  <c r="II46" i="9"/>
  <c r="II45" i="9"/>
  <c r="II44" i="9"/>
  <c r="II43" i="9"/>
  <c r="II42" i="9"/>
  <c r="II41" i="9"/>
  <c r="II40" i="9"/>
  <c r="II39" i="9"/>
  <c r="II38" i="9"/>
  <c r="II37" i="9"/>
  <c r="II36" i="9"/>
  <c r="II35" i="9"/>
  <c r="II34" i="9"/>
  <c r="II33" i="9"/>
  <c r="II32" i="9"/>
  <c r="II31" i="9"/>
  <c r="II30" i="9"/>
  <c r="II29" i="9"/>
  <c r="II28" i="9"/>
  <c r="II27" i="9"/>
  <c r="II26" i="9"/>
  <c r="II25" i="9"/>
  <c r="II24" i="9"/>
  <c r="II23" i="9"/>
  <c r="II22" i="9"/>
  <c r="II21" i="9"/>
  <c r="II20" i="9"/>
  <c r="II19" i="9"/>
  <c r="II18" i="9"/>
  <c r="II17" i="9"/>
  <c r="II16" i="9"/>
  <c r="II15" i="9"/>
  <c r="IH51" i="9"/>
  <c r="IH50" i="9"/>
  <c r="IH49" i="9"/>
  <c r="IH48" i="9"/>
  <c r="IH47" i="9"/>
  <c r="IH46" i="9"/>
  <c r="IH45" i="9"/>
  <c r="IH44" i="9"/>
  <c r="IH43" i="9"/>
  <c r="IH42" i="9"/>
  <c r="IH41" i="9"/>
  <c r="IH40" i="9"/>
  <c r="IH39" i="9"/>
  <c r="IH38" i="9"/>
  <c r="IH37" i="9"/>
  <c r="IH36" i="9"/>
  <c r="IH35" i="9"/>
  <c r="IH34" i="9"/>
  <c r="IH33" i="9"/>
  <c r="IH32" i="9"/>
  <c r="IH31" i="9"/>
  <c r="IH30" i="9"/>
  <c r="IH29" i="9"/>
  <c r="IH28" i="9"/>
  <c r="IH27" i="9"/>
  <c r="IH26" i="9"/>
  <c r="IH25" i="9"/>
  <c r="IH24" i="9"/>
  <c r="IH23" i="9"/>
  <c r="IH22" i="9"/>
  <c r="IH21" i="9"/>
  <c r="IH20" i="9"/>
  <c r="IH19" i="9"/>
  <c r="IH18" i="9"/>
  <c r="IH17" i="9"/>
  <c r="IH16" i="9"/>
  <c r="IH15" i="9"/>
  <c r="IG51" i="9"/>
  <c r="IG50" i="9"/>
  <c r="IG49" i="9"/>
  <c r="IG48" i="9"/>
  <c r="IG47" i="9"/>
  <c r="IG46" i="9"/>
  <c r="IG45" i="9"/>
  <c r="IG44" i="9"/>
  <c r="IG43" i="9"/>
  <c r="IG42" i="9"/>
  <c r="IG41" i="9"/>
  <c r="IG40" i="9"/>
  <c r="IG39" i="9"/>
  <c r="IG38" i="9"/>
  <c r="IG37" i="9"/>
  <c r="IG36" i="9"/>
  <c r="IG35" i="9"/>
  <c r="IG34" i="9"/>
  <c r="IG33" i="9"/>
  <c r="IG32" i="9"/>
  <c r="IG31" i="9"/>
  <c r="IG30" i="9"/>
  <c r="IG29" i="9"/>
  <c r="IG28" i="9"/>
  <c r="IG27" i="9"/>
  <c r="IG26" i="9"/>
  <c r="IG25" i="9"/>
  <c r="IG24" i="9"/>
  <c r="IG23" i="9"/>
  <c r="IG22" i="9"/>
  <c r="IG21" i="9"/>
  <c r="IG20" i="9"/>
  <c r="IG19" i="9"/>
  <c r="IG18" i="9"/>
  <c r="IG17" i="9"/>
  <c r="IG16" i="9"/>
  <c r="IG15" i="9"/>
  <c r="IF51" i="9"/>
  <c r="IF50" i="9"/>
  <c r="IF49" i="9"/>
  <c r="IF48" i="9"/>
  <c r="IF47" i="9"/>
  <c r="IF46" i="9"/>
  <c r="IF45" i="9"/>
  <c r="IF44" i="9"/>
  <c r="IF43" i="9"/>
  <c r="IF42" i="9"/>
  <c r="IF41" i="9"/>
  <c r="IF40" i="9"/>
  <c r="IF39" i="9"/>
  <c r="IF38" i="9"/>
  <c r="IF37" i="9"/>
  <c r="IF36" i="9"/>
  <c r="IF35" i="9"/>
  <c r="IF34" i="9"/>
  <c r="IF33" i="9"/>
  <c r="IF32" i="9"/>
  <c r="IF31" i="9"/>
  <c r="IF30" i="9"/>
  <c r="IF29" i="9"/>
  <c r="IF28" i="9"/>
  <c r="IF27" i="9"/>
  <c r="IF26" i="9"/>
  <c r="IF25" i="9"/>
  <c r="IF24" i="9"/>
  <c r="IF23" i="9"/>
  <c r="IF22" i="9"/>
  <c r="IF21" i="9"/>
  <c r="IF20" i="9"/>
  <c r="IF19" i="9"/>
  <c r="IF18" i="9"/>
  <c r="IF17" i="9"/>
  <c r="IF16" i="9"/>
  <c r="IF15" i="9"/>
  <c r="IE51" i="9"/>
  <c r="IE50" i="9"/>
  <c r="IE49" i="9"/>
  <c r="IE48" i="9"/>
  <c r="IE47" i="9"/>
  <c r="IE46" i="9"/>
  <c r="IE45" i="9"/>
  <c r="IE44" i="9"/>
  <c r="IE43" i="9"/>
  <c r="IE42" i="9"/>
  <c r="IE41" i="9"/>
  <c r="IE40" i="9"/>
  <c r="IE39" i="9"/>
  <c r="IE38" i="9"/>
  <c r="IE37" i="9"/>
  <c r="IE36" i="9"/>
  <c r="IE35" i="9"/>
  <c r="IE34" i="9"/>
  <c r="IE33" i="9"/>
  <c r="IE32" i="9"/>
  <c r="IE31" i="9"/>
  <c r="IE30" i="9"/>
  <c r="IE29" i="9"/>
  <c r="IE28" i="9"/>
  <c r="IE27" i="9"/>
  <c r="IE26" i="9"/>
  <c r="IE25" i="9"/>
  <c r="IE24" i="9"/>
  <c r="IE23" i="9"/>
  <c r="IE22" i="9"/>
  <c r="IE21" i="9"/>
  <c r="IE20" i="9"/>
  <c r="IE19" i="9"/>
  <c r="IE18" i="9"/>
  <c r="IE17" i="9"/>
  <c r="IE16" i="9"/>
  <c r="IE15" i="9"/>
  <c r="ID51" i="9"/>
  <c r="ID50" i="9"/>
  <c r="ID49" i="9"/>
  <c r="ID48" i="9"/>
  <c r="ID47" i="9"/>
  <c r="ID46" i="9"/>
  <c r="ID45" i="9"/>
  <c r="ID44" i="9"/>
  <c r="ID43" i="9"/>
  <c r="ID42" i="9"/>
  <c r="ID41" i="9"/>
  <c r="ID40" i="9"/>
  <c r="ID39" i="9"/>
  <c r="ID38" i="9"/>
  <c r="ID37" i="9"/>
  <c r="ID36" i="9"/>
  <c r="ID35" i="9"/>
  <c r="ID34" i="9"/>
  <c r="ID33" i="9"/>
  <c r="ID32" i="9"/>
  <c r="ID31" i="9"/>
  <c r="ID30" i="9"/>
  <c r="ID29" i="9"/>
  <c r="ID28" i="9"/>
  <c r="ID27" i="9"/>
  <c r="ID26" i="9"/>
  <c r="ID25" i="9"/>
  <c r="ID24" i="9"/>
  <c r="ID23" i="9"/>
  <c r="ID22" i="9"/>
  <c r="ID21" i="9"/>
  <c r="ID20" i="9"/>
  <c r="ID19" i="9"/>
  <c r="ID18" i="9"/>
  <c r="ID17" i="9"/>
  <c r="ID16" i="9"/>
  <c r="ID15" i="9"/>
  <c r="IC51" i="9"/>
  <c r="IC50" i="9"/>
  <c r="IC49" i="9"/>
  <c r="IC48" i="9"/>
  <c r="IC47" i="9"/>
  <c r="IC46" i="9"/>
  <c r="IC45" i="9"/>
  <c r="IC44" i="9"/>
  <c r="IC43" i="9"/>
  <c r="IC42" i="9"/>
  <c r="IC41" i="9"/>
  <c r="IC40" i="9"/>
  <c r="IC39" i="9"/>
  <c r="IC38" i="9"/>
  <c r="IC37" i="9"/>
  <c r="IC36" i="9"/>
  <c r="IC35" i="9"/>
  <c r="IC34" i="9"/>
  <c r="IC33" i="9"/>
  <c r="IC32" i="9"/>
  <c r="IC31" i="9"/>
  <c r="IC30" i="9"/>
  <c r="IC29" i="9"/>
  <c r="IC28" i="9"/>
  <c r="IC27" i="9"/>
  <c r="IC26" i="9"/>
  <c r="IC25" i="9"/>
  <c r="IC24" i="9"/>
  <c r="IC23" i="9"/>
  <c r="IC22" i="9"/>
  <c r="IC21" i="9"/>
  <c r="IC20" i="9"/>
  <c r="IC19" i="9"/>
  <c r="IC18" i="9"/>
  <c r="IC17" i="9"/>
  <c r="IC16" i="9"/>
  <c r="IC15" i="9"/>
  <c r="IB51" i="9"/>
  <c r="IB50" i="9"/>
  <c r="IB49" i="9"/>
  <c r="IB48" i="9"/>
  <c r="IB47" i="9"/>
  <c r="IB46" i="9"/>
  <c r="IB45" i="9"/>
  <c r="IB44" i="9"/>
  <c r="IB43" i="9"/>
  <c r="IB42" i="9"/>
  <c r="IB41" i="9"/>
  <c r="IB40" i="9"/>
  <c r="IB39" i="9"/>
  <c r="IB38" i="9"/>
  <c r="IB37" i="9"/>
  <c r="IB36" i="9"/>
  <c r="IB35" i="9"/>
  <c r="IB34" i="9"/>
  <c r="IB33" i="9"/>
  <c r="IB32" i="9"/>
  <c r="IB31" i="9"/>
  <c r="IB30" i="9"/>
  <c r="IB29" i="9"/>
  <c r="IB28" i="9"/>
  <c r="IB27" i="9"/>
  <c r="IB26" i="9"/>
  <c r="IB25" i="9"/>
  <c r="IB24" i="9"/>
  <c r="IB23" i="9"/>
  <c r="IB22" i="9"/>
  <c r="IB21" i="9"/>
  <c r="IB20" i="9"/>
  <c r="IB19" i="9"/>
  <c r="IB18" i="9"/>
  <c r="IB17" i="9"/>
  <c r="IB16" i="9"/>
  <c r="IB15" i="9"/>
  <c r="IA51" i="9"/>
  <c r="IA50" i="9"/>
  <c r="IA49" i="9"/>
  <c r="IA48" i="9"/>
  <c r="IA47" i="9"/>
  <c r="IA46" i="9"/>
  <c r="IA45" i="9"/>
  <c r="IA44" i="9"/>
  <c r="IA43" i="9"/>
  <c r="IA42" i="9"/>
  <c r="IA41" i="9"/>
  <c r="IA40" i="9"/>
  <c r="IA39" i="9"/>
  <c r="IA38" i="9"/>
  <c r="IA37" i="9"/>
  <c r="IA36" i="9"/>
  <c r="IA35" i="9"/>
  <c r="IA34" i="9"/>
  <c r="IA33" i="9"/>
  <c r="IA32" i="9"/>
  <c r="IA31" i="9"/>
  <c r="IA30" i="9"/>
  <c r="IA29" i="9"/>
  <c r="IA28" i="9"/>
  <c r="IA27" i="9"/>
  <c r="IA26" i="9"/>
  <c r="IA25" i="9"/>
  <c r="IA24" i="9"/>
  <c r="IA23" i="9"/>
  <c r="IA22" i="9"/>
  <c r="IA21" i="9"/>
  <c r="IA20" i="9"/>
  <c r="IA19" i="9"/>
  <c r="IA18" i="9"/>
  <c r="IA17" i="9"/>
  <c r="IA16" i="9"/>
  <c r="IA15" i="9"/>
  <c r="HZ51" i="9"/>
  <c r="HZ50" i="9"/>
  <c r="HZ49" i="9"/>
  <c r="HZ48" i="9"/>
  <c r="HZ47" i="9"/>
  <c r="HZ46" i="9"/>
  <c r="HZ45" i="9"/>
  <c r="HZ44" i="9"/>
  <c r="HZ43" i="9"/>
  <c r="HZ42" i="9"/>
  <c r="HZ41" i="9"/>
  <c r="HZ40" i="9"/>
  <c r="HZ39" i="9"/>
  <c r="HZ38" i="9"/>
  <c r="HZ37" i="9"/>
  <c r="HZ36" i="9"/>
  <c r="HZ35" i="9"/>
  <c r="HZ34" i="9"/>
  <c r="HZ33" i="9"/>
  <c r="HZ32" i="9"/>
  <c r="HZ31" i="9"/>
  <c r="HZ30" i="9"/>
  <c r="HZ29" i="9"/>
  <c r="HZ28" i="9"/>
  <c r="HZ27" i="9"/>
  <c r="HZ26" i="9"/>
  <c r="HZ25" i="9"/>
  <c r="HZ24" i="9"/>
  <c r="HZ23" i="9"/>
  <c r="HZ22" i="9"/>
  <c r="HZ21" i="9"/>
  <c r="HZ20" i="9"/>
  <c r="HZ19" i="9"/>
  <c r="HZ18" i="9"/>
  <c r="HZ17" i="9"/>
  <c r="HZ16" i="9"/>
  <c r="HZ15" i="9"/>
  <c r="HY51" i="9"/>
  <c r="HY50" i="9"/>
  <c r="HY49" i="9"/>
  <c r="HY48" i="9"/>
  <c r="HY47" i="9"/>
  <c r="HY46" i="9"/>
  <c r="HY45" i="9"/>
  <c r="HY44" i="9"/>
  <c r="HY43" i="9"/>
  <c r="HY42" i="9"/>
  <c r="HY41" i="9"/>
  <c r="HY40" i="9"/>
  <c r="HY39" i="9"/>
  <c r="HY38" i="9"/>
  <c r="HY37" i="9"/>
  <c r="HY36" i="9"/>
  <c r="HY35" i="9"/>
  <c r="HY34" i="9"/>
  <c r="HY33" i="9"/>
  <c r="HY32" i="9"/>
  <c r="HY31" i="9"/>
  <c r="HY30" i="9"/>
  <c r="HY29" i="9"/>
  <c r="HY28" i="9"/>
  <c r="HY27" i="9"/>
  <c r="HY26" i="9"/>
  <c r="HY25" i="9"/>
  <c r="HY24" i="9"/>
  <c r="HY23" i="9"/>
  <c r="HY22" i="9"/>
  <c r="HY21" i="9"/>
  <c r="HY20" i="9"/>
  <c r="HY19" i="9"/>
  <c r="HY18" i="9"/>
  <c r="HY17" i="9"/>
  <c r="HY16" i="9"/>
  <c r="HY15" i="9"/>
  <c r="HX51" i="9"/>
  <c r="HX50" i="9"/>
  <c r="HX49" i="9"/>
  <c r="HX48" i="9"/>
  <c r="HX47" i="9"/>
  <c r="HX46" i="9"/>
  <c r="HX45" i="9"/>
  <c r="HX44" i="9"/>
  <c r="HX43" i="9"/>
  <c r="HX42" i="9"/>
  <c r="HX41" i="9"/>
  <c r="HX40" i="9"/>
  <c r="HX39" i="9"/>
  <c r="HX38" i="9"/>
  <c r="HX37" i="9"/>
  <c r="HX36" i="9"/>
  <c r="HX35" i="9"/>
  <c r="HX34" i="9"/>
  <c r="HX33" i="9"/>
  <c r="HX32" i="9"/>
  <c r="HX31" i="9"/>
  <c r="HX30" i="9"/>
  <c r="HX29" i="9"/>
  <c r="HX28" i="9"/>
  <c r="HX27" i="9"/>
  <c r="HX26" i="9"/>
  <c r="HX25" i="9"/>
  <c r="HX24" i="9"/>
  <c r="HX23" i="9"/>
  <c r="HX22" i="9"/>
  <c r="HX21" i="9"/>
  <c r="HX20" i="9"/>
  <c r="HX19" i="9"/>
  <c r="HX18" i="9"/>
  <c r="HX17" i="9"/>
  <c r="HX16" i="9"/>
  <c r="HX15" i="9"/>
  <c r="HW51" i="9"/>
  <c r="HW50" i="9"/>
  <c r="HW49" i="9"/>
  <c r="HW48" i="9"/>
  <c r="HW47" i="9"/>
  <c r="HW46" i="9"/>
  <c r="HW45" i="9"/>
  <c r="HW44" i="9"/>
  <c r="HW43" i="9"/>
  <c r="HW42" i="9"/>
  <c r="HW41" i="9"/>
  <c r="HW40" i="9"/>
  <c r="HW39" i="9"/>
  <c r="HW38" i="9"/>
  <c r="HW37" i="9"/>
  <c r="HW36" i="9"/>
  <c r="HW35" i="9"/>
  <c r="HW34" i="9"/>
  <c r="HW33" i="9"/>
  <c r="HW32" i="9"/>
  <c r="HW31" i="9"/>
  <c r="HW30" i="9"/>
  <c r="HW29" i="9"/>
  <c r="HW28" i="9"/>
  <c r="HW27" i="9"/>
  <c r="HW26" i="9"/>
  <c r="HW25" i="9"/>
  <c r="HW24" i="9"/>
  <c r="HW23" i="9"/>
  <c r="HW22" i="9"/>
  <c r="HW21" i="9"/>
  <c r="HW20" i="9"/>
  <c r="HW19" i="9"/>
  <c r="HW18" i="9"/>
  <c r="HW17" i="9"/>
  <c r="HW16" i="9"/>
  <c r="HW15" i="9"/>
  <c r="HV51" i="9"/>
  <c r="HV50" i="9"/>
  <c r="HV49" i="9"/>
  <c r="HV48" i="9"/>
  <c r="HV47" i="9"/>
  <c r="HV46" i="9"/>
  <c r="HV45" i="9"/>
  <c r="HV44" i="9"/>
  <c r="HV43" i="9"/>
  <c r="HV42" i="9"/>
  <c r="HV41" i="9"/>
  <c r="HV40" i="9"/>
  <c r="HV39" i="9"/>
  <c r="HV38" i="9"/>
  <c r="HV37" i="9"/>
  <c r="HV36" i="9"/>
  <c r="HV35" i="9"/>
  <c r="HV34" i="9"/>
  <c r="HV33" i="9"/>
  <c r="HV32" i="9"/>
  <c r="HV31" i="9"/>
  <c r="HV30" i="9"/>
  <c r="HV29" i="9"/>
  <c r="HV28" i="9"/>
  <c r="HV27" i="9"/>
  <c r="HV26" i="9"/>
  <c r="HV25" i="9"/>
  <c r="HV24" i="9"/>
  <c r="HV23" i="9"/>
  <c r="HV22" i="9"/>
  <c r="HV21" i="9"/>
  <c r="HV20" i="9"/>
  <c r="HV19" i="9"/>
  <c r="HV18" i="9"/>
  <c r="HV17" i="9"/>
  <c r="HV16" i="9"/>
  <c r="HV15" i="9"/>
  <c r="HU51" i="9"/>
  <c r="HU50" i="9"/>
  <c r="HU49" i="9"/>
  <c r="HU48" i="9"/>
  <c r="HU47" i="9"/>
  <c r="HU46" i="9"/>
  <c r="HU45" i="9"/>
  <c r="HU44" i="9"/>
  <c r="HU43" i="9"/>
  <c r="HU42" i="9"/>
  <c r="HU41" i="9"/>
  <c r="HU40" i="9"/>
  <c r="HU39" i="9"/>
  <c r="HU38" i="9"/>
  <c r="HU37" i="9"/>
  <c r="HU36" i="9"/>
  <c r="HU35" i="9"/>
  <c r="HU34" i="9"/>
  <c r="HU33" i="9"/>
  <c r="HU32" i="9"/>
  <c r="HU31" i="9"/>
  <c r="HU30" i="9"/>
  <c r="HU29" i="9"/>
  <c r="HU28" i="9"/>
  <c r="HU27" i="9"/>
  <c r="HU26" i="9"/>
  <c r="HU25" i="9"/>
  <c r="HU24" i="9"/>
  <c r="HU23" i="9"/>
  <c r="HU22" i="9"/>
  <c r="HU21" i="9"/>
  <c r="HU20" i="9"/>
  <c r="HU19" i="9"/>
  <c r="HU18" i="9"/>
  <c r="HU17" i="9"/>
  <c r="HU16" i="9"/>
  <c r="HU15" i="9"/>
  <c r="HT51" i="9"/>
  <c r="HT50" i="9"/>
  <c r="HT49" i="9"/>
  <c r="HT48" i="9"/>
  <c r="HT47" i="9"/>
  <c r="HT46" i="9"/>
  <c r="HT45" i="9"/>
  <c r="HT44" i="9"/>
  <c r="HT43" i="9"/>
  <c r="HT42" i="9"/>
  <c r="HT41" i="9"/>
  <c r="HT40" i="9"/>
  <c r="HT39" i="9"/>
  <c r="HT38" i="9"/>
  <c r="HT37" i="9"/>
  <c r="HT36" i="9"/>
  <c r="HT35" i="9"/>
  <c r="HT34" i="9"/>
  <c r="HT33" i="9"/>
  <c r="HT32" i="9"/>
  <c r="HT31" i="9"/>
  <c r="HT30" i="9"/>
  <c r="HT29" i="9"/>
  <c r="HT28" i="9"/>
  <c r="HT27" i="9"/>
  <c r="HT26" i="9"/>
  <c r="HT25" i="9"/>
  <c r="HT24" i="9"/>
  <c r="HT23" i="9"/>
  <c r="HT22" i="9"/>
  <c r="HT21" i="9"/>
  <c r="HT20" i="9"/>
  <c r="HT19" i="9"/>
  <c r="HT18" i="9"/>
  <c r="HT17" i="9"/>
  <c r="HT16" i="9"/>
  <c r="HT15" i="9"/>
  <c r="HS51" i="9"/>
  <c r="HS50" i="9"/>
  <c r="HS49" i="9"/>
  <c r="HS48" i="9"/>
  <c r="HS47" i="9"/>
  <c r="HS46" i="9"/>
  <c r="HS45" i="9"/>
  <c r="HS44" i="9"/>
  <c r="HS43" i="9"/>
  <c r="HS42" i="9"/>
  <c r="HS41" i="9"/>
  <c r="HS40" i="9"/>
  <c r="HS39" i="9"/>
  <c r="HS38" i="9"/>
  <c r="HS37" i="9"/>
  <c r="HS36" i="9"/>
  <c r="HS35" i="9"/>
  <c r="HS34" i="9"/>
  <c r="HS33" i="9"/>
  <c r="HS32" i="9"/>
  <c r="HS31" i="9"/>
  <c r="HS30" i="9"/>
  <c r="HS29" i="9"/>
  <c r="HS28" i="9"/>
  <c r="HS27" i="9"/>
  <c r="HS26" i="9"/>
  <c r="HS25" i="9"/>
  <c r="HS24" i="9"/>
  <c r="HS23" i="9"/>
  <c r="HS22" i="9"/>
  <c r="HS21" i="9"/>
  <c r="HS20" i="9"/>
  <c r="HS19" i="9"/>
  <c r="HS18" i="9"/>
  <c r="HS17" i="9"/>
  <c r="HS16" i="9"/>
  <c r="HS15" i="9"/>
  <c r="CW51" i="9"/>
  <c r="CW50" i="9"/>
  <c r="CW49" i="9"/>
  <c r="CW48" i="9"/>
  <c r="CW47" i="9"/>
  <c r="CW46" i="9"/>
  <c r="CW45" i="9"/>
  <c r="CW75" i="9" s="1"/>
  <c r="CW44" i="9"/>
  <c r="CW43" i="9"/>
  <c r="CW42" i="9"/>
  <c r="CW41" i="9"/>
  <c r="CW40" i="9"/>
  <c r="CW39" i="9"/>
  <c r="CW38" i="9"/>
  <c r="CW37" i="9"/>
  <c r="CW36" i="9"/>
  <c r="CW35" i="9"/>
  <c r="CW34" i="9"/>
  <c r="CW33" i="9"/>
  <c r="CW32" i="9"/>
  <c r="CW31" i="9"/>
  <c r="CW30" i="9"/>
  <c r="CW29" i="9"/>
  <c r="CW28" i="9"/>
  <c r="CW27" i="9"/>
  <c r="CW26" i="9"/>
  <c r="CW25" i="9"/>
  <c r="CW24" i="9"/>
  <c r="CW23" i="9"/>
  <c r="CW22" i="9"/>
  <c r="CW21" i="9"/>
  <c r="CW20" i="9"/>
  <c r="CW19" i="9"/>
  <c r="CW18" i="9"/>
  <c r="CW17" i="9"/>
  <c r="CW67" i="9" s="1"/>
  <c r="CW68" i="9" s="1"/>
  <c r="CW16" i="9"/>
  <c r="CW15" i="9"/>
  <c r="CW14" i="9"/>
  <c r="CV51" i="9"/>
  <c r="CV50" i="9"/>
  <c r="CV49" i="9"/>
  <c r="CV48" i="9"/>
  <c r="CV47" i="9"/>
  <c r="CV46" i="9"/>
  <c r="CV45" i="9"/>
  <c r="CV44" i="9"/>
  <c r="CV43" i="9"/>
  <c r="CV42" i="9"/>
  <c r="CV41" i="9"/>
  <c r="CV40" i="9"/>
  <c r="CV39" i="9"/>
  <c r="CV38" i="9"/>
  <c r="CV37" i="9"/>
  <c r="CV36" i="9"/>
  <c r="CV35" i="9"/>
  <c r="CV34" i="9"/>
  <c r="CV33" i="9"/>
  <c r="CV32" i="9"/>
  <c r="CV31" i="9"/>
  <c r="CV71" i="9" s="1"/>
  <c r="CV72" i="9" s="1"/>
  <c r="CV30" i="9"/>
  <c r="CV29" i="9"/>
  <c r="CV28" i="9"/>
  <c r="CV27" i="9"/>
  <c r="CV26" i="9"/>
  <c r="CV25" i="9"/>
  <c r="CV24" i="9"/>
  <c r="CV23" i="9"/>
  <c r="CV22" i="9"/>
  <c r="CV21" i="9"/>
  <c r="CV20" i="9"/>
  <c r="CV19" i="9"/>
  <c r="CV18" i="9"/>
  <c r="CV17" i="9"/>
  <c r="CV16" i="9"/>
  <c r="CV15" i="9"/>
  <c r="CV14" i="9"/>
  <c r="CU51" i="9"/>
  <c r="CU50" i="9"/>
  <c r="CU49" i="9"/>
  <c r="CU48" i="9"/>
  <c r="CU47" i="9"/>
  <c r="CU46" i="9"/>
  <c r="CU45" i="9"/>
  <c r="CU75" i="9" s="1"/>
  <c r="CU44" i="9"/>
  <c r="CU43" i="9"/>
  <c r="CU42" i="9"/>
  <c r="CU41" i="9"/>
  <c r="CU40" i="9"/>
  <c r="CU39" i="9"/>
  <c r="CU38" i="9"/>
  <c r="CU37" i="9"/>
  <c r="CU36" i="9"/>
  <c r="CU35" i="9"/>
  <c r="CU34" i="9"/>
  <c r="CU33" i="9"/>
  <c r="CU32" i="9"/>
  <c r="CU31" i="9"/>
  <c r="CU30" i="9"/>
  <c r="CU29" i="9"/>
  <c r="CU28" i="9"/>
  <c r="CU27" i="9"/>
  <c r="CU26" i="9"/>
  <c r="CU25" i="9"/>
  <c r="CU24" i="9"/>
  <c r="CU23" i="9"/>
  <c r="CU22" i="9"/>
  <c r="CU21" i="9"/>
  <c r="CU20" i="9"/>
  <c r="CU19" i="9"/>
  <c r="CU18" i="9"/>
  <c r="CU17" i="9"/>
  <c r="CU67" i="9" s="1"/>
  <c r="CU68" i="9" s="1"/>
  <c r="CU16" i="9"/>
  <c r="CU15" i="9"/>
  <c r="CU14" i="9"/>
  <c r="CT51" i="9"/>
  <c r="CT50" i="9"/>
  <c r="CT49" i="9"/>
  <c r="CT48" i="9"/>
  <c r="CT47" i="9"/>
  <c r="CT46" i="9"/>
  <c r="CT45" i="9"/>
  <c r="CT44" i="9"/>
  <c r="CT43" i="9"/>
  <c r="CT42" i="9"/>
  <c r="CT41" i="9"/>
  <c r="CT40" i="9"/>
  <c r="CT39" i="9"/>
  <c r="CT38" i="9"/>
  <c r="CT37" i="9"/>
  <c r="CT36" i="9"/>
  <c r="CT35" i="9"/>
  <c r="CT34" i="9"/>
  <c r="CT33" i="9"/>
  <c r="CT32" i="9"/>
  <c r="CT31" i="9"/>
  <c r="CT71" i="9" s="1"/>
  <c r="CT72" i="9" s="1"/>
  <c r="CT30" i="9"/>
  <c r="CT29" i="9"/>
  <c r="CT28" i="9"/>
  <c r="CT27" i="9"/>
  <c r="CT26" i="9"/>
  <c r="CT25" i="9"/>
  <c r="CT24" i="9"/>
  <c r="CT23" i="9"/>
  <c r="CT22" i="9"/>
  <c r="CT21" i="9"/>
  <c r="CT20" i="9"/>
  <c r="CT19" i="9"/>
  <c r="CT18" i="9"/>
  <c r="CT17" i="9"/>
  <c r="CT16" i="9"/>
  <c r="CT15" i="9"/>
  <c r="CT14" i="9"/>
  <c r="CS51" i="9"/>
  <c r="CS50" i="9"/>
  <c r="CS49" i="9"/>
  <c r="CS48" i="9"/>
  <c r="CS47" i="9"/>
  <c r="CS46" i="9"/>
  <c r="CS45" i="9"/>
  <c r="CS75" i="9" s="1"/>
  <c r="CS44" i="9"/>
  <c r="CS43" i="9"/>
  <c r="CS42" i="9"/>
  <c r="CS41" i="9"/>
  <c r="CS40" i="9"/>
  <c r="CS39" i="9"/>
  <c r="CS38" i="9"/>
  <c r="CS37" i="9"/>
  <c r="CS36" i="9"/>
  <c r="CS35" i="9"/>
  <c r="CS34" i="9"/>
  <c r="CS33" i="9"/>
  <c r="CS32" i="9"/>
  <c r="CS31" i="9"/>
  <c r="CS30" i="9"/>
  <c r="CS29" i="9"/>
  <c r="CS28" i="9"/>
  <c r="CS27" i="9"/>
  <c r="CS26" i="9"/>
  <c r="CS25" i="9"/>
  <c r="CS24" i="9"/>
  <c r="CS23" i="9"/>
  <c r="CS22" i="9"/>
  <c r="CS21" i="9"/>
  <c r="CS20" i="9"/>
  <c r="CS19" i="9"/>
  <c r="CS18" i="9"/>
  <c r="CS17" i="9"/>
  <c r="CS67" i="9" s="1"/>
  <c r="CS68" i="9" s="1"/>
  <c r="CS16" i="9"/>
  <c r="CS15" i="9"/>
  <c r="CS14" i="9"/>
  <c r="CR51" i="9"/>
  <c r="CR50" i="9"/>
  <c r="CR49" i="9"/>
  <c r="CR48" i="9"/>
  <c r="CR47" i="9"/>
  <c r="CR46" i="9"/>
  <c r="CR45" i="9"/>
  <c r="CR44" i="9"/>
  <c r="CR43" i="9"/>
  <c r="CR42" i="9"/>
  <c r="CR41" i="9"/>
  <c r="CR40" i="9"/>
  <c r="CR39" i="9"/>
  <c r="CR38" i="9"/>
  <c r="CR37" i="9"/>
  <c r="CR36" i="9"/>
  <c r="CR35" i="9"/>
  <c r="CR34" i="9"/>
  <c r="CR33" i="9"/>
  <c r="CR32" i="9"/>
  <c r="CR31" i="9"/>
  <c r="CR71" i="9" s="1"/>
  <c r="CR72" i="9" s="1"/>
  <c r="CR30" i="9"/>
  <c r="CR29" i="9"/>
  <c r="CR28" i="9"/>
  <c r="CR27" i="9"/>
  <c r="CR26" i="9"/>
  <c r="CR25" i="9"/>
  <c r="CR24" i="9"/>
  <c r="CR23" i="9"/>
  <c r="CR22" i="9"/>
  <c r="CR21" i="9"/>
  <c r="CR20" i="9"/>
  <c r="CR19" i="9"/>
  <c r="CR18" i="9"/>
  <c r="CR17" i="9"/>
  <c r="CR16" i="9"/>
  <c r="CR15" i="9"/>
  <c r="CR14" i="9"/>
  <c r="CQ51" i="9"/>
  <c r="CQ50" i="9"/>
  <c r="CQ49" i="9"/>
  <c r="CQ48" i="9"/>
  <c r="CQ47" i="9"/>
  <c r="CQ46" i="9"/>
  <c r="CQ45" i="9"/>
  <c r="CQ75" i="9" s="1"/>
  <c r="CQ44" i="9"/>
  <c r="CQ43" i="9"/>
  <c r="CQ42" i="9"/>
  <c r="CQ41" i="9"/>
  <c r="CQ40" i="9"/>
  <c r="CQ39" i="9"/>
  <c r="CQ38" i="9"/>
  <c r="CQ37" i="9"/>
  <c r="CQ36" i="9"/>
  <c r="CQ35" i="9"/>
  <c r="CQ34" i="9"/>
  <c r="CQ33" i="9"/>
  <c r="CQ32" i="9"/>
  <c r="CQ31" i="9"/>
  <c r="CQ30" i="9"/>
  <c r="CQ29" i="9"/>
  <c r="CQ28" i="9"/>
  <c r="CQ27" i="9"/>
  <c r="CQ26" i="9"/>
  <c r="CQ25" i="9"/>
  <c r="CQ24" i="9"/>
  <c r="CQ23" i="9"/>
  <c r="CQ22" i="9"/>
  <c r="CQ21" i="9"/>
  <c r="CQ20" i="9"/>
  <c r="CQ19" i="9"/>
  <c r="CQ18" i="9"/>
  <c r="CQ17" i="9"/>
  <c r="CQ67" i="9" s="1"/>
  <c r="CQ68" i="9" s="1"/>
  <c r="CQ16" i="9"/>
  <c r="CQ15" i="9"/>
  <c r="CQ14" i="9"/>
  <c r="CP51" i="9"/>
  <c r="CP50" i="9"/>
  <c r="CP49" i="9"/>
  <c r="CP48" i="9"/>
  <c r="CP47" i="9"/>
  <c r="CP46" i="9"/>
  <c r="CP45" i="9"/>
  <c r="CP44" i="9"/>
  <c r="CP43" i="9"/>
  <c r="CP42" i="9"/>
  <c r="CP41" i="9"/>
  <c r="CP40" i="9"/>
  <c r="CP39" i="9"/>
  <c r="CP38" i="9"/>
  <c r="CP37" i="9"/>
  <c r="CP36" i="9"/>
  <c r="CP35" i="9"/>
  <c r="CP34" i="9"/>
  <c r="CP33" i="9"/>
  <c r="CP32" i="9"/>
  <c r="CP31" i="9"/>
  <c r="CP71" i="9" s="1"/>
  <c r="CP72" i="9" s="1"/>
  <c r="CP30" i="9"/>
  <c r="CP29" i="9"/>
  <c r="CP28" i="9"/>
  <c r="CP27" i="9"/>
  <c r="CP26" i="9"/>
  <c r="CP25" i="9"/>
  <c r="CP24" i="9"/>
  <c r="CP23" i="9"/>
  <c r="CP22" i="9"/>
  <c r="CP21" i="9"/>
  <c r="CP20" i="9"/>
  <c r="CP19" i="9"/>
  <c r="CP18" i="9"/>
  <c r="CP17" i="9"/>
  <c r="CP16" i="9"/>
  <c r="CP15" i="9"/>
  <c r="CP14" i="9"/>
  <c r="CO51" i="9"/>
  <c r="CO50" i="9"/>
  <c r="CO49" i="9"/>
  <c r="CO48" i="9"/>
  <c r="CO47" i="9"/>
  <c r="CO46" i="9"/>
  <c r="CO45" i="9"/>
  <c r="CO75" i="9" s="1"/>
  <c r="CO44" i="9"/>
  <c r="CO43" i="9"/>
  <c r="CO42" i="9"/>
  <c r="CO41" i="9"/>
  <c r="CO40" i="9"/>
  <c r="CO39" i="9"/>
  <c r="CO38" i="9"/>
  <c r="CO37" i="9"/>
  <c r="CO36" i="9"/>
  <c r="CO35" i="9"/>
  <c r="CO34" i="9"/>
  <c r="CO33" i="9"/>
  <c r="CO32" i="9"/>
  <c r="CO31" i="9"/>
  <c r="CO30" i="9"/>
  <c r="CO29" i="9"/>
  <c r="CO28" i="9"/>
  <c r="CO27" i="9"/>
  <c r="CO26" i="9"/>
  <c r="CO25" i="9"/>
  <c r="CO24" i="9"/>
  <c r="CO23" i="9"/>
  <c r="CO22" i="9"/>
  <c r="CO21" i="9"/>
  <c r="CO20" i="9"/>
  <c r="CO19" i="9"/>
  <c r="CO18" i="9"/>
  <c r="CO17" i="9"/>
  <c r="CO67" i="9" s="1"/>
  <c r="CO68" i="9" s="1"/>
  <c r="CO16" i="9"/>
  <c r="CO15" i="9"/>
  <c r="CO14" i="9"/>
  <c r="CN51" i="9"/>
  <c r="CN50" i="9"/>
  <c r="CN49" i="9"/>
  <c r="CN48" i="9"/>
  <c r="CN47" i="9"/>
  <c r="CN46" i="9"/>
  <c r="CN45" i="9"/>
  <c r="CN44" i="9"/>
  <c r="CN43" i="9"/>
  <c r="CN42" i="9"/>
  <c r="CN41" i="9"/>
  <c r="CN40" i="9"/>
  <c r="CN39" i="9"/>
  <c r="CN38" i="9"/>
  <c r="CN37" i="9"/>
  <c r="CN36" i="9"/>
  <c r="CN35" i="9"/>
  <c r="CN34" i="9"/>
  <c r="CN33" i="9"/>
  <c r="CN32" i="9"/>
  <c r="CN31" i="9"/>
  <c r="CN71" i="9" s="1"/>
  <c r="CN72" i="9" s="1"/>
  <c r="CN30" i="9"/>
  <c r="CN29" i="9"/>
  <c r="CN28" i="9"/>
  <c r="CN27" i="9"/>
  <c r="CN26" i="9"/>
  <c r="CN25" i="9"/>
  <c r="CN24" i="9"/>
  <c r="CN23" i="9"/>
  <c r="CN22" i="9"/>
  <c r="CN21" i="9"/>
  <c r="CN20" i="9"/>
  <c r="CN19" i="9"/>
  <c r="CN18" i="9"/>
  <c r="CN17" i="9"/>
  <c r="CN16" i="9"/>
  <c r="CN15" i="9"/>
  <c r="CN14" i="9"/>
  <c r="CM16" i="9"/>
  <c r="CM15" i="9"/>
  <c r="CM14" i="9"/>
  <c r="CM51" i="9"/>
  <c r="CM50" i="9"/>
  <c r="CM49" i="9"/>
  <c r="CM48" i="9"/>
  <c r="CM47" i="9"/>
  <c r="CM46" i="9"/>
  <c r="CM45" i="9"/>
  <c r="CM44" i="9"/>
  <c r="CM43" i="9"/>
  <c r="CM42" i="9"/>
  <c r="CM41" i="9"/>
  <c r="CM40" i="9"/>
  <c r="CM39" i="9"/>
  <c r="CM38" i="9"/>
  <c r="CM37" i="9"/>
  <c r="CM36" i="9"/>
  <c r="CM35" i="9"/>
  <c r="CM34" i="9"/>
  <c r="CM33" i="9"/>
  <c r="CM32" i="9"/>
  <c r="CM31" i="9"/>
  <c r="CM30" i="9"/>
  <c r="CM29" i="9"/>
  <c r="CM28" i="9"/>
  <c r="CM27" i="9"/>
  <c r="CM26" i="9"/>
  <c r="CM25" i="9"/>
  <c r="CM24" i="9"/>
  <c r="CM69" i="9" s="1"/>
  <c r="CM70" i="9" s="1"/>
  <c r="CM23" i="9"/>
  <c r="CM22" i="9"/>
  <c r="CM21" i="9"/>
  <c r="CM20" i="9"/>
  <c r="CM19" i="9"/>
  <c r="CM18" i="9"/>
  <c r="CM17" i="9"/>
  <c r="CL51" i="9"/>
  <c r="CL50" i="9"/>
  <c r="CL49" i="9"/>
  <c r="CL48" i="9"/>
  <c r="CL47" i="9"/>
  <c r="CL46" i="9"/>
  <c r="CL45" i="9"/>
  <c r="CL44" i="9"/>
  <c r="CL43" i="9"/>
  <c r="CL42" i="9"/>
  <c r="CL41" i="9"/>
  <c r="CL40" i="9"/>
  <c r="CL39" i="9"/>
  <c r="CL38" i="9"/>
  <c r="CL37" i="9"/>
  <c r="CL36" i="9"/>
  <c r="CL35" i="9"/>
  <c r="CL34" i="9"/>
  <c r="CL33" i="9"/>
  <c r="CL32" i="9"/>
  <c r="CL31" i="9"/>
  <c r="CL30" i="9"/>
  <c r="CL29" i="9"/>
  <c r="CL28" i="9"/>
  <c r="CL27" i="9"/>
  <c r="CL26" i="9"/>
  <c r="CL25" i="9"/>
  <c r="CL24" i="9"/>
  <c r="CL23" i="9"/>
  <c r="CL22" i="9"/>
  <c r="CL21" i="9"/>
  <c r="CL20" i="9"/>
  <c r="CL19" i="9"/>
  <c r="CL18" i="9"/>
  <c r="CL17" i="9"/>
  <c r="CL16" i="9"/>
  <c r="CL15" i="9"/>
  <c r="CL14" i="9"/>
  <c r="CK51" i="9"/>
  <c r="CK50" i="9"/>
  <c r="CK49" i="9"/>
  <c r="CK48" i="9"/>
  <c r="CK47" i="9"/>
  <c r="CK46" i="9"/>
  <c r="CK45" i="9"/>
  <c r="CK75" i="9" s="1"/>
  <c r="CK44" i="9"/>
  <c r="CK43" i="9"/>
  <c r="CK42" i="9"/>
  <c r="CK41" i="9"/>
  <c r="CK40" i="9"/>
  <c r="CK39" i="9"/>
  <c r="CK38" i="9"/>
  <c r="CK37" i="9"/>
  <c r="CK36" i="9"/>
  <c r="CK35" i="9"/>
  <c r="CK34" i="9"/>
  <c r="CK33" i="9"/>
  <c r="CK32" i="9"/>
  <c r="CK31" i="9"/>
  <c r="CK30" i="9"/>
  <c r="CK29" i="9"/>
  <c r="CK28" i="9"/>
  <c r="CK27" i="9"/>
  <c r="CK26" i="9"/>
  <c r="CK25" i="9"/>
  <c r="CK24" i="9"/>
  <c r="CK23" i="9"/>
  <c r="CK22" i="9"/>
  <c r="CK21" i="9"/>
  <c r="CK20" i="9"/>
  <c r="CK19" i="9"/>
  <c r="CK18" i="9"/>
  <c r="CK17" i="9"/>
  <c r="CK67" i="9" s="1"/>
  <c r="CK68" i="9" s="1"/>
  <c r="CK16" i="9"/>
  <c r="CK15" i="9"/>
  <c r="CK14" i="9"/>
  <c r="CJ51" i="9"/>
  <c r="CJ50" i="9"/>
  <c r="CJ49" i="9"/>
  <c r="CJ48" i="9"/>
  <c r="CJ47" i="9"/>
  <c r="CJ46" i="9"/>
  <c r="CJ45" i="9"/>
  <c r="CJ44" i="9"/>
  <c r="CJ43" i="9"/>
  <c r="CJ42" i="9"/>
  <c r="CJ41" i="9"/>
  <c r="CJ40" i="9"/>
  <c r="CJ39" i="9"/>
  <c r="CJ38" i="9"/>
  <c r="CJ37" i="9"/>
  <c r="CJ36" i="9"/>
  <c r="CJ35" i="9"/>
  <c r="CJ34" i="9"/>
  <c r="CJ33" i="9"/>
  <c r="CJ32" i="9"/>
  <c r="CJ31" i="9"/>
  <c r="CJ71" i="9" s="1"/>
  <c r="CJ72" i="9" s="1"/>
  <c r="CJ30" i="9"/>
  <c r="CJ29" i="9"/>
  <c r="CJ28" i="9"/>
  <c r="CJ27" i="9"/>
  <c r="CJ26" i="9"/>
  <c r="CJ25" i="9"/>
  <c r="CJ24" i="9"/>
  <c r="CJ23" i="9"/>
  <c r="CJ22" i="9"/>
  <c r="CJ21" i="9"/>
  <c r="CJ20" i="9"/>
  <c r="CJ19" i="9"/>
  <c r="CJ18" i="9"/>
  <c r="CJ17" i="9"/>
  <c r="CJ16" i="9"/>
  <c r="CJ15" i="9"/>
  <c r="CJ14" i="9"/>
  <c r="CI51" i="9"/>
  <c r="CI50" i="9"/>
  <c r="CI49" i="9"/>
  <c r="CI48" i="9"/>
  <c r="CI47" i="9"/>
  <c r="CI46" i="9"/>
  <c r="CI45" i="9"/>
  <c r="CI44" i="9"/>
  <c r="CI43" i="9"/>
  <c r="CI42" i="9"/>
  <c r="CI41" i="9"/>
  <c r="CI40" i="9"/>
  <c r="CI39" i="9"/>
  <c r="CI38" i="9"/>
  <c r="CI37" i="9"/>
  <c r="CI36" i="9"/>
  <c r="CI35" i="9"/>
  <c r="CI34" i="9"/>
  <c r="CI33" i="9"/>
  <c r="CI32" i="9"/>
  <c r="CI31" i="9"/>
  <c r="CI30" i="9"/>
  <c r="CI29" i="9"/>
  <c r="CI28" i="9"/>
  <c r="CI27" i="9"/>
  <c r="CI26" i="9"/>
  <c r="CI25" i="9"/>
  <c r="CI24" i="9"/>
  <c r="CI23" i="9"/>
  <c r="CI22" i="9"/>
  <c r="CI21" i="9"/>
  <c r="CI20" i="9"/>
  <c r="CI19" i="9"/>
  <c r="CI18" i="9"/>
  <c r="CI17" i="9"/>
  <c r="CI67" i="9" s="1"/>
  <c r="CI68" i="9" s="1"/>
  <c r="CI16" i="9"/>
  <c r="CI15" i="9"/>
  <c r="CI14" i="9"/>
  <c r="CH51" i="9"/>
  <c r="CH50" i="9"/>
  <c r="CH49" i="9"/>
  <c r="CH48" i="9"/>
  <c r="CH47" i="9"/>
  <c r="CH46" i="9"/>
  <c r="CH45" i="9"/>
  <c r="CH44" i="9"/>
  <c r="CH43" i="9"/>
  <c r="CH42" i="9"/>
  <c r="CH41" i="9"/>
  <c r="CH40" i="9"/>
  <c r="CH39" i="9"/>
  <c r="CH38" i="9"/>
  <c r="CH37" i="9"/>
  <c r="CH36" i="9"/>
  <c r="CH35" i="9"/>
  <c r="CH34" i="9"/>
  <c r="CH33" i="9"/>
  <c r="CH32" i="9"/>
  <c r="CH31" i="9"/>
  <c r="CH71" i="9" s="1"/>
  <c r="CH72" i="9" s="1"/>
  <c r="CH30" i="9"/>
  <c r="CH29" i="9"/>
  <c r="CH28" i="9"/>
  <c r="CH27" i="9"/>
  <c r="CH26" i="9"/>
  <c r="CH25" i="9"/>
  <c r="CH24" i="9"/>
  <c r="CH23" i="9"/>
  <c r="CH22" i="9"/>
  <c r="CH21" i="9"/>
  <c r="CH20" i="9"/>
  <c r="CH19" i="9"/>
  <c r="CH18" i="9"/>
  <c r="CH17" i="9"/>
  <c r="CH16" i="9"/>
  <c r="CH15" i="9"/>
  <c r="CH14" i="9"/>
  <c r="CG51" i="9"/>
  <c r="CG50" i="9"/>
  <c r="CG49" i="9"/>
  <c r="CG48" i="9"/>
  <c r="CG47" i="9"/>
  <c r="CG46" i="9"/>
  <c r="CG45" i="9"/>
  <c r="CG75" i="9" s="1"/>
  <c r="CG44" i="9"/>
  <c r="CG43" i="9"/>
  <c r="CG42" i="9"/>
  <c r="CG41" i="9"/>
  <c r="CG40" i="9"/>
  <c r="CG39" i="9"/>
  <c r="CG38" i="9"/>
  <c r="CG37" i="9"/>
  <c r="CG36" i="9"/>
  <c r="CG35" i="9"/>
  <c r="CG34" i="9"/>
  <c r="CG33" i="9"/>
  <c r="CG32" i="9"/>
  <c r="CG31" i="9"/>
  <c r="CG30" i="9"/>
  <c r="CG29" i="9"/>
  <c r="CG28" i="9"/>
  <c r="CG27" i="9"/>
  <c r="CG26" i="9"/>
  <c r="CG25" i="9"/>
  <c r="CG24" i="9"/>
  <c r="CG23" i="9"/>
  <c r="CG22" i="9"/>
  <c r="CG21" i="9"/>
  <c r="CG20" i="9"/>
  <c r="CG19" i="9"/>
  <c r="CG18" i="9"/>
  <c r="CG17" i="9"/>
  <c r="CG67" i="9" s="1"/>
  <c r="CG68" i="9" s="1"/>
  <c r="CG16" i="9"/>
  <c r="CG15" i="9"/>
  <c r="CG14" i="9"/>
  <c r="CF51" i="9"/>
  <c r="CF50" i="9"/>
  <c r="CF49" i="9"/>
  <c r="CF48" i="9"/>
  <c r="CF47" i="9"/>
  <c r="CF46" i="9"/>
  <c r="CF45" i="9"/>
  <c r="CF44" i="9"/>
  <c r="CF43" i="9"/>
  <c r="CF42" i="9"/>
  <c r="CF41" i="9"/>
  <c r="CF40" i="9"/>
  <c r="CF39" i="9"/>
  <c r="CF38" i="9"/>
  <c r="CF37" i="9"/>
  <c r="CF36" i="9"/>
  <c r="CF35" i="9"/>
  <c r="CF34" i="9"/>
  <c r="CF33" i="9"/>
  <c r="CF32" i="9"/>
  <c r="CF31" i="9"/>
  <c r="CF71" i="9" s="1"/>
  <c r="CF72" i="9" s="1"/>
  <c r="CF30" i="9"/>
  <c r="CF29" i="9"/>
  <c r="CF28" i="9"/>
  <c r="CF27" i="9"/>
  <c r="CF26" i="9"/>
  <c r="CF25" i="9"/>
  <c r="CF24" i="9"/>
  <c r="CF23" i="9"/>
  <c r="CF22" i="9"/>
  <c r="CF21" i="9"/>
  <c r="CF20" i="9"/>
  <c r="CF19" i="9"/>
  <c r="CF18" i="9"/>
  <c r="CF17" i="9"/>
  <c r="CF16" i="9"/>
  <c r="CF15" i="9"/>
  <c r="CF14" i="9"/>
  <c r="CE51" i="9"/>
  <c r="CE50" i="9"/>
  <c r="CE49" i="9"/>
  <c r="CE48" i="9"/>
  <c r="CE47" i="9"/>
  <c r="CE46" i="9"/>
  <c r="CE45" i="9"/>
  <c r="CE75" i="9" s="1"/>
  <c r="CE44" i="9"/>
  <c r="CE43" i="9"/>
  <c r="CE42" i="9"/>
  <c r="CE41" i="9"/>
  <c r="CE40" i="9"/>
  <c r="CE39" i="9"/>
  <c r="CE38" i="9"/>
  <c r="CE37" i="9"/>
  <c r="CE36" i="9"/>
  <c r="CE35" i="9"/>
  <c r="CE34" i="9"/>
  <c r="CE33" i="9"/>
  <c r="CE32" i="9"/>
  <c r="CE31" i="9"/>
  <c r="CE30" i="9"/>
  <c r="CE29" i="9"/>
  <c r="CE28" i="9"/>
  <c r="CE27" i="9"/>
  <c r="CE26" i="9"/>
  <c r="CE25" i="9"/>
  <c r="CE24" i="9"/>
  <c r="CE23" i="9"/>
  <c r="CE22" i="9"/>
  <c r="CE21" i="9"/>
  <c r="CE20" i="9"/>
  <c r="CE19" i="9"/>
  <c r="CE18" i="9"/>
  <c r="CE17" i="9"/>
  <c r="CE67" i="9" s="1"/>
  <c r="CE68" i="9" s="1"/>
  <c r="CE16" i="9"/>
  <c r="CE15" i="9"/>
  <c r="CE14" i="9"/>
  <c r="CD51" i="9"/>
  <c r="CD50" i="9"/>
  <c r="CD49" i="9"/>
  <c r="CD48" i="9"/>
  <c r="CD47" i="9"/>
  <c r="CD46" i="9"/>
  <c r="CD45" i="9"/>
  <c r="CD44" i="9"/>
  <c r="CD43" i="9"/>
  <c r="CD42" i="9"/>
  <c r="CD41" i="9"/>
  <c r="CD40" i="9"/>
  <c r="CD39" i="9"/>
  <c r="CD38" i="9"/>
  <c r="CD37" i="9"/>
  <c r="CD36" i="9"/>
  <c r="CD35" i="9"/>
  <c r="CD34" i="9"/>
  <c r="CD33" i="9"/>
  <c r="CD32" i="9"/>
  <c r="CD31" i="9"/>
  <c r="CD71" i="9" s="1"/>
  <c r="CD72" i="9" s="1"/>
  <c r="CD30" i="9"/>
  <c r="CD29" i="9"/>
  <c r="CD28" i="9"/>
  <c r="CD27" i="9"/>
  <c r="CD26" i="9"/>
  <c r="CD25" i="9"/>
  <c r="CD24" i="9"/>
  <c r="CD23" i="9"/>
  <c r="CD22" i="9"/>
  <c r="CD21" i="9"/>
  <c r="CD20" i="9"/>
  <c r="CD19" i="9"/>
  <c r="CD18" i="9"/>
  <c r="CD17" i="9"/>
  <c r="CD16" i="9"/>
  <c r="CD15" i="9"/>
  <c r="CD14" i="9"/>
  <c r="CC51" i="9"/>
  <c r="CC50" i="9"/>
  <c r="CC49" i="9"/>
  <c r="CC48" i="9"/>
  <c r="CC47" i="9"/>
  <c r="CC46" i="9"/>
  <c r="CC45" i="9"/>
  <c r="CC75" i="9" s="1"/>
  <c r="CC44" i="9"/>
  <c r="CC43" i="9"/>
  <c r="CC42" i="9"/>
  <c r="CC41" i="9"/>
  <c r="CC40" i="9"/>
  <c r="CC39" i="9"/>
  <c r="CC38" i="9"/>
  <c r="CC37" i="9"/>
  <c r="CC36" i="9"/>
  <c r="CC35" i="9"/>
  <c r="CC34" i="9"/>
  <c r="CC33" i="9"/>
  <c r="CC32" i="9"/>
  <c r="CC31" i="9"/>
  <c r="CC30" i="9"/>
  <c r="CC29" i="9"/>
  <c r="CC28" i="9"/>
  <c r="CC27" i="9"/>
  <c r="CC26" i="9"/>
  <c r="CC25" i="9"/>
  <c r="CC24" i="9"/>
  <c r="CC23" i="9"/>
  <c r="CC22" i="9"/>
  <c r="CC21" i="9"/>
  <c r="CC20" i="9"/>
  <c r="CC19" i="9"/>
  <c r="CC18" i="9"/>
  <c r="CC17" i="9"/>
  <c r="CC16" i="9"/>
  <c r="CC15" i="9"/>
  <c r="CC14" i="9"/>
  <c r="CB51" i="9"/>
  <c r="CB50" i="9"/>
  <c r="CB49" i="9"/>
  <c r="CB48" i="9"/>
  <c r="CB47" i="9"/>
  <c r="CB46" i="9"/>
  <c r="CB45" i="9"/>
  <c r="CB44" i="9"/>
  <c r="CB43" i="9"/>
  <c r="CB42" i="9"/>
  <c r="CB41" i="9"/>
  <c r="CB40" i="9"/>
  <c r="CB39" i="9"/>
  <c r="CB38" i="9"/>
  <c r="CB37" i="9"/>
  <c r="CB36" i="9"/>
  <c r="CB35" i="9"/>
  <c r="CB34" i="9"/>
  <c r="CB33" i="9"/>
  <c r="CB32" i="9"/>
  <c r="CB31" i="9"/>
  <c r="CB30" i="9"/>
  <c r="CB29" i="9"/>
  <c r="CB28" i="9"/>
  <c r="CB27" i="9"/>
  <c r="CB26" i="9"/>
  <c r="CB25" i="9"/>
  <c r="CB24" i="9"/>
  <c r="CB23" i="9"/>
  <c r="CB22" i="9"/>
  <c r="CB21" i="9"/>
  <c r="CB20" i="9"/>
  <c r="CB19" i="9"/>
  <c r="CB18" i="9"/>
  <c r="CB17" i="9"/>
  <c r="CB16" i="9"/>
  <c r="CB15" i="9"/>
  <c r="CB14" i="9"/>
  <c r="CA51" i="9"/>
  <c r="CA50" i="9"/>
  <c r="CA49" i="9"/>
  <c r="CA48" i="9"/>
  <c r="CA47" i="9"/>
  <c r="CA46" i="9"/>
  <c r="CA45" i="9"/>
  <c r="CA44" i="9"/>
  <c r="CA43" i="9"/>
  <c r="CA42" i="9"/>
  <c r="CA41" i="9"/>
  <c r="CA40" i="9"/>
  <c r="CA39" i="9"/>
  <c r="CA38" i="9"/>
  <c r="CA37" i="9"/>
  <c r="CA36" i="9"/>
  <c r="CA35" i="9"/>
  <c r="CA34" i="9"/>
  <c r="CA33" i="9"/>
  <c r="CA32" i="9"/>
  <c r="CA31" i="9"/>
  <c r="CA30" i="9"/>
  <c r="CA29" i="9"/>
  <c r="CA28" i="9"/>
  <c r="CA27" i="9"/>
  <c r="CA26" i="9"/>
  <c r="CA25" i="9"/>
  <c r="CA24" i="9"/>
  <c r="CA23" i="9"/>
  <c r="CA22" i="9"/>
  <c r="CA21" i="9"/>
  <c r="CA20" i="9"/>
  <c r="CA19" i="9"/>
  <c r="CA18" i="9"/>
  <c r="CA17" i="9"/>
  <c r="CA16" i="9"/>
  <c r="CA15" i="9"/>
  <c r="CA14" i="9"/>
  <c r="BZ51" i="9"/>
  <c r="BZ50" i="9"/>
  <c r="BZ49" i="9"/>
  <c r="BZ48" i="9"/>
  <c r="BZ47" i="9"/>
  <c r="BZ46" i="9"/>
  <c r="BZ45" i="9"/>
  <c r="BZ44" i="9"/>
  <c r="BZ43" i="9"/>
  <c r="BZ42" i="9"/>
  <c r="BZ41" i="9"/>
  <c r="BZ40" i="9"/>
  <c r="BZ39" i="9"/>
  <c r="BZ38" i="9"/>
  <c r="BZ37" i="9"/>
  <c r="BZ36" i="9"/>
  <c r="BZ35" i="9"/>
  <c r="BZ34" i="9"/>
  <c r="BZ33" i="9"/>
  <c r="BZ32" i="9"/>
  <c r="BZ31" i="9"/>
  <c r="BZ30" i="9"/>
  <c r="BZ29" i="9"/>
  <c r="BZ28" i="9"/>
  <c r="BZ27" i="9"/>
  <c r="BZ26" i="9"/>
  <c r="BZ25" i="9"/>
  <c r="BZ24" i="9"/>
  <c r="BZ23" i="9"/>
  <c r="BZ22" i="9"/>
  <c r="BZ21" i="9"/>
  <c r="BZ20" i="9"/>
  <c r="BZ19" i="9"/>
  <c r="BZ18" i="9"/>
  <c r="BZ17" i="9"/>
  <c r="BZ16" i="9"/>
  <c r="BZ15" i="9"/>
  <c r="BZ14" i="9"/>
  <c r="BY51" i="9"/>
  <c r="BY50" i="9"/>
  <c r="BY49" i="9"/>
  <c r="BY48" i="9"/>
  <c r="BY47" i="9"/>
  <c r="BY46" i="9"/>
  <c r="BY45" i="9"/>
  <c r="BY44" i="9"/>
  <c r="BY43" i="9"/>
  <c r="BY42" i="9"/>
  <c r="BY41" i="9"/>
  <c r="BY40" i="9"/>
  <c r="BY39" i="9"/>
  <c r="BY38" i="9"/>
  <c r="BY37" i="9"/>
  <c r="BY36" i="9"/>
  <c r="BY35" i="9"/>
  <c r="BY34" i="9"/>
  <c r="BY33" i="9"/>
  <c r="BY32" i="9"/>
  <c r="BY31" i="9"/>
  <c r="BY30" i="9"/>
  <c r="BY29" i="9"/>
  <c r="BY28" i="9"/>
  <c r="BY27" i="9"/>
  <c r="BY26" i="9"/>
  <c r="BY25" i="9"/>
  <c r="BY24" i="9"/>
  <c r="BY23" i="9"/>
  <c r="BY22" i="9"/>
  <c r="BY21" i="9"/>
  <c r="BY20" i="9"/>
  <c r="BY19" i="9"/>
  <c r="BY18" i="9"/>
  <c r="BY17" i="9"/>
  <c r="BY16" i="9"/>
  <c r="BY15" i="9"/>
  <c r="BY14" i="9"/>
  <c r="BX51" i="9"/>
  <c r="BX50" i="9"/>
  <c r="BX49" i="9"/>
  <c r="BX48" i="9"/>
  <c r="BX47" i="9"/>
  <c r="BX46" i="9"/>
  <c r="BX45" i="9"/>
  <c r="BX44" i="9"/>
  <c r="BX43" i="9"/>
  <c r="BX42" i="9"/>
  <c r="BX41" i="9"/>
  <c r="BX40" i="9"/>
  <c r="BX39" i="9"/>
  <c r="BX38" i="9"/>
  <c r="BX37" i="9"/>
  <c r="BX36" i="9"/>
  <c r="BX35" i="9"/>
  <c r="BX34" i="9"/>
  <c r="BX33" i="9"/>
  <c r="BX32" i="9"/>
  <c r="BX31" i="9"/>
  <c r="BX30" i="9"/>
  <c r="BX29" i="9"/>
  <c r="BX28" i="9"/>
  <c r="BX27" i="9"/>
  <c r="BX26" i="9"/>
  <c r="BX25" i="9"/>
  <c r="BX24" i="9"/>
  <c r="BX23" i="9"/>
  <c r="BX22" i="9"/>
  <c r="BX21" i="9"/>
  <c r="BX20" i="9"/>
  <c r="BX19" i="9"/>
  <c r="BX18" i="9"/>
  <c r="BX17" i="9"/>
  <c r="BX16" i="9"/>
  <c r="BX15" i="9"/>
  <c r="BX14" i="9"/>
  <c r="BW51" i="9"/>
  <c r="BW50" i="9"/>
  <c r="BW49" i="9"/>
  <c r="BW48" i="9"/>
  <c r="BW47" i="9"/>
  <c r="BW46" i="9"/>
  <c r="BW45" i="9"/>
  <c r="BW44" i="9"/>
  <c r="BW43" i="9"/>
  <c r="BW42" i="9"/>
  <c r="BW41" i="9"/>
  <c r="BW40" i="9"/>
  <c r="BW39" i="9"/>
  <c r="BW38" i="9"/>
  <c r="BW37" i="9"/>
  <c r="BW36" i="9"/>
  <c r="BW35" i="9"/>
  <c r="BW34" i="9"/>
  <c r="BW33" i="9"/>
  <c r="BW32" i="9"/>
  <c r="BW31" i="9"/>
  <c r="BW30" i="9"/>
  <c r="BW29" i="9"/>
  <c r="BW28" i="9"/>
  <c r="BW27" i="9"/>
  <c r="BW26" i="9"/>
  <c r="BW25" i="9"/>
  <c r="BW24" i="9"/>
  <c r="BW23" i="9"/>
  <c r="BW22" i="9"/>
  <c r="BW21" i="9"/>
  <c r="BW20" i="9"/>
  <c r="BW19" i="9"/>
  <c r="BW18" i="9"/>
  <c r="BW17" i="9"/>
  <c r="BW16" i="9"/>
  <c r="BW15" i="9"/>
  <c r="BW14" i="9"/>
  <c r="BV51" i="9"/>
  <c r="BV50" i="9"/>
  <c r="BV49" i="9"/>
  <c r="BV48" i="9"/>
  <c r="BV47" i="9"/>
  <c r="BV46" i="9"/>
  <c r="BV45" i="9"/>
  <c r="BV44" i="9"/>
  <c r="BV43" i="9"/>
  <c r="BV42" i="9"/>
  <c r="BV41" i="9"/>
  <c r="BV40" i="9"/>
  <c r="BV39" i="9"/>
  <c r="BV38" i="9"/>
  <c r="BV37" i="9"/>
  <c r="BV36" i="9"/>
  <c r="BV35" i="9"/>
  <c r="BV34" i="9"/>
  <c r="BV33" i="9"/>
  <c r="BV32" i="9"/>
  <c r="BV31" i="9"/>
  <c r="BV30" i="9"/>
  <c r="BV29" i="9"/>
  <c r="BV28" i="9"/>
  <c r="BV27" i="9"/>
  <c r="BV26" i="9"/>
  <c r="BV25" i="9"/>
  <c r="BV24" i="9"/>
  <c r="BV23" i="9"/>
  <c r="BV22" i="9"/>
  <c r="BV21" i="9"/>
  <c r="BV20" i="9"/>
  <c r="BV19" i="9"/>
  <c r="BV18" i="9"/>
  <c r="BV17" i="9"/>
  <c r="BV16" i="9"/>
  <c r="BV15" i="9"/>
  <c r="BV14" i="9"/>
  <c r="CI75" i="9" l="1"/>
  <c r="BW75" i="9"/>
  <c r="BZ71" i="9"/>
  <c r="BZ72" i="9" s="1"/>
  <c r="BW67" i="9"/>
  <c r="BW68" i="9" s="1"/>
  <c r="BY67" i="9"/>
  <c r="BY68" i="9" s="1"/>
  <c r="CA75" i="9"/>
  <c r="BX71" i="9"/>
  <c r="BX72" i="9" s="1"/>
  <c r="BY75" i="9"/>
  <c r="CA67" i="9"/>
  <c r="CA68" i="9" s="1"/>
  <c r="CB71" i="9"/>
  <c r="CB72" i="9" s="1"/>
  <c r="CC67" i="9"/>
  <c r="CC68" i="9" s="1"/>
  <c r="CL71" i="9"/>
  <c r="CL72" i="9" s="1"/>
  <c r="BV75" i="9"/>
  <c r="BW71" i="9"/>
  <c r="BW72" i="9" s="1"/>
  <c r="BX67" i="9"/>
  <c r="BX68" i="9" s="1"/>
  <c r="BX75" i="9"/>
  <c r="BY71" i="9"/>
  <c r="BY72" i="9" s="1"/>
  <c r="BZ67" i="9"/>
  <c r="BZ68" i="9" s="1"/>
  <c r="BZ75" i="9"/>
  <c r="CA71" i="9"/>
  <c r="CA72" i="9" s="1"/>
  <c r="CB67" i="9"/>
  <c r="CB68" i="9" s="1"/>
  <c r="CB75" i="9"/>
  <c r="CC71" i="9"/>
  <c r="CC72" i="9" s="1"/>
  <c r="CD67" i="9"/>
  <c r="CD68" i="9" s="1"/>
  <c r="CD75" i="9"/>
  <c r="CE71" i="9"/>
  <c r="CE72" i="9" s="1"/>
  <c r="CF67" i="9"/>
  <c r="CF68" i="9" s="1"/>
  <c r="CF75" i="9"/>
  <c r="CG71" i="9"/>
  <c r="CG72" i="9" s="1"/>
  <c r="CH67" i="9"/>
  <c r="CH68" i="9" s="1"/>
  <c r="CH75" i="9"/>
  <c r="CI71" i="9"/>
  <c r="CI72" i="9" s="1"/>
  <c r="CJ67" i="9"/>
  <c r="CJ68" i="9" s="1"/>
  <c r="CJ75" i="9"/>
  <c r="CK71" i="9"/>
  <c r="CK72" i="9" s="1"/>
  <c r="CL67" i="9"/>
  <c r="CL68" i="9" s="1"/>
  <c r="CL75" i="9"/>
  <c r="CN67" i="9"/>
  <c r="CN68" i="9" s="1"/>
  <c r="CN75" i="9"/>
  <c r="CO71" i="9"/>
  <c r="CO72" i="9" s="1"/>
  <c r="CP67" i="9"/>
  <c r="CP68" i="9" s="1"/>
  <c r="CP75" i="9"/>
  <c r="CQ71" i="9"/>
  <c r="CQ72" i="9" s="1"/>
  <c r="CR67" i="9"/>
  <c r="CR68" i="9" s="1"/>
  <c r="CR75" i="9"/>
  <c r="CS71" i="9"/>
  <c r="CS72" i="9" s="1"/>
  <c r="CT67" i="9"/>
  <c r="CT68" i="9" s="1"/>
  <c r="CT75" i="9"/>
  <c r="CU71" i="9"/>
  <c r="CU72" i="9" s="1"/>
  <c r="CV67" i="9"/>
  <c r="CV68" i="9" s="1"/>
  <c r="CV75" i="9"/>
  <c r="CW71" i="9"/>
  <c r="CW72" i="9" s="1"/>
  <c r="BV67" i="9"/>
  <c r="BV68" i="9" s="1"/>
  <c r="BV69" i="9"/>
  <c r="BV70" i="9" s="1"/>
  <c r="BV71" i="9"/>
  <c r="BW69" i="9"/>
  <c r="BW70" i="9" s="1"/>
  <c r="BX69" i="9"/>
  <c r="BX70" i="9" s="1"/>
  <c r="BY69" i="9"/>
  <c r="BY70" i="9" s="1"/>
  <c r="BZ69" i="9"/>
  <c r="BZ70" i="9" s="1"/>
  <c r="CA69" i="9"/>
  <c r="CA70" i="9" s="1"/>
  <c r="CB69" i="9"/>
  <c r="CB70" i="9" s="1"/>
  <c r="CC69" i="9"/>
  <c r="CC70" i="9" s="1"/>
  <c r="CD69" i="9"/>
  <c r="CD70" i="9" s="1"/>
  <c r="CE69" i="9"/>
  <c r="CE70" i="9" s="1"/>
  <c r="CF69" i="9"/>
  <c r="CF70" i="9" s="1"/>
  <c r="CG69" i="9"/>
  <c r="CG70" i="9" s="1"/>
  <c r="CH69" i="9"/>
  <c r="CH70" i="9" s="1"/>
  <c r="CI69" i="9"/>
  <c r="CI70" i="9" s="1"/>
  <c r="CJ69" i="9"/>
  <c r="CJ70" i="9" s="1"/>
  <c r="CK69" i="9"/>
  <c r="CK70" i="9" s="1"/>
  <c r="CL69" i="9"/>
  <c r="CL70" i="9" s="1"/>
  <c r="CM67" i="9"/>
  <c r="CM68" i="9" s="1"/>
  <c r="CM71" i="9"/>
  <c r="CM72" i="9" s="1"/>
  <c r="CM75" i="9"/>
  <c r="CN69" i="9"/>
  <c r="CN70" i="9" s="1"/>
  <c r="CN73" i="9"/>
  <c r="CO69" i="9"/>
  <c r="CO70" i="9" s="1"/>
  <c r="CO73" i="9"/>
  <c r="CP69" i="9"/>
  <c r="CP70" i="9" s="1"/>
  <c r="CP73" i="9"/>
  <c r="CQ69" i="9"/>
  <c r="CQ70" i="9" s="1"/>
  <c r="CR69" i="9"/>
  <c r="CR70" i="9" s="1"/>
  <c r="CS69" i="9"/>
  <c r="CS70" i="9" s="1"/>
  <c r="CT69" i="9"/>
  <c r="CT70" i="9" s="1"/>
  <c r="CU69" i="9"/>
  <c r="CU70" i="9" s="1"/>
  <c r="CV69" i="9"/>
  <c r="CV70" i="9" s="1"/>
  <c r="CW69" i="9"/>
  <c r="CW70" i="9" s="1"/>
  <c r="CM73" i="9"/>
  <c r="BV73" i="9"/>
  <c r="BW73" i="9"/>
  <c r="BX73" i="9"/>
  <c r="BY73" i="9"/>
  <c r="BZ73" i="9"/>
  <c r="CA73" i="9"/>
  <c r="CB73" i="9"/>
  <c r="CC73" i="9"/>
  <c r="CD73" i="9"/>
  <c r="CE73" i="9"/>
  <c r="CF73" i="9"/>
  <c r="CG73" i="9"/>
  <c r="CH73" i="9"/>
  <c r="CI73" i="9"/>
  <c r="CJ73" i="9"/>
  <c r="CK73" i="9"/>
  <c r="CL73" i="9"/>
  <c r="CQ73" i="9"/>
  <c r="CR73" i="9"/>
  <c r="CS73" i="9"/>
  <c r="CT73" i="9"/>
  <c r="CU73" i="9"/>
  <c r="CV73" i="9"/>
  <c r="CW73" i="9"/>
  <c r="BM91" i="9"/>
  <c r="BM92" i="9"/>
  <c r="BM93" i="9"/>
  <c r="BM94" i="9"/>
  <c r="BM95" i="9"/>
  <c r="BM96" i="9"/>
  <c r="BM97" i="9"/>
  <c r="BM98" i="9"/>
  <c r="BM99" i="9"/>
  <c r="BM100" i="9"/>
  <c r="BM101" i="9"/>
  <c r="BM102" i="9"/>
  <c r="BM103" i="9"/>
  <c r="BM104" i="9"/>
  <c r="BM105" i="9"/>
  <c r="BM106" i="9"/>
  <c r="BM107" i="9"/>
  <c r="BM108" i="9"/>
  <c r="BM109" i="9"/>
  <c r="BM110" i="9"/>
  <c r="BM111" i="9"/>
  <c r="BM112" i="9"/>
  <c r="BM113" i="9"/>
  <c r="BM114" i="9"/>
  <c r="BM115" i="9"/>
  <c r="BM116" i="9"/>
  <c r="BM117" i="9"/>
  <c r="BM118" i="9"/>
  <c r="BM119" i="9"/>
  <c r="BM120" i="9"/>
  <c r="BM121" i="9"/>
  <c r="BM122" i="9"/>
  <c r="BM123" i="9"/>
  <c r="BM124" i="9"/>
  <c r="BM125" i="9"/>
  <c r="BM88" i="9"/>
  <c r="BM89" i="9"/>
  <c r="BM90" i="9"/>
  <c r="BM13" i="9"/>
  <c r="CW63" i="9"/>
  <c r="CW64" i="9" s="1"/>
  <c r="CW59" i="9"/>
  <c r="CW60" i="9" s="1"/>
  <c r="BK91" i="9"/>
  <c r="BK92" i="9"/>
  <c r="BK93" i="9"/>
  <c r="BK94" i="9"/>
  <c r="BK95" i="9"/>
  <c r="BK96" i="9"/>
  <c r="BK97" i="9"/>
  <c r="BK98" i="9"/>
  <c r="BK99" i="9"/>
  <c r="BK100" i="9"/>
  <c r="BK101" i="9"/>
  <c r="BK102" i="9"/>
  <c r="BK103" i="9"/>
  <c r="BK104" i="9"/>
  <c r="BK105" i="9"/>
  <c r="BK106" i="9"/>
  <c r="BK107" i="9"/>
  <c r="BK108" i="9"/>
  <c r="BK109" i="9"/>
  <c r="BK110" i="9"/>
  <c r="BK111" i="9"/>
  <c r="BK112" i="9"/>
  <c r="BK113" i="9"/>
  <c r="BK114" i="9"/>
  <c r="BK115" i="9"/>
  <c r="BK116" i="9"/>
  <c r="BK117" i="9"/>
  <c r="BK118" i="9"/>
  <c r="BK119" i="9"/>
  <c r="BK120" i="9"/>
  <c r="BK121" i="9"/>
  <c r="BK122" i="9"/>
  <c r="BK123" i="9"/>
  <c r="BK124" i="9"/>
  <c r="BK125" i="9"/>
  <c r="BK88" i="9"/>
  <c r="BK89" i="9"/>
  <c r="BK90" i="9"/>
  <c r="BK13" i="9"/>
  <c r="CV65" i="9"/>
  <c r="CV66" i="9" s="1"/>
  <c r="CV61" i="9"/>
  <c r="CV62" i="9" s="1"/>
  <c r="CV59" i="9"/>
  <c r="CV60" i="9" s="1"/>
  <c r="CU57" i="9"/>
  <c r="CU58" i="9" s="1"/>
  <c r="BI91" i="9"/>
  <c r="BI92" i="9"/>
  <c r="BI93" i="9"/>
  <c r="BI94" i="9"/>
  <c r="BI95" i="9"/>
  <c r="BI96" i="9"/>
  <c r="BI97" i="9"/>
  <c r="BI98" i="9"/>
  <c r="BI99" i="9"/>
  <c r="BI100" i="9"/>
  <c r="BI101" i="9"/>
  <c r="BI102" i="9"/>
  <c r="BI103" i="9"/>
  <c r="BI104" i="9"/>
  <c r="BI105" i="9"/>
  <c r="BI106" i="9"/>
  <c r="BI107" i="9"/>
  <c r="BI108" i="9"/>
  <c r="BI109" i="9"/>
  <c r="BI110" i="9"/>
  <c r="BI111" i="9"/>
  <c r="BI112" i="9"/>
  <c r="BI113" i="9"/>
  <c r="BI114" i="9"/>
  <c r="BI115" i="9"/>
  <c r="BI116" i="9"/>
  <c r="BI117" i="9"/>
  <c r="BI118" i="9"/>
  <c r="BI119" i="9"/>
  <c r="BI120" i="9"/>
  <c r="BI121" i="9"/>
  <c r="BI122" i="9"/>
  <c r="BI123" i="9"/>
  <c r="BI124" i="9"/>
  <c r="BI125" i="9"/>
  <c r="BI88" i="9"/>
  <c r="BI89" i="9"/>
  <c r="BI90" i="9"/>
  <c r="CU65" i="9"/>
  <c r="CU66" i="9" s="1"/>
  <c r="BI13" i="9"/>
  <c r="CU63" i="9"/>
  <c r="CU64" i="9" s="1"/>
  <c r="CU61" i="9"/>
  <c r="CU62" i="9" s="1"/>
  <c r="CU59" i="9"/>
  <c r="CU60" i="9" s="1"/>
  <c r="CT57" i="9"/>
  <c r="CT58" i="9" s="1"/>
  <c r="BG91" i="9"/>
  <c r="BG92" i="9"/>
  <c r="BG93" i="9"/>
  <c r="BG94" i="9"/>
  <c r="BG95" i="9"/>
  <c r="BG96" i="9"/>
  <c r="BG97" i="9"/>
  <c r="BG98" i="9"/>
  <c r="BG99" i="9"/>
  <c r="BG100" i="9"/>
  <c r="BG101" i="9"/>
  <c r="BG102" i="9"/>
  <c r="BG103" i="9"/>
  <c r="BG104" i="9"/>
  <c r="BG105" i="9"/>
  <c r="BG106" i="9"/>
  <c r="BG107" i="9"/>
  <c r="BG108" i="9"/>
  <c r="BG109" i="9"/>
  <c r="BG110" i="9"/>
  <c r="BG111" i="9"/>
  <c r="BG112" i="9"/>
  <c r="BG113" i="9"/>
  <c r="BG114" i="9"/>
  <c r="BG115" i="9"/>
  <c r="BG116" i="9"/>
  <c r="BG117" i="9"/>
  <c r="BG118" i="9"/>
  <c r="BG119" i="9"/>
  <c r="BG120" i="9"/>
  <c r="BG121" i="9"/>
  <c r="BG122" i="9"/>
  <c r="BG123" i="9"/>
  <c r="BG124" i="9"/>
  <c r="BG125" i="9"/>
  <c r="BG88" i="9"/>
  <c r="BG89" i="9"/>
  <c r="BG90" i="9"/>
  <c r="CT65" i="9"/>
  <c r="CT66" i="9" s="1"/>
  <c r="BG13" i="9"/>
  <c r="CT63" i="9"/>
  <c r="CT64" i="9" s="1"/>
  <c r="CT61" i="9"/>
  <c r="CT62" i="9" s="1"/>
  <c r="CT59" i="9"/>
  <c r="CT60" i="9" s="1"/>
  <c r="CS57" i="9"/>
  <c r="CS58" i="9" s="1"/>
  <c r="BE91" i="9"/>
  <c r="BE92" i="9"/>
  <c r="BE93" i="9"/>
  <c r="BE94" i="9"/>
  <c r="BE95" i="9"/>
  <c r="BE96" i="9"/>
  <c r="BE97" i="9"/>
  <c r="BE98" i="9"/>
  <c r="BE99" i="9"/>
  <c r="BE100" i="9"/>
  <c r="BE101" i="9"/>
  <c r="BE102" i="9"/>
  <c r="BE103" i="9"/>
  <c r="BE104" i="9"/>
  <c r="BE105" i="9"/>
  <c r="BE106" i="9"/>
  <c r="BE107" i="9"/>
  <c r="BE108" i="9"/>
  <c r="BE109" i="9"/>
  <c r="BE110" i="9"/>
  <c r="BE111" i="9"/>
  <c r="BE112" i="9"/>
  <c r="BE113" i="9"/>
  <c r="BE114" i="9"/>
  <c r="BE115" i="9"/>
  <c r="BE116" i="9"/>
  <c r="BE117" i="9"/>
  <c r="BE118" i="9"/>
  <c r="BE119" i="9"/>
  <c r="BE120" i="9"/>
  <c r="BE121" i="9"/>
  <c r="BE122" i="9"/>
  <c r="BE123" i="9"/>
  <c r="BE124" i="9"/>
  <c r="BE125" i="9"/>
  <c r="BE88" i="9"/>
  <c r="BE89" i="9"/>
  <c r="BE90" i="9"/>
  <c r="BE13" i="9"/>
  <c r="CS65" i="9"/>
  <c r="CS66" i="9" s="1"/>
  <c r="CS63" i="9"/>
  <c r="CS64" i="9" s="1"/>
  <c r="CS61" i="9"/>
  <c r="CS62" i="9" s="1"/>
  <c r="CS59" i="9"/>
  <c r="CS60" i="9" s="1"/>
  <c r="CR57" i="9"/>
  <c r="CR58" i="9" s="1"/>
  <c r="BC91" i="9"/>
  <c r="BC92" i="9"/>
  <c r="BC93" i="9"/>
  <c r="BC94" i="9"/>
  <c r="BC95" i="9"/>
  <c r="BC96" i="9"/>
  <c r="BC97" i="9"/>
  <c r="BC98" i="9"/>
  <c r="BC99" i="9"/>
  <c r="BC100" i="9"/>
  <c r="BC101" i="9"/>
  <c r="BC102" i="9"/>
  <c r="BC103" i="9"/>
  <c r="BC104" i="9"/>
  <c r="BC105" i="9"/>
  <c r="BC106" i="9"/>
  <c r="BC107" i="9"/>
  <c r="BC108" i="9"/>
  <c r="BC109" i="9"/>
  <c r="BC110" i="9"/>
  <c r="BC111" i="9"/>
  <c r="BC112" i="9"/>
  <c r="BC113" i="9"/>
  <c r="BC114" i="9"/>
  <c r="BC115" i="9"/>
  <c r="BC116" i="9"/>
  <c r="BC117" i="9"/>
  <c r="BC118" i="9"/>
  <c r="BC119" i="9"/>
  <c r="BC120" i="9"/>
  <c r="BC121" i="9"/>
  <c r="BC122" i="9"/>
  <c r="BC123" i="9"/>
  <c r="BC124" i="9"/>
  <c r="BC125" i="9"/>
  <c r="BC88" i="9"/>
  <c r="BC89" i="9"/>
  <c r="BC90" i="9"/>
  <c r="BC13" i="9"/>
  <c r="CR65" i="9"/>
  <c r="CR66" i="9" s="1"/>
  <c r="CR63" i="9"/>
  <c r="CR64" i="9" s="1"/>
  <c r="HN71" i="9"/>
  <c r="G112" i="9"/>
  <c r="G113" i="9"/>
  <c r="G114" i="9"/>
  <c r="G115" i="9"/>
  <c r="G116" i="9"/>
  <c r="G117" i="9"/>
  <c r="G118" i="9"/>
  <c r="G119" i="9"/>
  <c r="G120" i="9"/>
  <c r="G121" i="9"/>
  <c r="G122" i="9"/>
  <c r="G123" i="9"/>
  <c r="G124" i="9"/>
  <c r="G125" i="9"/>
  <c r="G100" i="9"/>
  <c r="G91" i="9"/>
  <c r="G92" i="9"/>
  <c r="G93" i="9"/>
  <c r="G94" i="9"/>
  <c r="G95" i="9"/>
  <c r="G96" i="9"/>
  <c r="G97" i="9"/>
  <c r="G88" i="9"/>
  <c r="G89" i="9"/>
  <c r="G90" i="9"/>
  <c r="G98" i="9"/>
  <c r="G99" i="9"/>
  <c r="G101" i="9"/>
  <c r="G102" i="9"/>
  <c r="G103" i="9"/>
  <c r="G104" i="9"/>
  <c r="G105" i="9"/>
  <c r="G106" i="9"/>
  <c r="G107" i="9"/>
  <c r="G108" i="9"/>
  <c r="G109" i="9"/>
  <c r="G110" i="9"/>
  <c r="G111" i="9"/>
  <c r="CR61" i="9"/>
  <c r="CR62" i="9" s="1"/>
  <c r="CR59" i="9"/>
  <c r="CR60" i="9" s="1"/>
  <c r="CQ57" i="9"/>
  <c r="CQ58" i="9" s="1"/>
  <c r="BA91" i="9"/>
  <c r="BA92" i="9"/>
  <c r="BA93" i="9"/>
  <c r="BA94" i="9"/>
  <c r="BA95" i="9"/>
  <c r="BA96" i="9"/>
  <c r="BA97" i="9"/>
  <c r="BA98" i="9"/>
  <c r="BA99" i="9"/>
  <c r="BA100" i="9"/>
  <c r="BA101" i="9"/>
  <c r="BA102" i="9"/>
  <c r="BA103" i="9"/>
  <c r="BA104" i="9"/>
  <c r="BA105" i="9"/>
  <c r="BA106" i="9"/>
  <c r="BA107" i="9"/>
  <c r="BA108" i="9"/>
  <c r="BA109" i="9"/>
  <c r="BA110" i="9"/>
  <c r="BA111" i="9"/>
  <c r="BA112" i="9"/>
  <c r="BA113" i="9"/>
  <c r="BA114" i="9"/>
  <c r="BA115" i="9"/>
  <c r="BA116" i="9"/>
  <c r="BA117" i="9"/>
  <c r="BA118" i="9"/>
  <c r="BA119" i="9"/>
  <c r="BA120" i="9"/>
  <c r="BA121" i="9"/>
  <c r="BA122" i="9"/>
  <c r="BA123" i="9"/>
  <c r="BA124" i="9"/>
  <c r="BA125" i="9"/>
  <c r="BA88" i="9"/>
  <c r="BA89" i="9"/>
  <c r="BA90" i="9"/>
  <c r="CQ65" i="9"/>
  <c r="CQ66" i="9" s="1"/>
  <c r="BA13" i="9"/>
  <c r="CQ63" i="9"/>
  <c r="CQ64" i="9" s="1"/>
  <c r="CQ61" i="9"/>
  <c r="CQ62" i="9" s="1"/>
  <c r="CQ59" i="9"/>
  <c r="CQ60" i="9" s="1"/>
  <c r="CP57" i="9"/>
  <c r="CP58" i="9" s="1"/>
  <c r="AY91" i="9"/>
  <c r="AY92" i="9"/>
  <c r="AY93" i="9"/>
  <c r="AY94" i="9"/>
  <c r="AY95" i="9"/>
  <c r="AY96" i="9"/>
  <c r="AY97" i="9"/>
  <c r="AY98" i="9"/>
  <c r="AY99" i="9"/>
  <c r="AY100" i="9"/>
  <c r="AY101" i="9"/>
  <c r="AY102" i="9"/>
  <c r="AY103" i="9"/>
  <c r="AY104" i="9"/>
  <c r="AY105" i="9"/>
  <c r="AY106" i="9"/>
  <c r="AY107" i="9"/>
  <c r="AY108" i="9"/>
  <c r="AY109" i="9"/>
  <c r="AY110" i="9"/>
  <c r="AY111" i="9"/>
  <c r="AY112" i="9"/>
  <c r="AY113" i="9"/>
  <c r="AY114" i="9"/>
  <c r="AY115" i="9"/>
  <c r="AY116" i="9"/>
  <c r="AY117" i="9"/>
  <c r="AY118" i="9"/>
  <c r="AY119" i="9"/>
  <c r="AY120" i="9"/>
  <c r="AY121" i="9"/>
  <c r="AY122" i="9"/>
  <c r="AY123" i="9"/>
  <c r="AY124" i="9"/>
  <c r="AY125" i="9"/>
  <c r="AY88" i="9"/>
  <c r="AY89" i="9"/>
  <c r="AY90" i="9"/>
  <c r="CP65" i="9"/>
  <c r="CP66" i="9" s="1"/>
  <c r="AY13" i="9"/>
  <c r="CP63" i="9"/>
  <c r="CP64" i="9" s="1"/>
  <c r="CP61" i="9"/>
  <c r="CP62" i="9" s="1"/>
  <c r="CP59" i="9"/>
  <c r="CP60" i="9" s="1"/>
  <c r="CO57" i="9"/>
  <c r="CO58" i="9" s="1"/>
  <c r="AW91" i="9"/>
  <c r="AW92" i="9"/>
  <c r="AW93" i="9"/>
  <c r="AW94" i="9"/>
  <c r="AW95" i="9"/>
  <c r="AW96" i="9"/>
  <c r="AW97" i="9"/>
  <c r="AW98" i="9"/>
  <c r="AW99" i="9"/>
  <c r="AW100" i="9"/>
  <c r="AW101" i="9"/>
  <c r="AW102" i="9"/>
  <c r="AW103" i="9"/>
  <c r="AW104" i="9"/>
  <c r="AW105" i="9"/>
  <c r="AW106" i="9"/>
  <c r="AW107" i="9"/>
  <c r="AW108" i="9"/>
  <c r="AW109" i="9"/>
  <c r="AW110" i="9"/>
  <c r="AW111" i="9"/>
  <c r="AW112" i="9"/>
  <c r="AW113" i="9"/>
  <c r="AW114" i="9"/>
  <c r="AW115" i="9"/>
  <c r="AW116" i="9"/>
  <c r="AW117" i="9"/>
  <c r="AW118" i="9"/>
  <c r="AW119" i="9"/>
  <c r="AW120" i="9"/>
  <c r="AW121" i="9"/>
  <c r="AW122" i="9"/>
  <c r="AW123" i="9"/>
  <c r="AW124" i="9"/>
  <c r="AW125" i="9"/>
  <c r="AW88" i="9"/>
  <c r="AW89" i="9"/>
  <c r="AW90" i="9"/>
  <c r="AW13" i="9"/>
  <c r="CO65" i="9"/>
  <c r="CO66" i="9" s="1"/>
  <c r="CO63" i="9"/>
  <c r="CO64" i="9" s="1"/>
  <c r="CO59" i="9"/>
  <c r="CO60" i="9" s="1"/>
  <c r="CO61" i="9"/>
  <c r="CO62" i="9" s="1"/>
  <c r="CN57" i="9"/>
  <c r="CN58" i="9" s="1"/>
  <c r="AU91" i="9"/>
  <c r="AU92" i="9"/>
  <c r="AU93" i="9"/>
  <c r="AU94" i="9"/>
  <c r="AU95" i="9"/>
  <c r="AU96" i="9"/>
  <c r="AU97" i="9"/>
  <c r="AU98" i="9"/>
  <c r="AU99" i="9"/>
  <c r="AU100" i="9"/>
  <c r="AU101" i="9"/>
  <c r="AU102" i="9"/>
  <c r="AU103" i="9"/>
  <c r="AU104" i="9"/>
  <c r="AU105" i="9"/>
  <c r="AU106" i="9"/>
  <c r="AU107" i="9"/>
  <c r="AU108" i="9"/>
  <c r="AU109" i="9"/>
  <c r="AU110" i="9"/>
  <c r="AU111" i="9"/>
  <c r="AU112" i="9"/>
  <c r="AU113" i="9"/>
  <c r="AU114" i="9"/>
  <c r="AU115" i="9"/>
  <c r="AU116" i="9"/>
  <c r="AU117" i="9"/>
  <c r="AU118" i="9"/>
  <c r="AU119" i="9"/>
  <c r="AU120" i="9"/>
  <c r="AU121" i="9"/>
  <c r="AU122" i="9"/>
  <c r="AU123" i="9"/>
  <c r="AU124" i="9"/>
  <c r="AU125" i="9"/>
  <c r="AU88" i="9"/>
  <c r="AU89" i="9"/>
  <c r="AU90" i="9"/>
  <c r="CN65" i="9"/>
  <c r="CN66" i="9" s="1"/>
  <c r="AU13" i="9"/>
  <c r="CN63" i="9"/>
  <c r="CN64" i="9" s="1"/>
  <c r="CN61" i="9"/>
  <c r="CN62" i="9" s="1"/>
  <c r="CN59" i="9"/>
  <c r="CN60" i="9" s="1"/>
  <c r="CM57" i="9"/>
  <c r="CM58" i="9" s="1"/>
  <c r="AS91" i="9"/>
  <c r="AS92" i="9"/>
  <c r="AS93" i="9"/>
  <c r="AS94" i="9"/>
  <c r="AS95" i="9"/>
  <c r="AS96" i="9"/>
  <c r="AS97" i="9"/>
  <c r="AS98" i="9"/>
  <c r="AS99" i="9"/>
  <c r="AS100" i="9"/>
  <c r="AS101" i="9"/>
  <c r="AS102" i="9"/>
  <c r="AS103" i="9"/>
  <c r="AS104" i="9"/>
  <c r="AS105" i="9"/>
  <c r="AS106" i="9"/>
  <c r="AS107" i="9"/>
  <c r="AS108" i="9"/>
  <c r="AS109" i="9"/>
  <c r="AS110" i="9"/>
  <c r="AS111" i="9"/>
  <c r="AS112" i="9"/>
  <c r="AS113" i="9"/>
  <c r="AS114" i="9"/>
  <c r="AS115" i="9"/>
  <c r="AS116" i="9"/>
  <c r="AS117" i="9"/>
  <c r="AS118" i="9"/>
  <c r="AS119" i="9"/>
  <c r="AS120" i="9"/>
  <c r="AS121" i="9"/>
  <c r="AS122" i="9"/>
  <c r="AS123" i="9"/>
  <c r="AS124" i="9"/>
  <c r="AS125" i="9"/>
  <c r="AS88" i="9"/>
  <c r="AS89" i="9"/>
  <c r="AS90" i="9"/>
  <c r="AS13" i="9"/>
  <c r="CM65" i="9"/>
  <c r="CM66" i="9" s="1"/>
  <c r="CM63" i="9"/>
  <c r="CM64" i="9" s="1"/>
  <c r="CM61" i="9"/>
  <c r="CM62" i="9" s="1"/>
  <c r="CM59" i="9"/>
  <c r="CM60" i="9" s="1"/>
  <c r="CL57" i="9"/>
  <c r="CL58" i="9" s="1"/>
  <c r="AQ91" i="9"/>
  <c r="AQ92" i="9"/>
  <c r="AQ93" i="9"/>
  <c r="AQ94" i="9"/>
  <c r="AQ95" i="9"/>
  <c r="AQ96" i="9"/>
  <c r="AQ97" i="9"/>
  <c r="AQ98" i="9"/>
  <c r="AQ99" i="9"/>
  <c r="AQ100" i="9"/>
  <c r="AQ101" i="9"/>
  <c r="AQ102" i="9"/>
  <c r="AQ103" i="9"/>
  <c r="AQ104" i="9"/>
  <c r="AQ105" i="9"/>
  <c r="AQ106" i="9"/>
  <c r="AQ107" i="9"/>
  <c r="AQ108" i="9"/>
  <c r="AQ109" i="9"/>
  <c r="AQ110" i="9"/>
  <c r="AQ111" i="9"/>
  <c r="AQ112" i="9"/>
  <c r="AQ113" i="9"/>
  <c r="AQ114" i="9"/>
  <c r="AQ115" i="9"/>
  <c r="AQ116" i="9"/>
  <c r="AQ117" i="9"/>
  <c r="AQ118" i="9"/>
  <c r="AQ119" i="9"/>
  <c r="AQ120" i="9"/>
  <c r="AQ121" i="9"/>
  <c r="AQ122" i="9"/>
  <c r="AQ123" i="9"/>
  <c r="AQ124" i="9"/>
  <c r="AQ125" i="9"/>
  <c r="AQ88" i="9"/>
  <c r="AQ89" i="9"/>
  <c r="AQ90" i="9"/>
  <c r="CL65" i="9"/>
  <c r="CL66" i="9" s="1"/>
  <c r="AQ13" i="9"/>
  <c r="CL63" i="9"/>
  <c r="CL64" i="9" s="1"/>
  <c r="CL61" i="9"/>
  <c r="CL62" i="9" s="1"/>
  <c r="CL59" i="9"/>
  <c r="CL60" i="9" s="1"/>
  <c r="CK57" i="9"/>
  <c r="CK58" i="9" s="1"/>
  <c r="AO91" i="9"/>
  <c r="AO92" i="9"/>
  <c r="AO93" i="9"/>
  <c r="AO94" i="9"/>
  <c r="AO95" i="9"/>
  <c r="AO96" i="9"/>
  <c r="AO97" i="9"/>
  <c r="AO98" i="9"/>
  <c r="AO99" i="9"/>
  <c r="AO100" i="9"/>
  <c r="AO101" i="9"/>
  <c r="AO102" i="9"/>
  <c r="AO103" i="9"/>
  <c r="AO104" i="9"/>
  <c r="AO105" i="9"/>
  <c r="AO106" i="9"/>
  <c r="AO107" i="9"/>
  <c r="AO108" i="9"/>
  <c r="AO109" i="9"/>
  <c r="AO110" i="9"/>
  <c r="AO111" i="9"/>
  <c r="AO112" i="9"/>
  <c r="AO113" i="9"/>
  <c r="AO114" i="9"/>
  <c r="AO115" i="9"/>
  <c r="AO116" i="9"/>
  <c r="AO117" i="9"/>
  <c r="AO118" i="9"/>
  <c r="AO119" i="9"/>
  <c r="AO120" i="9"/>
  <c r="AO121" i="9"/>
  <c r="AO122" i="9"/>
  <c r="AO123" i="9"/>
  <c r="AO124" i="9"/>
  <c r="AO125" i="9"/>
  <c r="AO88" i="9"/>
  <c r="AO89" i="9"/>
  <c r="AO90" i="9"/>
  <c r="AO13" i="9"/>
  <c r="CK65" i="9"/>
  <c r="CK66" i="9" s="1"/>
  <c r="CK63" i="9"/>
  <c r="CK64" i="9" s="1"/>
  <c r="CK61" i="9"/>
  <c r="CK62" i="9" s="1"/>
  <c r="CK59" i="9"/>
  <c r="CK60" i="9" s="1"/>
  <c r="CJ57" i="9"/>
  <c r="CJ58" i="9" s="1"/>
  <c r="AM91" i="9"/>
  <c r="AM92" i="9"/>
  <c r="AM93" i="9"/>
  <c r="AM94" i="9"/>
  <c r="AM95" i="9"/>
  <c r="AM96" i="9"/>
  <c r="AM97" i="9"/>
  <c r="AM98" i="9"/>
  <c r="AM99" i="9"/>
  <c r="AM100" i="9"/>
  <c r="AM101" i="9"/>
  <c r="AM102" i="9"/>
  <c r="AM103" i="9"/>
  <c r="AM104" i="9"/>
  <c r="AM105" i="9"/>
  <c r="AM106" i="9"/>
  <c r="AM107" i="9"/>
  <c r="AM108" i="9"/>
  <c r="AM109" i="9"/>
  <c r="AM110" i="9"/>
  <c r="AM111" i="9"/>
  <c r="AM112" i="9"/>
  <c r="AM113" i="9"/>
  <c r="AM114" i="9"/>
  <c r="AM115" i="9"/>
  <c r="AM116" i="9"/>
  <c r="AM117" i="9"/>
  <c r="AM118" i="9"/>
  <c r="AM119" i="9"/>
  <c r="AM120" i="9"/>
  <c r="AM121" i="9"/>
  <c r="AM122" i="9"/>
  <c r="AM123" i="9"/>
  <c r="AM124" i="9"/>
  <c r="AM125" i="9"/>
  <c r="AM88" i="9"/>
  <c r="AM89" i="9"/>
  <c r="AM90" i="9"/>
  <c r="CJ65" i="9"/>
  <c r="CJ66" i="9" s="1"/>
  <c r="AM13" i="9"/>
  <c r="CJ63" i="9"/>
  <c r="CJ64" i="9" s="1"/>
  <c r="CJ61" i="9"/>
  <c r="CJ62" i="9" s="1"/>
  <c r="CJ59" i="9"/>
  <c r="CJ60" i="9" s="1"/>
  <c r="CI57" i="9"/>
  <c r="CI58" i="9" s="1"/>
  <c r="AK91" i="9"/>
  <c r="AK92" i="9"/>
  <c r="AK93" i="9"/>
  <c r="AK94" i="9"/>
  <c r="AK95" i="9"/>
  <c r="AK96" i="9"/>
  <c r="AK97" i="9"/>
  <c r="AK98" i="9"/>
  <c r="AK99" i="9"/>
  <c r="AK100" i="9"/>
  <c r="AK101" i="9"/>
  <c r="AK102" i="9"/>
  <c r="AK103" i="9"/>
  <c r="AK104" i="9"/>
  <c r="AK105" i="9"/>
  <c r="AK106" i="9"/>
  <c r="AK107" i="9"/>
  <c r="AK108" i="9"/>
  <c r="AK109" i="9"/>
  <c r="AK110" i="9"/>
  <c r="AK111" i="9"/>
  <c r="AK112" i="9"/>
  <c r="AK113" i="9"/>
  <c r="AK114" i="9"/>
  <c r="AK115" i="9"/>
  <c r="AK116" i="9"/>
  <c r="AK117" i="9"/>
  <c r="AK118" i="9"/>
  <c r="AK119" i="9"/>
  <c r="AK120" i="9"/>
  <c r="AK121" i="9"/>
  <c r="AK122" i="9"/>
  <c r="AK123" i="9"/>
  <c r="AK124" i="9"/>
  <c r="AK125" i="9"/>
  <c r="AK88" i="9"/>
  <c r="AK89" i="9"/>
  <c r="AK90" i="9"/>
  <c r="AK13" i="9"/>
  <c r="CI65" i="9"/>
  <c r="CI66" i="9" s="1"/>
  <c r="CI63" i="9"/>
  <c r="CI64" i="9" s="1"/>
  <c r="CI61" i="9"/>
  <c r="CI62" i="9" s="1"/>
  <c r="CI59" i="9"/>
  <c r="CI60" i="9" s="1"/>
  <c r="CH57" i="9"/>
  <c r="CH58" i="9" s="1"/>
  <c r="AI91" i="9"/>
  <c r="AI92" i="9"/>
  <c r="AI93" i="9"/>
  <c r="AI94" i="9"/>
  <c r="AI95" i="9"/>
  <c r="AI96" i="9"/>
  <c r="AI97" i="9"/>
  <c r="AI98" i="9"/>
  <c r="AI99" i="9"/>
  <c r="AI100" i="9"/>
  <c r="AI101" i="9"/>
  <c r="AI102" i="9"/>
  <c r="AI103" i="9"/>
  <c r="AI104" i="9"/>
  <c r="AI105" i="9"/>
  <c r="AI106" i="9"/>
  <c r="AI107" i="9"/>
  <c r="AI108" i="9"/>
  <c r="AI109" i="9"/>
  <c r="AI110" i="9"/>
  <c r="AI111" i="9"/>
  <c r="AI112" i="9"/>
  <c r="AI113" i="9"/>
  <c r="AI114" i="9"/>
  <c r="AI115" i="9"/>
  <c r="AI116" i="9"/>
  <c r="AI117" i="9"/>
  <c r="AI118" i="9"/>
  <c r="AI119" i="9"/>
  <c r="AI120" i="9"/>
  <c r="AI121" i="9"/>
  <c r="AI122" i="9"/>
  <c r="AI123" i="9"/>
  <c r="AI124" i="9"/>
  <c r="AI125" i="9"/>
  <c r="AI88" i="9"/>
  <c r="AI89" i="9"/>
  <c r="AI90" i="9"/>
  <c r="CH65" i="9"/>
  <c r="CH66" i="9" s="1"/>
  <c r="AI13" i="9"/>
  <c r="CH63" i="9"/>
  <c r="CH64" i="9" s="1"/>
  <c r="CH61" i="9"/>
  <c r="CH62" i="9" s="1"/>
  <c r="CH59" i="9"/>
  <c r="CH60" i="9" s="1"/>
  <c r="CG57" i="9"/>
  <c r="CG58" i="9" s="1"/>
  <c r="AG91" i="9"/>
  <c r="AG92" i="9"/>
  <c r="AG93" i="9"/>
  <c r="AG94" i="9"/>
  <c r="AG95" i="9"/>
  <c r="AG96" i="9"/>
  <c r="AG97" i="9"/>
  <c r="AG98" i="9"/>
  <c r="AG99" i="9"/>
  <c r="AG100" i="9"/>
  <c r="AG101" i="9"/>
  <c r="AG102" i="9"/>
  <c r="AG103" i="9"/>
  <c r="AG104" i="9"/>
  <c r="AG105" i="9"/>
  <c r="AG106" i="9"/>
  <c r="AG107" i="9"/>
  <c r="AG108" i="9"/>
  <c r="AG109" i="9"/>
  <c r="AG110" i="9"/>
  <c r="AG111" i="9"/>
  <c r="AG112" i="9"/>
  <c r="AG113" i="9"/>
  <c r="AG114" i="9"/>
  <c r="AG115" i="9"/>
  <c r="AG116" i="9"/>
  <c r="AG117" i="9"/>
  <c r="AG118" i="9"/>
  <c r="AG119" i="9"/>
  <c r="AG120" i="9"/>
  <c r="AG121" i="9"/>
  <c r="AG122" i="9"/>
  <c r="AG123" i="9"/>
  <c r="AG124" i="9"/>
  <c r="AG125" i="9"/>
  <c r="AG88" i="9"/>
  <c r="AG89" i="9"/>
  <c r="AG90" i="9"/>
  <c r="CG65" i="9"/>
  <c r="CG66" i="9" s="1"/>
  <c r="AG13" i="9"/>
  <c r="CG63" i="9"/>
  <c r="CG64" i="9" s="1"/>
  <c r="CG61" i="9"/>
  <c r="CG62" i="9" s="1"/>
  <c r="CG59" i="9"/>
  <c r="CG60" i="9" s="1"/>
  <c r="CF57" i="9"/>
  <c r="CF58" i="9" s="1"/>
  <c r="AE91" i="9"/>
  <c r="AE92" i="9"/>
  <c r="AE93" i="9"/>
  <c r="AE94" i="9"/>
  <c r="AE95" i="9"/>
  <c r="AE96" i="9"/>
  <c r="AE97" i="9"/>
  <c r="AE98" i="9"/>
  <c r="AE99" i="9"/>
  <c r="AE100" i="9"/>
  <c r="AE101" i="9"/>
  <c r="AE102" i="9"/>
  <c r="AE103" i="9"/>
  <c r="AE104" i="9"/>
  <c r="AE105" i="9"/>
  <c r="AE106" i="9"/>
  <c r="AE107" i="9"/>
  <c r="AE108" i="9"/>
  <c r="AE109" i="9"/>
  <c r="AE110" i="9"/>
  <c r="AE111" i="9"/>
  <c r="AE112" i="9"/>
  <c r="AE113" i="9"/>
  <c r="AE114" i="9"/>
  <c r="AE115" i="9"/>
  <c r="AE116" i="9"/>
  <c r="AE117" i="9"/>
  <c r="AE118" i="9"/>
  <c r="AE119" i="9"/>
  <c r="AE120" i="9"/>
  <c r="AE121" i="9"/>
  <c r="AE122" i="9"/>
  <c r="AE123" i="9"/>
  <c r="AE124" i="9"/>
  <c r="AE125" i="9"/>
  <c r="AE88" i="9"/>
  <c r="AE89" i="9"/>
  <c r="AE90" i="9"/>
  <c r="CF65" i="9"/>
  <c r="CF66" i="9" s="1"/>
  <c r="AE13" i="9"/>
  <c r="CF63" i="9"/>
  <c r="CF64" i="9" s="1"/>
  <c r="CF61" i="9"/>
  <c r="CF62" i="9" s="1"/>
  <c r="CF59" i="9"/>
  <c r="CF60" i="9" s="1"/>
  <c r="CE57" i="9"/>
  <c r="CE58" i="9" s="1"/>
  <c r="AC91" i="9"/>
  <c r="AC92" i="9"/>
  <c r="AC93" i="9"/>
  <c r="AC94" i="9"/>
  <c r="AC95" i="9"/>
  <c r="AC96" i="9"/>
  <c r="AC97" i="9"/>
  <c r="AC98" i="9"/>
  <c r="AC99" i="9"/>
  <c r="AC100" i="9"/>
  <c r="AC101" i="9"/>
  <c r="AC102" i="9"/>
  <c r="AC103" i="9"/>
  <c r="AC104" i="9"/>
  <c r="AC105" i="9"/>
  <c r="AC106" i="9"/>
  <c r="AC107" i="9"/>
  <c r="AC108" i="9"/>
  <c r="AC109" i="9"/>
  <c r="AC110" i="9"/>
  <c r="AC111" i="9"/>
  <c r="AC112" i="9"/>
  <c r="AC113" i="9"/>
  <c r="AC114" i="9"/>
  <c r="AC115" i="9"/>
  <c r="AC116" i="9"/>
  <c r="AC117" i="9"/>
  <c r="AC118" i="9"/>
  <c r="AC119" i="9"/>
  <c r="AC120" i="9"/>
  <c r="AC121" i="9"/>
  <c r="AC122" i="9"/>
  <c r="AC123" i="9"/>
  <c r="AC124" i="9"/>
  <c r="AC125" i="9"/>
  <c r="AC88" i="9"/>
  <c r="AC89" i="9"/>
  <c r="AC90" i="9"/>
  <c r="CE65" i="9"/>
  <c r="CE66" i="9" s="1"/>
  <c r="AC13" i="9"/>
  <c r="CE63" i="9"/>
  <c r="CE64" i="9" s="1"/>
  <c r="CE61" i="9"/>
  <c r="CE62" i="9" s="1"/>
  <c r="CE59" i="9"/>
  <c r="CE60" i="9" s="1"/>
  <c r="CD57" i="9"/>
  <c r="CD58" i="9" s="1"/>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88" i="9"/>
  <c r="AA89" i="9"/>
  <c r="AA90" i="9"/>
  <c r="CD65" i="9"/>
  <c r="CD66" i="9" s="1"/>
  <c r="AA13" i="9"/>
  <c r="CD63" i="9"/>
  <c r="CD64" i="9" s="1"/>
  <c r="CD61" i="9"/>
  <c r="CD62" i="9" s="1"/>
  <c r="CD59" i="9"/>
  <c r="CD60" i="9" s="1"/>
  <c r="CC57" i="9"/>
  <c r="CC58" i="9" s="1"/>
  <c r="Y91" i="9"/>
  <c r="Y92" i="9"/>
  <c r="Y93" i="9"/>
  <c r="Y94" i="9"/>
  <c r="Y95" i="9"/>
  <c r="Y96" i="9"/>
  <c r="Y97" i="9"/>
  <c r="Y98" i="9"/>
  <c r="Y99" i="9"/>
  <c r="Y100" i="9"/>
  <c r="Y101" i="9"/>
  <c r="Y102" i="9"/>
  <c r="Y103" i="9"/>
  <c r="Y104" i="9"/>
  <c r="Y105" i="9"/>
  <c r="Y106" i="9"/>
  <c r="Y107" i="9"/>
  <c r="Y108" i="9"/>
  <c r="Y109" i="9"/>
  <c r="Y110" i="9"/>
  <c r="Y111" i="9"/>
  <c r="Y112" i="9"/>
  <c r="Y113" i="9"/>
  <c r="Y114" i="9"/>
  <c r="Y115" i="9"/>
  <c r="Y116" i="9"/>
  <c r="Y117" i="9"/>
  <c r="Y118" i="9"/>
  <c r="Y119" i="9"/>
  <c r="Y120" i="9"/>
  <c r="Y121" i="9"/>
  <c r="Y122" i="9"/>
  <c r="Y123" i="9"/>
  <c r="Y124" i="9"/>
  <c r="Y125" i="9"/>
  <c r="Y88" i="9"/>
  <c r="Y89" i="9"/>
  <c r="Y90" i="9"/>
  <c r="CC65" i="9"/>
  <c r="CC66" i="9" s="1"/>
  <c r="Y13" i="9"/>
  <c r="CC63" i="9"/>
  <c r="CC64" i="9" s="1"/>
  <c r="CC61" i="9"/>
  <c r="CC62" i="9" s="1"/>
  <c r="CC59" i="9"/>
  <c r="CC60" i="9" s="1"/>
  <c r="CB57" i="9"/>
  <c r="CB58" i="9" s="1"/>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88" i="9"/>
  <c r="W89" i="9"/>
  <c r="W90" i="9"/>
  <c r="CB65" i="9"/>
  <c r="CB66" i="9" s="1"/>
  <c r="W13" i="9"/>
  <c r="CB63" i="9"/>
  <c r="CB64" i="9" s="1"/>
  <c r="CB61" i="9"/>
  <c r="CB62" i="9" s="1"/>
  <c r="CB59" i="9"/>
  <c r="CB60" i="9" s="1"/>
  <c r="CA57" i="9"/>
  <c r="CA58" i="9" s="1"/>
  <c r="U91" i="9"/>
  <c r="U92" i="9"/>
  <c r="U93" i="9"/>
  <c r="U94" i="9"/>
  <c r="U95" i="9"/>
  <c r="U96" i="9"/>
  <c r="U97" i="9"/>
  <c r="U98" i="9"/>
  <c r="U99" i="9"/>
  <c r="U100" i="9"/>
  <c r="U101" i="9"/>
  <c r="U102" i="9"/>
  <c r="U103" i="9"/>
  <c r="U104" i="9"/>
  <c r="U105" i="9"/>
  <c r="U106" i="9"/>
  <c r="U107" i="9"/>
  <c r="U108" i="9"/>
  <c r="U109" i="9"/>
  <c r="U110" i="9"/>
  <c r="U111" i="9"/>
  <c r="U112" i="9"/>
  <c r="U113" i="9"/>
  <c r="U114" i="9"/>
  <c r="U115" i="9"/>
  <c r="U116" i="9"/>
  <c r="U117" i="9"/>
  <c r="U118" i="9"/>
  <c r="U119" i="9"/>
  <c r="U120" i="9"/>
  <c r="U121" i="9"/>
  <c r="U122" i="9"/>
  <c r="U123" i="9"/>
  <c r="U124" i="9"/>
  <c r="U125" i="9"/>
  <c r="U88" i="9"/>
  <c r="U89" i="9"/>
  <c r="U90" i="9"/>
  <c r="CA65" i="9"/>
  <c r="CA66" i="9" s="1"/>
  <c r="U13" i="9"/>
  <c r="CA63" i="9"/>
  <c r="CA64" i="9" s="1"/>
  <c r="CA61" i="9"/>
  <c r="CA62" i="9" s="1"/>
  <c r="CA59" i="9"/>
  <c r="CA60" i="9" s="1"/>
  <c r="BZ57" i="9"/>
  <c r="BZ58" i="9" s="1"/>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88" i="9"/>
  <c r="S89" i="9"/>
  <c r="S90" i="9"/>
  <c r="HN72" i="9"/>
  <c r="HN70" i="9"/>
  <c r="HN69" i="9"/>
  <c r="HN68" i="9"/>
  <c r="BZ65" i="9"/>
  <c r="BZ66" i="9" s="1"/>
  <c r="S13" i="9"/>
  <c r="BZ63" i="9"/>
  <c r="BZ64" i="9" s="1"/>
  <c r="BZ61" i="9"/>
  <c r="BZ62" i="9" s="1"/>
  <c r="BZ59" i="9"/>
  <c r="BZ60" i="9" s="1"/>
  <c r="BY57" i="9"/>
  <c r="BY58" i="9" s="1"/>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88" i="9"/>
  <c r="Q89" i="9"/>
  <c r="Q90" i="9"/>
  <c r="BY65" i="9"/>
  <c r="BY66" i="9" s="1"/>
  <c r="Q13" i="9"/>
  <c r="BY63" i="9"/>
  <c r="BY64" i="9" s="1"/>
  <c r="BY61" i="9"/>
  <c r="BY62" i="9" s="1"/>
  <c r="BY59" i="9"/>
  <c r="BY60" i="9" s="1"/>
  <c r="BX57" i="9"/>
  <c r="BX58" i="9" s="1"/>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88" i="9"/>
  <c r="O89" i="9"/>
  <c r="O90" i="9"/>
  <c r="BX65" i="9"/>
  <c r="BX66" i="9" s="1"/>
  <c r="O13" i="9"/>
  <c r="BX63" i="9"/>
  <c r="BX64" i="9" s="1"/>
  <c r="BX61" i="9"/>
  <c r="BX62" i="9" s="1"/>
  <c r="BX59" i="9"/>
  <c r="BX60" i="9" s="1"/>
  <c r="BW57" i="9"/>
  <c r="BW58" i="9" s="1"/>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88" i="9"/>
  <c r="M89" i="9"/>
  <c r="M90" i="9"/>
  <c r="M13" i="9"/>
  <c r="BW63" i="9"/>
  <c r="BW64" i="9" s="1"/>
  <c r="BW65" i="9"/>
  <c r="BW66" i="9" s="1"/>
  <c r="BW61" i="9"/>
  <c r="BW62" i="9" s="1"/>
  <c r="BW59" i="9"/>
  <c r="BW60" i="9" s="1"/>
  <c r="BV57" i="9"/>
  <c r="BV58" i="9" s="1"/>
  <c r="K91" i="9"/>
  <c r="K92" i="9"/>
  <c r="K93" i="9"/>
  <c r="K95" i="9"/>
  <c r="K98" i="9"/>
  <c r="K100" i="9"/>
  <c r="K103" i="9"/>
  <c r="K113" i="9"/>
  <c r="K115" i="9"/>
  <c r="K117" i="9"/>
  <c r="K119" i="9"/>
  <c r="K88" i="9"/>
  <c r="K89" i="9"/>
  <c r="K90" i="9"/>
  <c r="K94" i="9"/>
  <c r="K96" i="9"/>
  <c r="K97" i="9"/>
  <c r="K99" i="9"/>
  <c r="K101" i="9"/>
  <c r="K102" i="9"/>
  <c r="K104" i="9"/>
  <c r="K105" i="9"/>
  <c r="K106" i="9"/>
  <c r="K107" i="9"/>
  <c r="K108" i="9"/>
  <c r="K109" i="9"/>
  <c r="K110" i="9"/>
  <c r="K111" i="9"/>
  <c r="K112" i="9"/>
  <c r="K114" i="9"/>
  <c r="K116" i="9"/>
  <c r="K118" i="9"/>
  <c r="K120" i="9"/>
  <c r="K121" i="9"/>
  <c r="K122" i="9"/>
  <c r="K123" i="9"/>
  <c r="K124" i="9"/>
  <c r="K125" i="9"/>
  <c r="K13" i="9"/>
  <c r="AX20" i="12" s="1"/>
  <c r="BV65" i="9"/>
  <c r="BV66" i="9" s="1"/>
  <c r="BV63" i="9"/>
  <c r="BV64" i="9" s="1"/>
  <c r="BV61" i="9"/>
  <c r="BV62" i="9" s="1"/>
  <c r="BV59" i="9"/>
  <c r="BV60" i="9" s="1"/>
  <c r="I13" i="9"/>
  <c r="AX16" i="12" s="1"/>
  <c r="BU65" i="9"/>
  <c r="BU61" i="9"/>
  <c r="BU62" i="9" s="1"/>
  <c r="BU59" i="9"/>
  <c r="BU60" i="9" s="1"/>
  <c r="KD54" i="9"/>
  <c r="I93" i="9"/>
  <c r="I96" i="9"/>
  <c r="I100" i="9"/>
  <c r="I91" i="9"/>
  <c r="I92" i="9"/>
  <c r="I98" i="9"/>
  <c r="I101" i="9"/>
  <c r="I105" i="9"/>
  <c r="I106" i="9"/>
  <c r="I107" i="9"/>
  <c r="I112" i="9"/>
  <c r="I113" i="9"/>
  <c r="I114" i="9"/>
  <c r="I119" i="9"/>
  <c r="I120" i="9"/>
  <c r="I121" i="9"/>
  <c r="T7" i="9"/>
  <c r="AX12" i="12"/>
  <c r="E10" i="9"/>
  <c r="E17" i="9" s="1"/>
  <c r="C10" i="9"/>
  <c r="BM128" i="12"/>
  <c r="BL128" i="12"/>
  <c r="BK128" i="12"/>
  <c r="BM124" i="12"/>
  <c r="BL124" i="12"/>
  <c r="BK124" i="12"/>
  <c r="BM120" i="12"/>
  <c r="BL120" i="12"/>
  <c r="BK120" i="12"/>
  <c r="BM116" i="12"/>
  <c r="BL116" i="12"/>
  <c r="BK116" i="12"/>
  <c r="BM112" i="12"/>
  <c r="BL112" i="12"/>
  <c r="BK112" i="12"/>
  <c r="BM108" i="12"/>
  <c r="BL108" i="12"/>
  <c r="BK108" i="12"/>
  <c r="BM104" i="12"/>
  <c r="BL104" i="12"/>
  <c r="BK104" i="12"/>
  <c r="BM100" i="12"/>
  <c r="BL100" i="12"/>
  <c r="BK100" i="12"/>
  <c r="BM96" i="12"/>
  <c r="BL96" i="12"/>
  <c r="BK96" i="12"/>
  <c r="BM92" i="12"/>
  <c r="BL92" i="12"/>
  <c r="BK92" i="12"/>
  <c r="BM88" i="12"/>
  <c r="BL88" i="12"/>
  <c r="BK88" i="12"/>
  <c r="BM84" i="12"/>
  <c r="BL84" i="12"/>
  <c r="BK84" i="12"/>
  <c r="BM80" i="12"/>
  <c r="BL80" i="12"/>
  <c r="BK80" i="12"/>
  <c r="BM76" i="12"/>
  <c r="BL76" i="12"/>
  <c r="BK76" i="12"/>
  <c r="BM72" i="12"/>
  <c r="BL72" i="12"/>
  <c r="BK72" i="12"/>
  <c r="BM68" i="12"/>
  <c r="BL68" i="12"/>
  <c r="BK68" i="12"/>
  <c r="BM64" i="12"/>
  <c r="BL64" i="12"/>
  <c r="BK64" i="12"/>
  <c r="BM60" i="12"/>
  <c r="BL60" i="12"/>
  <c r="BK60" i="12"/>
  <c r="BM56" i="12"/>
  <c r="BL56" i="12"/>
  <c r="BK56" i="12"/>
  <c r="BM52" i="12"/>
  <c r="BL52" i="12"/>
  <c r="BK52" i="12"/>
  <c r="BM48" i="12"/>
  <c r="BL48" i="12"/>
  <c r="BK48" i="12"/>
  <c r="BM44" i="12"/>
  <c r="BL44" i="12"/>
  <c r="BK44" i="12"/>
  <c r="BM40" i="12"/>
  <c r="BL40" i="12"/>
  <c r="BK40" i="12"/>
  <c r="BM36" i="12"/>
  <c r="BL36" i="12"/>
  <c r="BK36" i="12"/>
  <c r="BM32" i="12"/>
  <c r="BL32" i="12"/>
  <c r="BK32" i="12"/>
  <c r="BM28" i="12"/>
  <c r="BL28" i="12"/>
  <c r="BK28" i="12"/>
  <c r="BM24" i="12"/>
  <c r="BL24" i="12"/>
  <c r="BK24" i="12"/>
  <c r="BM20" i="12"/>
  <c r="BL20" i="12"/>
  <c r="BK20" i="12"/>
  <c r="BM16" i="12"/>
  <c r="BL16" i="12"/>
  <c r="BK16" i="12"/>
  <c r="BH8" i="12"/>
  <c r="HO51" i="9"/>
  <c r="HO50" i="9"/>
  <c r="HO49" i="9"/>
  <c r="HO48" i="9"/>
  <c r="HO47" i="9"/>
  <c r="HO46" i="9"/>
  <c r="HO45" i="9"/>
  <c r="HO44" i="9"/>
  <c r="HO43" i="9"/>
  <c r="HO42" i="9"/>
  <c r="HO41" i="9"/>
  <c r="HO40" i="9"/>
  <c r="HO39" i="9"/>
  <c r="HO38" i="9"/>
  <c r="HO37" i="9"/>
  <c r="HO36" i="9"/>
  <c r="HO35" i="9"/>
  <c r="HO34" i="9"/>
  <c r="HO33" i="9"/>
  <c r="HO32" i="9"/>
  <c r="HO31" i="9"/>
  <c r="HO30" i="9"/>
  <c r="HO29" i="9"/>
  <c r="HO28" i="9"/>
  <c r="HO27" i="9"/>
  <c r="HO26" i="9"/>
  <c r="HO25" i="9"/>
  <c r="HO24" i="9"/>
  <c r="HO23" i="9"/>
  <c r="HO22" i="9"/>
  <c r="HO21" i="9"/>
  <c r="HO20" i="9"/>
  <c r="HO19" i="9"/>
  <c r="HO18" i="9"/>
  <c r="HO17" i="9"/>
  <c r="HO16" i="9"/>
  <c r="HO15" i="9"/>
  <c r="HO14" i="9"/>
  <c r="LF54" i="9"/>
  <c r="LB54" i="9"/>
  <c r="KX54" i="9"/>
  <c r="KT54" i="9"/>
  <c r="KP54" i="9"/>
  <c r="KL54" i="9"/>
  <c r="BM87" i="9"/>
  <c r="BK87" i="9"/>
  <c r="BI87" i="9"/>
  <c r="BG87" i="9"/>
  <c r="BE87" i="9"/>
  <c r="BC87" i="9"/>
  <c r="BA87" i="9"/>
  <c r="AY87" i="9"/>
  <c r="AW87" i="9"/>
  <c r="AU87" i="9"/>
  <c r="AS87" i="9"/>
  <c r="AQ87" i="9"/>
  <c r="AO87" i="9"/>
  <c r="AM87" i="9"/>
  <c r="AK87" i="9"/>
  <c r="AI87" i="9"/>
  <c r="AG87" i="9"/>
  <c r="AE87" i="9"/>
  <c r="AC87" i="9"/>
  <c r="AA87" i="9"/>
  <c r="Y87" i="9"/>
  <c r="W87" i="9"/>
  <c r="U87" i="9"/>
  <c r="S87" i="9"/>
  <c r="Q87" i="9"/>
  <c r="O87" i="9"/>
  <c r="M87" i="9"/>
  <c r="K87" i="9"/>
  <c r="AT16" i="12"/>
  <c r="AS16" i="12"/>
  <c r="AN16" i="12"/>
  <c r="AO16" i="12"/>
  <c r="R6" i="9"/>
  <c r="FE19" i="9"/>
  <c r="FD19" i="9"/>
  <c r="FC19" i="9"/>
  <c r="FB19" i="9"/>
  <c r="FA19" i="9"/>
  <c r="EZ19" i="9"/>
  <c r="EY19" i="9"/>
  <c r="EX19" i="9"/>
  <c r="EW19" i="9"/>
  <c r="EV19" i="9"/>
  <c r="EU19" i="9"/>
  <c r="ET19" i="9"/>
  <c r="ES19" i="9"/>
  <c r="ER19" i="9"/>
  <c r="EQ19" i="9"/>
  <c r="EP19" i="9"/>
  <c r="EO19" i="9"/>
  <c r="EN19" i="9"/>
  <c r="EM19" i="9"/>
  <c r="EL19" i="9"/>
  <c r="EK19" i="9"/>
  <c r="EJ19" i="9"/>
  <c r="EI19" i="9"/>
  <c r="EH19" i="9"/>
  <c r="EG19" i="9"/>
  <c r="EF19" i="9"/>
  <c r="EE19" i="9"/>
  <c r="ED19" i="9"/>
  <c r="AW16" i="12"/>
  <c r="AV16" i="12"/>
  <c r="AU16" i="12"/>
  <c r="AW12" i="12"/>
  <c r="AV12" i="12"/>
  <c r="AU12" i="12"/>
  <c r="AT12" i="12"/>
  <c r="AS12" i="12"/>
  <c r="BL12" i="9"/>
  <c r="BJ12" i="9"/>
  <c r="BH12" i="9"/>
  <c r="BF12" i="9"/>
  <c r="BD12" i="9"/>
  <c r="BB12" i="9"/>
  <c r="AZ12" i="9"/>
  <c r="AX12" i="9"/>
  <c r="AV12" i="9"/>
  <c r="AT12" i="9"/>
  <c r="AR12" i="9"/>
  <c r="AP12" i="9"/>
  <c r="AN12" i="9"/>
  <c r="AL12" i="9"/>
  <c r="AJ12" i="9"/>
  <c r="AH12" i="9"/>
  <c r="AF12" i="9"/>
  <c r="AD12" i="9"/>
  <c r="AB12" i="9"/>
  <c r="Z12" i="9"/>
  <c r="X12" i="9"/>
  <c r="V12" i="9"/>
  <c r="T12" i="9"/>
  <c r="R12" i="9"/>
  <c r="P12" i="9"/>
  <c r="N12" i="9"/>
  <c r="L12" i="9"/>
  <c r="J12" i="9"/>
  <c r="H12" i="9"/>
  <c r="AW128" i="12"/>
  <c r="AV128" i="12"/>
  <c r="AU128" i="12"/>
  <c r="AT128" i="12"/>
  <c r="AS128" i="12"/>
  <c r="AW124" i="12"/>
  <c r="AV124" i="12"/>
  <c r="AU124" i="12"/>
  <c r="AT124" i="12"/>
  <c r="AS124" i="12"/>
  <c r="AW120" i="12"/>
  <c r="AV120" i="12"/>
  <c r="AU120" i="12"/>
  <c r="AT120" i="12"/>
  <c r="AS120" i="12"/>
  <c r="AW116" i="12"/>
  <c r="AV116" i="12"/>
  <c r="AU116" i="12"/>
  <c r="AT116" i="12"/>
  <c r="AS116" i="12"/>
  <c r="AW112" i="12"/>
  <c r="AV112" i="12"/>
  <c r="AU112" i="12"/>
  <c r="AT112" i="12"/>
  <c r="AS112" i="12"/>
  <c r="AW108" i="12"/>
  <c r="AV108" i="12"/>
  <c r="AU108" i="12"/>
  <c r="AT108" i="12"/>
  <c r="AS108" i="12"/>
  <c r="AW104" i="12"/>
  <c r="AV104" i="12"/>
  <c r="AU104" i="12"/>
  <c r="AT104" i="12"/>
  <c r="AS104" i="12"/>
  <c r="AW100" i="12"/>
  <c r="AV100" i="12"/>
  <c r="AU100" i="12"/>
  <c r="AT100" i="12"/>
  <c r="AS100" i="12"/>
  <c r="AW96" i="12"/>
  <c r="AV96" i="12"/>
  <c r="AU96" i="12"/>
  <c r="AT96" i="12"/>
  <c r="AS96" i="12"/>
  <c r="AW92" i="12"/>
  <c r="AV92" i="12"/>
  <c r="AU92" i="12"/>
  <c r="AT92" i="12"/>
  <c r="AS92" i="12"/>
  <c r="AW88" i="12"/>
  <c r="AV88" i="12"/>
  <c r="AU88" i="12"/>
  <c r="AT88" i="12"/>
  <c r="AS88" i="12"/>
  <c r="AW84" i="12"/>
  <c r="AV84" i="12"/>
  <c r="AU84" i="12"/>
  <c r="AT84" i="12"/>
  <c r="AS84" i="12"/>
  <c r="AW80" i="12"/>
  <c r="AV80" i="12"/>
  <c r="AU80" i="12"/>
  <c r="AT80" i="12"/>
  <c r="AS80" i="12"/>
  <c r="AW76" i="12"/>
  <c r="AV76" i="12"/>
  <c r="AU76" i="12"/>
  <c r="AT76" i="12"/>
  <c r="AS76" i="12"/>
  <c r="AW72" i="12"/>
  <c r="AV72" i="12"/>
  <c r="AU72" i="12"/>
  <c r="AT72" i="12"/>
  <c r="AS72" i="12"/>
  <c r="AW68" i="12"/>
  <c r="AV68" i="12"/>
  <c r="AU68" i="12"/>
  <c r="AT68" i="12"/>
  <c r="AS68" i="12"/>
  <c r="AW64" i="12"/>
  <c r="AV64" i="12"/>
  <c r="AU64" i="12"/>
  <c r="AT64" i="12"/>
  <c r="AS64" i="12"/>
  <c r="AW60" i="12"/>
  <c r="AV60" i="12"/>
  <c r="AU60" i="12"/>
  <c r="AT60" i="12"/>
  <c r="AS60" i="12"/>
  <c r="AW56" i="12"/>
  <c r="AV56" i="12"/>
  <c r="AU56" i="12"/>
  <c r="AT56" i="12"/>
  <c r="AS56" i="12"/>
  <c r="AW52" i="12"/>
  <c r="AV52" i="12"/>
  <c r="AU52" i="12"/>
  <c r="AT52" i="12"/>
  <c r="AS52" i="12"/>
  <c r="AW48" i="12"/>
  <c r="AV48" i="12"/>
  <c r="AU48" i="12"/>
  <c r="AT48" i="12"/>
  <c r="AS48" i="12"/>
  <c r="AW44" i="12"/>
  <c r="AV44" i="12"/>
  <c r="AU44" i="12"/>
  <c r="AT44" i="12"/>
  <c r="AS44" i="12"/>
  <c r="AW40" i="12"/>
  <c r="AV40" i="12"/>
  <c r="AU40" i="12"/>
  <c r="AT40" i="12"/>
  <c r="AS40" i="12"/>
  <c r="AW36" i="12"/>
  <c r="AV36" i="12"/>
  <c r="AU36" i="12"/>
  <c r="AT36" i="12"/>
  <c r="AS36" i="12"/>
  <c r="AW32" i="12"/>
  <c r="AV32" i="12"/>
  <c r="AU32" i="12"/>
  <c r="AT32" i="12"/>
  <c r="AS32" i="12"/>
  <c r="AW28" i="12"/>
  <c r="AV28" i="12"/>
  <c r="AU28" i="12"/>
  <c r="AT28" i="12"/>
  <c r="AS28" i="12"/>
  <c r="AW24" i="12"/>
  <c r="AV24" i="12"/>
  <c r="AU24" i="12"/>
  <c r="AT24" i="12"/>
  <c r="AS24" i="12"/>
  <c r="AW20" i="12"/>
  <c r="AV20" i="12"/>
  <c r="AU20" i="12"/>
  <c r="AT20" i="12"/>
  <c r="AS20" i="12"/>
  <c r="AP16" i="12"/>
  <c r="AR16" i="12"/>
  <c r="I125" i="9"/>
  <c r="I124" i="9"/>
  <c r="I123" i="9"/>
  <c r="I122" i="9"/>
  <c r="I118" i="9"/>
  <c r="I117" i="9"/>
  <c r="I116" i="9"/>
  <c r="I115" i="9"/>
  <c r="I111" i="9"/>
  <c r="I110" i="9"/>
  <c r="I109" i="9"/>
  <c r="I108" i="9"/>
  <c r="I104" i="9"/>
  <c r="I103" i="9"/>
  <c r="I102" i="9"/>
  <c r="I99" i="9"/>
  <c r="I97" i="9"/>
  <c r="I95" i="9"/>
  <c r="I94" i="9"/>
  <c r="I90" i="9"/>
  <c r="I89" i="9"/>
  <c r="I88" i="9"/>
  <c r="G87" i="9"/>
  <c r="AR128" i="12"/>
  <c r="AQ128" i="12"/>
  <c r="AP128" i="12"/>
  <c r="AO128" i="12"/>
  <c r="AN128" i="12"/>
  <c r="AR124" i="12"/>
  <c r="AQ124" i="12"/>
  <c r="AP124" i="12"/>
  <c r="AO124" i="12"/>
  <c r="AN124" i="12"/>
  <c r="AR120" i="12"/>
  <c r="AQ120" i="12"/>
  <c r="AP120" i="12"/>
  <c r="AO120" i="12"/>
  <c r="AN120" i="12"/>
  <c r="AR116" i="12"/>
  <c r="AQ116" i="12"/>
  <c r="AP116" i="12"/>
  <c r="AO116" i="12"/>
  <c r="AN116" i="12"/>
  <c r="AR112" i="12"/>
  <c r="AQ112" i="12"/>
  <c r="AP112" i="12"/>
  <c r="AO112" i="12"/>
  <c r="AN112" i="12"/>
  <c r="AR108" i="12"/>
  <c r="AQ108" i="12"/>
  <c r="AP108" i="12"/>
  <c r="AO108" i="12"/>
  <c r="AN108" i="12"/>
  <c r="AR104" i="12"/>
  <c r="AQ104" i="12"/>
  <c r="AP104" i="12"/>
  <c r="AO104" i="12"/>
  <c r="AN104" i="12"/>
  <c r="AR100" i="12"/>
  <c r="AQ100" i="12"/>
  <c r="AP100" i="12"/>
  <c r="AO100" i="12"/>
  <c r="AN100" i="12"/>
  <c r="AR96" i="12"/>
  <c r="AQ96" i="12"/>
  <c r="AP96" i="12"/>
  <c r="AO96" i="12"/>
  <c r="AN96" i="12"/>
  <c r="AR92" i="12"/>
  <c r="AQ92" i="12"/>
  <c r="AP92" i="12"/>
  <c r="AO92" i="12"/>
  <c r="AN92" i="12"/>
  <c r="AR88" i="12"/>
  <c r="AQ88" i="12"/>
  <c r="AP88" i="12"/>
  <c r="AO88" i="12"/>
  <c r="AN88" i="12"/>
  <c r="AR84" i="12"/>
  <c r="AQ84" i="12"/>
  <c r="AP84" i="12"/>
  <c r="AO84" i="12"/>
  <c r="AN84" i="12"/>
  <c r="AR80" i="12"/>
  <c r="AQ80" i="12"/>
  <c r="AP80" i="12"/>
  <c r="AO80" i="12"/>
  <c r="AN80" i="12"/>
  <c r="AR76" i="12"/>
  <c r="AQ76" i="12"/>
  <c r="AP76" i="12"/>
  <c r="AO76" i="12"/>
  <c r="AN76" i="12"/>
  <c r="AR72" i="12"/>
  <c r="AQ72" i="12"/>
  <c r="AP72" i="12"/>
  <c r="AO72" i="12"/>
  <c r="AN72" i="12"/>
  <c r="AR68" i="12"/>
  <c r="AQ68" i="12"/>
  <c r="AP68" i="12"/>
  <c r="AO68" i="12"/>
  <c r="AN68" i="12"/>
  <c r="AR64" i="12"/>
  <c r="AQ64" i="12"/>
  <c r="AP64" i="12"/>
  <c r="AO64" i="12"/>
  <c r="AN64" i="12"/>
  <c r="AR60" i="12"/>
  <c r="AQ60" i="12"/>
  <c r="AP60" i="12"/>
  <c r="AO60" i="12"/>
  <c r="AN60" i="12"/>
  <c r="AR56" i="12"/>
  <c r="AQ56" i="12"/>
  <c r="AP56" i="12"/>
  <c r="AO56" i="12"/>
  <c r="AN56" i="12"/>
  <c r="AR52" i="12"/>
  <c r="AQ52" i="12"/>
  <c r="AP52" i="12"/>
  <c r="AO52" i="12"/>
  <c r="AN52" i="12"/>
  <c r="AR48" i="12"/>
  <c r="AQ48" i="12"/>
  <c r="AP48" i="12"/>
  <c r="AO48" i="12"/>
  <c r="AN48" i="12"/>
  <c r="AR44" i="12"/>
  <c r="AQ44" i="12"/>
  <c r="AP44" i="12"/>
  <c r="AO44" i="12"/>
  <c r="AN44" i="12"/>
  <c r="AR40" i="12"/>
  <c r="AQ40" i="12"/>
  <c r="AP40" i="12"/>
  <c r="AO40" i="12"/>
  <c r="AN40" i="12"/>
  <c r="AR36" i="12"/>
  <c r="AQ36" i="12"/>
  <c r="AP36" i="12"/>
  <c r="AO36" i="12"/>
  <c r="AN36" i="12"/>
  <c r="AR32" i="12"/>
  <c r="AQ32" i="12"/>
  <c r="AP32" i="12"/>
  <c r="AO32" i="12"/>
  <c r="AN32" i="12"/>
  <c r="AR28" i="12"/>
  <c r="AQ28" i="12"/>
  <c r="AP28" i="12"/>
  <c r="AO28" i="12"/>
  <c r="AN28" i="12"/>
  <c r="AR24" i="12"/>
  <c r="AQ24" i="12"/>
  <c r="AP24" i="12"/>
  <c r="AO24" i="12"/>
  <c r="AN24" i="12"/>
  <c r="AR20" i="12"/>
  <c r="AQ20" i="12"/>
  <c r="AP20" i="12"/>
  <c r="AO20" i="12"/>
  <c r="AN20" i="12"/>
  <c r="AQ16" i="12"/>
  <c r="AR12" i="12"/>
  <c r="AQ12" i="12"/>
  <c r="AP12" i="12"/>
  <c r="AO12" i="12"/>
  <c r="AN12" i="12"/>
  <c r="GJ15" i="9"/>
  <c r="GJ16" i="9"/>
  <c r="GJ17" i="9"/>
  <c r="GJ18" i="9"/>
  <c r="GJ19" i="9"/>
  <c r="GJ20" i="9"/>
  <c r="GJ21" i="9"/>
  <c r="GJ22" i="9"/>
  <c r="GJ23" i="9"/>
  <c r="GJ24" i="9"/>
  <c r="GJ25" i="9"/>
  <c r="GJ26" i="9"/>
  <c r="GJ27" i="9"/>
  <c r="GJ28" i="9"/>
  <c r="GJ29" i="9"/>
  <c r="GJ30" i="9"/>
  <c r="GJ31" i="9"/>
  <c r="GJ32" i="9"/>
  <c r="GJ33" i="9"/>
  <c r="GJ34" i="9"/>
  <c r="GJ35" i="9"/>
  <c r="GJ36" i="9"/>
  <c r="GJ37" i="9"/>
  <c r="GJ38" i="9"/>
  <c r="GJ39" i="9"/>
  <c r="GJ40" i="9"/>
  <c r="GJ41" i="9"/>
  <c r="GJ42" i="9"/>
  <c r="GJ43" i="9"/>
  <c r="GJ44" i="9"/>
  <c r="GJ45" i="9"/>
  <c r="GJ46" i="9"/>
  <c r="GJ47" i="9"/>
  <c r="GJ48" i="9"/>
  <c r="GJ49" i="9"/>
  <c r="GJ50" i="9"/>
  <c r="GJ51" i="9"/>
  <c r="GJ52" i="9"/>
  <c r="EC19" i="9"/>
  <c r="DC52" i="9"/>
  <c r="BV52" i="9"/>
  <c r="BV72" i="9" l="1"/>
  <c r="ED15" i="9" s="1"/>
  <c r="ED22" i="9" s="1"/>
  <c r="AM20" i="12"/>
  <c r="KE53" i="9" s="1"/>
  <c r="KE81" i="9" s="1"/>
  <c r="KE54" i="9"/>
  <c r="AM28" i="12"/>
  <c r="KG53" i="9" s="1"/>
  <c r="KG81" i="9" s="1"/>
  <c r="KG54" i="9"/>
  <c r="AM36" i="12"/>
  <c r="KI53" i="9" s="1"/>
  <c r="KI81" i="9" s="1"/>
  <c r="KI54" i="9"/>
  <c r="AM44" i="12"/>
  <c r="KK53" i="9" s="1"/>
  <c r="KK81" i="9" s="1"/>
  <c r="KK54" i="9"/>
  <c r="AM60" i="12"/>
  <c r="KO53" i="9" s="1"/>
  <c r="KO81" i="9" s="1"/>
  <c r="KO54" i="9"/>
  <c r="AM76" i="12"/>
  <c r="KS53" i="9" s="1"/>
  <c r="KS81" i="9" s="1"/>
  <c r="KS54" i="9"/>
  <c r="AM92" i="12"/>
  <c r="KW53" i="9" s="1"/>
  <c r="KW81" i="9" s="1"/>
  <c r="KW54" i="9"/>
  <c r="AM108" i="12"/>
  <c r="LA53" i="9" s="1"/>
  <c r="LA81" i="9" s="1"/>
  <c r="LA54" i="9"/>
  <c r="AM124" i="12"/>
  <c r="LE53" i="9" s="1"/>
  <c r="LE54" i="9"/>
  <c r="AM52" i="12"/>
  <c r="KM53" i="9" s="1"/>
  <c r="KM81" i="9" s="1"/>
  <c r="KM54" i="9"/>
  <c r="AM68" i="12"/>
  <c r="KQ53" i="9" s="1"/>
  <c r="KQ81" i="9" s="1"/>
  <c r="KQ54" i="9"/>
  <c r="AM84" i="12"/>
  <c r="KU53" i="9" s="1"/>
  <c r="KU81" i="9" s="1"/>
  <c r="KU54" i="9"/>
  <c r="AM100" i="12"/>
  <c r="KY53" i="9" s="1"/>
  <c r="KY81" i="9" s="1"/>
  <c r="KY54" i="9"/>
  <c r="AM116" i="12"/>
  <c r="LC53" i="9" s="1"/>
  <c r="LC81" i="9" s="1"/>
  <c r="LC54" i="9"/>
  <c r="AM24" i="12"/>
  <c r="KF53" i="9" s="1"/>
  <c r="KF81" i="9" s="1"/>
  <c r="KF54" i="9"/>
  <c r="AM32" i="12"/>
  <c r="KH53" i="9" s="1"/>
  <c r="KH81" i="9" s="1"/>
  <c r="KH54" i="9"/>
  <c r="AM40" i="12"/>
  <c r="KJ53" i="9" s="1"/>
  <c r="KJ81" i="9" s="1"/>
  <c r="KJ54" i="9"/>
  <c r="AM56" i="12"/>
  <c r="KN53" i="9" s="1"/>
  <c r="KN81" i="9" s="1"/>
  <c r="KN54" i="9"/>
  <c r="AM72" i="12"/>
  <c r="KR53" i="9" s="1"/>
  <c r="KR81" i="9" s="1"/>
  <c r="KR54" i="9"/>
  <c r="AM88" i="12"/>
  <c r="KV53" i="9" s="1"/>
  <c r="KV81" i="9" s="1"/>
  <c r="KV54" i="9"/>
  <c r="AM104" i="12"/>
  <c r="KZ53" i="9" s="1"/>
  <c r="KZ81" i="9" s="1"/>
  <c r="KZ54" i="9"/>
  <c r="AM120" i="12"/>
  <c r="LD53" i="9" s="1"/>
  <c r="LD81" i="9" s="1"/>
  <c r="LD54" i="9"/>
  <c r="CT74" i="9"/>
  <c r="CR74" i="9"/>
  <c r="CP74" i="9"/>
  <c r="CN74" i="9"/>
  <c r="CK74" i="9"/>
  <c r="CI74" i="9"/>
  <c r="CG74" i="9"/>
  <c r="CE74" i="9"/>
  <c r="CC74" i="9"/>
  <c r="CA74" i="9"/>
  <c r="BY74" i="9"/>
  <c r="BW74" i="9"/>
  <c r="CM74" i="9"/>
  <c r="CA76" i="9"/>
  <c r="BY76" i="9"/>
  <c r="BW76" i="9"/>
  <c r="CW74" i="9"/>
  <c r="CU74" i="9"/>
  <c r="CS74" i="9"/>
  <c r="CQ74" i="9"/>
  <c r="CO74" i="9"/>
  <c r="CL74" i="9"/>
  <c r="CJ74" i="9"/>
  <c r="CH74" i="9"/>
  <c r="CF74" i="9"/>
  <c r="CD74" i="9"/>
  <c r="CB74" i="9"/>
  <c r="BZ74" i="9"/>
  <c r="BX74" i="9"/>
  <c r="BV74" i="9"/>
  <c r="CB76" i="9"/>
  <c r="BZ76" i="9"/>
  <c r="BX76" i="9"/>
  <c r="BV76" i="9"/>
  <c r="BU66" i="9"/>
  <c r="BU76" i="9"/>
  <c r="AM48" i="12"/>
  <c r="KL53" i="9" s="1"/>
  <c r="KL81" i="9" s="1"/>
  <c r="AM80" i="12"/>
  <c r="KT53" i="9" s="1"/>
  <c r="KT81" i="9" s="1"/>
  <c r="AM112" i="12"/>
  <c r="LB53" i="9" s="1"/>
  <c r="LB81" i="9" s="1"/>
  <c r="I156" i="9"/>
  <c r="I154" i="9"/>
  <c r="I155" i="9"/>
  <c r="I149" i="9"/>
  <c r="I163" i="9"/>
  <c r="I132" i="9"/>
  <c r="I167" i="9"/>
  <c r="I165" i="9"/>
  <c r="I160" i="9"/>
  <c r="I87" i="9"/>
  <c r="I140" i="9"/>
  <c r="I141" i="9"/>
  <c r="I148" i="9"/>
  <c r="I151" i="9"/>
  <c r="I146" i="9"/>
  <c r="I166" i="9"/>
  <c r="I161" i="9"/>
  <c r="I143" i="9"/>
  <c r="I142" i="9"/>
  <c r="I152" i="9"/>
  <c r="I133" i="9"/>
  <c r="I131" i="9"/>
  <c r="I144" i="9"/>
  <c r="I159" i="9"/>
  <c r="I129" i="9"/>
  <c r="I158" i="9"/>
  <c r="I130" i="9"/>
  <c r="I147" i="9"/>
  <c r="I134" i="9"/>
  <c r="I150" i="9"/>
  <c r="I136" i="9"/>
  <c r="I138" i="9"/>
  <c r="I137" i="9"/>
  <c r="I157" i="9"/>
  <c r="I139" i="9"/>
  <c r="I164" i="9"/>
  <c r="I145" i="9"/>
  <c r="I162" i="9"/>
  <c r="I135" i="9"/>
  <c r="HE20" i="9"/>
  <c r="GA36" i="9"/>
  <c r="JR36" i="9" s="1"/>
  <c r="GA20" i="9"/>
  <c r="JR20" i="9" s="1"/>
  <c r="GA45" i="9"/>
  <c r="GA29" i="9"/>
  <c r="JR29" i="9" s="1"/>
  <c r="GA50" i="9"/>
  <c r="JR50" i="9" s="1"/>
  <c r="GA38" i="9"/>
  <c r="GA22" i="9"/>
  <c r="JR22" i="9" s="1"/>
  <c r="AV57" i="9"/>
  <c r="GA31" i="9"/>
  <c r="GA48" i="9"/>
  <c r="JR48" i="9" s="1"/>
  <c r="GA40" i="9"/>
  <c r="JR40" i="9" s="1"/>
  <c r="GA24" i="9"/>
  <c r="GA14" i="9"/>
  <c r="JR14" i="9" s="1"/>
  <c r="GA33" i="9"/>
  <c r="JR33" i="9" s="1"/>
  <c r="GA17" i="9"/>
  <c r="GA42" i="9"/>
  <c r="JR42" i="9" s="1"/>
  <c r="GA26" i="9"/>
  <c r="JR26" i="9" s="1"/>
  <c r="GA47" i="9"/>
  <c r="JR47" i="9" s="1"/>
  <c r="GA35" i="9"/>
  <c r="JR35" i="9" s="1"/>
  <c r="GA19" i="9"/>
  <c r="JR19" i="9" s="1"/>
  <c r="GA28" i="9"/>
  <c r="JR28" i="9" s="1"/>
  <c r="GA21" i="9"/>
  <c r="JR21" i="9" s="1"/>
  <c r="GA51" i="9"/>
  <c r="JR51" i="9" s="1"/>
  <c r="GA23" i="9"/>
  <c r="JR23" i="9" s="1"/>
  <c r="HE35" i="9"/>
  <c r="GA46" i="9"/>
  <c r="JR46" i="9" s="1"/>
  <c r="HE16" i="9"/>
  <c r="GA44" i="9"/>
  <c r="JR44" i="9" s="1"/>
  <c r="GA49" i="9"/>
  <c r="JR49" i="9" s="1"/>
  <c r="GA37" i="9"/>
  <c r="JR37" i="9" s="1"/>
  <c r="GA30" i="9"/>
  <c r="JR30" i="9" s="1"/>
  <c r="GA39" i="9"/>
  <c r="JR39" i="9" s="1"/>
  <c r="HE28" i="9"/>
  <c r="GA32" i="9"/>
  <c r="JR32" i="9" s="1"/>
  <c r="GA18" i="9"/>
  <c r="JR18" i="9" s="1"/>
  <c r="GA41" i="9"/>
  <c r="JR41" i="9" s="1"/>
  <c r="GA25" i="9"/>
  <c r="JR25" i="9" s="1"/>
  <c r="GA15" i="9"/>
  <c r="JR15" i="9" s="1"/>
  <c r="GA34" i="9"/>
  <c r="JR34" i="9" s="1"/>
  <c r="GA16" i="9"/>
  <c r="JR16" i="9" s="1"/>
  <c r="GA43" i="9"/>
  <c r="JR43" i="9" s="1"/>
  <c r="GA27" i="9"/>
  <c r="JR27" i="9" s="1"/>
  <c r="HE14" i="9"/>
  <c r="Q126" i="9"/>
  <c r="Q73" i="9" s="1"/>
  <c r="U126" i="9"/>
  <c r="U73" i="9" s="1"/>
  <c r="GV22" i="9"/>
  <c r="FR45" i="9"/>
  <c r="FR29" i="9"/>
  <c r="JI29" i="9" s="1"/>
  <c r="FR51" i="9"/>
  <c r="JI51" i="9" s="1"/>
  <c r="FR38" i="9"/>
  <c r="FR22" i="9"/>
  <c r="JI22" i="9" s="1"/>
  <c r="FR43" i="9"/>
  <c r="JI43" i="9" s="1"/>
  <c r="FR27" i="9"/>
  <c r="JI27" i="9" s="1"/>
  <c r="FR14" i="9"/>
  <c r="JI14" i="9" s="1"/>
  <c r="FR32" i="9"/>
  <c r="JI32" i="9" s="1"/>
  <c r="FR18" i="9"/>
  <c r="JI18" i="9" s="1"/>
  <c r="FR33" i="9"/>
  <c r="JI33" i="9" s="1"/>
  <c r="FR17" i="9"/>
  <c r="FR42" i="9"/>
  <c r="JI42" i="9" s="1"/>
  <c r="FR26" i="9"/>
  <c r="JI26" i="9" s="1"/>
  <c r="AD57" i="9"/>
  <c r="FR31" i="9"/>
  <c r="FR49" i="9"/>
  <c r="JI49" i="9" s="1"/>
  <c r="FR36" i="9"/>
  <c r="JI36" i="9" s="1"/>
  <c r="FR20" i="9"/>
  <c r="JI20" i="9" s="1"/>
  <c r="GV16" i="9"/>
  <c r="FR37" i="9"/>
  <c r="JI37" i="9" s="1"/>
  <c r="FR21" i="9"/>
  <c r="JI21" i="9" s="1"/>
  <c r="FR46" i="9"/>
  <c r="JI46" i="9" s="1"/>
  <c r="FR30" i="9"/>
  <c r="JI30" i="9" s="1"/>
  <c r="FR48" i="9"/>
  <c r="JI48" i="9" s="1"/>
  <c r="FR35" i="9"/>
  <c r="JI35" i="9" s="1"/>
  <c r="FR19" i="9"/>
  <c r="JI19" i="9" s="1"/>
  <c r="FR40" i="9"/>
  <c r="JI40" i="9" s="1"/>
  <c r="FR24" i="9"/>
  <c r="FR15" i="9"/>
  <c r="JI15" i="9" s="1"/>
  <c r="GV14" i="9"/>
  <c r="FR41" i="9"/>
  <c r="JI41" i="9" s="1"/>
  <c r="FR25" i="9"/>
  <c r="JI25" i="9" s="1"/>
  <c r="FR47" i="9"/>
  <c r="JI47" i="9" s="1"/>
  <c r="FR34" i="9"/>
  <c r="JI34" i="9" s="1"/>
  <c r="FR16" i="9"/>
  <c r="JI16" i="9" s="1"/>
  <c r="FR39" i="9"/>
  <c r="JI39" i="9" s="1"/>
  <c r="FR23" i="9"/>
  <c r="JI23" i="9" s="1"/>
  <c r="FR44" i="9"/>
  <c r="JI44" i="9" s="1"/>
  <c r="FR28" i="9"/>
  <c r="JI28" i="9" s="1"/>
  <c r="FR50" i="9"/>
  <c r="JI50" i="9" s="1"/>
  <c r="GZ22" i="9"/>
  <c r="FV32" i="9"/>
  <c r="JM32" i="9" s="1"/>
  <c r="FV18" i="9"/>
  <c r="JM18" i="9" s="1"/>
  <c r="FV46" i="9"/>
  <c r="JM46" i="9" s="1"/>
  <c r="FV45" i="9"/>
  <c r="FV29" i="9"/>
  <c r="JM29" i="9" s="1"/>
  <c r="FV51" i="9"/>
  <c r="JM51" i="9" s="1"/>
  <c r="FV26" i="9"/>
  <c r="JM26" i="9" s="1"/>
  <c r="FV39" i="9"/>
  <c r="JM39" i="9" s="1"/>
  <c r="FV23" i="9"/>
  <c r="JM23" i="9" s="1"/>
  <c r="GZ16" i="9"/>
  <c r="FV36" i="9"/>
  <c r="JM36" i="9" s="1"/>
  <c r="FV20" i="9"/>
  <c r="JM20" i="9" s="1"/>
  <c r="AL57" i="9"/>
  <c r="FV22" i="9"/>
  <c r="JM22" i="9" s="1"/>
  <c r="FV33" i="9"/>
  <c r="JM33" i="9" s="1"/>
  <c r="FV17" i="9"/>
  <c r="FV34" i="9"/>
  <c r="JM34" i="9" s="1"/>
  <c r="FV43" i="9"/>
  <c r="JM43" i="9" s="1"/>
  <c r="FV27" i="9"/>
  <c r="JM27" i="9" s="1"/>
  <c r="FV14" i="9"/>
  <c r="JM14" i="9" s="1"/>
  <c r="FV40" i="9"/>
  <c r="JM40" i="9" s="1"/>
  <c r="FV24" i="9"/>
  <c r="FV15" i="9"/>
  <c r="JM15" i="9" s="1"/>
  <c r="FV30" i="9"/>
  <c r="JM30" i="9" s="1"/>
  <c r="FV37" i="9"/>
  <c r="JM37" i="9" s="1"/>
  <c r="FV21" i="9"/>
  <c r="JM21" i="9" s="1"/>
  <c r="FV42" i="9"/>
  <c r="JM42" i="9" s="1"/>
  <c r="FV48" i="9"/>
  <c r="JM48" i="9" s="1"/>
  <c r="FV31" i="9"/>
  <c r="FV49" i="9"/>
  <c r="JM49" i="9" s="1"/>
  <c r="FV44" i="9"/>
  <c r="JM44" i="9" s="1"/>
  <c r="FV28" i="9"/>
  <c r="JM28" i="9" s="1"/>
  <c r="FV50" i="9"/>
  <c r="JM50" i="9" s="1"/>
  <c r="FV38" i="9"/>
  <c r="FV41" i="9"/>
  <c r="JM41" i="9" s="1"/>
  <c r="FV25" i="9"/>
  <c r="JM25" i="9" s="1"/>
  <c r="FV47" i="9"/>
  <c r="JM47" i="9" s="1"/>
  <c r="FV16" i="9"/>
  <c r="JM16" i="9" s="1"/>
  <c r="FV35" i="9"/>
  <c r="JM35" i="9" s="1"/>
  <c r="FV19" i="9"/>
  <c r="JM19" i="9" s="1"/>
  <c r="GZ14" i="9"/>
  <c r="HB20" i="9"/>
  <c r="FX38" i="9"/>
  <c r="FX22" i="9"/>
  <c r="JO22" i="9" s="1"/>
  <c r="FX43" i="9"/>
  <c r="JO43" i="9" s="1"/>
  <c r="FX27" i="9"/>
  <c r="JO27" i="9" s="1"/>
  <c r="FX47" i="9"/>
  <c r="JO47" i="9" s="1"/>
  <c r="FX36" i="9"/>
  <c r="JO36" i="9" s="1"/>
  <c r="FX20" i="9"/>
  <c r="JO20" i="9" s="1"/>
  <c r="FX41" i="9"/>
  <c r="JO41" i="9" s="1"/>
  <c r="FX25" i="9"/>
  <c r="JO25" i="9" s="1"/>
  <c r="FX14" i="9"/>
  <c r="JO14" i="9" s="1"/>
  <c r="FX42" i="9"/>
  <c r="JO42" i="9" s="1"/>
  <c r="FX26" i="9"/>
  <c r="JO26" i="9" s="1"/>
  <c r="FX15" i="9"/>
  <c r="JO15" i="9" s="1"/>
  <c r="FX31" i="9"/>
  <c r="FX51" i="9"/>
  <c r="JO51" i="9" s="1"/>
  <c r="FX40" i="9"/>
  <c r="JO40" i="9" s="1"/>
  <c r="FX24" i="9"/>
  <c r="FX45" i="9"/>
  <c r="FX29" i="9"/>
  <c r="JO29" i="9" s="1"/>
  <c r="FX49" i="9"/>
  <c r="JO49" i="9" s="1"/>
  <c r="HB27" i="9"/>
  <c r="FX46" i="9"/>
  <c r="JO46" i="9" s="1"/>
  <c r="FX30" i="9"/>
  <c r="JO30" i="9" s="1"/>
  <c r="FX50" i="9"/>
  <c r="JO50" i="9" s="1"/>
  <c r="FX35" i="9"/>
  <c r="JO35" i="9" s="1"/>
  <c r="FX19" i="9"/>
  <c r="JO19" i="9" s="1"/>
  <c r="FX44" i="9"/>
  <c r="JO44" i="9" s="1"/>
  <c r="FX28" i="9"/>
  <c r="JO28" i="9" s="1"/>
  <c r="FX48" i="9"/>
  <c r="JO48" i="9" s="1"/>
  <c r="FX33" i="9"/>
  <c r="JO33" i="9" s="1"/>
  <c r="FX17" i="9"/>
  <c r="HB14" i="9"/>
  <c r="FX34" i="9"/>
  <c r="JO34" i="9" s="1"/>
  <c r="FX16" i="9"/>
  <c r="JO16" i="9" s="1"/>
  <c r="FX39" i="9"/>
  <c r="JO39" i="9" s="1"/>
  <c r="FX23" i="9"/>
  <c r="JO23" i="9" s="1"/>
  <c r="HB16" i="9"/>
  <c r="FX32" i="9"/>
  <c r="JO32" i="9" s="1"/>
  <c r="FX18" i="9"/>
  <c r="JO18" i="9" s="1"/>
  <c r="FX37" i="9"/>
  <c r="JO37" i="9" s="1"/>
  <c r="FX21" i="9"/>
  <c r="JO21" i="9" s="1"/>
  <c r="AP57" i="9"/>
  <c r="GY45" i="9"/>
  <c r="FU45" i="9"/>
  <c r="FU29" i="9"/>
  <c r="JL29" i="9" s="1"/>
  <c r="FU48" i="9"/>
  <c r="JL48" i="9" s="1"/>
  <c r="FU38" i="9"/>
  <c r="FU22" i="9"/>
  <c r="JL22" i="9" s="1"/>
  <c r="GY16" i="9"/>
  <c r="FU31" i="9"/>
  <c r="FU50" i="9"/>
  <c r="JL50" i="9" s="1"/>
  <c r="FU36" i="9"/>
  <c r="JL36" i="9" s="1"/>
  <c r="FU20" i="9"/>
  <c r="JL20" i="9" s="1"/>
  <c r="GY14" i="9"/>
  <c r="FU33" i="9"/>
  <c r="JL33" i="9" s="1"/>
  <c r="FU17" i="9"/>
  <c r="FU42" i="9"/>
  <c r="JL42" i="9" s="1"/>
  <c r="FU26" i="9"/>
  <c r="JL26" i="9" s="1"/>
  <c r="FU14" i="9"/>
  <c r="JL14" i="9" s="1"/>
  <c r="FU35" i="9"/>
  <c r="JL35" i="9" s="1"/>
  <c r="FU19" i="9"/>
  <c r="JL19" i="9" s="1"/>
  <c r="FU40" i="9"/>
  <c r="JL40" i="9" s="1"/>
  <c r="FU24" i="9"/>
  <c r="FU47" i="9"/>
  <c r="JL47" i="9" s="1"/>
  <c r="FU37" i="9"/>
  <c r="JL37" i="9" s="1"/>
  <c r="FU21" i="9"/>
  <c r="JL21" i="9" s="1"/>
  <c r="FU46" i="9"/>
  <c r="JL46" i="9" s="1"/>
  <c r="FU30" i="9"/>
  <c r="JL30" i="9" s="1"/>
  <c r="FU49" i="9"/>
  <c r="JL49" i="9" s="1"/>
  <c r="FU39" i="9"/>
  <c r="JL39" i="9" s="1"/>
  <c r="FU23" i="9"/>
  <c r="JL23" i="9" s="1"/>
  <c r="FU44" i="9"/>
  <c r="JL44" i="9" s="1"/>
  <c r="FU28" i="9"/>
  <c r="JL28" i="9" s="1"/>
  <c r="FU51" i="9"/>
  <c r="JL51" i="9" s="1"/>
  <c r="FU41" i="9"/>
  <c r="JL41" i="9" s="1"/>
  <c r="FU25" i="9"/>
  <c r="JL25" i="9" s="1"/>
  <c r="AJ57" i="9"/>
  <c r="FU34" i="9"/>
  <c r="JL34" i="9" s="1"/>
  <c r="FU16" i="9"/>
  <c r="JL16" i="9" s="1"/>
  <c r="FU43" i="9"/>
  <c r="JL43" i="9" s="1"/>
  <c r="FU27" i="9"/>
  <c r="JL27" i="9" s="1"/>
  <c r="FU15" i="9"/>
  <c r="JL15" i="9" s="1"/>
  <c r="FU32" i="9"/>
  <c r="JL32" i="9" s="1"/>
  <c r="FU18" i="9"/>
  <c r="JL18" i="9" s="1"/>
  <c r="HC46" i="9"/>
  <c r="HC26" i="9"/>
  <c r="FY18" i="9"/>
  <c r="JP18" i="9" s="1"/>
  <c r="FY22" i="9"/>
  <c r="JP22" i="9" s="1"/>
  <c r="FY35" i="9"/>
  <c r="JP35" i="9" s="1"/>
  <c r="FY15" i="9"/>
  <c r="JP15" i="9" s="1"/>
  <c r="FY32" i="9"/>
  <c r="JP32" i="9" s="1"/>
  <c r="FY47" i="9"/>
  <c r="JP47" i="9" s="1"/>
  <c r="FY33" i="9"/>
  <c r="JP33" i="9" s="1"/>
  <c r="FY46" i="9"/>
  <c r="JP46" i="9" s="1"/>
  <c r="FY30" i="9"/>
  <c r="JP30" i="9" s="1"/>
  <c r="FY14" i="9"/>
  <c r="FY17" i="9"/>
  <c r="FY21" i="9"/>
  <c r="JP21" i="9" s="1"/>
  <c r="FY39" i="9"/>
  <c r="JP39" i="9" s="1"/>
  <c r="FY50" i="9"/>
  <c r="JP50" i="9" s="1"/>
  <c r="FY36" i="9"/>
  <c r="JP36" i="9" s="1"/>
  <c r="FY51" i="9"/>
  <c r="JP51" i="9" s="1"/>
  <c r="FY37" i="9"/>
  <c r="JP37" i="9" s="1"/>
  <c r="FY48" i="9"/>
  <c r="JP48" i="9" s="1"/>
  <c r="FY34" i="9"/>
  <c r="JP34" i="9" s="1"/>
  <c r="FY49" i="9"/>
  <c r="JP49" i="9" s="1"/>
  <c r="HC16" i="9"/>
  <c r="FY20" i="9"/>
  <c r="JP20" i="9" s="1"/>
  <c r="FY43" i="9"/>
  <c r="JP43" i="9" s="1"/>
  <c r="FY27" i="9"/>
  <c r="JP27" i="9" s="1"/>
  <c r="FY40" i="9"/>
  <c r="JP40" i="9" s="1"/>
  <c r="FY24" i="9"/>
  <c r="FY41" i="9"/>
  <c r="JP41" i="9" s="1"/>
  <c r="FY25" i="9"/>
  <c r="JP25" i="9" s="1"/>
  <c r="FY38" i="9"/>
  <c r="FY16" i="9"/>
  <c r="JP16" i="9" s="1"/>
  <c r="HC14" i="9"/>
  <c r="FY19" i="9"/>
  <c r="JP19" i="9" s="1"/>
  <c r="FY23" i="9"/>
  <c r="JP23" i="9" s="1"/>
  <c r="FY31" i="9"/>
  <c r="FY44" i="9"/>
  <c r="JP44" i="9" s="1"/>
  <c r="FY28" i="9"/>
  <c r="JP28" i="9" s="1"/>
  <c r="FY45" i="9"/>
  <c r="FY29" i="9"/>
  <c r="JP29" i="9" s="1"/>
  <c r="FY42" i="9"/>
  <c r="JP42" i="9" s="1"/>
  <c r="FY26" i="9"/>
  <c r="JP26" i="9" s="1"/>
  <c r="AR57" i="9"/>
  <c r="HK20" i="9"/>
  <c r="GG31" i="9"/>
  <c r="GG50" i="9"/>
  <c r="JX50" i="9" s="1"/>
  <c r="GG33" i="9"/>
  <c r="JX33" i="9" s="1"/>
  <c r="GG42" i="9"/>
  <c r="JX42" i="9" s="1"/>
  <c r="GG14" i="9"/>
  <c r="JX14" i="9" s="1"/>
  <c r="GG32" i="9"/>
  <c r="JX32" i="9" s="1"/>
  <c r="GG18" i="9"/>
  <c r="JX18" i="9" s="1"/>
  <c r="GG37" i="9"/>
  <c r="JX37" i="9" s="1"/>
  <c r="GG38" i="9"/>
  <c r="HK14" i="9"/>
  <c r="GG35" i="9"/>
  <c r="JX35" i="9" s="1"/>
  <c r="GG19" i="9"/>
  <c r="JX19" i="9" s="1"/>
  <c r="GG41" i="9"/>
  <c r="JX41" i="9" s="1"/>
  <c r="GG48" i="9"/>
  <c r="JX48" i="9" s="1"/>
  <c r="GG22" i="9"/>
  <c r="JX22" i="9" s="1"/>
  <c r="GG36" i="9"/>
  <c r="JX36" i="9" s="1"/>
  <c r="GG20" i="9"/>
  <c r="JX20" i="9" s="1"/>
  <c r="GG45" i="9"/>
  <c r="GG46" i="9"/>
  <c r="JX46" i="9" s="1"/>
  <c r="GG49" i="9"/>
  <c r="JX49" i="9" s="1"/>
  <c r="GG39" i="9"/>
  <c r="JX39" i="9" s="1"/>
  <c r="GG23" i="9"/>
  <c r="JX23" i="9" s="1"/>
  <c r="BH57" i="9"/>
  <c r="GG21" i="9"/>
  <c r="JX21" i="9" s="1"/>
  <c r="GG30" i="9"/>
  <c r="JX30" i="9" s="1"/>
  <c r="GG40" i="9"/>
  <c r="JX40" i="9" s="1"/>
  <c r="GG24" i="9"/>
  <c r="GG47" i="9"/>
  <c r="JX47" i="9" s="1"/>
  <c r="GG17" i="9"/>
  <c r="GG16" i="9"/>
  <c r="JX16" i="9" s="1"/>
  <c r="GG43" i="9"/>
  <c r="JX43" i="9" s="1"/>
  <c r="GG27" i="9"/>
  <c r="JX27" i="9" s="1"/>
  <c r="GG15" i="9"/>
  <c r="JX15" i="9" s="1"/>
  <c r="GG29" i="9"/>
  <c r="JX29" i="9" s="1"/>
  <c r="GG34" i="9"/>
  <c r="JX34" i="9" s="1"/>
  <c r="GG44" i="9"/>
  <c r="JX44" i="9" s="1"/>
  <c r="GG28" i="9"/>
  <c r="JX28" i="9" s="1"/>
  <c r="GG51" i="9"/>
  <c r="JX51" i="9" s="1"/>
  <c r="GG25" i="9"/>
  <c r="JX25" i="9" s="1"/>
  <c r="GG26" i="9"/>
  <c r="JX26" i="9" s="1"/>
  <c r="HK16" i="9"/>
  <c r="HE19" i="9"/>
  <c r="HE37" i="9"/>
  <c r="HE26" i="9"/>
  <c r="HE33" i="9"/>
  <c r="GW20" i="9"/>
  <c r="FS33" i="9"/>
  <c r="JJ33" i="9" s="1"/>
  <c r="FS17" i="9"/>
  <c r="FS42" i="9"/>
  <c r="JJ42" i="9" s="1"/>
  <c r="FS26" i="9"/>
  <c r="JJ26" i="9" s="1"/>
  <c r="FS47" i="9"/>
  <c r="JJ47" i="9" s="1"/>
  <c r="FS31" i="9"/>
  <c r="FS48" i="9"/>
  <c r="JJ48" i="9" s="1"/>
  <c r="FS32" i="9"/>
  <c r="JJ32" i="9" s="1"/>
  <c r="FS18" i="9"/>
  <c r="JJ18" i="9" s="1"/>
  <c r="GW14" i="9"/>
  <c r="FS37" i="9"/>
  <c r="JJ37" i="9" s="1"/>
  <c r="FS21" i="9"/>
  <c r="JJ21" i="9" s="1"/>
  <c r="FS46" i="9"/>
  <c r="JJ46" i="9" s="1"/>
  <c r="FS30" i="9"/>
  <c r="JJ30" i="9" s="1"/>
  <c r="FS51" i="9"/>
  <c r="JJ51" i="9" s="1"/>
  <c r="FS35" i="9"/>
  <c r="JJ35" i="9" s="1"/>
  <c r="FS19" i="9"/>
  <c r="JJ19" i="9" s="1"/>
  <c r="FS36" i="9"/>
  <c r="JJ36" i="9" s="1"/>
  <c r="FS20" i="9"/>
  <c r="JJ20" i="9" s="1"/>
  <c r="AF57" i="9"/>
  <c r="GW37" i="9"/>
  <c r="FS41" i="9"/>
  <c r="JJ41" i="9" s="1"/>
  <c r="FS25" i="9"/>
  <c r="JJ25" i="9" s="1"/>
  <c r="FS15" i="9"/>
  <c r="JJ15" i="9" s="1"/>
  <c r="FS34" i="9"/>
  <c r="JJ34" i="9" s="1"/>
  <c r="FS16" i="9"/>
  <c r="JJ16" i="9" s="1"/>
  <c r="FS39" i="9"/>
  <c r="JJ39" i="9" s="1"/>
  <c r="FS23" i="9"/>
  <c r="JJ23" i="9" s="1"/>
  <c r="FS40" i="9"/>
  <c r="JJ40" i="9" s="1"/>
  <c r="FS24" i="9"/>
  <c r="FS14" i="9"/>
  <c r="JJ14" i="9" s="1"/>
  <c r="FS45" i="9"/>
  <c r="FS29" i="9"/>
  <c r="JJ29" i="9" s="1"/>
  <c r="FS50" i="9"/>
  <c r="JJ50" i="9" s="1"/>
  <c r="FS38" i="9"/>
  <c r="FS22" i="9"/>
  <c r="JJ22" i="9" s="1"/>
  <c r="FS43" i="9"/>
  <c r="JJ43" i="9" s="1"/>
  <c r="FS27" i="9"/>
  <c r="JJ27" i="9" s="1"/>
  <c r="FS44" i="9"/>
  <c r="JJ44" i="9" s="1"/>
  <c r="FS28" i="9"/>
  <c r="JJ28" i="9" s="1"/>
  <c r="FS49" i="9"/>
  <c r="JJ49" i="9" s="1"/>
  <c r="GW16" i="9"/>
  <c r="HI20" i="9"/>
  <c r="GE43" i="9"/>
  <c r="JV43" i="9" s="1"/>
  <c r="GE27" i="9"/>
  <c r="JV27" i="9" s="1"/>
  <c r="BD57" i="9"/>
  <c r="GE32" i="9"/>
  <c r="JV32" i="9" s="1"/>
  <c r="GE18" i="9"/>
  <c r="JV18" i="9" s="1"/>
  <c r="GE41" i="9"/>
  <c r="JV41" i="9" s="1"/>
  <c r="GE25" i="9"/>
  <c r="JV25" i="9" s="1"/>
  <c r="GE15" i="9"/>
  <c r="JV15" i="9" s="1"/>
  <c r="GE38" i="9"/>
  <c r="GE22" i="9"/>
  <c r="JV22" i="9" s="1"/>
  <c r="HI14" i="9"/>
  <c r="HI19" i="9"/>
  <c r="GE31" i="9"/>
  <c r="GE48" i="9"/>
  <c r="JV48" i="9" s="1"/>
  <c r="GE36" i="9"/>
  <c r="JV36" i="9" s="1"/>
  <c r="GE20" i="9"/>
  <c r="JV20" i="9" s="1"/>
  <c r="GE45" i="9"/>
  <c r="GE29" i="9"/>
  <c r="JV29" i="9" s="1"/>
  <c r="GE50" i="9"/>
  <c r="JV50" i="9" s="1"/>
  <c r="GE42" i="9"/>
  <c r="JV42" i="9" s="1"/>
  <c r="GE26" i="9"/>
  <c r="JV26" i="9" s="1"/>
  <c r="GE47" i="9"/>
  <c r="JV47" i="9" s="1"/>
  <c r="GE35" i="9"/>
  <c r="JV35" i="9" s="1"/>
  <c r="GE19" i="9"/>
  <c r="JV19" i="9" s="1"/>
  <c r="GE40" i="9"/>
  <c r="JV40" i="9" s="1"/>
  <c r="GE24" i="9"/>
  <c r="GE14" i="9"/>
  <c r="JV14" i="9" s="1"/>
  <c r="GE33" i="9"/>
  <c r="JV33" i="9" s="1"/>
  <c r="GE17" i="9"/>
  <c r="GE46" i="9"/>
  <c r="JV46" i="9" s="1"/>
  <c r="GE30" i="9"/>
  <c r="JV30" i="9" s="1"/>
  <c r="GE51" i="9"/>
  <c r="JV51" i="9" s="1"/>
  <c r="GE39" i="9"/>
  <c r="JV39" i="9" s="1"/>
  <c r="GE23" i="9"/>
  <c r="JV23" i="9" s="1"/>
  <c r="GE44" i="9"/>
  <c r="JV44" i="9" s="1"/>
  <c r="GE28" i="9"/>
  <c r="JV28" i="9" s="1"/>
  <c r="GE49" i="9"/>
  <c r="JV49" i="9" s="1"/>
  <c r="GE37" i="9"/>
  <c r="JV37" i="9" s="1"/>
  <c r="GE21" i="9"/>
  <c r="JV21" i="9" s="1"/>
  <c r="HI16" i="9"/>
  <c r="GE34" i="9"/>
  <c r="JV34" i="9" s="1"/>
  <c r="GE16" i="9"/>
  <c r="JV16" i="9" s="1"/>
  <c r="HL22" i="9"/>
  <c r="GH38" i="9"/>
  <c r="HL14" i="9"/>
  <c r="GH31" i="9"/>
  <c r="GH49" i="9"/>
  <c r="JY49" i="9" s="1"/>
  <c r="GH36" i="9"/>
  <c r="JY36" i="9" s="1"/>
  <c r="GH20" i="9"/>
  <c r="JY20" i="9" s="1"/>
  <c r="GH45" i="9"/>
  <c r="GH29" i="9"/>
  <c r="JY29" i="9" s="1"/>
  <c r="GH51" i="9"/>
  <c r="JY51" i="9" s="1"/>
  <c r="GH42" i="9"/>
  <c r="JY42" i="9" s="1"/>
  <c r="GH26" i="9"/>
  <c r="JY26" i="9" s="1"/>
  <c r="HL16" i="9"/>
  <c r="GH35" i="9"/>
  <c r="JY35" i="9" s="1"/>
  <c r="GH19" i="9"/>
  <c r="JY19" i="9" s="1"/>
  <c r="GH40" i="9"/>
  <c r="JY40" i="9" s="1"/>
  <c r="GH15" i="9"/>
  <c r="JY15" i="9" s="1"/>
  <c r="GH33" i="9"/>
  <c r="JY33" i="9" s="1"/>
  <c r="GH46" i="9"/>
  <c r="JY46" i="9" s="1"/>
  <c r="GH48" i="9"/>
  <c r="JY48" i="9" s="1"/>
  <c r="GH16" i="9"/>
  <c r="JY16" i="9" s="1"/>
  <c r="GH24" i="9"/>
  <c r="GH17" i="9"/>
  <c r="GH30" i="9"/>
  <c r="JY30" i="9" s="1"/>
  <c r="GH39" i="9"/>
  <c r="JY39" i="9" s="1"/>
  <c r="GH23" i="9"/>
  <c r="JY23" i="9" s="1"/>
  <c r="GH28" i="9"/>
  <c r="JY28" i="9" s="1"/>
  <c r="GH50" i="9"/>
  <c r="JY50" i="9" s="1"/>
  <c r="GH37" i="9"/>
  <c r="JY37" i="9" s="1"/>
  <c r="GH21" i="9"/>
  <c r="JY21" i="9" s="1"/>
  <c r="GH34" i="9"/>
  <c r="JY34" i="9" s="1"/>
  <c r="GH18" i="9"/>
  <c r="JY18" i="9" s="1"/>
  <c r="GH25" i="9"/>
  <c r="JY25" i="9" s="1"/>
  <c r="GH22" i="9"/>
  <c r="JY22" i="9" s="1"/>
  <c r="GH44" i="9"/>
  <c r="JY44" i="9" s="1"/>
  <c r="BJ57" i="9"/>
  <c r="GH43" i="9"/>
  <c r="JY43" i="9" s="1"/>
  <c r="GH27" i="9"/>
  <c r="JY27" i="9" s="1"/>
  <c r="GH14" i="9"/>
  <c r="JY14" i="9" s="1"/>
  <c r="GH32" i="9"/>
  <c r="JY32" i="9" s="1"/>
  <c r="GH41" i="9"/>
  <c r="JY41" i="9" s="1"/>
  <c r="GH47" i="9"/>
  <c r="JY47" i="9" s="1"/>
  <c r="GT20" i="9"/>
  <c r="GT33" i="9"/>
  <c r="FP34" i="9"/>
  <c r="JG34" i="9" s="1"/>
  <c r="FP16" i="9"/>
  <c r="JG16" i="9" s="1"/>
  <c r="FP39" i="9"/>
  <c r="JG39" i="9" s="1"/>
  <c r="FP23" i="9"/>
  <c r="JG23" i="9" s="1"/>
  <c r="FP44" i="9"/>
  <c r="JG44" i="9" s="1"/>
  <c r="FP28" i="9"/>
  <c r="JG28" i="9" s="1"/>
  <c r="FP48" i="9"/>
  <c r="JG48" i="9" s="1"/>
  <c r="FP33" i="9"/>
  <c r="JG33" i="9" s="1"/>
  <c r="FP17" i="9"/>
  <c r="GT16" i="9"/>
  <c r="GT29" i="9"/>
  <c r="GT23" i="9"/>
  <c r="FP38" i="9"/>
  <c r="FP22" i="9"/>
  <c r="JG22" i="9" s="1"/>
  <c r="FP43" i="9"/>
  <c r="JG43" i="9" s="1"/>
  <c r="FP27" i="9"/>
  <c r="JG27" i="9" s="1"/>
  <c r="FP47" i="9"/>
  <c r="JG47" i="9" s="1"/>
  <c r="FP32" i="9"/>
  <c r="JG32" i="9" s="1"/>
  <c r="FP18" i="9"/>
  <c r="JG18" i="9" s="1"/>
  <c r="FP37" i="9"/>
  <c r="JG37" i="9" s="1"/>
  <c r="FP21" i="9"/>
  <c r="JG21" i="9" s="1"/>
  <c r="Z57" i="9"/>
  <c r="GT25" i="9"/>
  <c r="GT19" i="9"/>
  <c r="FP42" i="9"/>
  <c r="JG42" i="9" s="1"/>
  <c r="FP26" i="9"/>
  <c r="JG26" i="9" s="1"/>
  <c r="FP15" i="9"/>
  <c r="JG15" i="9" s="1"/>
  <c r="FP31" i="9"/>
  <c r="FP51" i="9"/>
  <c r="JG51" i="9" s="1"/>
  <c r="FP36" i="9"/>
  <c r="JG36" i="9" s="1"/>
  <c r="FP20" i="9"/>
  <c r="JG20" i="9" s="1"/>
  <c r="FP41" i="9"/>
  <c r="JG41" i="9" s="1"/>
  <c r="FP25" i="9"/>
  <c r="JG25" i="9" s="1"/>
  <c r="FP14" i="9"/>
  <c r="JG14" i="9" s="1"/>
  <c r="FP46" i="9"/>
  <c r="JG46" i="9" s="1"/>
  <c r="FP30" i="9"/>
  <c r="JG30" i="9" s="1"/>
  <c r="FP50" i="9"/>
  <c r="JG50" i="9" s="1"/>
  <c r="FP35" i="9"/>
  <c r="JG35" i="9" s="1"/>
  <c r="FP19" i="9"/>
  <c r="JG19" i="9" s="1"/>
  <c r="FP40" i="9"/>
  <c r="JG40" i="9" s="1"/>
  <c r="FP24" i="9"/>
  <c r="FP45" i="9"/>
  <c r="FP29" i="9"/>
  <c r="JG29" i="9" s="1"/>
  <c r="FP49" i="9"/>
  <c r="JG49" i="9" s="1"/>
  <c r="HA20" i="9"/>
  <c r="FW46" i="9"/>
  <c r="JN46" i="9" s="1"/>
  <c r="FW30" i="9"/>
  <c r="JN30" i="9" s="1"/>
  <c r="FW51" i="9"/>
  <c r="JN51" i="9" s="1"/>
  <c r="FW35" i="9"/>
  <c r="JN35" i="9" s="1"/>
  <c r="FW19" i="9"/>
  <c r="JN19" i="9" s="1"/>
  <c r="FW40" i="9"/>
  <c r="JN40" i="9" s="1"/>
  <c r="FW24" i="9"/>
  <c r="FW14" i="9"/>
  <c r="JN14" i="9" s="1"/>
  <c r="FW37" i="9"/>
  <c r="JN37" i="9" s="1"/>
  <c r="FW21" i="9"/>
  <c r="JN21" i="9" s="1"/>
  <c r="HA16" i="9"/>
  <c r="FW34" i="9"/>
  <c r="JN34" i="9" s="1"/>
  <c r="FW16" i="9"/>
  <c r="JN16" i="9" s="1"/>
  <c r="FW39" i="9"/>
  <c r="JN39" i="9" s="1"/>
  <c r="FW23" i="9"/>
  <c r="JN23" i="9" s="1"/>
  <c r="FW44" i="9"/>
  <c r="JN44" i="9" s="1"/>
  <c r="FW28" i="9"/>
  <c r="JN28" i="9" s="1"/>
  <c r="FW49" i="9"/>
  <c r="JN49" i="9" s="1"/>
  <c r="FW41" i="9"/>
  <c r="JN41" i="9" s="1"/>
  <c r="FW25" i="9"/>
  <c r="JN25" i="9" s="1"/>
  <c r="FW15" i="9"/>
  <c r="JN15" i="9" s="1"/>
  <c r="HA26" i="9"/>
  <c r="FW38" i="9"/>
  <c r="FW22" i="9"/>
  <c r="JN22" i="9" s="1"/>
  <c r="FW43" i="9"/>
  <c r="JN43" i="9" s="1"/>
  <c r="FW27" i="9"/>
  <c r="JN27" i="9" s="1"/>
  <c r="AN57" i="9"/>
  <c r="FW32" i="9"/>
  <c r="JN32" i="9" s="1"/>
  <c r="FW18" i="9"/>
  <c r="JN18" i="9" s="1"/>
  <c r="FW45" i="9"/>
  <c r="FW29" i="9"/>
  <c r="JN29" i="9" s="1"/>
  <c r="FW50" i="9"/>
  <c r="JN50" i="9" s="1"/>
  <c r="FW42" i="9"/>
  <c r="JN42" i="9" s="1"/>
  <c r="FW26" i="9"/>
  <c r="JN26" i="9" s="1"/>
  <c r="FW47" i="9"/>
  <c r="JN47" i="9" s="1"/>
  <c r="FW31" i="9"/>
  <c r="FW48" i="9"/>
  <c r="JN48" i="9" s="1"/>
  <c r="FW36" i="9"/>
  <c r="JN36" i="9" s="1"/>
  <c r="FW20" i="9"/>
  <c r="JN20" i="9" s="1"/>
  <c r="HA14" i="9"/>
  <c r="FW33" i="9"/>
  <c r="JN33" i="9" s="1"/>
  <c r="FW17" i="9"/>
  <c r="HJ20" i="9"/>
  <c r="GF36" i="9"/>
  <c r="JW36" i="9" s="1"/>
  <c r="GF20" i="9"/>
  <c r="JW20" i="9" s="1"/>
  <c r="GF41" i="9"/>
  <c r="JW41" i="9" s="1"/>
  <c r="GF25" i="9"/>
  <c r="JW25" i="9" s="1"/>
  <c r="GF14" i="9"/>
  <c r="GF34" i="9"/>
  <c r="JW34" i="9" s="1"/>
  <c r="GF16" i="9"/>
  <c r="JW16" i="9" s="1"/>
  <c r="GF39" i="9"/>
  <c r="JW39" i="9" s="1"/>
  <c r="GF23" i="9"/>
  <c r="JW23" i="9" s="1"/>
  <c r="BF57" i="9"/>
  <c r="HJ25" i="9"/>
  <c r="GF40" i="9"/>
  <c r="JW40" i="9" s="1"/>
  <c r="GF24" i="9"/>
  <c r="GF45" i="9"/>
  <c r="GF29" i="9"/>
  <c r="JW29" i="9" s="1"/>
  <c r="GF49" i="9"/>
  <c r="JW49" i="9" s="1"/>
  <c r="GF38" i="9"/>
  <c r="GF22" i="9"/>
  <c r="JW22" i="9" s="1"/>
  <c r="GF43" i="9"/>
  <c r="JW43" i="9" s="1"/>
  <c r="GF27" i="9"/>
  <c r="JW27" i="9" s="1"/>
  <c r="GF47" i="9"/>
  <c r="JW47" i="9" s="1"/>
  <c r="GF44" i="9"/>
  <c r="JW44" i="9" s="1"/>
  <c r="GF28" i="9"/>
  <c r="JW28" i="9" s="1"/>
  <c r="GF48" i="9"/>
  <c r="JW48" i="9" s="1"/>
  <c r="GF33" i="9"/>
  <c r="JW33" i="9" s="1"/>
  <c r="GF17" i="9"/>
  <c r="GF42" i="9"/>
  <c r="JW42" i="9" s="1"/>
  <c r="GF26" i="9"/>
  <c r="JW26" i="9" s="1"/>
  <c r="GF15" i="9"/>
  <c r="JW15" i="9" s="1"/>
  <c r="GF31" i="9"/>
  <c r="GF51" i="9"/>
  <c r="JW51" i="9" s="1"/>
  <c r="HJ14" i="9"/>
  <c r="GF32" i="9"/>
  <c r="JW32" i="9" s="1"/>
  <c r="GF18" i="9"/>
  <c r="JW18" i="9" s="1"/>
  <c r="GF37" i="9"/>
  <c r="JW37" i="9" s="1"/>
  <c r="GF21" i="9"/>
  <c r="JW21" i="9" s="1"/>
  <c r="GF46" i="9"/>
  <c r="JW46" i="9" s="1"/>
  <c r="GF30" i="9"/>
  <c r="JW30" i="9" s="1"/>
  <c r="GF50" i="9"/>
  <c r="JW50" i="9" s="1"/>
  <c r="GF35" i="9"/>
  <c r="JW35" i="9" s="1"/>
  <c r="GF19" i="9"/>
  <c r="JW19" i="9" s="1"/>
  <c r="HJ16" i="9"/>
  <c r="Y126" i="9"/>
  <c r="Y75" i="9" s="1"/>
  <c r="GV35" i="9"/>
  <c r="BI126" i="9"/>
  <c r="BK126" i="9"/>
  <c r="BK75" i="9" s="1"/>
  <c r="HC21" i="9"/>
  <c r="GV19" i="9"/>
  <c r="AI126" i="9"/>
  <c r="AI73" i="9" s="1"/>
  <c r="GZ25" i="9"/>
  <c r="GT37" i="9"/>
  <c r="GV29" i="9"/>
  <c r="GW27" i="9"/>
  <c r="HA36" i="9"/>
  <c r="HB19" i="9"/>
  <c r="HI35" i="9"/>
  <c r="HK23" i="9"/>
  <c r="HK19" i="9"/>
  <c r="HB29" i="9"/>
  <c r="HB48" i="9"/>
  <c r="JP14" i="9"/>
  <c r="GW40" i="9"/>
  <c r="GZ23" i="9"/>
  <c r="GZ40" i="9"/>
  <c r="HB33" i="9"/>
  <c r="HC33" i="9"/>
  <c r="HC49" i="9"/>
  <c r="HK29" i="9"/>
  <c r="HK31" i="9"/>
  <c r="HK50" i="9"/>
  <c r="JW14" i="9"/>
  <c r="HE23" i="9"/>
  <c r="HE49" i="9"/>
  <c r="HI27" i="9"/>
  <c r="HJ35" i="9"/>
  <c r="HJ40" i="9"/>
  <c r="HK33" i="9"/>
  <c r="GY15" i="9"/>
  <c r="GX20" i="9"/>
  <c r="GX37" i="9"/>
  <c r="FT32" i="9"/>
  <c r="JK32" i="9" s="1"/>
  <c r="FT18" i="9"/>
  <c r="JK18" i="9" s="1"/>
  <c r="FT37" i="9"/>
  <c r="JK37" i="9" s="1"/>
  <c r="FT21" i="9"/>
  <c r="JK21" i="9" s="1"/>
  <c r="FT46" i="9"/>
  <c r="JK46" i="9" s="1"/>
  <c r="FT30" i="9"/>
  <c r="JK30" i="9" s="1"/>
  <c r="FT50" i="9"/>
  <c r="JK50" i="9" s="1"/>
  <c r="FT35" i="9"/>
  <c r="JK35" i="9" s="1"/>
  <c r="FT19" i="9"/>
  <c r="JK19" i="9" s="1"/>
  <c r="GX14" i="9"/>
  <c r="FT36" i="9"/>
  <c r="JK36" i="9" s="1"/>
  <c r="FT20" i="9"/>
  <c r="JK20" i="9" s="1"/>
  <c r="FT41" i="9"/>
  <c r="JK41" i="9" s="1"/>
  <c r="FT25" i="9"/>
  <c r="JK25" i="9" s="1"/>
  <c r="FT14" i="9"/>
  <c r="FT34" i="9"/>
  <c r="JK34" i="9" s="1"/>
  <c r="FT16" i="9"/>
  <c r="JK16" i="9" s="1"/>
  <c r="FT39" i="9"/>
  <c r="JK39" i="9" s="1"/>
  <c r="FT23" i="9"/>
  <c r="JK23" i="9" s="1"/>
  <c r="AH57" i="9"/>
  <c r="GX16" i="9"/>
  <c r="FT40" i="9"/>
  <c r="JK40" i="9" s="1"/>
  <c r="FT24" i="9"/>
  <c r="FT45" i="9"/>
  <c r="FT29" i="9"/>
  <c r="JK29" i="9" s="1"/>
  <c r="FT49" i="9"/>
  <c r="JK49" i="9" s="1"/>
  <c r="FT38" i="9"/>
  <c r="FT22" i="9"/>
  <c r="JK22" i="9" s="1"/>
  <c r="FT43" i="9"/>
  <c r="JK43" i="9" s="1"/>
  <c r="FT27" i="9"/>
  <c r="JK27" i="9" s="1"/>
  <c r="FT47" i="9"/>
  <c r="JK47" i="9" s="1"/>
  <c r="FT44" i="9"/>
  <c r="JK44" i="9" s="1"/>
  <c r="FT28" i="9"/>
  <c r="JK28" i="9" s="1"/>
  <c r="FT48" i="9"/>
  <c r="JK48" i="9" s="1"/>
  <c r="FT33" i="9"/>
  <c r="JK33" i="9" s="1"/>
  <c r="FT17" i="9"/>
  <c r="FT42" i="9"/>
  <c r="JK42" i="9" s="1"/>
  <c r="FT26" i="9"/>
  <c r="JK26" i="9" s="1"/>
  <c r="FT15" i="9"/>
  <c r="JK15" i="9" s="1"/>
  <c r="FT31" i="9"/>
  <c r="FT51" i="9"/>
  <c r="JK51" i="9" s="1"/>
  <c r="HF45" i="9"/>
  <c r="HF21" i="9"/>
  <c r="GB43" i="9"/>
  <c r="JS43" i="9" s="1"/>
  <c r="GB27" i="9"/>
  <c r="JS27" i="9" s="1"/>
  <c r="GB47" i="9"/>
  <c r="JS47" i="9" s="1"/>
  <c r="GB36" i="9"/>
  <c r="JS36" i="9" s="1"/>
  <c r="GB20" i="9"/>
  <c r="JS20" i="9" s="1"/>
  <c r="GB41" i="9"/>
  <c r="JS41" i="9" s="1"/>
  <c r="GB25" i="9"/>
  <c r="JS25" i="9" s="1"/>
  <c r="GB14" i="9"/>
  <c r="GB34" i="9"/>
  <c r="JS34" i="9" s="1"/>
  <c r="GB16" i="9"/>
  <c r="JS16" i="9" s="1"/>
  <c r="HF16" i="9"/>
  <c r="HF19" i="9"/>
  <c r="GB31" i="9"/>
  <c r="GB51" i="9"/>
  <c r="JS51" i="9" s="1"/>
  <c r="GB40" i="9"/>
  <c r="JS40" i="9" s="1"/>
  <c r="GB24" i="9"/>
  <c r="GB45" i="9"/>
  <c r="GB29" i="9"/>
  <c r="JS29" i="9" s="1"/>
  <c r="GB49" i="9"/>
  <c r="JS49" i="9" s="1"/>
  <c r="GB38" i="9"/>
  <c r="GB22" i="9"/>
  <c r="JS22" i="9" s="1"/>
  <c r="HF17" i="9"/>
  <c r="GB35" i="9"/>
  <c r="JS35" i="9" s="1"/>
  <c r="GB19" i="9"/>
  <c r="JS19" i="9" s="1"/>
  <c r="GB44" i="9"/>
  <c r="JS44" i="9" s="1"/>
  <c r="GB28" i="9"/>
  <c r="JS28" i="9" s="1"/>
  <c r="GB48" i="9"/>
  <c r="JS48" i="9" s="1"/>
  <c r="GB33" i="9"/>
  <c r="JS33" i="9" s="1"/>
  <c r="GB17" i="9"/>
  <c r="GB42" i="9"/>
  <c r="JS42" i="9" s="1"/>
  <c r="GB26" i="9"/>
  <c r="JS26" i="9" s="1"/>
  <c r="GB15" i="9"/>
  <c r="JS15" i="9" s="1"/>
  <c r="HF23" i="9"/>
  <c r="GB39" i="9"/>
  <c r="JS39" i="9" s="1"/>
  <c r="GB23" i="9"/>
  <c r="JS23" i="9" s="1"/>
  <c r="AX57" i="9"/>
  <c r="GB32" i="9"/>
  <c r="JS32" i="9" s="1"/>
  <c r="GB18" i="9"/>
  <c r="JS18" i="9" s="1"/>
  <c r="GB37" i="9"/>
  <c r="JS37" i="9" s="1"/>
  <c r="GB21" i="9"/>
  <c r="JS21" i="9" s="1"/>
  <c r="GB46" i="9"/>
  <c r="JS46" i="9" s="1"/>
  <c r="GB30" i="9"/>
  <c r="JS30" i="9" s="1"/>
  <c r="GB50" i="9"/>
  <c r="JS50" i="9" s="1"/>
  <c r="HF14" i="9"/>
  <c r="HG45" i="9"/>
  <c r="GC37" i="9"/>
  <c r="JT37" i="9" s="1"/>
  <c r="GC21" i="9"/>
  <c r="JT21" i="9" s="1"/>
  <c r="GC42" i="9"/>
  <c r="JT42" i="9" s="1"/>
  <c r="GC26" i="9"/>
  <c r="JT26" i="9" s="1"/>
  <c r="GC14" i="9"/>
  <c r="GC35" i="9"/>
  <c r="JT35" i="9" s="1"/>
  <c r="GC19" i="9"/>
  <c r="JT19" i="9" s="1"/>
  <c r="GC40" i="9"/>
  <c r="JT40" i="9" s="1"/>
  <c r="GC24" i="9"/>
  <c r="GC47" i="9"/>
  <c r="JT47" i="9" s="1"/>
  <c r="GC41" i="9"/>
  <c r="JT41" i="9" s="1"/>
  <c r="GC25" i="9"/>
  <c r="JT25" i="9" s="1"/>
  <c r="GC46" i="9"/>
  <c r="JT46" i="9" s="1"/>
  <c r="GC30" i="9"/>
  <c r="JT30" i="9" s="1"/>
  <c r="GC49" i="9"/>
  <c r="JT49" i="9" s="1"/>
  <c r="GC39" i="9"/>
  <c r="JT39" i="9" s="1"/>
  <c r="GC23" i="9"/>
  <c r="JT23" i="9" s="1"/>
  <c r="GC44" i="9"/>
  <c r="JT44" i="9" s="1"/>
  <c r="GC28" i="9"/>
  <c r="JT28" i="9" s="1"/>
  <c r="GC51" i="9"/>
  <c r="JT51" i="9" s="1"/>
  <c r="HG16" i="9"/>
  <c r="GC45" i="9"/>
  <c r="GC29" i="9"/>
  <c r="JT29" i="9" s="1"/>
  <c r="GC48" i="9"/>
  <c r="JT48" i="9" s="1"/>
  <c r="GC34" i="9"/>
  <c r="JT34" i="9" s="1"/>
  <c r="GC16" i="9"/>
  <c r="JT16" i="9" s="1"/>
  <c r="GC43" i="9"/>
  <c r="JT43" i="9" s="1"/>
  <c r="GC27" i="9"/>
  <c r="JT27" i="9" s="1"/>
  <c r="GC15" i="9"/>
  <c r="JT15" i="9" s="1"/>
  <c r="GC32" i="9"/>
  <c r="JT32" i="9" s="1"/>
  <c r="GC18" i="9"/>
  <c r="JT18" i="9" s="1"/>
  <c r="GC33" i="9"/>
  <c r="JT33" i="9" s="1"/>
  <c r="GC17" i="9"/>
  <c r="GC38" i="9"/>
  <c r="GC22" i="9"/>
  <c r="JT22" i="9" s="1"/>
  <c r="AZ57" i="9"/>
  <c r="GC31" i="9"/>
  <c r="GC50" i="9"/>
  <c r="JT50" i="9" s="1"/>
  <c r="GC36" i="9"/>
  <c r="JT36" i="9" s="1"/>
  <c r="GC20" i="9"/>
  <c r="JT20" i="9" s="1"/>
  <c r="HG14" i="9"/>
  <c r="HM48" i="9"/>
  <c r="GI38" i="9"/>
  <c r="GI22" i="9"/>
  <c r="JZ22" i="9" s="1"/>
  <c r="GI44" i="9"/>
  <c r="JZ44" i="9" s="1"/>
  <c r="GI41" i="9"/>
  <c r="JZ41" i="9" s="1"/>
  <c r="GI42" i="9"/>
  <c r="JZ42" i="9" s="1"/>
  <c r="GI26" i="9"/>
  <c r="JZ26" i="9" s="1"/>
  <c r="GI47" i="9"/>
  <c r="JZ47" i="9" s="1"/>
  <c r="GI31" i="9"/>
  <c r="GI48" i="9"/>
  <c r="JZ48" i="9" s="1"/>
  <c r="GI32" i="9"/>
  <c r="JZ32" i="9" s="1"/>
  <c r="GI18" i="9"/>
  <c r="JZ18" i="9" s="1"/>
  <c r="GI45" i="9"/>
  <c r="GI29" i="9"/>
  <c r="JZ29" i="9" s="1"/>
  <c r="GI50" i="9"/>
  <c r="JZ50" i="9" s="1"/>
  <c r="GI37" i="9"/>
  <c r="JZ37" i="9" s="1"/>
  <c r="GI43" i="9"/>
  <c r="JZ43" i="9" s="1"/>
  <c r="GI28" i="9"/>
  <c r="JZ28" i="9" s="1"/>
  <c r="GI15" i="9"/>
  <c r="JZ15" i="9" s="1"/>
  <c r="HM22" i="9"/>
  <c r="GI46" i="9"/>
  <c r="JZ46" i="9" s="1"/>
  <c r="GI30" i="9"/>
  <c r="JZ30" i="9" s="1"/>
  <c r="GI51" i="9"/>
  <c r="JZ51" i="9" s="1"/>
  <c r="GI35" i="9"/>
  <c r="JZ35" i="9" s="1"/>
  <c r="GI19" i="9"/>
  <c r="JZ19" i="9" s="1"/>
  <c r="GI36" i="9"/>
  <c r="JZ36" i="9" s="1"/>
  <c r="GI20" i="9"/>
  <c r="JZ20" i="9" s="1"/>
  <c r="BL57" i="9"/>
  <c r="GI33" i="9"/>
  <c r="JZ33" i="9" s="1"/>
  <c r="GI17" i="9"/>
  <c r="HM16" i="9"/>
  <c r="GI34" i="9"/>
  <c r="JZ34" i="9" s="1"/>
  <c r="GI16" i="9"/>
  <c r="JZ16" i="9" s="1"/>
  <c r="GI23" i="9"/>
  <c r="JZ23" i="9" s="1"/>
  <c r="GI40" i="9"/>
  <c r="JZ40" i="9" s="1"/>
  <c r="GI24" i="9"/>
  <c r="GI14" i="9"/>
  <c r="HM14" i="9"/>
  <c r="GI27" i="9"/>
  <c r="JZ27" i="9" s="1"/>
  <c r="GI49" i="9"/>
  <c r="JZ49" i="9" s="1"/>
  <c r="GI25" i="9"/>
  <c r="JZ25" i="9" s="1"/>
  <c r="HM31" i="9"/>
  <c r="HM18" i="9"/>
  <c r="GI39" i="9"/>
  <c r="JZ39" i="9" s="1"/>
  <c r="GI21" i="9"/>
  <c r="JZ21" i="9" s="1"/>
  <c r="HC15" i="9"/>
  <c r="GU46" i="9"/>
  <c r="GU48" i="9"/>
  <c r="GU41" i="9"/>
  <c r="GU28" i="9"/>
  <c r="FQ31" i="9"/>
  <c r="FQ50" i="9"/>
  <c r="JH50" i="9" s="1"/>
  <c r="FQ40" i="9"/>
  <c r="JH40" i="9" s="1"/>
  <c r="FQ24" i="9"/>
  <c r="FQ47" i="9"/>
  <c r="JH47" i="9" s="1"/>
  <c r="FQ33" i="9"/>
  <c r="JH33" i="9" s="1"/>
  <c r="FQ17" i="9"/>
  <c r="FQ42" i="9"/>
  <c r="JH42" i="9" s="1"/>
  <c r="FQ26" i="9"/>
  <c r="JH26" i="9" s="1"/>
  <c r="FQ14" i="9"/>
  <c r="GU45" i="9"/>
  <c r="GU39" i="9"/>
  <c r="GU36" i="9"/>
  <c r="GU26" i="9"/>
  <c r="FQ35" i="9"/>
  <c r="JH35" i="9" s="1"/>
  <c r="FQ19" i="9"/>
  <c r="JH19" i="9" s="1"/>
  <c r="FQ44" i="9"/>
  <c r="JH44" i="9" s="1"/>
  <c r="FQ28" i="9"/>
  <c r="JH28" i="9" s="1"/>
  <c r="FQ51" i="9"/>
  <c r="JH51" i="9" s="1"/>
  <c r="FQ37" i="9"/>
  <c r="JH37" i="9" s="1"/>
  <c r="FQ21" i="9"/>
  <c r="JH21" i="9" s="1"/>
  <c r="FQ46" i="9"/>
  <c r="JH46" i="9" s="1"/>
  <c r="FQ30" i="9"/>
  <c r="JH30" i="9" s="1"/>
  <c r="FQ49" i="9"/>
  <c r="JH49" i="9" s="1"/>
  <c r="GU51" i="9"/>
  <c r="GU34" i="9"/>
  <c r="GU23" i="9"/>
  <c r="FQ39" i="9"/>
  <c r="JH39" i="9" s="1"/>
  <c r="FQ23" i="9"/>
  <c r="JH23" i="9" s="1"/>
  <c r="AB57" i="9"/>
  <c r="FQ32" i="9"/>
  <c r="JH32" i="9" s="1"/>
  <c r="FQ18" i="9"/>
  <c r="JH18" i="9" s="1"/>
  <c r="FQ41" i="9"/>
  <c r="JH41" i="9" s="1"/>
  <c r="FQ25" i="9"/>
  <c r="JH25" i="9" s="1"/>
  <c r="GU14" i="9"/>
  <c r="FQ34" i="9"/>
  <c r="JH34" i="9" s="1"/>
  <c r="FQ16" i="9"/>
  <c r="JH16" i="9" s="1"/>
  <c r="GU16" i="9"/>
  <c r="GU49" i="9"/>
  <c r="GU33" i="9"/>
  <c r="GU29" i="9"/>
  <c r="GU21" i="9"/>
  <c r="FQ43" i="9"/>
  <c r="JH43" i="9" s="1"/>
  <c r="FQ27" i="9"/>
  <c r="JH27" i="9" s="1"/>
  <c r="FQ15" i="9"/>
  <c r="JH15" i="9" s="1"/>
  <c r="FQ36" i="9"/>
  <c r="JH36" i="9" s="1"/>
  <c r="FQ20" i="9"/>
  <c r="JH20" i="9" s="1"/>
  <c r="FQ45" i="9"/>
  <c r="FQ29" i="9"/>
  <c r="JH29" i="9" s="1"/>
  <c r="FQ48" i="9"/>
  <c r="JH48" i="9" s="1"/>
  <c r="FQ38" i="9"/>
  <c r="FQ22" i="9"/>
  <c r="JH22" i="9" s="1"/>
  <c r="HG15" i="9"/>
  <c r="GS20" i="9"/>
  <c r="GS49" i="9"/>
  <c r="GS36" i="9"/>
  <c r="GS29" i="9"/>
  <c r="FO40" i="9"/>
  <c r="JF40" i="9" s="1"/>
  <c r="FO24" i="9"/>
  <c r="FO14" i="9"/>
  <c r="FO33" i="9"/>
  <c r="JF33" i="9" s="1"/>
  <c r="FO17" i="9"/>
  <c r="FO42" i="9"/>
  <c r="JF42" i="9" s="1"/>
  <c r="FO26" i="9"/>
  <c r="JF26" i="9" s="1"/>
  <c r="FO47" i="9"/>
  <c r="JF47" i="9" s="1"/>
  <c r="FO35" i="9"/>
  <c r="JF35" i="9" s="1"/>
  <c r="FO19" i="9"/>
  <c r="JF19" i="9" s="1"/>
  <c r="GS16" i="9"/>
  <c r="GS48" i="9"/>
  <c r="GS41" i="9"/>
  <c r="GS34" i="9"/>
  <c r="GS28" i="9"/>
  <c r="GS23" i="9"/>
  <c r="FO44" i="9"/>
  <c r="JF44" i="9" s="1"/>
  <c r="FO28" i="9"/>
  <c r="JF28" i="9" s="1"/>
  <c r="FO49" i="9"/>
  <c r="JF49" i="9" s="1"/>
  <c r="FO37" i="9"/>
  <c r="JF37" i="9" s="1"/>
  <c r="FO21" i="9"/>
  <c r="JF21" i="9" s="1"/>
  <c r="FO46" i="9"/>
  <c r="JF46" i="9" s="1"/>
  <c r="FO30" i="9"/>
  <c r="JF30" i="9" s="1"/>
  <c r="FO51" i="9"/>
  <c r="JF51" i="9" s="1"/>
  <c r="FO39" i="9"/>
  <c r="JF39" i="9" s="1"/>
  <c r="FO23" i="9"/>
  <c r="JF23" i="9" s="1"/>
  <c r="GS14" i="9"/>
  <c r="GS39" i="9"/>
  <c r="GS33" i="9"/>
  <c r="GS26" i="9"/>
  <c r="GS21" i="9"/>
  <c r="FO32" i="9"/>
  <c r="JF32" i="9" s="1"/>
  <c r="FO18" i="9"/>
  <c r="JF18" i="9" s="1"/>
  <c r="FO41" i="9"/>
  <c r="JF41" i="9" s="1"/>
  <c r="FO25" i="9"/>
  <c r="JF25" i="9" s="1"/>
  <c r="FO15" i="9"/>
  <c r="JF15" i="9" s="1"/>
  <c r="FO34" i="9"/>
  <c r="JF34" i="9" s="1"/>
  <c r="FO16" i="9"/>
  <c r="JF16" i="9" s="1"/>
  <c r="FO43" i="9"/>
  <c r="JF43" i="9" s="1"/>
  <c r="FO27" i="9"/>
  <c r="JF27" i="9" s="1"/>
  <c r="GS38" i="9"/>
  <c r="GS32" i="9"/>
  <c r="GS37" i="9"/>
  <c r="GS25" i="9"/>
  <c r="GS30" i="9"/>
  <c r="GS17" i="9"/>
  <c r="FO36" i="9"/>
  <c r="JF36" i="9" s="1"/>
  <c r="FO20" i="9"/>
  <c r="JF20" i="9" s="1"/>
  <c r="FO45" i="9"/>
  <c r="FO29" i="9"/>
  <c r="JF29" i="9" s="1"/>
  <c r="FO50" i="9"/>
  <c r="JF50" i="9" s="1"/>
  <c r="FO38" i="9"/>
  <c r="FO22" i="9"/>
  <c r="JF22" i="9" s="1"/>
  <c r="X57" i="9"/>
  <c r="FO31" i="9"/>
  <c r="FO48" i="9"/>
  <c r="JF48" i="9" s="1"/>
  <c r="HH46" i="9"/>
  <c r="HH21" i="9"/>
  <c r="GD46" i="9"/>
  <c r="JU46" i="9" s="1"/>
  <c r="GD30" i="9"/>
  <c r="JU30" i="9" s="1"/>
  <c r="GD48" i="9"/>
  <c r="JU48" i="9" s="1"/>
  <c r="GD20" i="9"/>
  <c r="JU20" i="9" s="1"/>
  <c r="GD39" i="9"/>
  <c r="JU39" i="9" s="1"/>
  <c r="GD49" i="9"/>
  <c r="JU49" i="9" s="1"/>
  <c r="GD40" i="9"/>
  <c r="JU40" i="9" s="1"/>
  <c r="GD24" i="9"/>
  <c r="GD41" i="9"/>
  <c r="JU41" i="9" s="1"/>
  <c r="GD25" i="9"/>
  <c r="JU25" i="9" s="1"/>
  <c r="HH14" i="9"/>
  <c r="HH19" i="9"/>
  <c r="GD34" i="9"/>
  <c r="JU34" i="9" s="1"/>
  <c r="GD16" i="9"/>
  <c r="JU16" i="9" s="1"/>
  <c r="GD19" i="9"/>
  <c r="JU19" i="9" s="1"/>
  <c r="GD43" i="9"/>
  <c r="JU43" i="9" s="1"/>
  <c r="GD27" i="9"/>
  <c r="JU27" i="9" s="1"/>
  <c r="GD44" i="9"/>
  <c r="JU44" i="9" s="1"/>
  <c r="GD28" i="9"/>
  <c r="JU28" i="9" s="1"/>
  <c r="GD45" i="9"/>
  <c r="GD29" i="9"/>
  <c r="JU29" i="9" s="1"/>
  <c r="BB57" i="9"/>
  <c r="HH49" i="9"/>
  <c r="HH41" i="9"/>
  <c r="HH36" i="9"/>
  <c r="HH28" i="9"/>
  <c r="HH17" i="9"/>
  <c r="GD38" i="9"/>
  <c r="GD22" i="9"/>
  <c r="JU22" i="9" s="1"/>
  <c r="GD18" i="9"/>
  <c r="JU18" i="9" s="1"/>
  <c r="GD23" i="9"/>
  <c r="JU23" i="9" s="1"/>
  <c r="GD31" i="9"/>
  <c r="GD32" i="9"/>
  <c r="JU32" i="9" s="1"/>
  <c r="GD15" i="9"/>
  <c r="JU15" i="9" s="1"/>
  <c r="GD33" i="9"/>
  <c r="JU33" i="9" s="1"/>
  <c r="GD47" i="9"/>
  <c r="JU47" i="9" s="1"/>
  <c r="HH32" i="9"/>
  <c r="HH23" i="9"/>
  <c r="GD42" i="9"/>
  <c r="JU42" i="9" s="1"/>
  <c r="GD26" i="9"/>
  <c r="JU26" i="9" s="1"/>
  <c r="GD17" i="9"/>
  <c r="GD21" i="9"/>
  <c r="JU21" i="9" s="1"/>
  <c r="GD35" i="9"/>
  <c r="JU35" i="9" s="1"/>
  <c r="GD14" i="9"/>
  <c r="GD36" i="9"/>
  <c r="JU36" i="9" s="1"/>
  <c r="GD50" i="9"/>
  <c r="JU50" i="9" s="1"/>
  <c r="GD37" i="9"/>
  <c r="JU37" i="9" s="1"/>
  <c r="GD51" i="9"/>
  <c r="JU51" i="9" s="1"/>
  <c r="HH16" i="9"/>
  <c r="GU15" i="9"/>
  <c r="HK15" i="9"/>
  <c r="BI74" i="9"/>
  <c r="HD22" i="9"/>
  <c r="HD37" i="9"/>
  <c r="FZ46" i="9"/>
  <c r="JQ46" i="9" s="1"/>
  <c r="FZ30" i="9"/>
  <c r="JQ30" i="9" s="1"/>
  <c r="FZ48" i="9"/>
  <c r="JQ48" i="9" s="1"/>
  <c r="FZ31" i="9"/>
  <c r="FZ49" i="9"/>
  <c r="JQ49" i="9" s="1"/>
  <c r="FZ36" i="9"/>
  <c r="JQ36" i="9" s="1"/>
  <c r="FZ20" i="9"/>
  <c r="JQ20" i="9" s="1"/>
  <c r="AT57" i="9"/>
  <c r="FZ33" i="9"/>
  <c r="JQ33" i="9" s="1"/>
  <c r="FZ17" i="9"/>
  <c r="FZ34" i="9"/>
  <c r="JQ34" i="9" s="1"/>
  <c r="FZ16" i="9"/>
  <c r="JQ16" i="9" s="1"/>
  <c r="FZ35" i="9"/>
  <c r="JQ35" i="9" s="1"/>
  <c r="FZ19" i="9"/>
  <c r="JQ19" i="9" s="1"/>
  <c r="FZ40" i="9"/>
  <c r="JQ40" i="9" s="1"/>
  <c r="FZ24" i="9"/>
  <c r="FZ15" i="9"/>
  <c r="JQ15" i="9" s="1"/>
  <c r="FZ37" i="9"/>
  <c r="JQ37" i="9" s="1"/>
  <c r="FZ21" i="9"/>
  <c r="JQ21" i="9" s="1"/>
  <c r="HD14" i="9"/>
  <c r="FZ38" i="9"/>
  <c r="FZ22" i="9"/>
  <c r="JQ22" i="9" s="1"/>
  <c r="FZ39" i="9"/>
  <c r="JQ39" i="9" s="1"/>
  <c r="FZ23" i="9"/>
  <c r="JQ23" i="9" s="1"/>
  <c r="FZ44" i="9"/>
  <c r="JQ44" i="9" s="1"/>
  <c r="FZ28" i="9"/>
  <c r="JQ28" i="9" s="1"/>
  <c r="FZ50" i="9"/>
  <c r="JQ50" i="9" s="1"/>
  <c r="FZ41" i="9"/>
  <c r="JQ41" i="9" s="1"/>
  <c r="FZ25" i="9"/>
  <c r="JQ25" i="9" s="1"/>
  <c r="FZ47" i="9"/>
  <c r="JQ47" i="9" s="1"/>
  <c r="FZ42" i="9"/>
  <c r="JQ42" i="9" s="1"/>
  <c r="FZ26" i="9"/>
  <c r="JQ26" i="9" s="1"/>
  <c r="FZ43" i="9"/>
  <c r="JQ43" i="9" s="1"/>
  <c r="FZ27" i="9"/>
  <c r="JQ27" i="9" s="1"/>
  <c r="FZ14" i="9"/>
  <c r="FZ32" i="9"/>
  <c r="JQ32" i="9" s="1"/>
  <c r="FZ18" i="9"/>
  <c r="JQ18" i="9" s="1"/>
  <c r="FZ45" i="9"/>
  <c r="FZ29" i="9"/>
  <c r="JQ29" i="9" s="1"/>
  <c r="FZ51" i="9"/>
  <c r="JQ51" i="9" s="1"/>
  <c r="HD16" i="9"/>
  <c r="GT15" i="9"/>
  <c r="HB15" i="9"/>
  <c r="HJ15" i="9"/>
  <c r="GS15" i="9"/>
  <c r="Y74" i="9"/>
  <c r="HA15" i="9"/>
  <c r="HI15" i="9"/>
  <c r="AM64" i="12"/>
  <c r="KP53" i="9" s="1"/>
  <c r="KP81" i="9" s="1"/>
  <c r="AM96" i="12"/>
  <c r="KX53" i="9" s="1"/>
  <c r="KX81" i="9" s="1"/>
  <c r="AM128" i="12"/>
  <c r="LF53" i="9" s="1"/>
  <c r="GV23" i="9"/>
  <c r="GV38" i="9"/>
  <c r="GW19" i="9"/>
  <c r="GW29" i="9"/>
  <c r="GW31" i="9"/>
  <c r="GW48" i="9"/>
  <c r="HA17" i="9"/>
  <c r="HA30" i="9"/>
  <c r="HI21" i="9"/>
  <c r="HI28" i="9"/>
  <c r="HI36" i="9"/>
  <c r="HI32" i="9"/>
  <c r="HI38" i="9"/>
  <c r="HI48" i="9"/>
  <c r="GT14" i="9"/>
  <c r="GV31" i="9"/>
  <c r="GV40" i="9"/>
  <c r="GW21" i="9"/>
  <c r="GW33" i="9"/>
  <c r="GW50" i="9"/>
  <c r="HA21" i="9"/>
  <c r="HA32" i="9"/>
  <c r="HB23" i="9"/>
  <c r="HB37" i="9"/>
  <c r="HC23" i="9"/>
  <c r="HC28" i="9"/>
  <c r="HC34" i="9"/>
  <c r="HC38" i="9"/>
  <c r="HE30" i="9"/>
  <c r="HE31" i="9"/>
  <c r="HI23" i="9"/>
  <c r="HI29" i="9"/>
  <c r="HI25" i="9"/>
  <c r="HI37" i="9"/>
  <c r="HI33" i="9"/>
  <c r="HI39" i="9"/>
  <c r="HK25" i="9"/>
  <c r="HK35" i="9"/>
  <c r="HK38" i="9"/>
  <c r="GX15" i="9"/>
  <c r="HF15" i="9"/>
  <c r="GZ15" i="9"/>
  <c r="HD15" i="9"/>
  <c r="HH15" i="9"/>
  <c r="HL15" i="9"/>
  <c r="BK74" i="9"/>
  <c r="GV15" i="9"/>
  <c r="GV25" i="9"/>
  <c r="GV33" i="9"/>
  <c r="GW23" i="9"/>
  <c r="GW25" i="9"/>
  <c r="GW35" i="9"/>
  <c r="GW38" i="9"/>
  <c r="HA34" i="9"/>
  <c r="HI17" i="9"/>
  <c r="HI30" i="9"/>
  <c r="HI26" i="9"/>
  <c r="HI34" i="9"/>
  <c r="HI41" i="9"/>
  <c r="HK27" i="9"/>
  <c r="HK37" i="9"/>
  <c r="HK40" i="9"/>
  <c r="HL17" i="9"/>
  <c r="GR15" i="9"/>
  <c r="GR22" i="9"/>
  <c r="GR31" i="9"/>
  <c r="GR14" i="9"/>
  <c r="FN37" i="9"/>
  <c r="JE37" i="9" s="1"/>
  <c r="FN21" i="9"/>
  <c r="JE21" i="9" s="1"/>
  <c r="FN46" i="9"/>
  <c r="JE46" i="9" s="1"/>
  <c r="FN30" i="9"/>
  <c r="JE30" i="9" s="1"/>
  <c r="FN48" i="9"/>
  <c r="JE48" i="9" s="1"/>
  <c r="FN31" i="9"/>
  <c r="FN49" i="9"/>
  <c r="JE49" i="9" s="1"/>
  <c r="FN36" i="9"/>
  <c r="JE36" i="9" s="1"/>
  <c r="FN20" i="9"/>
  <c r="JE20" i="9" s="1"/>
  <c r="V57" i="9"/>
  <c r="GR23" i="9"/>
  <c r="FN41" i="9"/>
  <c r="JE41" i="9" s="1"/>
  <c r="FN25" i="9"/>
  <c r="JE25" i="9" s="1"/>
  <c r="FN47" i="9"/>
  <c r="JE47" i="9" s="1"/>
  <c r="FN34" i="9"/>
  <c r="JE34" i="9" s="1"/>
  <c r="FN16" i="9"/>
  <c r="JE16" i="9" s="1"/>
  <c r="FN35" i="9"/>
  <c r="JE35" i="9" s="1"/>
  <c r="FN19" i="9"/>
  <c r="JE19" i="9" s="1"/>
  <c r="FN40" i="9"/>
  <c r="JE40" i="9" s="1"/>
  <c r="FN24" i="9"/>
  <c r="FN15" i="9"/>
  <c r="JE15" i="9" s="1"/>
  <c r="GR38" i="9"/>
  <c r="GR37" i="9"/>
  <c r="GR29" i="9"/>
  <c r="GR19" i="9"/>
  <c r="FN45" i="9"/>
  <c r="FN29" i="9"/>
  <c r="JE29" i="9" s="1"/>
  <c r="FN51" i="9"/>
  <c r="JE51" i="9" s="1"/>
  <c r="FN38" i="9"/>
  <c r="FN22" i="9"/>
  <c r="JE22" i="9" s="1"/>
  <c r="FN39" i="9"/>
  <c r="JE39" i="9" s="1"/>
  <c r="FN23" i="9"/>
  <c r="JE23" i="9" s="1"/>
  <c r="FN44" i="9"/>
  <c r="JE44" i="9" s="1"/>
  <c r="FN28" i="9"/>
  <c r="JE28" i="9" s="1"/>
  <c r="FN50" i="9"/>
  <c r="JE50" i="9" s="1"/>
  <c r="GR50" i="9"/>
  <c r="GR33" i="9"/>
  <c r="GR27" i="9"/>
  <c r="FN33" i="9"/>
  <c r="JE33" i="9" s="1"/>
  <c r="FN17" i="9"/>
  <c r="FN42" i="9"/>
  <c r="JE42" i="9" s="1"/>
  <c r="FN26" i="9"/>
  <c r="JE26" i="9" s="1"/>
  <c r="FN43" i="9"/>
  <c r="JE43" i="9" s="1"/>
  <c r="FN27" i="9"/>
  <c r="JE27" i="9" s="1"/>
  <c r="FN14" i="9"/>
  <c r="FN32" i="9"/>
  <c r="JE32" i="9" s="1"/>
  <c r="FN18" i="9"/>
  <c r="JE18" i="9" s="1"/>
  <c r="GR16" i="9"/>
  <c r="GQ15" i="9"/>
  <c r="U74" i="9"/>
  <c r="GQ46" i="9"/>
  <c r="GQ38" i="9"/>
  <c r="GQ34" i="9"/>
  <c r="GQ24" i="9"/>
  <c r="GQ29" i="9"/>
  <c r="GQ16" i="9"/>
  <c r="FM33" i="9"/>
  <c r="JD33" i="9" s="1"/>
  <c r="FM17" i="9"/>
  <c r="FM42" i="9"/>
  <c r="JD42" i="9" s="1"/>
  <c r="FM26" i="9"/>
  <c r="JD26" i="9" s="1"/>
  <c r="FM14" i="9"/>
  <c r="FM35" i="9"/>
  <c r="JD35" i="9" s="1"/>
  <c r="FM19" i="9"/>
  <c r="JD19" i="9" s="1"/>
  <c r="FM40" i="9"/>
  <c r="JD40" i="9" s="1"/>
  <c r="FM24" i="9"/>
  <c r="FM47" i="9"/>
  <c r="JD47" i="9" s="1"/>
  <c r="GQ49" i="9"/>
  <c r="GQ33" i="9"/>
  <c r="GQ28" i="9"/>
  <c r="GQ23" i="9"/>
  <c r="FM37" i="9"/>
  <c r="JD37" i="9" s="1"/>
  <c r="FM21" i="9"/>
  <c r="JD21" i="9" s="1"/>
  <c r="FM46" i="9"/>
  <c r="JD46" i="9" s="1"/>
  <c r="FM30" i="9"/>
  <c r="JD30" i="9" s="1"/>
  <c r="FM49" i="9"/>
  <c r="JD49" i="9" s="1"/>
  <c r="FM39" i="9"/>
  <c r="JD39" i="9" s="1"/>
  <c r="FM23" i="9"/>
  <c r="JD23" i="9" s="1"/>
  <c r="FM44" i="9"/>
  <c r="JD44" i="9" s="1"/>
  <c r="FM28" i="9"/>
  <c r="JD28" i="9" s="1"/>
  <c r="FM51" i="9"/>
  <c r="JD51" i="9" s="1"/>
  <c r="GQ48" i="9"/>
  <c r="GQ41" i="9"/>
  <c r="GQ32" i="9"/>
  <c r="GQ26" i="9"/>
  <c r="GQ21" i="9"/>
  <c r="FM41" i="9"/>
  <c r="JD41" i="9" s="1"/>
  <c r="FM25" i="9"/>
  <c r="JD25" i="9" s="1"/>
  <c r="FM48" i="9"/>
  <c r="JD48" i="9" s="1"/>
  <c r="FM34" i="9"/>
  <c r="JD34" i="9" s="1"/>
  <c r="FM16" i="9"/>
  <c r="JD16" i="9" s="1"/>
  <c r="FM43" i="9"/>
  <c r="JD43" i="9" s="1"/>
  <c r="FM27" i="9"/>
  <c r="JD27" i="9" s="1"/>
  <c r="FM15" i="9"/>
  <c r="JD15" i="9" s="1"/>
  <c r="FM32" i="9"/>
  <c r="JD32" i="9" s="1"/>
  <c r="FM18" i="9"/>
  <c r="JD18" i="9" s="1"/>
  <c r="GQ47" i="9"/>
  <c r="GQ39" i="9"/>
  <c r="GQ37" i="9"/>
  <c r="GQ25" i="9"/>
  <c r="GQ30" i="9"/>
  <c r="GQ17" i="9"/>
  <c r="GQ14" i="9"/>
  <c r="FM45" i="9"/>
  <c r="FM29" i="9"/>
  <c r="JD29" i="9" s="1"/>
  <c r="FM38" i="9"/>
  <c r="FM22" i="9"/>
  <c r="JD22" i="9" s="1"/>
  <c r="T57" i="9"/>
  <c r="FM31" i="9"/>
  <c r="FM50" i="9"/>
  <c r="JD50" i="9" s="1"/>
  <c r="FM36" i="9"/>
  <c r="JD36" i="9" s="1"/>
  <c r="FM20" i="9"/>
  <c r="JD20" i="9" s="1"/>
  <c r="GP15" i="9"/>
  <c r="GP18" i="9"/>
  <c r="GP33" i="9"/>
  <c r="GP27" i="9"/>
  <c r="GP16" i="9"/>
  <c r="FL33" i="9"/>
  <c r="JC33" i="9" s="1"/>
  <c r="FL17" i="9"/>
  <c r="FL32" i="9"/>
  <c r="JC32" i="9" s="1"/>
  <c r="FL46" i="9"/>
  <c r="JC46" i="9" s="1"/>
  <c r="FL30" i="9"/>
  <c r="JC30" i="9" s="1"/>
  <c r="FL49" i="9"/>
  <c r="JC49" i="9" s="1"/>
  <c r="FL20" i="9"/>
  <c r="JC20" i="9" s="1"/>
  <c r="FL31" i="9"/>
  <c r="FL50" i="9"/>
  <c r="JC50" i="9" s="1"/>
  <c r="FL47" i="9"/>
  <c r="JC47" i="9" s="1"/>
  <c r="GP31" i="9"/>
  <c r="FL37" i="9"/>
  <c r="JC37" i="9" s="1"/>
  <c r="FL21" i="9"/>
  <c r="JC21" i="9" s="1"/>
  <c r="FL36" i="9"/>
  <c r="JC36" i="9" s="1"/>
  <c r="FL34" i="9"/>
  <c r="JC34" i="9" s="1"/>
  <c r="FL16" i="9"/>
  <c r="JC16" i="9" s="1"/>
  <c r="FL28" i="9"/>
  <c r="JC28" i="9" s="1"/>
  <c r="FL35" i="9"/>
  <c r="JC35" i="9" s="1"/>
  <c r="FL19" i="9"/>
  <c r="JC19" i="9" s="1"/>
  <c r="FL18" i="9"/>
  <c r="JC18" i="9" s="1"/>
  <c r="GP38" i="9"/>
  <c r="GP23" i="9"/>
  <c r="FL41" i="9"/>
  <c r="JC41" i="9" s="1"/>
  <c r="FL25" i="9"/>
  <c r="JC25" i="9" s="1"/>
  <c r="R57" i="9"/>
  <c r="FL51" i="9"/>
  <c r="JC51" i="9" s="1"/>
  <c r="FL38" i="9"/>
  <c r="FL22" i="9"/>
  <c r="JC22" i="9" s="1"/>
  <c r="FL40" i="9"/>
  <c r="JC40" i="9" s="1"/>
  <c r="FL39" i="9"/>
  <c r="JC39" i="9" s="1"/>
  <c r="FL23" i="9"/>
  <c r="JC23" i="9" s="1"/>
  <c r="FL44" i="9"/>
  <c r="JC44" i="9" s="1"/>
  <c r="GP37" i="9"/>
  <c r="GP29" i="9"/>
  <c r="GP19" i="9"/>
  <c r="FL45" i="9"/>
  <c r="FL29" i="9"/>
  <c r="JC29" i="9" s="1"/>
  <c r="FL48" i="9"/>
  <c r="JC48" i="9" s="1"/>
  <c r="FL24" i="9"/>
  <c r="FL42" i="9"/>
  <c r="JC42" i="9" s="1"/>
  <c r="FL26" i="9"/>
  <c r="JC26" i="9" s="1"/>
  <c r="FL14" i="9"/>
  <c r="FL43" i="9"/>
  <c r="JC43" i="9" s="1"/>
  <c r="FL27" i="9"/>
  <c r="JC27" i="9" s="1"/>
  <c r="FL15" i="9"/>
  <c r="JC15" i="9" s="1"/>
  <c r="GO22" i="9"/>
  <c r="FK45" i="9"/>
  <c r="FK29" i="9"/>
  <c r="JB29" i="9" s="1"/>
  <c r="FK49" i="9"/>
  <c r="JB49" i="9" s="1"/>
  <c r="FK38" i="9"/>
  <c r="FK22" i="9"/>
  <c r="JB22" i="9" s="1"/>
  <c r="FK43" i="9"/>
  <c r="JB43" i="9" s="1"/>
  <c r="FK27" i="9"/>
  <c r="JB27" i="9" s="1"/>
  <c r="FK47" i="9"/>
  <c r="JB47" i="9" s="1"/>
  <c r="FK36" i="9"/>
  <c r="JB36" i="9" s="1"/>
  <c r="FK20" i="9"/>
  <c r="JB20" i="9" s="1"/>
  <c r="FK33" i="9"/>
  <c r="JB33" i="9" s="1"/>
  <c r="FK17" i="9"/>
  <c r="FK42" i="9"/>
  <c r="JB42" i="9" s="1"/>
  <c r="FK26" i="9"/>
  <c r="JB26" i="9" s="1"/>
  <c r="FK15" i="9"/>
  <c r="JB15" i="9" s="1"/>
  <c r="FK31" i="9"/>
  <c r="FK51" i="9"/>
  <c r="JB51" i="9" s="1"/>
  <c r="FK40" i="9"/>
  <c r="JB40" i="9" s="1"/>
  <c r="FK24" i="9"/>
  <c r="GO14" i="9"/>
  <c r="FK37" i="9"/>
  <c r="JB37" i="9" s="1"/>
  <c r="FK21" i="9"/>
  <c r="JB21" i="9" s="1"/>
  <c r="FK46" i="9"/>
  <c r="JB46" i="9" s="1"/>
  <c r="FK30" i="9"/>
  <c r="JB30" i="9" s="1"/>
  <c r="FK50" i="9"/>
  <c r="JB50" i="9" s="1"/>
  <c r="FK35" i="9"/>
  <c r="JB35" i="9" s="1"/>
  <c r="FK19" i="9"/>
  <c r="JB19" i="9" s="1"/>
  <c r="FK44" i="9"/>
  <c r="JB44" i="9" s="1"/>
  <c r="FK28" i="9"/>
  <c r="JB28" i="9" s="1"/>
  <c r="FK48" i="9"/>
  <c r="JB48" i="9" s="1"/>
  <c r="FK41" i="9"/>
  <c r="JB41" i="9" s="1"/>
  <c r="FK25" i="9"/>
  <c r="JB25" i="9" s="1"/>
  <c r="FK14" i="9"/>
  <c r="FK34" i="9"/>
  <c r="JB34" i="9" s="1"/>
  <c r="FK16" i="9"/>
  <c r="JB16" i="9" s="1"/>
  <c r="FK39" i="9"/>
  <c r="JB39" i="9" s="1"/>
  <c r="FK23" i="9"/>
  <c r="JB23" i="9" s="1"/>
  <c r="P57" i="9"/>
  <c r="FK32" i="9"/>
  <c r="JB32" i="9" s="1"/>
  <c r="FK18" i="9"/>
  <c r="JB18" i="9" s="1"/>
  <c r="GO15" i="9"/>
  <c r="GN15" i="9"/>
  <c r="GN46" i="9"/>
  <c r="GN49" i="9"/>
  <c r="GN34" i="9"/>
  <c r="FJ15" i="9"/>
  <c r="JA15" i="9" s="1"/>
  <c r="FJ25" i="9"/>
  <c r="JA25" i="9" s="1"/>
  <c r="N57" i="9"/>
  <c r="FJ42" i="9"/>
  <c r="JA42" i="9" s="1"/>
  <c r="FJ37" i="9"/>
  <c r="JA37" i="9" s="1"/>
  <c r="GN28" i="9"/>
  <c r="GN23" i="9"/>
  <c r="FJ22" i="9"/>
  <c r="JA22" i="9" s="1"/>
  <c r="FJ17" i="9"/>
  <c r="FJ47" i="9"/>
  <c r="JA47" i="9" s="1"/>
  <c r="FJ34" i="9"/>
  <c r="JA34" i="9" s="1"/>
  <c r="FJ29" i="9"/>
  <c r="JA29" i="9" s="1"/>
  <c r="FJ44" i="9"/>
  <c r="JA44" i="9" s="1"/>
  <c r="FJ39" i="9"/>
  <c r="JA39" i="9" s="1"/>
  <c r="FJ28" i="9"/>
  <c r="JA28" i="9" s="1"/>
  <c r="FJ23" i="9"/>
  <c r="JA23" i="9" s="1"/>
  <c r="FJ36" i="9"/>
  <c r="JA36" i="9" s="1"/>
  <c r="FJ31" i="9"/>
  <c r="FJ20" i="9"/>
  <c r="JA20" i="9" s="1"/>
  <c r="FJ50" i="9"/>
  <c r="JA50" i="9" s="1"/>
  <c r="FJ45" i="9"/>
  <c r="GM15" i="9"/>
  <c r="GM39" i="9"/>
  <c r="GM34" i="9"/>
  <c r="GM26" i="9"/>
  <c r="GM19" i="9"/>
  <c r="FI35" i="9"/>
  <c r="IZ35" i="9" s="1"/>
  <c r="FI19" i="9"/>
  <c r="IZ19" i="9" s="1"/>
  <c r="FI36" i="9"/>
  <c r="IZ36" i="9" s="1"/>
  <c r="FI20" i="9"/>
  <c r="IZ20" i="9" s="1"/>
  <c r="L57" i="9"/>
  <c r="FI33" i="9"/>
  <c r="IZ33" i="9" s="1"/>
  <c r="FI17" i="9"/>
  <c r="FI42" i="9"/>
  <c r="IZ42" i="9" s="1"/>
  <c r="FI26" i="9"/>
  <c r="IZ26" i="9" s="1"/>
  <c r="FI47" i="9"/>
  <c r="IZ47" i="9" s="1"/>
  <c r="GM33" i="9"/>
  <c r="GM30" i="9"/>
  <c r="GM17" i="9"/>
  <c r="GM23" i="9"/>
  <c r="FI39" i="9"/>
  <c r="IZ39" i="9" s="1"/>
  <c r="FI23" i="9"/>
  <c r="IZ23" i="9" s="1"/>
  <c r="FI40" i="9"/>
  <c r="IZ40" i="9" s="1"/>
  <c r="FI24" i="9"/>
  <c r="FI14" i="9"/>
  <c r="FI37" i="9"/>
  <c r="IZ37" i="9" s="1"/>
  <c r="FI21" i="9"/>
  <c r="IZ21" i="9" s="1"/>
  <c r="FI46" i="9"/>
  <c r="IZ46" i="9" s="1"/>
  <c r="FI30" i="9"/>
  <c r="IZ30" i="9" s="1"/>
  <c r="FI51" i="9"/>
  <c r="IZ51" i="9" s="1"/>
  <c r="GM50" i="9"/>
  <c r="GM29" i="9"/>
  <c r="GM21" i="9"/>
  <c r="FI43" i="9"/>
  <c r="IZ43" i="9" s="1"/>
  <c r="FI27" i="9"/>
  <c r="IZ27" i="9" s="1"/>
  <c r="FI44" i="9"/>
  <c r="IZ44" i="9" s="1"/>
  <c r="FI28" i="9"/>
  <c r="IZ28" i="9" s="1"/>
  <c r="FI49" i="9"/>
  <c r="IZ49" i="9" s="1"/>
  <c r="FI41" i="9"/>
  <c r="IZ41" i="9" s="1"/>
  <c r="FI25" i="9"/>
  <c r="IZ25" i="9" s="1"/>
  <c r="FI15" i="9"/>
  <c r="IZ15" i="9" s="1"/>
  <c r="FI34" i="9"/>
  <c r="IZ34" i="9" s="1"/>
  <c r="FI16" i="9"/>
  <c r="IZ16" i="9" s="1"/>
  <c r="GM16" i="9"/>
  <c r="GM45" i="9"/>
  <c r="GM28" i="9"/>
  <c r="GM20" i="9"/>
  <c r="GM14" i="9"/>
  <c r="FI31" i="9"/>
  <c r="FI48" i="9"/>
  <c r="IZ48" i="9" s="1"/>
  <c r="FI32" i="9"/>
  <c r="IZ32" i="9" s="1"/>
  <c r="FI18" i="9"/>
  <c r="IZ18" i="9" s="1"/>
  <c r="FI45" i="9"/>
  <c r="FI29" i="9"/>
  <c r="IZ29" i="9" s="1"/>
  <c r="FI50" i="9"/>
  <c r="IZ50" i="9" s="1"/>
  <c r="FI38" i="9"/>
  <c r="FI22" i="9"/>
  <c r="IZ22" i="9" s="1"/>
  <c r="GL31" i="9"/>
  <c r="FH35" i="9"/>
  <c r="IY35" i="9" s="1"/>
  <c r="FH32" i="9"/>
  <c r="IY32" i="9" s="1"/>
  <c r="FH30" i="9"/>
  <c r="IY30" i="9" s="1"/>
  <c r="GL14" i="9"/>
  <c r="FH46" i="9"/>
  <c r="IY46" i="9" s="1"/>
  <c r="FH33" i="9"/>
  <c r="IY33" i="9" s="1"/>
  <c r="FH37" i="9"/>
  <c r="IY37" i="9" s="1"/>
  <c r="GL28" i="9"/>
  <c r="GL21" i="9"/>
  <c r="FH19" i="9"/>
  <c r="IY19" i="9" s="1"/>
  <c r="FH18" i="9"/>
  <c r="IY18" i="9" s="1"/>
  <c r="FH48" i="9"/>
  <c r="IY48" i="9" s="1"/>
  <c r="HM37" i="9"/>
  <c r="HM20" i="9"/>
  <c r="HM33" i="9"/>
  <c r="HM35" i="9"/>
  <c r="HL21" i="9"/>
  <c r="HL25" i="9"/>
  <c r="HL32" i="9"/>
  <c r="HL49" i="9"/>
  <c r="HL27" i="9"/>
  <c r="HL34" i="9"/>
  <c r="HL29" i="9"/>
  <c r="HL36" i="9"/>
  <c r="HL38" i="9"/>
  <c r="HK48" i="9"/>
  <c r="HK46" i="9"/>
  <c r="HI31" i="9"/>
  <c r="HI40" i="9"/>
  <c r="HI49" i="9"/>
  <c r="HI45" i="9"/>
  <c r="HI50" i="9"/>
  <c r="HI46" i="9"/>
  <c r="HI22" i="9"/>
  <c r="HI51" i="9"/>
  <c r="HI47" i="9"/>
  <c r="HG20" i="9"/>
  <c r="HG32" i="9"/>
  <c r="HG48" i="9"/>
  <c r="HG34" i="9"/>
  <c r="HG36" i="9"/>
  <c r="HF46" i="9"/>
  <c r="HE17" i="9"/>
  <c r="HE27" i="9"/>
  <c r="HE34" i="9"/>
  <c r="HE38" i="9"/>
  <c r="HE51" i="9"/>
  <c r="HE45" i="9"/>
  <c r="HE39" i="9"/>
  <c r="HE47" i="9"/>
  <c r="HE22" i="9"/>
  <c r="HE21" i="9"/>
  <c r="HE29" i="9"/>
  <c r="HE25" i="9"/>
  <c r="HE36" i="9"/>
  <c r="HE32" i="9"/>
  <c r="HE40" i="9"/>
  <c r="HE48" i="9"/>
  <c r="HD23" i="9"/>
  <c r="HD27" i="9"/>
  <c r="HD33" i="9"/>
  <c r="HD48" i="9"/>
  <c r="HD38" i="9"/>
  <c r="HC48" i="9"/>
  <c r="HC29" i="9"/>
  <c r="HC24" i="9"/>
  <c r="HC36" i="9"/>
  <c r="HC39" i="9"/>
  <c r="HC51" i="9"/>
  <c r="HC45" i="9"/>
  <c r="HC18" i="9"/>
  <c r="HC17" i="9"/>
  <c r="HC30" i="9"/>
  <c r="HC25" i="9"/>
  <c r="HC37" i="9"/>
  <c r="HC32" i="9"/>
  <c r="HC40" i="9"/>
  <c r="HC47" i="9"/>
  <c r="HC22" i="9"/>
  <c r="HB31" i="9"/>
  <c r="HA28" i="9"/>
  <c r="HA39" i="9"/>
  <c r="HA48" i="9"/>
  <c r="GZ19" i="9"/>
  <c r="GZ29" i="9"/>
  <c r="GZ35" i="9"/>
  <c r="GZ38" i="9"/>
  <c r="GZ31" i="9"/>
  <c r="GZ46" i="9"/>
  <c r="GZ33" i="9"/>
  <c r="GZ50" i="9"/>
  <c r="GX27" i="9"/>
  <c r="GW17" i="9"/>
  <c r="GW30" i="9"/>
  <c r="GW26" i="9"/>
  <c r="GW34" i="9"/>
  <c r="GW39" i="9"/>
  <c r="GW49" i="9"/>
  <c r="GW45" i="9"/>
  <c r="GW46" i="9"/>
  <c r="GW18" i="9"/>
  <c r="GW28" i="9"/>
  <c r="GW36" i="9"/>
  <c r="GW32" i="9"/>
  <c r="GW41" i="9"/>
  <c r="GW51" i="9"/>
  <c r="GW47" i="9"/>
  <c r="GW22" i="9"/>
  <c r="GV46" i="9"/>
  <c r="GV50" i="9"/>
  <c r="GU22" i="9"/>
  <c r="GT38" i="9"/>
  <c r="GT48" i="9"/>
  <c r="GS47" i="9"/>
  <c r="GS18" i="9"/>
  <c r="GS51" i="9"/>
  <c r="GS45" i="9"/>
  <c r="GR25" i="9"/>
  <c r="GR35" i="9"/>
  <c r="GR40" i="9"/>
  <c r="GR46" i="9"/>
  <c r="GR48" i="9"/>
  <c r="GQ36" i="9"/>
  <c r="GQ51" i="9"/>
  <c r="GQ45" i="9"/>
  <c r="GQ18" i="9"/>
  <c r="GQ22" i="9"/>
  <c r="GP25" i="9"/>
  <c r="GP35" i="9"/>
  <c r="GP40" i="9"/>
  <c r="GP46" i="9"/>
  <c r="GP48" i="9"/>
  <c r="GP50" i="9"/>
  <c r="GO23" i="9"/>
  <c r="GO33" i="9"/>
  <c r="GO38" i="9"/>
  <c r="GN41" i="9"/>
  <c r="GM25" i="9"/>
  <c r="GM37" i="9"/>
  <c r="GM32" i="9"/>
  <c r="GM47" i="9"/>
  <c r="GM40" i="9"/>
  <c r="GM49" i="9"/>
  <c r="GM41" i="9"/>
  <c r="GM36" i="9"/>
  <c r="GM51" i="9"/>
  <c r="GM46" i="9"/>
  <c r="GM38" i="9"/>
  <c r="GL39" i="9"/>
  <c r="GL48" i="9"/>
  <c r="AG126" i="9"/>
  <c r="AG73" i="9" s="1"/>
  <c r="AO126" i="9"/>
  <c r="AO73" i="9" s="1"/>
  <c r="AW126" i="9"/>
  <c r="AW73" i="9" s="1"/>
  <c r="BE126" i="9"/>
  <c r="BE73" i="9" s="1"/>
  <c r="BC126" i="9"/>
  <c r="BC75" i="9" s="1"/>
  <c r="BG126" i="9"/>
  <c r="BG73" i="9" s="1"/>
  <c r="FJ49" i="9"/>
  <c r="JA49" i="9" s="1"/>
  <c r="FJ33" i="9"/>
  <c r="JA33" i="9" s="1"/>
  <c r="FJ19" i="9"/>
  <c r="JA19" i="9" s="1"/>
  <c r="FJ38" i="9"/>
  <c r="FJ24" i="9"/>
  <c r="FJ51" i="9"/>
  <c r="JA51" i="9" s="1"/>
  <c r="FJ35" i="9"/>
  <c r="JA35" i="9" s="1"/>
  <c r="FJ21" i="9"/>
  <c r="JA21" i="9" s="1"/>
  <c r="FJ40" i="9"/>
  <c r="JA40" i="9" s="1"/>
  <c r="FJ26" i="9"/>
  <c r="JA26" i="9" s="1"/>
  <c r="GL16" i="9"/>
  <c r="FH38" i="9"/>
  <c r="FH15" i="9"/>
  <c r="IY15" i="9" s="1"/>
  <c r="FH40" i="9"/>
  <c r="IY40" i="9" s="1"/>
  <c r="FH14" i="9"/>
  <c r="FH43" i="9"/>
  <c r="IY43" i="9" s="1"/>
  <c r="I153" i="9"/>
  <c r="GN14" i="9"/>
  <c r="GL19" i="9"/>
  <c r="GL27" i="9"/>
  <c r="GL38" i="9"/>
  <c r="GL51" i="9"/>
  <c r="GL47" i="9"/>
  <c r="M126" i="9"/>
  <c r="M73" i="9" s="1"/>
  <c r="GN21" i="9"/>
  <c r="GN26" i="9"/>
  <c r="GN33" i="9"/>
  <c r="GN39" i="9"/>
  <c r="GN48" i="9"/>
  <c r="GN22" i="9"/>
  <c r="GO19" i="9"/>
  <c r="GO29" i="9"/>
  <c r="GO31" i="9"/>
  <c r="GO50" i="9"/>
  <c r="GP17" i="9"/>
  <c r="GP30" i="9"/>
  <c r="GP26" i="9"/>
  <c r="GP34" i="9"/>
  <c r="GP39" i="9"/>
  <c r="GP49" i="9"/>
  <c r="GP45" i="9"/>
  <c r="S126" i="9"/>
  <c r="S73" i="9" s="1"/>
  <c r="W126" i="9"/>
  <c r="W73" i="9" s="1"/>
  <c r="GS19" i="9"/>
  <c r="GS27" i="9"/>
  <c r="GS35" i="9"/>
  <c r="GS31" i="9"/>
  <c r="GS40" i="9"/>
  <c r="GS50" i="9"/>
  <c r="GS46" i="9"/>
  <c r="GS22" i="9"/>
  <c r="AA126" i="9"/>
  <c r="AA73" i="9" s="1"/>
  <c r="GU17" i="9"/>
  <c r="GU30" i="9"/>
  <c r="GU25" i="9"/>
  <c r="GU37" i="9"/>
  <c r="GU32" i="9"/>
  <c r="GU38" i="9"/>
  <c r="GU47" i="9"/>
  <c r="GU18" i="9"/>
  <c r="GV27" i="9"/>
  <c r="GV37" i="9"/>
  <c r="GV48" i="9"/>
  <c r="GX25" i="9"/>
  <c r="GX33" i="9"/>
  <c r="GY22" i="9"/>
  <c r="GY29" i="9"/>
  <c r="GY36" i="9"/>
  <c r="GY50" i="9"/>
  <c r="AK126" i="9"/>
  <c r="GZ27" i="9"/>
  <c r="GZ37" i="9"/>
  <c r="GZ48" i="9"/>
  <c r="HA23" i="9"/>
  <c r="HA29" i="9"/>
  <c r="HA25" i="9"/>
  <c r="HA37" i="9"/>
  <c r="HA33" i="9"/>
  <c r="HA38" i="9"/>
  <c r="HA51" i="9"/>
  <c r="HA47" i="9"/>
  <c r="HB25" i="9"/>
  <c r="HB35" i="9"/>
  <c r="HB38" i="9"/>
  <c r="AS126" i="9"/>
  <c r="HD25" i="9"/>
  <c r="HD35" i="9"/>
  <c r="HD40" i="9"/>
  <c r="HD46" i="9"/>
  <c r="HE41" i="9"/>
  <c r="HE50" i="9"/>
  <c r="HE46" i="9"/>
  <c r="HF50" i="9"/>
  <c r="HG22" i="9"/>
  <c r="HG37" i="9"/>
  <c r="HG33" i="9"/>
  <c r="HG46" i="9"/>
  <c r="HH22" i="9"/>
  <c r="HH18" i="9"/>
  <c r="HH27" i="9"/>
  <c r="HH35" i="9"/>
  <c r="HH31" i="9"/>
  <c r="HH40" i="9"/>
  <c r="HH48" i="9"/>
  <c r="HJ23" i="9"/>
  <c r="HJ33" i="9"/>
  <c r="HJ38" i="9"/>
  <c r="HK17" i="9"/>
  <c r="HK30" i="9"/>
  <c r="HK26" i="9"/>
  <c r="HK34" i="9"/>
  <c r="HK39" i="9"/>
  <c r="HK49" i="9"/>
  <c r="HK45" i="9"/>
  <c r="HK18" i="9"/>
  <c r="HL19" i="9"/>
  <c r="HL28" i="9"/>
  <c r="HL24" i="9"/>
  <c r="HL35" i="9"/>
  <c r="HL31" i="9"/>
  <c r="HL41" i="9"/>
  <c r="HL48" i="9"/>
  <c r="HM23" i="9"/>
  <c r="HM19" i="9"/>
  <c r="HM36" i="9"/>
  <c r="HM32" i="9"/>
  <c r="HA18" i="9"/>
  <c r="HK22" i="9"/>
  <c r="GN16" i="9"/>
  <c r="FJ41" i="9"/>
  <c r="JA41" i="9" s="1"/>
  <c r="FJ27" i="9"/>
  <c r="JA27" i="9" s="1"/>
  <c r="FJ46" i="9"/>
  <c r="JA46" i="9" s="1"/>
  <c r="FJ30" i="9"/>
  <c r="JA30" i="9" s="1"/>
  <c r="FJ16" i="9"/>
  <c r="JA16" i="9" s="1"/>
  <c r="FJ43" i="9"/>
  <c r="JA43" i="9" s="1"/>
  <c r="FJ14" i="9"/>
  <c r="FJ48" i="9"/>
  <c r="JA48" i="9" s="1"/>
  <c r="FJ32" i="9"/>
  <c r="JA32" i="9" s="1"/>
  <c r="FJ18" i="9"/>
  <c r="JA18" i="9" s="1"/>
  <c r="FH22" i="9"/>
  <c r="IY22" i="9" s="1"/>
  <c r="FH21" i="9"/>
  <c r="IY21" i="9" s="1"/>
  <c r="FH24" i="9"/>
  <c r="FH17" i="9"/>
  <c r="FH27" i="9"/>
  <c r="IY27" i="9" s="1"/>
  <c r="GP14" i="9"/>
  <c r="GL23" i="9"/>
  <c r="GL29" i="9"/>
  <c r="GL25" i="9"/>
  <c r="GL40" i="9"/>
  <c r="GL49" i="9"/>
  <c r="GL45" i="9"/>
  <c r="GN29" i="9"/>
  <c r="GN24" i="9"/>
  <c r="GN36" i="9"/>
  <c r="GN51" i="9"/>
  <c r="GN45" i="9"/>
  <c r="O126" i="9"/>
  <c r="GO25" i="9"/>
  <c r="GO35" i="9"/>
  <c r="GO40" i="9"/>
  <c r="GO46" i="9"/>
  <c r="GP21" i="9"/>
  <c r="GP28" i="9"/>
  <c r="GP24" i="9"/>
  <c r="GP36" i="9"/>
  <c r="GP32" i="9"/>
  <c r="GP41" i="9"/>
  <c r="GP51" i="9"/>
  <c r="GP47" i="9"/>
  <c r="GP20" i="9"/>
  <c r="AE126" i="9"/>
  <c r="GX19" i="9"/>
  <c r="GX29" i="9"/>
  <c r="GX48" i="9"/>
  <c r="GY18" i="9"/>
  <c r="GY25" i="9"/>
  <c r="GY32" i="9"/>
  <c r="GY39" i="9"/>
  <c r="GY46" i="9"/>
  <c r="AM126" i="9"/>
  <c r="AM75" i="9" s="1"/>
  <c r="HA19" i="9"/>
  <c r="HA27" i="9"/>
  <c r="HA35" i="9"/>
  <c r="HA31" i="9"/>
  <c r="HA40" i="9"/>
  <c r="HA49" i="9"/>
  <c r="HA45" i="9"/>
  <c r="HA22" i="9"/>
  <c r="AQ126" i="9"/>
  <c r="AQ73" i="9" s="1"/>
  <c r="HD19" i="9"/>
  <c r="HD29" i="9"/>
  <c r="HD31" i="9"/>
  <c r="HD50" i="9"/>
  <c r="HE18" i="9"/>
  <c r="AY126" i="9"/>
  <c r="AY73" i="9" s="1"/>
  <c r="HG18" i="9"/>
  <c r="HG35" i="9"/>
  <c r="HG31" i="9"/>
  <c r="HG50" i="9"/>
  <c r="HH20" i="9"/>
  <c r="HH29" i="9"/>
  <c r="HH25" i="9"/>
  <c r="HH37" i="9"/>
  <c r="HH33" i="9"/>
  <c r="HH38" i="9"/>
  <c r="HH51" i="9"/>
  <c r="HH45" i="9"/>
  <c r="HI18" i="9"/>
  <c r="HJ27" i="9"/>
  <c r="HJ37" i="9"/>
  <c r="HJ48" i="9"/>
  <c r="HK21" i="9"/>
  <c r="HK28" i="9"/>
  <c r="HK24" i="9"/>
  <c r="HK36" i="9"/>
  <c r="HK32" i="9"/>
  <c r="HK41" i="9"/>
  <c r="HK51" i="9"/>
  <c r="HK47" i="9"/>
  <c r="HL23" i="9"/>
  <c r="HL30" i="9"/>
  <c r="HL26" i="9"/>
  <c r="HL37" i="9"/>
  <c r="HL33" i="9"/>
  <c r="HL39" i="9"/>
  <c r="HL50" i="9"/>
  <c r="HL45" i="9"/>
  <c r="HM21" i="9"/>
  <c r="HM17" i="9"/>
  <c r="HM34" i="9"/>
  <c r="HM46" i="9"/>
  <c r="GL17" i="9"/>
  <c r="GL30" i="9"/>
  <c r="GL26" i="9"/>
  <c r="GL41" i="9"/>
  <c r="GL50" i="9"/>
  <c r="GL46" i="9"/>
  <c r="GN17" i="9"/>
  <c r="GN30" i="9"/>
  <c r="GN25" i="9"/>
  <c r="GN37" i="9"/>
  <c r="GN32" i="9"/>
  <c r="GN38" i="9"/>
  <c r="GN47" i="9"/>
  <c r="GN18" i="9"/>
  <c r="GO27" i="9"/>
  <c r="GO37" i="9"/>
  <c r="GO48" i="9"/>
  <c r="GP22" i="9"/>
  <c r="AC126" i="9"/>
  <c r="GX23" i="9"/>
  <c r="GX38" i="9"/>
  <c r="GY20" i="9"/>
  <c r="GY27" i="9"/>
  <c r="GY34" i="9"/>
  <c r="GY41" i="9"/>
  <c r="GY48" i="9"/>
  <c r="HA41" i="9"/>
  <c r="HA50" i="9"/>
  <c r="HA46" i="9"/>
  <c r="AU126" i="9"/>
  <c r="AU75" i="9" s="1"/>
  <c r="BA126" i="9"/>
  <c r="HH30" i="9"/>
  <c r="HH26" i="9"/>
  <c r="HH34" i="9"/>
  <c r="HH39" i="9"/>
  <c r="HH47" i="9"/>
  <c r="HJ19" i="9"/>
  <c r="HJ29" i="9"/>
  <c r="HJ31" i="9"/>
  <c r="HJ50" i="9"/>
  <c r="HL40" i="9"/>
  <c r="HL51" i="9"/>
  <c r="HL47" i="9"/>
  <c r="HM50" i="9"/>
  <c r="GO16" i="9"/>
  <c r="GN20" i="9"/>
  <c r="GO21" i="9"/>
  <c r="GO28" i="9"/>
  <c r="GO24" i="9"/>
  <c r="GO36" i="9"/>
  <c r="GO32" i="9"/>
  <c r="GO41" i="9"/>
  <c r="GO51" i="9"/>
  <c r="GO47" i="9"/>
  <c r="GO18" i="9"/>
  <c r="GQ20" i="9"/>
  <c r="GR21" i="9"/>
  <c r="GR28" i="9"/>
  <c r="GR24" i="9"/>
  <c r="GR36" i="9"/>
  <c r="GR32" i="9"/>
  <c r="GR41" i="9"/>
  <c r="GR51" i="9"/>
  <c r="GR47" i="9"/>
  <c r="GR18" i="9"/>
  <c r="GT17" i="9"/>
  <c r="GT30" i="9"/>
  <c r="GT26" i="9"/>
  <c r="GT34" i="9"/>
  <c r="GT39" i="9"/>
  <c r="GT49" i="9"/>
  <c r="GT45" i="9"/>
  <c r="GT22" i="9"/>
  <c r="GU20" i="9"/>
  <c r="GV21" i="9"/>
  <c r="GV28" i="9"/>
  <c r="GV24" i="9"/>
  <c r="GV36" i="9"/>
  <c r="GV32" i="9"/>
  <c r="GV41" i="9"/>
  <c r="GV51" i="9"/>
  <c r="GV47" i="9"/>
  <c r="GV18" i="9"/>
  <c r="GX17" i="9"/>
  <c r="GX30" i="9"/>
  <c r="GX26" i="9"/>
  <c r="GX34" i="9"/>
  <c r="GX39" i="9"/>
  <c r="GX49" i="9"/>
  <c r="GX45" i="9"/>
  <c r="GX22" i="9"/>
  <c r="GY23" i="9"/>
  <c r="GY19" i="9"/>
  <c r="GY30" i="9"/>
  <c r="GY26" i="9"/>
  <c r="GY37" i="9"/>
  <c r="GY33" i="9"/>
  <c r="GY40" i="9"/>
  <c r="GY51" i="9"/>
  <c r="GY47" i="9"/>
  <c r="GZ21" i="9"/>
  <c r="GZ28" i="9"/>
  <c r="GZ24" i="9"/>
  <c r="GZ36" i="9"/>
  <c r="GZ32" i="9"/>
  <c r="GZ41" i="9"/>
  <c r="GZ51" i="9"/>
  <c r="GZ47" i="9"/>
  <c r="GZ18" i="9"/>
  <c r="HB17" i="9"/>
  <c r="HB30" i="9"/>
  <c r="HB26" i="9"/>
  <c r="HB34" i="9"/>
  <c r="HB39" i="9"/>
  <c r="HB49" i="9"/>
  <c r="HB45" i="9"/>
  <c r="HB22" i="9"/>
  <c r="HC20" i="9"/>
  <c r="HD21" i="9"/>
  <c r="HD28" i="9"/>
  <c r="HD24" i="9"/>
  <c r="HD36" i="9"/>
  <c r="HD32" i="9"/>
  <c r="HD41" i="9"/>
  <c r="HD51" i="9"/>
  <c r="HD47" i="9"/>
  <c r="HD18" i="9"/>
  <c r="HH50" i="9"/>
  <c r="HJ17" i="9"/>
  <c r="HJ30" i="9"/>
  <c r="HJ26" i="9"/>
  <c r="HJ34" i="9"/>
  <c r="HJ39" i="9"/>
  <c r="HJ49" i="9"/>
  <c r="HJ45" i="9"/>
  <c r="HJ22" i="9"/>
  <c r="HL46" i="9"/>
  <c r="K126" i="9"/>
  <c r="K75" i="9" s="1"/>
  <c r="GO20" i="9"/>
  <c r="GR20" i="9"/>
  <c r="GT27" i="9"/>
  <c r="GT35" i="9"/>
  <c r="GT31" i="9"/>
  <c r="GT40" i="9"/>
  <c r="GT50" i="9"/>
  <c r="GT46" i="9"/>
  <c r="GV20" i="9"/>
  <c r="GX35" i="9"/>
  <c r="GX31" i="9"/>
  <c r="GX40" i="9"/>
  <c r="GX50" i="9"/>
  <c r="GX46" i="9"/>
  <c r="GZ20" i="9"/>
  <c r="HB40" i="9"/>
  <c r="HB50" i="9"/>
  <c r="HB46" i="9"/>
  <c r="HD20" i="9"/>
  <c r="HJ46" i="9"/>
  <c r="HL18" i="9"/>
  <c r="GM22" i="9"/>
  <c r="GM18" i="9"/>
  <c r="GM27" i="9"/>
  <c r="GM35" i="9"/>
  <c r="GM31" i="9"/>
  <c r="GM48" i="9"/>
  <c r="GN19" i="9"/>
  <c r="GN27" i="9"/>
  <c r="GN35" i="9"/>
  <c r="GN31" i="9"/>
  <c r="GN40" i="9"/>
  <c r="GN50" i="9"/>
  <c r="GO17" i="9"/>
  <c r="GO30" i="9"/>
  <c r="GO26" i="9"/>
  <c r="GO34" i="9"/>
  <c r="GO39" i="9"/>
  <c r="GO49" i="9"/>
  <c r="GO45" i="9"/>
  <c r="GQ19" i="9"/>
  <c r="GQ27" i="9"/>
  <c r="GQ35" i="9"/>
  <c r="GQ31" i="9"/>
  <c r="GQ40" i="9"/>
  <c r="GQ50" i="9"/>
  <c r="GR17" i="9"/>
  <c r="GR30" i="9"/>
  <c r="GR26" i="9"/>
  <c r="GR34" i="9"/>
  <c r="GR39" i="9"/>
  <c r="GR49" i="9"/>
  <c r="GR45" i="9"/>
  <c r="GT21" i="9"/>
  <c r="GT28" i="9"/>
  <c r="GT24" i="9"/>
  <c r="GT36" i="9"/>
  <c r="GT32" i="9"/>
  <c r="GT41" i="9"/>
  <c r="GT51" i="9"/>
  <c r="GT47" i="9"/>
  <c r="GT18" i="9"/>
  <c r="GU19" i="9"/>
  <c r="GU27" i="9"/>
  <c r="GU35" i="9"/>
  <c r="GU31" i="9"/>
  <c r="GU40" i="9"/>
  <c r="GU50" i="9"/>
  <c r="GV17" i="9"/>
  <c r="GV30" i="9"/>
  <c r="GV26" i="9"/>
  <c r="GV34" i="9"/>
  <c r="GV39" i="9"/>
  <c r="GV49" i="9"/>
  <c r="GV45" i="9"/>
  <c r="GX21" i="9"/>
  <c r="GX28" i="9"/>
  <c r="GX24" i="9"/>
  <c r="GX36" i="9"/>
  <c r="GX32" i="9"/>
  <c r="GX41" i="9"/>
  <c r="GX51" i="9"/>
  <c r="GX47" i="9"/>
  <c r="GX18" i="9"/>
  <c r="GY21" i="9"/>
  <c r="GY17" i="9"/>
  <c r="GY28" i="9"/>
  <c r="GY24" i="9"/>
  <c r="GY35" i="9"/>
  <c r="GY31" i="9"/>
  <c r="GY38" i="9"/>
  <c r="GY49" i="9"/>
  <c r="GZ17" i="9"/>
  <c r="GZ30" i="9"/>
  <c r="GZ26" i="9"/>
  <c r="GZ34" i="9"/>
  <c r="GZ39" i="9"/>
  <c r="GZ49" i="9"/>
  <c r="GZ45" i="9"/>
  <c r="HB21" i="9"/>
  <c r="HB28" i="9"/>
  <c r="HB24" i="9"/>
  <c r="HB36" i="9"/>
  <c r="HB32" i="9"/>
  <c r="HB41" i="9"/>
  <c r="HB51" i="9"/>
  <c r="HB47" i="9"/>
  <c r="HB18" i="9"/>
  <c r="HC19" i="9"/>
  <c r="HC27" i="9"/>
  <c r="HC35" i="9"/>
  <c r="HC31" i="9"/>
  <c r="HC41" i="9"/>
  <c r="HC50" i="9"/>
  <c r="HD17" i="9"/>
  <c r="HD30" i="9"/>
  <c r="HD26" i="9"/>
  <c r="HD34" i="9"/>
  <c r="HD39" i="9"/>
  <c r="HD49" i="9"/>
  <c r="HD45" i="9"/>
  <c r="HF48" i="9"/>
  <c r="HJ21" i="9"/>
  <c r="HJ28" i="9"/>
  <c r="HJ24" i="9"/>
  <c r="HJ36" i="9"/>
  <c r="HJ32" i="9"/>
  <c r="HJ41" i="9"/>
  <c r="HJ51" i="9"/>
  <c r="HJ47" i="9"/>
  <c r="HJ18" i="9"/>
  <c r="HL20" i="9"/>
  <c r="AM16" i="12"/>
  <c r="KD53" i="9" s="1"/>
  <c r="GK38" i="9"/>
  <c r="GK48" i="9"/>
  <c r="FG50" i="9"/>
  <c r="IX50" i="9" s="1"/>
  <c r="FG31" i="9"/>
  <c r="FG34" i="9"/>
  <c r="IX34" i="9" s="1"/>
  <c r="FG26" i="9"/>
  <c r="IX26" i="9" s="1"/>
  <c r="FG46" i="9"/>
  <c r="IX46" i="9" s="1"/>
  <c r="GK21" i="9"/>
  <c r="FG24" i="9"/>
  <c r="FG51" i="9"/>
  <c r="IX51" i="9" s="1"/>
  <c r="FG17" i="9"/>
  <c r="FG18" i="9"/>
  <c r="IX18" i="9" s="1"/>
  <c r="FG21" i="9"/>
  <c r="IX21" i="9" s="1"/>
  <c r="FG32" i="9"/>
  <c r="IX32" i="9" s="1"/>
  <c r="FG20" i="9"/>
  <c r="IX20" i="9" s="1"/>
  <c r="FG19" i="9"/>
  <c r="IX19" i="9" s="1"/>
  <c r="FG44" i="9"/>
  <c r="IX44" i="9" s="1"/>
  <c r="FG42" i="9"/>
  <c r="IX42" i="9" s="1"/>
  <c r="FG22" i="9"/>
  <c r="IX22" i="9" s="1"/>
  <c r="FG43" i="9"/>
  <c r="FG45" i="9"/>
  <c r="IX45" i="9" s="1"/>
  <c r="FG41" i="9"/>
  <c r="IX41" i="9" s="1"/>
  <c r="BU57" i="9"/>
  <c r="BU58" i="9" s="1"/>
  <c r="GK22" i="9"/>
  <c r="GK49" i="9"/>
  <c r="GK23" i="9"/>
  <c r="GK19" i="9"/>
  <c r="GK50" i="9"/>
  <c r="GK46" i="9"/>
  <c r="GK51" i="9"/>
  <c r="GK47" i="9"/>
  <c r="I126" i="9"/>
  <c r="G126" i="9"/>
  <c r="C17" i="9"/>
  <c r="E18" i="9"/>
  <c r="E16" i="9"/>
  <c r="GL15" i="9"/>
  <c r="J57" i="9"/>
  <c r="FH16" i="9"/>
  <c r="IY16" i="9" s="1"/>
  <c r="FH26" i="9"/>
  <c r="IY26" i="9" s="1"/>
  <c r="FH34" i="9"/>
  <c r="IY34" i="9" s="1"/>
  <c r="FH42" i="9"/>
  <c r="IY42" i="9" s="1"/>
  <c r="FH51" i="9"/>
  <c r="IY51" i="9" s="1"/>
  <c r="FH29" i="9"/>
  <c r="IY29" i="9" s="1"/>
  <c r="FH45" i="9"/>
  <c r="FH50" i="9"/>
  <c r="IY50" i="9" s="1"/>
  <c r="FH20" i="9"/>
  <c r="IY20" i="9" s="1"/>
  <c r="FH28" i="9"/>
  <c r="IY28" i="9" s="1"/>
  <c r="FH36" i="9"/>
  <c r="IY36" i="9" s="1"/>
  <c r="FH44" i="9"/>
  <c r="IY44" i="9" s="1"/>
  <c r="FH47" i="9"/>
  <c r="IY47" i="9" s="1"/>
  <c r="FH25" i="9"/>
  <c r="FH41" i="9"/>
  <c r="IY41" i="9" s="1"/>
  <c r="FH49" i="9"/>
  <c r="IY49" i="9" s="1"/>
  <c r="FH23" i="9"/>
  <c r="IY23" i="9" s="1"/>
  <c r="FH31" i="9"/>
  <c r="FH39" i="9"/>
  <c r="FG28" i="9"/>
  <c r="IX28" i="9" s="1"/>
  <c r="FG25" i="9"/>
  <c r="IX25" i="9" s="1"/>
  <c r="FG16" i="9"/>
  <c r="IX16" i="9" s="1"/>
  <c r="FG49" i="9"/>
  <c r="IX49" i="9" s="1"/>
  <c r="FG39" i="9"/>
  <c r="IX39" i="9" s="1"/>
  <c r="FG35" i="9"/>
  <c r="IX35" i="9" s="1"/>
  <c r="FG48" i="9"/>
  <c r="IX48" i="9" s="1"/>
  <c r="FG36" i="9"/>
  <c r="IX36" i="9" s="1"/>
  <c r="FG33" i="9"/>
  <c r="IX33" i="9" s="1"/>
  <c r="FG30" i="9"/>
  <c r="IX30" i="9" s="1"/>
  <c r="FG47" i="9"/>
  <c r="IX47" i="9" s="1"/>
  <c r="FG27" i="9"/>
  <c r="IX27" i="9" s="1"/>
  <c r="FG29" i="9"/>
  <c r="IX29" i="9" s="1"/>
  <c r="FG14" i="9"/>
  <c r="FG40" i="9"/>
  <c r="IX40" i="9" s="1"/>
  <c r="FG37" i="9"/>
  <c r="IX37" i="9" s="1"/>
  <c r="FG38" i="9"/>
  <c r="IX38" i="9" s="1"/>
  <c r="FG15" i="9"/>
  <c r="IX15" i="9" s="1"/>
  <c r="FG23" i="9"/>
  <c r="IX23" i="9" s="1"/>
  <c r="GK30" i="9"/>
  <c r="GK29" i="9"/>
  <c r="GK28" i="9"/>
  <c r="GK27" i="9"/>
  <c r="GK26" i="9"/>
  <c r="GK25" i="9"/>
  <c r="GK37" i="9"/>
  <c r="GK36" i="9"/>
  <c r="GK35" i="9"/>
  <c r="GK34" i="9"/>
  <c r="GK33" i="9"/>
  <c r="GK31" i="9"/>
  <c r="GK41" i="9"/>
  <c r="GK40" i="9"/>
  <c r="GK39" i="9"/>
  <c r="GL22" i="9"/>
  <c r="GL20" i="9"/>
  <c r="GL18" i="9"/>
  <c r="GL37" i="9"/>
  <c r="GL36" i="9"/>
  <c r="GL35" i="9"/>
  <c r="GL34" i="9"/>
  <c r="GL33" i="9"/>
  <c r="GL32" i="9"/>
  <c r="HF22" i="9"/>
  <c r="HF20" i="9"/>
  <c r="HF18" i="9"/>
  <c r="HF30" i="9"/>
  <c r="HF29" i="9"/>
  <c r="HF28" i="9"/>
  <c r="HF27" i="9"/>
  <c r="HF26" i="9"/>
  <c r="HF25" i="9"/>
  <c r="HF24" i="9"/>
  <c r="HF37" i="9"/>
  <c r="HF36" i="9"/>
  <c r="HF35" i="9"/>
  <c r="HF34" i="9"/>
  <c r="HF33" i="9"/>
  <c r="HF32" i="9"/>
  <c r="HF31" i="9"/>
  <c r="HF41" i="9"/>
  <c r="HF40" i="9"/>
  <c r="HF39" i="9"/>
  <c r="HF38" i="9"/>
  <c r="HF51" i="9"/>
  <c r="HF49" i="9"/>
  <c r="HF47" i="9"/>
  <c r="HG23" i="9"/>
  <c r="HG21" i="9"/>
  <c r="HG19" i="9"/>
  <c r="HG17" i="9"/>
  <c r="HG30" i="9"/>
  <c r="HG29" i="9"/>
  <c r="HG28" i="9"/>
  <c r="HG27" i="9"/>
  <c r="HG26" i="9"/>
  <c r="HG25" i="9"/>
  <c r="HG24" i="9"/>
  <c r="HG41" i="9"/>
  <c r="HG40" i="9"/>
  <c r="HG39" i="9"/>
  <c r="HG38" i="9"/>
  <c r="HG51" i="9"/>
  <c r="HG49" i="9"/>
  <c r="HG47" i="9"/>
  <c r="CV63" i="9"/>
  <c r="CV64" i="9" s="1"/>
  <c r="CV57" i="9"/>
  <c r="CV58" i="9" s="1"/>
  <c r="CW57" i="9"/>
  <c r="CW58" i="9" s="1"/>
  <c r="HM45" i="9"/>
  <c r="HM47" i="9"/>
  <c r="HM49" i="9"/>
  <c r="HM51" i="9"/>
  <c r="HM38" i="9"/>
  <c r="HM39" i="9"/>
  <c r="HM40" i="9"/>
  <c r="HM41" i="9"/>
  <c r="HM25" i="9"/>
  <c r="HM26" i="9"/>
  <c r="HM27" i="9"/>
  <c r="HM28" i="9"/>
  <c r="HM29" i="9"/>
  <c r="HM30" i="9"/>
  <c r="CW61" i="9"/>
  <c r="CW62" i="9" s="1"/>
  <c r="BM126" i="9"/>
  <c r="BM73" i="9" s="1"/>
  <c r="CW65" i="9"/>
  <c r="CW66" i="9" s="1"/>
  <c r="LF81" i="9" l="1"/>
  <c r="BL78" i="9" s="1"/>
  <c r="LE81" i="9"/>
  <c r="BJ78" i="9" s="1"/>
  <c r="AV78" i="9"/>
  <c r="AV73" i="9"/>
  <c r="AN78" i="9"/>
  <c r="AN73" i="9"/>
  <c r="AF78" i="9"/>
  <c r="AF73" i="9"/>
  <c r="BD78" i="9"/>
  <c r="BD73" i="9"/>
  <c r="X78" i="9"/>
  <c r="X73" i="9"/>
  <c r="BH78" i="9"/>
  <c r="BH73" i="9"/>
  <c r="AZ78" i="9"/>
  <c r="AZ73" i="9"/>
  <c r="AR78" i="9"/>
  <c r="AR73" i="9"/>
  <c r="AJ78" i="9"/>
  <c r="AJ73" i="9"/>
  <c r="AB78" i="9"/>
  <c r="AB73" i="9"/>
  <c r="T78" i="9"/>
  <c r="T73" i="9"/>
  <c r="P78" i="9"/>
  <c r="P73" i="9"/>
  <c r="L78" i="9"/>
  <c r="L73" i="9"/>
  <c r="BF78" i="9"/>
  <c r="BF73" i="9"/>
  <c r="AX78" i="9"/>
  <c r="AX73" i="9"/>
  <c r="AP78" i="9"/>
  <c r="AP73" i="9"/>
  <c r="AH78" i="9"/>
  <c r="AH73" i="9"/>
  <c r="Z78" i="9"/>
  <c r="Z73" i="9"/>
  <c r="BB78" i="9"/>
  <c r="BB73" i="9"/>
  <c r="AT78" i="9"/>
  <c r="AT73" i="9"/>
  <c r="AL78" i="9"/>
  <c r="AL73" i="9"/>
  <c r="AD78" i="9"/>
  <c r="AD73" i="9"/>
  <c r="V78" i="9"/>
  <c r="V73" i="9"/>
  <c r="R78" i="9"/>
  <c r="R73" i="9"/>
  <c r="N78" i="9"/>
  <c r="N73" i="9"/>
  <c r="J78" i="9"/>
  <c r="J73" i="9"/>
  <c r="KD87" i="9"/>
  <c r="KF87" i="9"/>
  <c r="KV87" i="9"/>
  <c r="KJ93" i="9"/>
  <c r="KZ93" i="9"/>
  <c r="KG87" i="9"/>
  <c r="KW87" i="9"/>
  <c r="KK93" i="9"/>
  <c r="LA93" i="9"/>
  <c r="KH87" i="9"/>
  <c r="KX87" i="9"/>
  <c r="KL93" i="9"/>
  <c r="LB93" i="9"/>
  <c r="KE87" i="9"/>
  <c r="KU87" i="9"/>
  <c r="KI93" i="9"/>
  <c r="KY93" i="9"/>
  <c r="KJ87" i="9"/>
  <c r="KZ87" i="9"/>
  <c r="KN93" i="9"/>
  <c r="LD93" i="9"/>
  <c r="KK87" i="9"/>
  <c r="LA87" i="9"/>
  <c r="KO93" i="9"/>
  <c r="LE93" i="9"/>
  <c r="KL87" i="9"/>
  <c r="LB87" i="9"/>
  <c r="KP93" i="9"/>
  <c r="LF93" i="9"/>
  <c r="KI87" i="9"/>
  <c r="KY87" i="9"/>
  <c r="KM93" i="9"/>
  <c r="LC93" i="9"/>
  <c r="KN87" i="9"/>
  <c r="LD87" i="9"/>
  <c r="KR93" i="9"/>
  <c r="KO87" i="9"/>
  <c r="LE87" i="9"/>
  <c r="KS93" i="9"/>
  <c r="KP87" i="9"/>
  <c r="LF87" i="9"/>
  <c r="KT93" i="9"/>
  <c r="KM87" i="9"/>
  <c r="LC87" i="9"/>
  <c r="KQ93" i="9"/>
  <c r="KR87" i="9"/>
  <c r="KF93" i="9"/>
  <c r="KV93" i="9"/>
  <c r="KS87" i="9"/>
  <c r="KG93" i="9"/>
  <c r="KW93" i="9"/>
  <c r="KT87" i="9"/>
  <c r="KH93" i="9"/>
  <c r="KX93" i="9"/>
  <c r="KQ87" i="9"/>
  <c r="KE93" i="9"/>
  <c r="KU93" i="9"/>
  <c r="KD93" i="9"/>
  <c r="IX31" i="9"/>
  <c r="EC33" i="9"/>
  <c r="I80" i="9" s="1"/>
  <c r="IX17" i="9"/>
  <c r="EC31" i="9"/>
  <c r="I78" i="9" s="1"/>
  <c r="EC32" i="9"/>
  <c r="I79" i="9" s="1"/>
  <c r="IY45" i="9"/>
  <c r="IY17" i="9"/>
  <c r="ED31" i="9"/>
  <c r="K78" i="9" s="1"/>
  <c r="JA24" i="9"/>
  <c r="EF32" i="9"/>
  <c r="O79" i="9" s="1"/>
  <c r="IZ45" i="9"/>
  <c r="IZ31" i="9"/>
  <c r="EE33" i="9"/>
  <c r="M80" i="9" s="1"/>
  <c r="IZ17" i="9"/>
  <c r="EE31" i="9"/>
  <c r="M78" i="9" s="1"/>
  <c r="JA45" i="9"/>
  <c r="JA17" i="9"/>
  <c r="EF31" i="9"/>
  <c r="O78" i="9" s="1"/>
  <c r="JB31" i="9"/>
  <c r="EG33" i="9"/>
  <c r="Q80" i="9" s="1"/>
  <c r="JB17" i="9"/>
  <c r="EG31" i="9"/>
  <c r="Q78" i="9" s="1"/>
  <c r="JB38" i="9"/>
  <c r="EG34" i="9"/>
  <c r="Q81" i="9" s="1"/>
  <c r="JC45" i="9"/>
  <c r="JC31" i="9"/>
  <c r="EH33" i="9"/>
  <c r="S80" i="9" s="1"/>
  <c r="JC17" i="9"/>
  <c r="EH31" i="9"/>
  <c r="S78" i="9" s="1"/>
  <c r="JD31" i="9"/>
  <c r="EI33" i="9"/>
  <c r="JD17" i="9"/>
  <c r="EI31" i="9"/>
  <c r="U78" i="9" s="1"/>
  <c r="JE17" i="9"/>
  <c r="EJ31" i="9"/>
  <c r="W78" i="9" s="1"/>
  <c r="JE45" i="9"/>
  <c r="JE24" i="9"/>
  <c r="EJ32" i="9"/>
  <c r="W79" i="9" s="1"/>
  <c r="JE31" i="9"/>
  <c r="EJ33" i="9"/>
  <c r="KX44" i="9"/>
  <c r="KX42" i="9"/>
  <c r="KX45" i="9"/>
  <c r="KX43" i="9"/>
  <c r="JQ45" i="9"/>
  <c r="JQ24" i="9"/>
  <c r="EV32" i="9"/>
  <c r="JQ17" i="9"/>
  <c r="EV31" i="9"/>
  <c r="AU78" i="9" s="1"/>
  <c r="JQ31" i="9"/>
  <c r="EV33" i="9"/>
  <c r="JU31" i="9"/>
  <c r="EZ33" i="9"/>
  <c r="JU38" i="9"/>
  <c r="EZ34" i="9"/>
  <c r="BC81" i="9" s="1"/>
  <c r="JU45" i="9"/>
  <c r="JU24" i="9"/>
  <c r="EZ32" i="9"/>
  <c r="BC79" i="9" s="1"/>
  <c r="JF38" i="9"/>
  <c r="EK34" i="9"/>
  <c r="JF24" i="9"/>
  <c r="EK32" i="9"/>
  <c r="Y79" i="9" s="1"/>
  <c r="JH38" i="9"/>
  <c r="EM34" i="9"/>
  <c r="AC81" i="9" s="1"/>
  <c r="JH17" i="9"/>
  <c r="EM31" i="9"/>
  <c r="AC78" i="9" s="1"/>
  <c r="JH31" i="9"/>
  <c r="EM33" i="9"/>
  <c r="JZ45" i="9"/>
  <c r="JZ31" i="9"/>
  <c r="FE33" i="9"/>
  <c r="JT38" i="9"/>
  <c r="EY34" i="9"/>
  <c r="BA81" i="9" s="1"/>
  <c r="JT45" i="9"/>
  <c r="JS17" i="9"/>
  <c r="EX31" i="9"/>
  <c r="AY78" i="9" s="1"/>
  <c r="JS45" i="9"/>
  <c r="JS31" i="9"/>
  <c r="EX33" i="9"/>
  <c r="JK31" i="9"/>
  <c r="EP33" i="9"/>
  <c r="JK17" i="9"/>
  <c r="EP31" i="9"/>
  <c r="AI78" i="9" s="1"/>
  <c r="JK45" i="9"/>
  <c r="JW38" i="9"/>
  <c r="FB34" i="9"/>
  <c r="JW24" i="9"/>
  <c r="FB32" i="9"/>
  <c r="BG79" i="9" s="1"/>
  <c r="JN17" i="9"/>
  <c r="ES31" i="9"/>
  <c r="AO78" i="9" s="1"/>
  <c r="JN31" i="9"/>
  <c r="ES33" i="9"/>
  <c r="AO80" i="9" s="1"/>
  <c r="JN45" i="9"/>
  <c r="JG24" i="9"/>
  <c r="EL32" i="9"/>
  <c r="AA79" i="9" s="1"/>
  <c r="JG38" i="9"/>
  <c r="EL34" i="9"/>
  <c r="AA81" i="9" s="1"/>
  <c r="JG17" i="9"/>
  <c r="EL31" i="9"/>
  <c r="AA78" i="9" s="1"/>
  <c r="JY17" i="9"/>
  <c r="FD31" i="9"/>
  <c r="BK78" i="9" s="1"/>
  <c r="JV17" i="9"/>
  <c r="FA31" i="9"/>
  <c r="BE78" i="9" s="1"/>
  <c r="JV45" i="9"/>
  <c r="JV31" i="9"/>
  <c r="FA33" i="9"/>
  <c r="BE80" i="9" s="1"/>
  <c r="JV38" i="9"/>
  <c r="FA34" i="9"/>
  <c r="JJ45" i="9"/>
  <c r="JJ24" i="9"/>
  <c r="EO32" i="9"/>
  <c r="AG79" i="9" s="1"/>
  <c r="JJ31" i="9"/>
  <c r="EO33" i="9"/>
  <c r="AG80" i="9" s="1"/>
  <c r="JJ17" i="9"/>
  <c r="EO31" i="9"/>
  <c r="AG78" i="9" s="1"/>
  <c r="JX45" i="9"/>
  <c r="JP31" i="9"/>
  <c r="EU33" i="9"/>
  <c r="JP24" i="9"/>
  <c r="EU32" i="9"/>
  <c r="AS79" i="9" s="1"/>
  <c r="JL17" i="9"/>
  <c r="EQ31" i="9"/>
  <c r="AK78" i="9" s="1"/>
  <c r="JL31" i="9"/>
  <c r="EQ33" i="9"/>
  <c r="AK80" i="9" s="1"/>
  <c r="JL45" i="9"/>
  <c r="JO45" i="9"/>
  <c r="JO31" i="9"/>
  <c r="ET33" i="9"/>
  <c r="AQ80" i="9" s="1"/>
  <c r="JM38" i="9"/>
  <c r="ER34" i="9"/>
  <c r="JM24" i="9"/>
  <c r="ER32" i="9"/>
  <c r="AM79" i="9" s="1"/>
  <c r="JM17" i="9"/>
  <c r="ER31" i="9"/>
  <c r="AM78" i="9" s="1"/>
  <c r="JM45" i="9"/>
  <c r="JI31" i="9"/>
  <c r="EN33" i="9"/>
  <c r="JI17" i="9"/>
  <c r="EN31" i="9"/>
  <c r="AE78" i="9" s="1"/>
  <c r="JI38" i="9"/>
  <c r="EN34" i="9"/>
  <c r="AE81" i="9" s="1"/>
  <c r="JR24" i="9"/>
  <c r="EW32" i="9"/>
  <c r="AW79" i="9" s="1"/>
  <c r="JR38" i="9"/>
  <c r="EW34" i="9"/>
  <c r="LB44" i="9"/>
  <c r="LB42" i="9"/>
  <c r="LB45" i="9"/>
  <c r="LB43" i="9"/>
  <c r="KL44" i="9"/>
  <c r="KL42" i="9"/>
  <c r="KL45" i="9"/>
  <c r="KL43" i="9"/>
  <c r="IY31" i="9"/>
  <c r="ED33" i="9"/>
  <c r="K80" i="9" s="1"/>
  <c r="IY24" i="9"/>
  <c r="ED32" i="9"/>
  <c r="K79" i="9" s="1"/>
  <c r="IY38" i="9"/>
  <c r="JA38" i="9"/>
  <c r="EF34" i="9"/>
  <c r="O81" i="9" s="1"/>
  <c r="IZ38" i="9"/>
  <c r="EE34" i="9"/>
  <c r="IZ24" i="9"/>
  <c r="EE32" i="9"/>
  <c r="M79" i="9" s="1"/>
  <c r="JA31" i="9"/>
  <c r="EF33" i="9"/>
  <c r="JB24" i="9"/>
  <c r="EG32" i="9"/>
  <c r="JB45" i="9"/>
  <c r="JC24" i="9"/>
  <c r="EH32" i="9"/>
  <c r="JC38" i="9"/>
  <c r="EH34" i="9"/>
  <c r="S81" i="9" s="1"/>
  <c r="JD38" i="9"/>
  <c r="EI34" i="9"/>
  <c r="JD45" i="9"/>
  <c r="JD24" i="9"/>
  <c r="EI32" i="9"/>
  <c r="U79" i="9" s="1"/>
  <c r="JE38" i="9"/>
  <c r="EJ34" i="9"/>
  <c r="W81" i="9" s="1"/>
  <c r="LF44" i="9"/>
  <c r="LF42" i="9"/>
  <c r="LF45" i="9"/>
  <c r="LF43" i="9"/>
  <c r="KP44" i="9"/>
  <c r="KP42" i="9"/>
  <c r="KP45" i="9"/>
  <c r="KP43" i="9"/>
  <c r="JQ38" i="9"/>
  <c r="EV34" i="9"/>
  <c r="JU17" i="9"/>
  <c r="EZ31" i="9"/>
  <c r="BC78" i="9" s="1"/>
  <c r="JF31" i="9"/>
  <c r="EK33" i="9"/>
  <c r="JF45" i="9"/>
  <c r="JF17" i="9"/>
  <c r="EK31" i="9"/>
  <c r="Y78" i="9" s="1"/>
  <c r="JH45" i="9"/>
  <c r="JH24" i="9"/>
  <c r="EM32" i="9"/>
  <c r="AC79" i="9" s="1"/>
  <c r="JZ24" i="9"/>
  <c r="FE32" i="9"/>
  <c r="BM79" i="9" s="1"/>
  <c r="JZ17" i="9"/>
  <c r="FE31" i="9"/>
  <c r="BM78" i="9" s="1"/>
  <c r="JZ38" i="9"/>
  <c r="FE34" i="9"/>
  <c r="JT31" i="9"/>
  <c r="EY33" i="9"/>
  <c r="BA80" i="9" s="1"/>
  <c r="JT17" i="9"/>
  <c r="EY31" i="9"/>
  <c r="BA78" i="9" s="1"/>
  <c r="JT24" i="9"/>
  <c r="EY32" i="9"/>
  <c r="JS38" i="9"/>
  <c r="EX34" i="9"/>
  <c r="AY81" i="9" s="1"/>
  <c r="JS24" i="9"/>
  <c r="EX32" i="9"/>
  <c r="AY79" i="9" s="1"/>
  <c r="JK38" i="9"/>
  <c r="EP34" i="9"/>
  <c r="JK24" i="9"/>
  <c r="EP32" i="9"/>
  <c r="AI79" i="9" s="1"/>
  <c r="JW31" i="9"/>
  <c r="FB33" i="9"/>
  <c r="BG80" i="9" s="1"/>
  <c r="JW17" i="9"/>
  <c r="FB31" i="9"/>
  <c r="BG78" i="9" s="1"/>
  <c r="JW45" i="9"/>
  <c r="JN38" i="9"/>
  <c r="ES34" i="9"/>
  <c r="JN24" i="9"/>
  <c r="ES32" i="9"/>
  <c r="JG45" i="9"/>
  <c r="JG31" i="9"/>
  <c r="EL33" i="9"/>
  <c r="AA80" i="9" s="1"/>
  <c r="JY24" i="9"/>
  <c r="FD32" i="9"/>
  <c r="BK79" i="9" s="1"/>
  <c r="JY45" i="9"/>
  <c r="JY31" i="9"/>
  <c r="FD33" i="9"/>
  <c r="JY38" i="9"/>
  <c r="JV24" i="9"/>
  <c r="FA32" i="9"/>
  <c r="BE79" i="9" s="1"/>
  <c r="JJ38" i="9"/>
  <c r="EO34" i="9"/>
  <c r="AG81" i="9" s="1"/>
  <c r="JX17" i="9"/>
  <c r="FC31" i="9"/>
  <c r="BI78" i="9" s="1"/>
  <c r="JX24" i="9"/>
  <c r="FC32" i="9"/>
  <c r="JX38" i="9"/>
  <c r="FC34" i="9"/>
  <c r="JX31" i="9"/>
  <c r="FC33" i="9"/>
  <c r="BI80" i="9" s="1"/>
  <c r="JP45" i="9"/>
  <c r="JP38" i="9"/>
  <c r="EU34" i="9"/>
  <c r="AS81" i="9" s="1"/>
  <c r="JP17" i="9"/>
  <c r="EU31" i="9"/>
  <c r="AS78" i="9" s="1"/>
  <c r="JL24" i="9"/>
  <c r="EQ32" i="9"/>
  <c r="JL38" i="9"/>
  <c r="EQ34" i="9"/>
  <c r="JO17" i="9"/>
  <c r="ET31" i="9"/>
  <c r="AQ78" i="9" s="1"/>
  <c r="JO24" i="9"/>
  <c r="ET32" i="9"/>
  <c r="AQ79" i="9" s="1"/>
  <c r="JO38" i="9"/>
  <c r="ET34" i="9"/>
  <c r="AQ81" i="9" s="1"/>
  <c r="JM31" i="9"/>
  <c r="ER33" i="9"/>
  <c r="JI24" i="9"/>
  <c r="EN32" i="9"/>
  <c r="JI45" i="9"/>
  <c r="JR17" i="9"/>
  <c r="EW31" i="9"/>
  <c r="AW78" i="9" s="1"/>
  <c r="JR31" i="9"/>
  <c r="EW33" i="9"/>
  <c r="AW80" i="9" s="1"/>
  <c r="JR45" i="9"/>
  <c r="KT44" i="9"/>
  <c r="KT42" i="9"/>
  <c r="KT45" i="9"/>
  <c r="KT43" i="9"/>
  <c r="LD44" i="9"/>
  <c r="LD42" i="9"/>
  <c r="LD45" i="9"/>
  <c r="LD43" i="9"/>
  <c r="KZ44" i="9"/>
  <c r="KZ42" i="9"/>
  <c r="KZ45" i="9"/>
  <c r="KZ43" i="9"/>
  <c r="KV44" i="9"/>
  <c r="KV42" i="9"/>
  <c r="KV45" i="9"/>
  <c r="KV43" i="9"/>
  <c r="KR44" i="9"/>
  <c r="KR42" i="9"/>
  <c r="KR45" i="9"/>
  <c r="KR43" i="9"/>
  <c r="KN44" i="9"/>
  <c r="KN42" i="9"/>
  <c r="KN45" i="9"/>
  <c r="KN43" i="9"/>
  <c r="KJ44" i="9"/>
  <c r="KJ42" i="9"/>
  <c r="KJ45" i="9"/>
  <c r="KJ43" i="9"/>
  <c r="KH44" i="9"/>
  <c r="KH42" i="9"/>
  <c r="KH45" i="9"/>
  <c r="KH43" i="9"/>
  <c r="KF44" i="9"/>
  <c r="KF42" i="9"/>
  <c r="KF45" i="9"/>
  <c r="KF43" i="9"/>
  <c r="LC44" i="9"/>
  <c r="LC42" i="9"/>
  <c r="LC45" i="9"/>
  <c r="LC43" i="9"/>
  <c r="KY44" i="9"/>
  <c r="KY42" i="9"/>
  <c r="KY45" i="9"/>
  <c r="KY43" i="9"/>
  <c r="KU44" i="9"/>
  <c r="KU42" i="9"/>
  <c r="KU45" i="9"/>
  <c r="KU43" i="9"/>
  <c r="KQ44" i="9"/>
  <c r="KQ42" i="9"/>
  <c r="KQ45" i="9"/>
  <c r="KQ43" i="9"/>
  <c r="KM44" i="9"/>
  <c r="KM42" i="9"/>
  <c r="KM45" i="9"/>
  <c r="KM43" i="9"/>
  <c r="LE44" i="9"/>
  <c r="LE42" i="9"/>
  <c r="LE45" i="9"/>
  <c r="LE43" i="9"/>
  <c r="LA44" i="9"/>
  <c r="LA42" i="9"/>
  <c r="LA45" i="9"/>
  <c r="LA43" i="9"/>
  <c r="KW44" i="9"/>
  <c r="KW42" i="9"/>
  <c r="KW45" i="9"/>
  <c r="KW43" i="9"/>
  <c r="KS44" i="9"/>
  <c r="KS42" i="9"/>
  <c r="KS45" i="9"/>
  <c r="KS43" i="9"/>
  <c r="KO44" i="9"/>
  <c r="KO42" i="9"/>
  <c r="KO45" i="9"/>
  <c r="KO43" i="9"/>
  <c r="KK44" i="9"/>
  <c r="KK42" i="9"/>
  <c r="KK45" i="9"/>
  <c r="KK43" i="9"/>
  <c r="KI44" i="9"/>
  <c r="KI42" i="9"/>
  <c r="KI45" i="9"/>
  <c r="KI43" i="9"/>
  <c r="KG44" i="9"/>
  <c r="KG42" i="9"/>
  <c r="KG45" i="9"/>
  <c r="KG43" i="9"/>
  <c r="KE44" i="9"/>
  <c r="KE42" i="9"/>
  <c r="KE45" i="9"/>
  <c r="KE43" i="9"/>
  <c r="EF16" i="9"/>
  <c r="EF23" i="9" s="1"/>
  <c r="EJ16" i="9"/>
  <c r="EJ23" i="9" s="1"/>
  <c r="EN16" i="9"/>
  <c r="EN23" i="9" s="1"/>
  <c r="ER16" i="9"/>
  <c r="ER23" i="9" s="1"/>
  <c r="EW16" i="9"/>
  <c r="EW23" i="9" s="1"/>
  <c r="FA16" i="9"/>
  <c r="FA23" i="9" s="1"/>
  <c r="FE16" i="9"/>
  <c r="FE23" i="9" s="1"/>
  <c r="EU16" i="9"/>
  <c r="EU23" i="9" s="1"/>
  <c r="EG16" i="9"/>
  <c r="EG23" i="9" s="1"/>
  <c r="EK16" i="9"/>
  <c r="EK23" i="9" s="1"/>
  <c r="EO16" i="9"/>
  <c r="EO23" i="9" s="1"/>
  <c r="ES16" i="9"/>
  <c r="ES23" i="9" s="1"/>
  <c r="EX16" i="9"/>
  <c r="EX23" i="9" s="1"/>
  <c r="FB16" i="9"/>
  <c r="FB23" i="9" s="1"/>
  <c r="EH16" i="9"/>
  <c r="EH23" i="9" s="1"/>
  <c r="EL16" i="9"/>
  <c r="EL23" i="9" s="1"/>
  <c r="EP16" i="9"/>
  <c r="EP23" i="9" s="1"/>
  <c r="ET16" i="9"/>
  <c r="ET23" i="9" s="1"/>
  <c r="EY16" i="9"/>
  <c r="EY23" i="9" s="1"/>
  <c r="FC16" i="9"/>
  <c r="FC23" i="9" s="1"/>
  <c r="EE16" i="9"/>
  <c r="EE23" i="9" s="1"/>
  <c r="EI16" i="9"/>
  <c r="EI23" i="9" s="1"/>
  <c r="EM16" i="9"/>
  <c r="EM23" i="9" s="1"/>
  <c r="EQ16" i="9"/>
  <c r="EQ23" i="9" s="1"/>
  <c r="EV16" i="9"/>
  <c r="EV23" i="9" s="1"/>
  <c r="EZ16" i="9"/>
  <c r="EZ23" i="9" s="1"/>
  <c r="CV74" i="9"/>
  <c r="FD34" i="9" s="1"/>
  <c r="BK81" i="9" s="1"/>
  <c r="KD44" i="9"/>
  <c r="KD42" i="9"/>
  <c r="KD45" i="9"/>
  <c r="KD43" i="9"/>
  <c r="BU63" i="9"/>
  <c r="I168" i="9"/>
  <c r="I169" i="9" s="1"/>
  <c r="HA24" i="9"/>
  <c r="O74" i="9"/>
  <c r="AC74" i="9"/>
  <c r="AK74" i="9"/>
  <c r="S74" i="9"/>
  <c r="AM74" i="9"/>
  <c r="AY74" i="9"/>
  <c r="BA74" i="9"/>
  <c r="K74" i="9"/>
  <c r="AS74" i="9"/>
  <c r="W74" i="9"/>
  <c r="AE74" i="9"/>
  <c r="AO74" i="9"/>
  <c r="BG74" i="9"/>
  <c r="AA74" i="9"/>
  <c r="BA73" i="9"/>
  <c r="AW75" i="9"/>
  <c r="AO75" i="9"/>
  <c r="AC73" i="9"/>
  <c r="S75" i="9"/>
  <c r="AQ74" i="9"/>
  <c r="AI74" i="9"/>
  <c r="Q75" i="9"/>
  <c r="M74" i="9"/>
  <c r="AS73" i="9"/>
  <c r="AK73" i="9"/>
  <c r="AG75" i="9"/>
  <c r="Y76" i="9"/>
  <c r="O73" i="9"/>
  <c r="BM75" i="9"/>
  <c r="BI73" i="9"/>
  <c r="BE75" i="9"/>
  <c r="AM76" i="9"/>
  <c r="AE73" i="9"/>
  <c r="W76" i="9"/>
  <c r="BG75" i="9"/>
  <c r="BC73" i="9"/>
  <c r="AW76" i="9"/>
  <c r="AO76" i="9"/>
  <c r="U75" i="9"/>
  <c r="S76" i="9"/>
  <c r="AY75" i="9"/>
  <c r="AQ75" i="9"/>
  <c r="AI75" i="9"/>
  <c r="AA75" i="9"/>
  <c r="M75" i="9"/>
  <c r="Y73" i="9"/>
  <c r="K73" i="9"/>
  <c r="BM76" i="9"/>
  <c r="BK73" i="9"/>
  <c r="BE76" i="9"/>
  <c r="AU73" i="9"/>
  <c r="AM73" i="9"/>
  <c r="BG76" i="9"/>
  <c r="BC74" i="9"/>
  <c r="BA75" i="9"/>
  <c r="AC75" i="9"/>
  <c r="AY76" i="9"/>
  <c r="AI76" i="9"/>
  <c r="M76" i="9"/>
  <c r="AS75" i="9"/>
  <c r="AK75" i="9"/>
  <c r="O75" i="9"/>
  <c r="BI75" i="9"/>
  <c r="AU74" i="9"/>
  <c r="AE75" i="9"/>
  <c r="Q74" i="9"/>
  <c r="BE74" i="9"/>
  <c r="W75" i="9"/>
  <c r="EY41" i="9"/>
  <c r="EN41" i="9"/>
  <c r="IX43" i="9"/>
  <c r="GL24" i="9"/>
  <c r="HI24" i="9"/>
  <c r="GM24" i="9"/>
  <c r="IY39" i="9"/>
  <c r="JE14" i="9"/>
  <c r="IZ14" i="9"/>
  <c r="JB14" i="9"/>
  <c r="JC14" i="9"/>
  <c r="JF14" i="9"/>
  <c r="JH14" i="9"/>
  <c r="IX14" i="9"/>
  <c r="JD14" i="9"/>
  <c r="JQ14" i="9"/>
  <c r="JU14" i="9"/>
  <c r="JT14" i="9"/>
  <c r="JS14" i="9"/>
  <c r="JK14" i="9"/>
  <c r="IY25" i="9"/>
  <c r="JA14" i="9"/>
  <c r="IY14" i="9"/>
  <c r="JZ14" i="9"/>
  <c r="IX24" i="9"/>
  <c r="HM15" i="9"/>
  <c r="HH24" i="9"/>
  <c r="GW15" i="9"/>
  <c r="GU24" i="9"/>
  <c r="HE15" i="9"/>
  <c r="GS24" i="9"/>
  <c r="G80" i="9"/>
  <c r="G81" i="9"/>
  <c r="G78" i="9"/>
  <c r="G79" i="9"/>
  <c r="GK17" i="9"/>
  <c r="GK15" i="9"/>
  <c r="E15" i="9"/>
  <c r="C16" i="9"/>
  <c r="E19" i="9"/>
  <c r="C18" i="9"/>
  <c r="EO40" i="9" l="1"/>
  <c r="EH41" i="9"/>
  <c r="EZ41" i="9"/>
  <c r="ED39" i="9"/>
  <c r="ET41" i="9"/>
  <c r="EE40" i="9"/>
  <c r="EL41" i="9"/>
  <c r="ET39" i="9"/>
  <c r="ED40" i="9"/>
  <c r="EU41" i="9"/>
  <c r="EG41" i="9"/>
  <c r="EL39" i="9"/>
  <c r="EY40" i="9"/>
  <c r="EP39" i="9"/>
  <c r="ET40" i="9"/>
  <c r="EU39" i="9"/>
  <c r="EF41" i="9"/>
  <c r="EQ40" i="9"/>
  <c r="EJ41" i="9"/>
  <c r="ER39" i="9"/>
  <c r="EL40" i="9"/>
  <c r="EE39" i="9"/>
  <c r="EG40" i="9"/>
  <c r="EX39" i="9"/>
  <c r="EI39" i="9"/>
  <c r="EM41" i="9"/>
  <c r="FB39" i="9"/>
  <c r="ES40" i="9"/>
  <c r="BJ73" i="9"/>
  <c r="FD39" i="9"/>
  <c r="FC40" i="9"/>
  <c r="FB40" i="9"/>
  <c r="EF39" i="9"/>
  <c r="EJ39" i="9"/>
  <c r="EW40" i="9"/>
  <c r="EO41" i="9"/>
  <c r="FA40" i="9"/>
  <c r="EX41" i="9"/>
  <c r="BL73" i="9"/>
  <c r="KE95" i="9"/>
  <c r="KE96" i="9"/>
  <c r="KE94" i="9"/>
  <c r="KG95" i="9"/>
  <c r="KG96" i="9"/>
  <c r="KG94" i="9"/>
  <c r="KI95" i="9"/>
  <c r="KI96" i="9"/>
  <c r="KI94" i="9"/>
  <c r="KK95" i="9"/>
  <c r="KK96" i="9"/>
  <c r="KK94" i="9"/>
  <c r="KO95" i="9"/>
  <c r="KO96" i="9"/>
  <c r="KO94" i="9"/>
  <c r="KS95" i="9"/>
  <c r="KS96" i="9"/>
  <c r="KS94" i="9"/>
  <c r="KW95" i="9"/>
  <c r="KW96" i="9"/>
  <c r="KW94" i="9"/>
  <c r="LA95" i="9"/>
  <c r="LA96" i="9"/>
  <c r="LA94" i="9"/>
  <c r="LE95" i="9"/>
  <c r="LE96" i="9"/>
  <c r="LE94" i="9"/>
  <c r="KM95" i="9"/>
  <c r="KM96" i="9"/>
  <c r="KM94" i="9"/>
  <c r="KQ95" i="9"/>
  <c r="KQ96" i="9"/>
  <c r="KQ94" i="9"/>
  <c r="KU95" i="9"/>
  <c r="KU96" i="9"/>
  <c r="KU94" i="9"/>
  <c r="KY95" i="9"/>
  <c r="KY96" i="9"/>
  <c r="KY94" i="9"/>
  <c r="LC95" i="9"/>
  <c r="LC96" i="9"/>
  <c r="LC94" i="9"/>
  <c r="KF95" i="9"/>
  <c r="KF96" i="9"/>
  <c r="KF94" i="9"/>
  <c r="KH95" i="9"/>
  <c r="KH96" i="9"/>
  <c r="KH94" i="9"/>
  <c r="KJ95" i="9"/>
  <c r="KJ96" i="9"/>
  <c r="KJ94" i="9"/>
  <c r="KN95" i="9"/>
  <c r="KN96" i="9"/>
  <c r="KN94" i="9"/>
  <c r="KR95" i="9"/>
  <c r="KR96" i="9"/>
  <c r="KR94" i="9"/>
  <c r="KV95" i="9"/>
  <c r="KV96" i="9"/>
  <c r="KV94" i="9"/>
  <c r="KZ95" i="9"/>
  <c r="KZ96" i="9"/>
  <c r="KZ94" i="9"/>
  <c r="LD95" i="9"/>
  <c r="LD96" i="9"/>
  <c r="LD94" i="9"/>
  <c r="KT95" i="9"/>
  <c r="KT96" i="9"/>
  <c r="KT94" i="9"/>
  <c r="KP102" i="9"/>
  <c r="KP101" i="9"/>
  <c r="KP100" i="9"/>
  <c r="LF102" i="9"/>
  <c r="LF101" i="9"/>
  <c r="LF100" i="9"/>
  <c r="KL102" i="9"/>
  <c r="KL101" i="9"/>
  <c r="KL100" i="9"/>
  <c r="LB102" i="9"/>
  <c r="LB101" i="9"/>
  <c r="LB100" i="9"/>
  <c r="KX95" i="9"/>
  <c r="KX96" i="9"/>
  <c r="KX94" i="9"/>
  <c r="KE102" i="9"/>
  <c r="KE100" i="9"/>
  <c r="KE101" i="9"/>
  <c r="KG102" i="9"/>
  <c r="KG101" i="9"/>
  <c r="KG100" i="9"/>
  <c r="KI102" i="9"/>
  <c r="KI100" i="9"/>
  <c r="KI101" i="9"/>
  <c r="KK102" i="9"/>
  <c r="KK101" i="9"/>
  <c r="KK100" i="9"/>
  <c r="KO102" i="9"/>
  <c r="KO101" i="9"/>
  <c r="KO100" i="9"/>
  <c r="KS102" i="9"/>
  <c r="KS101" i="9"/>
  <c r="KS100" i="9"/>
  <c r="KW102" i="9"/>
  <c r="KW101" i="9"/>
  <c r="KW100" i="9"/>
  <c r="LA102" i="9"/>
  <c r="LA101" i="9"/>
  <c r="LA100" i="9"/>
  <c r="LE102" i="9"/>
  <c r="LE101" i="9"/>
  <c r="LE100" i="9"/>
  <c r="KM102" i="9"/>
  <c r="KM100" i="9"/>
  <c r="KM101" i="9"/>
  <c r="KQ102" i="9"/>
  <c r="KQ100" i="9"/>
  <c r="KQ101" i="9"/>
  <c r="KU102" i="9"/>
  <c r="KU100" i="9"/>
  <c r="KU101" i="9"/>
  <c r="KY102" i="9"/>
  <c r="KY100" i="9"/>
  <c r="KY101" i="9"/>
  <c r="LC102" i="9"/>
  <c r="LC101" i="9"/>
  <c r="LC100" i="9"/>
  <c r="KF102" i="9"/>
  <c r="KF101" i="9"/>
  <c r="KF100" i="9"/>
  <c r="KH102" i="9"/>
  <c r="KH101" i="9"/>
  <c r="KH100" i="9"/>
  <c r="KJ102" i="9"/>
  <c r="KJ101" i="9"/>
  <c r="KJ100" i="9"/>
  <c r="KN102" i="9"/>
  <c r="KN101" i="9"/>
  <c r="KN100" i="9"/>
  <c r="KR102" i="9"/>
  <c r="KR101" i="9"/>
  <c r="KR100" i="9"/>
  <c r="KV102" i="9"/>
  <c r="KV101" i="9"/>
  <c r="KV100" i="9"/>
  <c r="KZ102" i="9"/>
  <c r="KZ101" i="9"/>
  <c r="KZ100" i="9"/>
  <c r="LD102" i="9"/>
  <c r="LD101" i="9"/>
  <c r="LD100" i="9"/>
  <c r="KT102" i="9"/>
  <c r="KT101" i="9"/>
  <c r="KT100" i="9"/>
  <c r="KP95" i="9"/>
  <c r="KP96" i="9"/>
  <c r="KP94" i="9"/>
  <c r="LF95" i="9"/>
  <c r="LF96" i="9"/>
  <c r="LF94" i="9"/>
  <c r="KL95" i="9"/>
  <c r="KL96" i="9"/>
  <c r="KL94" i="9"/>
  <c r="LB95" i="9"/>
  <c r="LB96" i="9"/>
  <c r="LB94" i="9"/>
  <c r="KX102" i="9"/>
  <c r="KX101" i="9"/>
  <c r="KX100" i="9"/>
  <c r="AP80" i="9"/>
  <c r="AP75" i="9"/>
  <c r="P80" i="9"/>
  <c r="P75" i="9"/>
  <c r="AL79" i="9"/>
  <c r="AL74" i="9"/>
  <c r="AH80" i="9"/>
  <c r="AH75" i="9"/>
  <c r="BL74" i="9"/>
  <c r="BL79" i="9"/>
  <c r="AD79" i="9"/>
  <c r="AD74" i="9"/>
  <c r="Z80" i="9"/>
  <c r="Z75" i="9"/>
  <c r="BD74" i="9"/>
  <c r="BD79" i="9"/>
  <c r="V79" i="9"/>
  <c r="V74" i="9"/>
  <c r="BH80" i="9"/>
  <c r="BH75" i="9"/>
  <c r="R80" i="9"/>
  <c r="R75" i="9"/>
  <c r="AV74" i="9"/>
  <c r="AV79" i="9"/>
  <c r="N79" i="9"/>
  <c r="N74" i="9"/>
  <c r="AZ80" i="9"/>
  <c r="AZ75" i="9"/>
  <c r="H79" i="9"/>
  <c r="H74" i="9"/>
  <c r="KD100" i="9"/>
  <c r="KD102" i="9"/>
  <c r="KD101" i="9"/>
  <c r="J75" i="9"/>
  <c r="J80" i="9"/>
  <c r="AN74" i="9"/>
  <c r="AN79" i="9"/>
  <c r="AR80" i="9"/>
  <c r="AR75" i="9"/>
  <c r="BF79" i="9"/>
  <c r="BF74" i="9"/>
  <c r="AF74" i="9"/>
  <c r="AF79" i="9"/>
  <c r="AJ80" i="9"/>
  <c r="AJ75" i="9"/>
  <c r="AX79" i="9"/>
  <c r="AX74" i="9"/>
  <c r="X74" i="9"/>
  <c r="X79" i="9"/>
  <c r="BJ80" i="9"/>
  <c r="BJ75" i="9"/>
  <c r="AB80" i="9"/>
  <c r="AB75" i="9"/>
  <c r="AP79" i="9"/>
  <c r="AP74" i="9"/>
  <c r="P74" i="9"/>
  <c r="P79" i="9"/>
  <c r="BB80" i="9"/>
  <c r="BB75" i="9"/>
  <c r="T80" i="9"/>
  <c r="T75" i="9"/>
  <c r="KD96" i="9"/>
  <c r="KD95" i="9"/>
  <c r="KD94" i="9"/>
  <c r="AH79" i="9"/>
  <c r="AH74" i="9"/>
  <c r="AT80" i="9"/>
  <c r="AT75" i="9"/>
  <c r="L80" i="9"/>
  <c r="L75" i="9"/>
  <c r="Z79" i="9"/>
  <c r="Z74" i="9"/>
  <c r="AL80" i="9"/>
  <c r="AL75" i="9"/>
  <c r="BH74" i="9"/>
  <c r="BH79" i="9"/>
  <c r="R79" i="9"/>
  <c r="R74" i="9"/>
  <c r="BL80" i="9"/>
  <c r="BL75" i="9"/>
  <c r="AD80" i="9"/>
  <c r="AD75" i="9"/>
  <c r="AZ74" i="9"/>
  <c r="AZ79" i="9"/>
  <c r="J74" i="9"/>
  <c r="J79" i="9"/>
  <c r="BD80" i="9"/>
  <c r="BD75" i="9"/>
  <c r="V80" i="9"/>
  <c r="V75" i="9"/>
  <c r="AR74" i="9"/>
  <c r="AR79" i="9"/>
  <c r="H80" i="9"/>
  <c r="H75" i="9"/>
  <c r="AV80" i="9"/>
  <c r="AV75" i="9"/>
  <c r="N80" i="9"/>
  <c r="N75" i="9"/>
  <c r="AJ74" i="9"/>
  <c r="AJ79" i="9"/>
  <c r="AN80" i="9"/>
  <c r="AN75" i="9"/>
  <c r="BJ79" i="9"/>
  <c r="BJ74" i="9"/>
  <c r="AB74" i="9"/>
  <c r="AB79" i="9"/>
  <c r="BF80" i="9"/>
  <c r="BF75" i="9"/>
  <c r="AF80" i="9"/>
  <c r="AF75" i="9"/>
  <c r="BB79" i="9"/>
  <c r="BB74" i="9"/>
  <c r="T74" i="9"/>
  <c r="T79" i="9"/>
  <c r="AX80" i="9"/>
  <c r="AX75" i="9"/>
  <c r="X80" i="9"/>
  <c r="X75" i="9"/>
  <c r="AT79" i="9"/>
  <c r="AT74" i="9"/>
  <c r="L74" i="9"/>
  <c r="L79" i="9"/>
  <c r="AU76" i="9"/>
  <c r="FC39" i="9"/>
  <c r="BI79" i="9"/>
  <c r="ES41" i="9"/>
  <c r="AO81" i="9"/>
  <c r="EI41" i="9"/>
  <c r="U81" i="9"/>
  <c r="EH39" i="9"/>
  <c r="S79" i="9"/>
  <c r="FA41" i="9"/>
  <c r="BE81" i="9"/>
  <c r="EM40" i="9"/>
  <c r="AC80" i="9"/>
  <c r="EK41" i="9"/>
  <c r="Y81" i="9"/>
  <c r="EJ40" i="9"/>
  <c r="W80" i="9"/>
  <c r="EN39" i="9"/>
  <c r="AE79" i="9"/>
  <c r="EQ39" i="9"/>
  <c r="AK79" i="9"/>
  <c r="EP41" i="9"/>
  <c r="AI81" i="9"/>
  <c r="FE41" i="9"/>
  <c r="BM81" i="9"/>
  <c r="EK40" i="9"/>
  <c r="Y80" i="9"/>
  <c r="EV41" i="9"/>
  <c r="AU81" i="9"/>
  <c r="EF40" i="9"/>
  <c r="O80" i="9"/>
  <c r="EE41" i="9"/>
  <c r="M81" i="9"/>
  <c r="EX40" i="9"/>
  <c r="AY80" i="9"/>
  <c r="FE40" i="9"/>
  <c r="BM80" i="9"/>
  <c r="EV40" i="9"/>
  <c r="AU80" i="9"/>
  <c r="EV39" i="9"/>
  <c r="AU79" i="9"/>
  <c r="EI40" i="9"/>
  <c r="U80" i="9"/>
  <c r="EH40" i="9"/>
  <c r="FC41" i="9"/>
  <c r="BI81" i="9"/>
  <c r="FD40" i="9"/>
  <c r="BK80" i="9"/>
  <c r="ES39" i="9"/>
  <c r="AO79" i="9"/>
  <c r="ER41" i="9"/>
  <c r="AM81" i="9"/>
  <c r="EU40" i="9"/>
  <c r="AS80" i="9"/>
  <c r="FB41" i="9"/>
  <c r="BG81" i="9"/>
  <c r="ER40" i="9"/>
  <c r="AM80" i="9"/>
  <c r="EQ41" i="9"/>
  <c r="AK81" i="9"/>
  <c r="EY39" i="9"/>
  <c r="BA79" i="9"/>
  <c r="EG39" i="9"/>
  <c r="Q79" i="9"/>
  <c r="EW41" i="9"/>
  <c r="AW81" i="9"/>
  <c r="EN40" i="9"/>
  <c r="AE80" i="9"/>
  <c r="EP40" i="9"/>
  <c r="AI80" i="9"/>
  <c r="EZ40" i="9"/>
  <c r="BC80" i="9"/>
  <c r="EK39" i="9"/>
  <c r="EM39" i="9"/>
  <c r="EZ39" i="9"/>
  <c r="FA39" i="9"/>
  <c r="AA76" i="9"/>
  <c r="AQ76" i="9"/>
  <c r="U76" i="9"/>
  <c r="AG76" i="9"/>
  <c r="Q76" i="9"/>
  <c r="BC76" i="9"/>
  <c r="AC76" i="9"/>
  <c r="BI76" i="9"/>
  <c r="O76" i="9"/>
  <c r="AK76" i="9"/>
  <c r="BA76" i="9"/>
  <c r="AS76" i="9"/>
  <c r="AE76" i="9"/>
  <c r="KE56" i="9"/>
  <c r="KE55" i="9"/>
  <c r="KE57" i="9"/>
  <c r="KG56" i="9"/>
  <c r="KG57" i="9"/>
  <c r="KG55" i="9"/>
  <c r="KI56" i="9"/>
  <c r="KI55" i="9"/>
  <c r="KI57" i="9"/>
  <c r="KK56" i="9"/>
  <c r="KK57" i="9"/>
  <c r="KK55" i="9"/>
  <c r="KO56" i="9"/>
  <c r="KO57" i="9"/>
  <c r="KO55" i="9"/>
  <c r="KS56" i="9"/>
  <c r="KS57" i="9"/>
  <c r="KS55" i="9"/>
  <c r="KW56" i="9"/>
  <c r="KW57" i="9"/>
  <c r="KW55" i="9"/>
  <c r="LA56" i="9"/>
  <c r="LA57" i="9"/>
  <c r="LA55" i="9"/>
  <c r="LE57" i="9"/>
  <c r="LE55" i="9"/>
  <c r="LE56" i="9"/>
  <c r="KM56" i="9"/>
  <c r="KM55" i="9"/>
  <c r="KM57" i="9"/>
  <c r="KQ56" i="9"/>
  <c r="KQ55" i="9"/>
  <c r="KQ57" i="9"/>
  <c r="KU56" i="9"/>
  <c r="KU55" i="9"/>
  <c r="KU57" i="9"/>
  <c r="KY56" i="9"/>
  <c r="KY55" i="9"/>
  <c r="KY57" i="9"/>
  <c r="LC57" i="9"/>
  <c r="LC55" i="9"/>
  <c r="LC56" i="9"/>
  <c r="KF55" i="9"/>
  <c r="KF56" i="9"/>
  <c r="KF57" i="9"/>
  <c r="KH56" i="9"/>
  <c r="KH55" i="9"/>
  <c r="KH57" i="9"/>
  <c r="KJ55" i="9"/>
  <c r="KJ56" i="9"/>
  <c r="KJ57" i="9"/>
  <c r="KN55" i="9"/>
  <c r="KN56" i="9"/>
  <c r="KN57" i="9"/>
  <c r="KR55" i="9"/>
  <c r="KR56" i="9"/>
  <c r="KR57" i="9"/>
  <c r="KV55" i="9"/>
  <c r="KV56" i="9"/>
  <c r="KV57" i="9"/>
  <c r="KZ55" i="9"/>
  <c r="KZ56" i="9"/>
  <c r="KZ57" i="9"/>
  <c r="LD56" i="9"/>
  <c r="LD57" i="9"/>
  <c r="LD55" i="9"/>
  <c r="KT56" i="9"/>
  <c r="KT55" i="9"/>
  <c r="KT57" i="9"/>
  <c r="KP56" i="9"/>
  <c r="KP55" i="9"/>
  <c r="KP57" i="9"/>
  <c r="LF56" i="9"/>
  <c r="LF57" i="9"/>
  <c r="LF55" i="9"/>
  <c r="KL56" i="9"/>
  <c r="KL55" i="9"/>
  <c r="KL57" i="9"/>
  <c r="LB57" i="9"/>
  <c r="LB56" i="9"/>
  <c r="LB55" i="9"/>
  <c r="KX56" i="9"/>
  <c r="KX55" i="9"/>
  <c r="KX57" i="9"/>
  <c r="FD41" i="9"/>
  <c r="FD16" i="9"/>
  <c r="KD57" i="9"/>
  <c r="KD55" i="9"/>
  <c r="KD56" i="9"/>
  <c r="BU64" i="9"/>
  <c r="BU74" i="9"/>
  <c r="ES38" i="9"/>
  <c r="FD38" i="9"/>
  <c r="EX38" i="9"/>
  <c r="EF38" i="9"/>
  <c r="ET38" i="9"/>
  <c r="EY38" i="9"/>
  <c r="EZ38" i="9"/>
  <c r="EW38" i="9"/>
  <c r="ED38" i="9"/>
  <c r="EP38" i="9"/>
  <c r="EQ38" i="9"/>
  <c r="FE38" i="9"/>
  <c r="EK38" i="9"/>
  <c r="EU38" i="9"/>
  <c r="EI38" i="9"/>
  <c r="EM38" i="9"/>
  <c r="FB38" i="9"/>
  <c r="EJ38" i="9"/>
  <c r="ER38" i="9"/>
  <c r="EV38" i="9"/>
  <c r="EE38" i="9"/>
  <c r="EO38" i="9"/>
  <c r="EH38" i="9"/>
  <c r="FC38" i="9"/>
  <c r="EL38" i="9"/>
  <c r="FA38" i="9"/>
  <c r="EN38" i="9"/>
  <c r="EG38" i="9"/>
  <c r="GK32" i="9"/>
  <c r="EC40" i="9" s="1"/>
  <c r="GK24" i="9"/>
  <c r="EC39" i="9" s="1"/>
  <c r="AG74" i="9"/>
  <c r="GW24" i="9"/>
  <c r="EO39" i="9" s="1"/>
  <c r="HE24" i="9"/>
  <c r="EW39" i="9" s="1"/>
  <c r="AW74" i="9"/>
  <c r="BM74" i="9"/>
  <c r="HM24" i="9"/>
  <c r="FE39" i="9" s="1"/>
  <c r="E20" i="9"/>
  <c r="C19" i="9"/>
  <c r="E14" i="9"/>
  <c r="C15" i="9"/>
  <c r="LF97" i="9" l="1"/>
  <c r="LF98" i="9" s="1"/>
  <c r="LF99" i="9" s="1"/>
  <c r="BL76" i="9" s="1"/>
  <c r="KZ103" i="9"/>
  <c r="KZ104" i="9" s="1"/>
  <c r="KZ105" i="9" s="1"/>
  <c r="KJ103" i="9"/>
  <c r="KJ104" i="9" s="1"/>
  <c r="KJ105" i="9" s="1"/>
  <c r="KU103" i="9"/>
  <c r="KU104" i="9" s="1"/>
  <c r="KU105" i="9" s="1"/>
  <c r="LE103" i="9"/>
  <c r="LE104" i="9" s="1"/>
  <c r="LE105" i="9" s="1"/>
  <c r="KO103" i="9"/>
  <c r="KO104" i="9" s="1"/>
  <c r="KO105" i="9" s="1"/>
  <c r="LF103" i="9"/>
  <c r="LF104" i="9" s="1"/>
  <c r="LF105" i="9" s="1"/>
  <c r="KZ97" i="9"/>
  <c r="KZ98" i="9" s="1"/>
  <c r="KZ99" i="9" s="1"/>
  <c r="AZ76" i="9" s="1"/>
  <c r="KJ97" i="9"/>
  <c r="KJ98" i="9" s="1"/>
  <c r="KJ99" i="9" s="1"/>
  <c r="KY97" i="9"/>
  <c r="KY98" i="9" s="1"/>
  <c r="KY99" i="9" s="1"/>
  <c r="LE97" i="9"/>
  <c r="LE98" i="9" s="1"/>
  <c r="LE99" i="9" s="1"/>
  <c r="KO97" i="9"/>
  <c r="KO98" i="9" s="1"/>
  <c r="KO99" i="9" s="1"/>
  <c r="AD76" i="9" s="1"/>
  <c r="KE97" i="9"/>
  <c r="KE98" i="9" s="1"/>
  <c r="KE99" i="9" s="1"/>
  <c r="LB97" i="9"/>
  <c r="LB98" i="9" s="1"/>
  <c r="LB99" i="9" s="1"/>
  <c r="BD81" i="9" s="1"/>
  <c r="KT103" i="9"/>
  <c r="KT104" i="9" s="1"/>
  <c r="KT105" i="9" s="1"/>
  <c r="KR103" i="9"/>
  <c r="KR104" i="9" s="1"/>
  <c r="KR105" i="9" s="1"/>
  <c r="KF103" i="9"/>
  <c r="KF104" i="9" s="1"/>
  <c r="KF105" i="9" s="1"/>
  <c r="KM103" i="9"/>
  <c r="KM104" i="9" s="1"/>
  <c r="KM105" i="9" s="1"/>
  <c r="KW103" i="9"/>
  <c r="KW104" i="9" s="1"/>
  <c r="KW105" i="9" s="1"/>
  <c r="LB103" i="9"/>
  <c r="LB104" i="9" s="1"/>
  <c r="LB105" i="9" s="1"/>
  <c r="KT97" i="9"/>
  <c r="KT98" i="9" s="1"/>
  <c r="KT99" i="9" s="1"/>
  <c r="KR97" i="9"/>
  <c r="KR98" i="9" s="1"/>
  <c r="KR99" i="9" s="1"/>
  <c r="AJ76" i="9" s="1"/>
  <c r="KF97" i="9"/>
  <c r="KF98" i="9" s="1"/>
  <c r="KF99" i="9" s="1"/>
  <c r="L76" i="9" s="1"/>
  <c r="KQ97" i="9"/>
  <c r="KQ98" i="9" s="1"/>
  <c r="KQ99" i="9" s="1"/>
  <c r="AH81" i="9" s="1"/>
  <c r="KW97" i="9"/>
  <c r="KW98" i="9" s="1"/>
  <c r="KW99" i="9" s="1"/>
  <c r="AT81" i="9" s="1"/>
  <c r="KI97" i="9"/>
  <c r="KI98" i="9" s="1"/>
  <c r="KI99" i="9" s="1"/>
  <c r="KX103" i="9"/>
  <c r="KX104" i="9" s="1"/>
  <c r="KX105" i="9" s="1"/>
  <c r="KL97" i="9"/>
  <c r="KL98" i="9" s="1"/>
  <c r="KL99" i="9" s="1"/>
  <c r="KP97" i="9"/>
  <c r="KP98" i="9" s="1"/>
  <c r="KP99" i="9" s="1"/>
  <c r="LD103" i="9"/>
  <c r="LD104" i="9" s="1"/>
  <c r="LD105" i="9" s="1"/>
  <c r="KV103" i="9"/>
  <c r="KV104" i="9" s="1"/>
  <c r="KV105" i="9" s="1"/>
  <c r="KN103" i="9"/>
  <c r="KN104" i="9" s="1"/>
  <c r="KN105" i="9" s="1"/>
  <c r="KH103" i="9"/>
  <c r="KH104" i="9" s="1"/>
  <c r="KH105" i="9" s="1"/>
  <c r="LC103" i="9"/>
  <c r="LC104" i="9" s="1"/>
  <c r="LC105" i="9" s="1"/>
  <c r="KY103" i="9"/>
  <c r="KY104" i="9" s="1"/>
  <c r="KY105" i="9" s="1"/>
  <c r="KQ103" i="9"/>
  <c r="KQ104" i="9" s="1"/>
  <c r="KQ105" i="9" s="1"/>
  <c r="LA103" i="9"/>
  <c r="LA104" i="9" s="1"/>
  <c r="LA105" i="9" s="1"/>
  <c r="KS103" i="9"/>
  <c r="KS104" i="9" s="1"/>
  <c r="KS105" i="9" s="1"/>
  <c r="KK103" i="9"/>
  <c r="KK104" i="9" s="1"/>
  <c r="KK105" i="9" s="1"/>
  <c r="KI103" i="9"/>
  <c r="KI104" i="9" s="1"/>
  <c r="KI105" i="9" s="1"/>
  <c r="KG103" i="9"/>
  <c r="KG104" i="9" s="1"/>
  <c r="KG105" i="9" s="1"/>
  <c r="KE103" i="9"/>
  <c r="KE104" i="9" s="1"/>
  <c r="KE105" i="9" s="1"/>
  <c r="KX97" i="9"/>
  <c r="KX98" i="9" s="1"/>
  <c r="KX99" i="9" s="1"/>
  <c r="KL103" i="9"/>
  <c r="KL104" i="9" s="1"/>
  <c r="KL105" i="9" s="1"/>
  <c r="KP103" i="9"/>
  <c r="KP104" i="9" s="1"/>
  <c r="KP105" i="9" s="1"/>
  <c r="LD97" i="9"/>
  <c r="LD98" i="9" s="1"/>
  <c r="LD99" i="9" s="1"/>
  <c r="KV97" i="9"/>
  <c r="KV98" i="9" s="1"/>
  <c r="KV99" i="9" s="1"/>
  <c r="KN97" i="9"/>
  <c r="KN98" i="9" s="1"/>
  <c r="KN99" i="9" s="1"/>
  <c r="KH97" i="9"/>
  <c r="KH98" i="9" s="1"/>
  <c r="KH99" i="9" s="1"/>
  <c r="LC97" i="9"/>
  <c r="LC98" i="9" s="1"/>
  <c r="LC99" i="9" s="1"/>
  <c r="KU97" i="9"/>
  <c r="KU98" i="9" s="1"/>
  <c r="KU99" i="9" s="1"/>
  <c r="KM97" i="9"/>
  <c r="KM98" i="9" s="1"/>
  <c r="KM99" i="9" s="1"/>
  <c r="LA97" i="9"/>
  <c r="LA98" i="9" s="1"/>
  <c r="LA99" i="9" s="1"/>
  <c r="KS97" i="9"/>
  <c r="KS98" i="9" s="1"/>
  <c r="KS99" i="9" s="1"/>
  <c r="KK97" i="9"/>
  <c r="KK98" i="9" s="1"/>
  <c r="KK99" i="9" s="1"/>
  <c r="KG97" i="9"/>
  <c r="KG98" i="9" s="1"/>
  <c r="KG99" i="9" s="1"/>
  <c r="KD103" i="9"/>
  <c r="KD104" i="9" s="1"/>
  <c r="KD105" i="9" s="1"/>
  <c r="LB58" i="9"/>
  <c r="LB59" i="9" s="1"/>
  <c r="KW58" i="9"/>
  <c r="KW59" i="9" s="1"/>
  <c r="KD97" i="9"/>
  <c r="KD98" i="9" s="1"/>
  <c r="KD99" i="9" s="1"/>
  <c r="LA58" i="9"/>
  <c r="LA59" i="9" s="1"/>
  <c r="KK58" i="9"/>
  <c r="KK59" i="9" s="1"/>
  <c r="LF58" i="9"/>
  <c r="LF59" i="9" s="1"/>
  <c r="KO58" i="9"/>
  <c r="KO59" i="9" s="1"/>
  <c r="LD58" i="9"/>
  <c r="LD59" i="9" s="1"/>
  <c r="KS58" i="9"/>
  <c r="KS59" i="9" s="1"/>
  <c r="KG58" i="9"/>
  <c r="KG59" i="9" s="1"/>
  <c r="FD23" i="9"/>
  <c r="BK76" i="9"/>
  <c r="KX58" i="9"/>
  <c r="KX59" i="9" s="1"/>
  <c r="KL58" i="9"/>
  <c r="KL59" i="9" s="1"/>
  <c r="KP58" i="9"/>
  <c r="KP59" i="9" s="1"/>
  <c r="KT58" i="9"/>
  <c r="KT59" i="9" s="1"/>
  <c r="KH58" i="9"/>
  <c r="KH59" i="9" s="1"/>
  <c r="LC58" i="9"/>
  <c r="LC59" i="9" s="1"/>
  <c r="KY58" i="9"/>
  <c r="KY59" i="9" s="1"/>
  <c r="KU58" i="9"/>
  <c r="KU59" i="9" s="1"/>
  <c r="KQ58" i="9"/>
  <c r="KQ59" i="9" s="1"/>
  <c r="KM58" i="9"/>
  <c r="KM59" i="9" s="1"/>
  <c r="LE58" i="9"/>
  <c r="LE59" i="9" s="1"/>
  <c r="KI58" i="9"/>
  <c r="KI59" i="9" s="1"/>
  <c r="KE58" i="9"/>
  <c r="KE59" i="9" s="1"/>
  <c r="KZ58" i="9"/>
  <c r="KZ59" i="9" s="1"/>
  <c r="KV58" i="9"/>
  <c r="KV59" i="9" s="1"/>
  <c r="KR58" i="9"/>
  <c r="KR59" i="9" s="1"/>
  <c r="KN58" i="9"/>
  <c r="KN59" i="9" s="1"/>
  <c r="KJ58" i="9"/>
  <c r="KJ59" i="9" s="1"/>
  <c r="KF58" i="9"/>
  <c r="KF59" i="9" s="1"/>
  <c r="KD58" i="9"/>
  <c r="KD59" i="9" s="1"/>
  <c r="I75" i="9"/>
  <c r="I74" i="9"/>
  <c r="C14" i="9"/>
  <c r="E21" i="9"/>
  <c r="C20" i="9"/>
  <c r="BL81" i="9" l="1"/>
  <c r="AZ81" i="9"/>
  <c r="AD81" i="9"/>
  <c r="L81" i="9"/>
  <c r="AH76" i="9"/>
  <c r="AT76" i="9"/>
  <c r="AJ81" i="9"/>
  <c r="BD76" i="9"/>
  <c r="BJ81" i="9"/>
  <c r="BJ76" i="9"/>
  <c r="R81" i="9"/>
  <c r="R76" i="9"/>
  <c r="AX81" i="9"/>
  <c r="AX76" i="9"/>
  <c r="AN81" i="9"/>
  <c r="AN76" i="9"/>
  <c r="J81" i="9"/>
  <c r="J76" i="9"/>
  <c r="T76" i="9"/>
  <c r="T81" i="9"/>
  <c r="N81" i="9"/>
  <c r="N76" i="9"/>
  <c r="AL76" i="9"/>
  <c r="AL81" i="9"/>
  <c r="Z76" i="9"/>
  <c r="Z81" i="9"/>
  <c r="BF81" i="9"/>
  <c r="BF76" i="9"/>
  <c r="AB81" i="9"/>
  <c r="AB76" i="9"/>
  <c r="BH81" i="9"/>
  <c r="BH76" i="9"/>
  <c r="X81" i="9"/>
  <c r="X76" i="9"/>
  <c r="V81" i="9"/>
  <c r="V76" i="9"/>
  <c r="BB76" i="9"/>
  <c r="BB81" i="9"/>
  <c r="AP76" i="9"/>
  <c r="AP81" i="9"/>
  <c r="P81" i="9"/>
  <c r="P76" i="9"/>
  <c r="AR81" i="9"/>
  <c r="AR76" i="9"/>
  <c r="AV76" i="9"/>
  <c r="AV81" i="9"/>
  <c r="AF76" i="9"/>
  <c r="AF81" i="9"/>
  <c r="H76" i="9"/>
  <c r="H81" i="9"/>
  <c r="E22" i="9"/>
  <c r="C21" i="9"/>
  <c r="E23" i="9" l="1"/>
  <c r="C22" i="9"/>
  <c r="E24" i="9" l="1"/>
  <c r="C23" i="9"/>
  <c r="E25" i="9" l="1"/>
  <c r="C24" i="9"/>
  <c r="E26" i="9" l="1"/>
  <c r="C25" i="9"/>
  <c r="E27" i="9" l="1"/>
  <c r="C26" i="9"/>
  <c r="E28" i="9" l="1"/>
  <c r="C27" i="9"/>
  <c r="E29" i="9" l="1"/>
  <c r="C28" i="9"/>
  <c r="E30" i="9" l="1"/>
  <c r="C29" i="9"/>
  <c r="E31" i="9" l="1"/>
  <c r="C30" i="9"/>
  <c r="E32" i="9" l="1"/>
  <c r="C31" i="9"/>
  <c r="E33" i="9" l="1"/>
  <c r="C32" i="9"/>
  <c r="E34" i="9" l="1"/>
  <c r="C33" i="9"/>
  <c r="E35" i="9" l="1"/>
  <c r="C34" i="9"/>
  <c r="E36" i="9" l="1"/>
  <c r="C35" i="9"/>
  <c r="E37" i="9" l="1"/>
  <c r="C36" i="9"/>
  <c r="E38" i="9" l="1"/>
  <c r="C37" i="9"/>
  <c r="E39" i="9" l="1"/>
  <c r="C38" i="9"/>
  <c r="E40" i="9" l="1"/>
  <c r="C39" i="9"/>
  <c r="E41" i="9" l="1"/>
  <c r="C40" i="9"/>
  <c r="E42" i="9" l="1"/>
  <c r="C41" i="9"/>
  <c r="E43" i="9" l="1"/>
  <c r="C42" i="9"/>
  <c r="E44" i="9" l="1"/>
  <c r="C43" i="9"/>
  <c r="E45" i="9" l="1"/>
  <c r="C44" i="9"/>
  <c r="E46" i="9" l="1"/>
  <c r="C45" i="9"/>
  <c r="E47" i="9" l="1"/>
  <c r="C46" i="9"/>
  <c r="E48" i="9" l="1"/>
  <c r="C47" i="9"/>
  <c r="E49" i="9" l="1"/>
  <c r="C48" i="9"/>
  <c r="E50" i="9" l="1"/>
  <c r="C49" i="9"/>
  <c r="C50" i="9" l="1"/>
  <c r="E51" i="9"/>
  <c r="FE35" i="9" l="1"/>
  <c r="BM82" i="9" s="1"/>
  <c r="FC35" i="9"/>
  <c r="BI82" i="9" s="1"/>
  <c r="FA35" i="9"/>
  <c r="EY35" i="9"/>
  <c r="BA82" i="9" s="1"/>
  <c r="EW35" i="9"/>
  <c r="AW82" i="9" s="1"/>
  <c r="EU35" i="9"/>
  <c r="AS82" i="9" s="1"/>
  <c r="ES35" i="9"/>
  <c r="AO82" i="9" s="1"/>
  <c r="EQ35" i="9"/>
  <c r="AK82" i="9" s="1"/>
  <c r="EO35" i="9"/>
  <c r="EM35" i="9"/>
  <c r="AC82" i="9" s="1"/>
  <c r="EK35" i="9"/>
  <c r="Y82" i="9" s="1"/>
  <c r="EI35" i="9"/>
  <c r="U82" i="9" s="1"/>
  <c r="EG35" i="9"/>
  <c r="EE35" i="9"/>
  <c r="M82" i="9" s="1"/>
  <c r="EC35" i="9"/>
  <c r="I82" i="9" s="1"/>
  <c r="ED35" i="9"/>
  <c r="K82" i="9" s="1"/>
  <c r="FD35" i="9"/>
  <c r="FB35" i="9"/>
  <c r="BG82" i="9" s="1"/>
  <c r="EZ35" i="9"/>
  <c r="BC82" i="9" s="1"/>
  <c r="EX35" i="9"/>
  <c r="AY82" i="9" s="1"/>
  <c r="EV35" i="9"/>
  <c r="AU82" i="9" s="1"/>
  <c r="ET35" i="9"/>
  <c r="AQ82" i="9" s="1"/>
  <c r="ER35" i="9"/>
  <c r="EP35" i="9"/>
  <c r="AI82" i="9" s="1"/>
  <c r="EN35" i="9"/>
  <c r="AE82" i="9" s="1"/>
  <c r="EL35" i="9"/>
  <c r="AA82" i="9" s="1"/>
  <c r="EJ35" i="9"/>
  <c r="W82" i="9" s="1"/>
  <c r="EH35" i="9"/>
  <c r="S82" i="9" s="1"/>
  <c r="EF35" i="9"/>
  <c r="FE17" i="9"/>
  <c r="FE24" i="9" s="1"/>
  <c r="FC17" i="9"/>
  <c r="FC24" i="9" s="1"/>
  <c r="FA17" i="9"/>
  <c r="FA24" i="9" s="1"/>
  <c r="EY17" i="9"/>
  <c r="EY24" i="9" s="1"/>
  <c r="EW17" i="9"/>
  <c r="EW24" i="9" s="1"/>
  <c r="EU17" i="9"/>
  <c r="EU24" i="9" s="1"/>
  <c r="ES17" i="9"/>
  <c r="ES24" i="9" s="1"/>
  <c r="EQ17" i="9"/>
  <c r="EQ24" i="9" s="1"/>
  <c r="EO17" i="9"/>
  <c r="EO24" i="9" s="1"/>
  <c r="EM17" i="9"/>
  <c r="EM24" i="9" s="1"/>
  <c r="EK17" i="9"/>
  <c r="EK24" i="9" s="1"/>
  <c r="EI17" i="9"/>
  <c r="EI24" i="9" s="1"/>
  <c r="EG17" i="9"/>
  <c r="EG24" i="9" s="1"/>
  <c r="EE17" i="9"/>
  <c r="EE24" i="9" s="1"/>
  <c r="EC17" i="9"/>
  <c r="FD17" i="9"/>
  <c r="FD24" i="9" s="1"/>
  <c r="FB17" i="9"/>
  <c r="FB24" i="9" s="1"/>
  <c r="EZ17" i="9"/>
  <c r="EZ24" i="9" s="1"/>
  <c r="EX17" i="9"/>
  <c r="EX24" i="9" s="1"/>
  <c r="EV17" i="9"/>
  <c r="EV24" i="9" s="1"/>
  <c r="ET17" i="9"/>
  <c r="ET24" i="9" s="1"/>
  <c r="ER17" i="9"/>
  <c r="ER24" i="9" s="1"/>
  <c r="EP17" i="9"/>
  <c r="EP24" i="9" s="1"/>
  <c r="EN17" i="9"/>
  <c r="EN24" i="9" s="1"/>
  <c r="EL17" i="9"/>
  <c r="EL24" i="9" s="1"/>
  <c r="EJ17" i="9"/>
  <c r="EJ24" i="9" s="1"/>
  <c r="EH17" i="9"/>
  <c r="EH24" i="9" s="1"/>
  <c r="EF17" i="9"/>
  <c r="EF24" i="9" s="1"/>
  <c r="ED17" i="9"/>
  <c r="ED24" i="9" s="1"/>
  <c r="HN73" i="9"/>
  <c r="G58" i="9" s="1"/>
  <c r="BL82" i="9"/>
  <c r="BJ82" i="9"/>
  <c r="BH82" i="9"/>
  <c r="BF82" i="9"/>
  <c r="BD82" i="9"/>
  <c r="BB82" i="9"/>
  <c r="AZ82" i="9"/>
  <c r="AX82" i="9"/>
  <c r="AV82" i="9"/>
  <c r="AT82" i="9"/>
  <c r="AR82" i="9"/>
  <c r="AP82" i="9"/>
  <c r="AN82" i="9"/>
  <c r="AL82" i="9"/>
  <c r="AJ82" i="9"/>
  <c r="AH82" i="9"/>
  <c r="AF82" i="9"/>
  <c r="AD82" i="9"/>
  <c r="AB82" i="9"/>
  <c r="Z82" i="9"/>
  <c r="X82" i="9"/>
  <c r="V82" i="9"/>
  <c r="T82" i="9"/>
  <c r="R82" i="9"/>
  <c r="P82" i="9"/>
  <c r="N82" i="9"/>
  <c r="L82" i="9"/>
  <c r="H82" i="9"/>
  <c r="J82" i="9"/>
  <c r="BL77" i="9"/>
  <c r="BJ77" i="9"/>
  <c r="BH77" i="9"/>
  <c r="BF77" i="9"/>
  <c r="BD77" i="9"/>
  <c r="BB77" i="9"/>
  <c r="AZ77" i="9"/>
  <c r="AX77" i="9"/>
  <c r="AV77" i="9"/>
  <c r="AT77" i="9"/>
  <c r="AR77" i="9"/>
  <c r="AP77" i="9"/>
  <c r="AN77" i="9"/>
  <c r="AL77" i="9"/>
  <c r="AJ77" i="9"/>
  <c r="AH77" i="9"/>
  <c r="AF77" i="9"/>
  <c r="AD77" i="9"/>
  <c r="AB77" i="9"/>
  <c r="Z77" i="9"/>
  <c r="X77" i="9"/>
  <c r="V77" i="9"/>
  <c r="T77" i="9"/>
  <c r="R77" i="9"/>
  <c r="P77" i="9"/>
  <c r="N77" i="9"/>
  <c r="L77" i="9"/>
  <c r="J77" i="9"/>
  <c r="H77" i="9"/>
  <c r="BE82" i="9"/>
  <c r="AG82" i="9"/>
  <c r="Q82" i="9"/>
  <c r="BK82" i="9"/>
  <c r="AM82" i="9"/>
  <c r="O82" i="9"/>
  <c r="BG77" i="9"/>
  <c r="AY77" i="9"/>
  <c r="AQ77" i="9"/>
  <c r="AE77" i="9"/>
  <c r="W77" i="9"/>
  <c r="O77" i="9"/>
  <c r="BM77" i="9"/>
  <c r="BI77" i="9"/>
  <c r="BE77" i="9"/>
  <c r="BA77" i="9"/>
  <c r="AW77" i="9"/>
  <c r="AS77" i="9"/>
  <c r="AO77" i="9"/>
  <c r="AK77" i="9"/>
  <c r="AG77" i="9"/>
  <c r="AC77" i="9"/>
  <c r="Y77" i="9"/>
  <c r="U77" i="9"/>
  <c r="Q77" i="9"/>
  <c r="M77" i="9"/>
  <c r="BK77" i="9"/>
  <c r="BC77" i="9"/>
  <c r="AU77" i="9"/>
  <c r="AM77" i="9"/>
  <c r="AI77" i="9"/>
  <c r="AA77" i="9"/>
  <c r="S77" i="9"/>
  <c r="K77" i="9"/>
  <c r="G82" i="9"/>
  <c r="D10" i="9"/>
  <c r="C51" i="9"/>
  <c r="B10" i="9"/>
  <c r="EQ42" i="9" l="1"/>
  <c r="EQ43" i="9" s="1"/>
  <c r="FE42" i="9"/>
  <c r="FE43" i="9" s="1"/>
  <c r="EX42" i="9"/>
  <c r="EX43" i="9" s="1"/>
  <c r="EV42" i="9"/>
  <c r="EV43" i="9" s="1"/>
  <c r="ET42" i="9"/>
  <c r="ET43" i="9" s="1"/>
  <c r="EH42" i="9"/>
  <c r="EH43" i="9" s="1"/>
  <c r="FD42" i="9"/>
  <c r="FD43" i="9" s="1"/>
  <c r="EM42" i="9"/>
  <c r="EM43" i="9"/>
  <c r="FB42" i="9"/>
  <c r="FB43" i="9" s="1"/>
  <c r="EL42" i="9"/>
  <c r="EL43" i="9" s="1"/>
  <c r="EN42" i="9"/>
  <c r="EN43" i="9" s="1"/>
  <c r="EW42" i="9"/>
  <c r="EW43" i="9" s="1"/>
  <c r="EZ42" i="9"/>
  <c r="EZ43" i="9" s="1"/>
  <c r="ES42" i="9"/>
  <c r="ES43" i="9" s="1"/>
  <c r="FA25" i="9"/>
  <c r="FA18" i="9"/>
  <c r="LB61" i="9" s="1"/>
  <c r="ES25" i="9"/>
  <c r="ES18" i="9"/>
  <c r="KT61" i="9" s="1"/>
  <c r="EK25" i="9"/>
  <c r="EK18" i="9"/>
  <c r="KL61" i="9" s="1"/>
  <c r="FE25" i="9"/>
  <c r="FE18" i="9"/>
  <c r="LF61" i="9" s="1"/>
  <c r="EZ25" i="9"/>
  <c r="EZ18" i="9"/>
  <c r="LA61" i="9" s="1"/>
  <c r="ER25" i="9"/>
  <c r="ER18" i="9"/>
  <c r="KS61" i="9" s="1"/>
  <c r="EH25" i="9"/>
  <c r="EH18" i="9"/>
  <c r="KI61" i="9" s="1"/>
  <c r="FC25" i="9"/>
  <c r="FC18" i="9"/>
  <c r="LD61" i="9" s="1"/>
  <c r="EU18" i="9"/>
  <c r="KV61" i="9" s="1"/>
  <c r="EU25" i="9"/>
  <c r="EM25" i="9"/>
  <c r="EM18" i="9"/>
  <c r="KN61" i="9" s="1"/>
  <c r="EE25" i="9"/>
  <c r="EE18" i="9"/>
  <c r="KF61" i="9" s="1"/>
  <c r="FB25" i="9"/>
  <c r="FB18" i="9"/>
  <c r="LC61" i="9" s="1"/>
  <c r="ET25" i="9"/>
  <c r="ET18" i="9"/>
  <c r="KU61" i="9" s="1"/>
  <c r="EJ25" i="9"/>
  <c r="EJ18" i="9"/>
  <c r="KK61" i="9" s="1"/>
  <c r="ER42" i="9"/>
  <c r="ER43" i="9" s="1"/>
  <c r="EU42" i="9"/>
  <c r="EU43" i="9" s="1"/>
  <c r="EI42" i="9"/>
  <c r="EI43" i="9" s="1"/>
  <c r="EJ42" i="9"/>
  <c r="EJ43" i="9" s="1"/>
  <c r="EG42" i="9"/>
  <c r="EG43" i="9" s="1"/>
  <c r="EF42" i="9"/>
  <c r="EF43" i="9" s="1"/>
  <c r="ED42" i="9"/>
  <c r="EK42" i="9"/>
  <c r="EK43" i="9" s="1"/>
  <c r="EO42" i="9"/>
  <c r="EO43" i="9" s="1"/>
  <c r="EY42" i="9"/>
  <c r="EY43" i="9" s="1"/>
  <c r="FC42" i="9"/>
  <c r="FC43" i="9" s="1"/>
  <c r="EE42" i="9"/>
  <c r="EE43" i="9" s="1"/>
  <c r="EP42" i="9"/>
  <c r="EP43" i="9" s="1"/>
  <c r="FA42" i="9"/>
  <c r="FA43" i="9" s="1"/>
  <c r="EW25" i="9"/>
  <c r="EW18" i="9"/>
  <c r="KX61" i="9" s="1"/>
  <c r="EO25" i="9"/>
  <c r="EO18" i="9"/>
  <c r="KP61" i="9" s="1"/>
  <c r="EG25" i="9"/>
  <c r="EG18" i="9"/>
  <c r="KH61" i="9" s="1"/>
  <c r="FD25" i="9"/>
  <c r="FD18" i="9"/>
  <c r="LE61" i="9" s="1"/>
  <c r="EV25" i="9"/>
  <c r="EV18" i="9"/>
  <c r="KW61" i="9" s="1"/>
  <c r="EL25" i="9"/>
  <c r="EL18" i="9"/>
  <c r="KM61" i="9" s="1"/>
  <c r="EY25" i="9"/>
  <c r="EY18" i="9"/>
  <c r="EQ18" i="9"/>
  <c r="KR61" i="9" s="1"/>
  <c r="EQ25" i="9"/>
  <c r="EI25" i="9"/>
  <c r="EI18" i="9"/>
  <c r="KJ61" i="9" s="1"/>
  <c r="EP25" i="9"/>
  <c r="EP18" i="9"/>
  <c r="KQ61" i="9" s="1"/>
  <c r="EX18" i="9"/>
  <c r="KY61" i="9" s="1"/>
  <c r="EX25" i="9"/>
  <c r="EN18" i="9"/>
  <c r="KO61" i="9" s="1"/>
  <c r="EN25" i="9"/>
  <c r="EF25" i="9"/>
  <c r="EF18" i="9"/>
  <c r="I77" i="9"/>
  <c r="EN36" i="9"/>
  <c r="FA36" i="9"/>
  <c r="ER36" i="9"/>
  <c r="ES36" i="9"/>
  <c r="EV36" i="9"/>
  <c r="EH36" i="9"/>
  <c r="EX36" i="9"/>
  <c r="EZ36" i="9"/>
  <c r="EQ36" i="9"/>
  <c r="EY36" i="9"/>
  <c r="FB36" i="9"/>
  <c r="EE36" i="9"/>
  <c r="EI36" i="9"/>
  <c r="FD36" i="9"/>
  <c r="EO36" i="9"/>
  <c r="EK36" i="9"/>
  <c r="FE36" i="9"/>
  <c r="EP36" i="9"/>
  <c r="EM36" i="9"/>
  <c r="ET36" i="9"/>
  <c r="EJ36" i="9"/>
  <c r="EG36" i="9"/>
  <c r="FC36" i="9"/>
  <c r="EW36" i="9"/>
  <c r="IR57" i="9"/>
  <c r="HV57" i="9"/>
  <c r="IK57" i="9"/>
  <c r="HT57" i="9"/>
  <c r="HS57" i="9"/>
  <c r="HY57" i="9"/>
  <c r="IJ57" i="9"/>
  <c r="IE57" i="9"/>
  <c r="IH57" i="9"/>
  <c r="HU57" i="9"/>
  <c r="IB57" i="9"/>
  <c r="IG57" i="9"/>
  <c r="ID57" i="9"/>
  <c r="HW57" i="9"/>
  <c r="IM57" i="9"/>
  <c r="HZ57" i="9"/>
  <c r="HX57" i="9"/>
  <c r="IO57" i="9"/>
  <c r="IC57" i="9"/>
  <c r="II57" i="9"/>
  <c r="IU57" i="9"/>
  <c r="IL57" i="9"/>
  <c r="IF57" i="9"/>
  <c r="IA57" i="9"/>
  <c r="IP57" i="9"/>
  <c r="IT57" i="9"/>
  <c r="IS57" i="9"/>
  <c r="IN57" i="9"/>
  <c r="IQ57" i="9"/>
  <c r="EO27" i="9" l="1"/>
  <c r="EM44" i="9"/>
  <c r="KN68" i="9"/>
  <c r="EK44" i="9"/>
  <c r="KL68" i="9"/>
  <c r="EE44" i="9"/>
  <c r="KF68" i="9"/>
  <c r="ES44" i="9"/>
  <c r="KT68" i="9"/>
  <c r="EG44" i="9"/>
  <c r="KH68" i="9"/>
  <c r="EP44" i="9"/>
  <c r="KQ68" i="9"/>
  <c r="EO44" i="9"/>
  <c r="KP68" i="9"/>
  <c r="FB44" i="9"/>
  <c r="LC68" i="9"/>
  <c r="EX44" i="9"/>
  <c r="KY68" i="9"/>
  <c r="ER44" i="9"/>
  <c r="KS68" i="9"/>
  <c r="EJ44" i="9"/>
  <c r="KK68" i="9"/>
  <c r="FE44" i="9"/>
  <c r="LF68" i="9"/>
  <c r="FD44" i="9"/>
  <c r="LE68" i="9"/>
  <c r="EY44" i="9"/>
  <c r="KZ68" i="9"/>
  <c r="EH44" i="9"/>
  <c r="KI68" i="9"/>
  <c r="FA44" i="9"/>
  <c r="LB68" i="9"/>
  <c r="ET44" i="9"/>
  <c r="KU68" i="9"/>
  <c r="EI44" i="9"/>
  <c r="KJ68" i="9"/>
  <c r="EQ44" i="9"/>
  <c r="KR68" i="9"/>
  <c r="EV44" i="9"/>
  <c r="KW68" i="9"/>
  <c r="EN44" i="9"/>
  <c r="KO68" i="9"/>
  <c r="EW44" i="9"/>
  <c r="KX68" i="9"/>
  <c r="FC44" i="9"/>
  <c r="LD68" i="9"/>
  <c r="EZ44" i="9"/>
  <c r="LA68" i="9"/>
  <c r="EE27" i="9"/>
  <c r="EM27" i="9"/>
  <c r="EN27" i="9"/>
  <c r="EX27" i="9"/>
  <c r="EI27" i="9"/>
  <c r="EU27" i="9"/>
  <c r="FC27" i="9"/>
  <c r="EH27" i="9"/>
  <c r="ER27" i="9"/>
  <c r="EZ27" i="9"/>
  <c r="EF27" i="9"/>
  <c r="KG61" i="9"/>
  <c r="KQ64" i="9"/>
  <c r="KQ62" i="9"/>
  <c r="KQ63" i="9"/>
  <c r="KR64" i="9"/>
  <c r="KR62" i="9"/>
  <c r="KR63" i="9"/>
  <c r="KM64" i="9"/>
  <c r="KM62" i="9"/>
  <c r="KM63" i="9"/>
  <c r="KW64" i="9"/>
  <c r="KW62" i="9"/>
  <c r="KW63" i="9"/>
  <c r="LE64" i="9"/>
  <c r="LE62" i="9"/>
  <c r="LE63" i="9"/>
  <c r="KH64" i="9"/>
  <c r="KH62" i="9"/>
  <c r="KH63" i="9"/>
  <c r="KX64" i="9"/>
  <c r="KX62" i="9"/>
  <c r="KX63" i="9"/>
  <c r="KK64" i="9"/>
  <c r="KK62" i="9"/>
  <c r="KK63" i="9"/>
  <c r="KU64" i="9"/>
  <c r="KU62" i="9"/>
  <c r="KU63" i="9"/>
  <c r="LC64" i="9"/>
  <c r="LC62" i="9"/>
  <c r="LC63" i="9"/>
  <c r="KF64" i="9"/>
  <c r="KF62" i="9"/>
  <c r="KF63" i="9"/>
  <c r="KN64" i="9"/>
  <c r="KN62" i="9"/>
  <c r="KN63" i="9"/>
  <c r="LF64" i="9"/>
  <c r="LF62" i="9"/>
  <c r="LF63" i="9"/>
  <c r="KL64" i="9"/>
  <c r="KL62" i="9"/>
  <c r="KL63" i="9"/>
  <c r="KT64" i="9"/>
  <c r="KT62" i="9"/>
  <c r="KT63" i="9"/>
  <c r="LB64" i="9"/>
  <c r="LB62" i="9"/>
  <c r="LB63" i="9"/>
  <c r="KO64" i="9"/>
  <c r="KO62" i="9"/>
  <c r="KO63" i="9"/>
  <c r="KY64" i="9"/>
  <c r="KY62" i="9"/>
  <c r="KY63" i="9"/>
  <c r="EP27" i="9"/>
  <c r="KJ64" i="9"/>
  <c r="KJ62" i="9"/>
  <c r="KJ63" i="9"/>
  <c r="EQ27" i="9"/>
  <c r="EY27" i="9"/>
  <c r="KZ61" i="9"/>
  <c r="EL27" i="9"/>
  <c r="EV27" i="9"/>
  <c r="FD27" i="9"/>
  <c r="EG27" i="9"/>
  <c r="KP64" i="9"/>
  <c r="KP62" i="9"/>
  <c r="KP63" i="9"/>
  <c r="EW27" i="9"/>
  <c r="EJ27" i="9"/>
  <c r="ET27" i="9"/>
  <c r="FB27" i="9"/>
  <c r="KV64" i="9"/>
  <c r="KV62" i="9"/>
  <c r="KV63" i="9"/>
  <c r="LD64" i="9"/>
  <c r="LD62" i="9"/>
  <c r="LD63" i="9"/>
  <c r="KI64" i="9"/>
  <c r="KI62" i="9"/>
  <c r="KI63" i="9"/>
  <c r="KS64" i="9"/>
  <c r="KS62" i="9"/>
  <c r="KS63" i="9"/>
  <c r="LA64" i="9"/>
  <c r="LA62" i="9"/>
  <c r="LA63" i="9"/>
  <c r="FE27" i="9"/>
  <c r="EK27" i="9"/>
  <c r="ES27" i="9"/>
  <c r="FA27" i="9"/>
  <c r="FB45" i="9"/>
  <c r="EN45" i="9"/>
  <c r="EQ45" i="9"/>
  <c r="EX45" i="9"/>
  <c r="FA45" i="9"/>
  <c r="ES45" i="9"/>
  <c r="EJ45" i="9"/>
  <c r="FD45" i="9"/>
  <c r="EW45" i="9"/>
  <c r="ET45" i="9"/>
  <c r="EI45" i="9"/>
  <c r="EF36" i="9"/>
  <c r="EL36" i="9"/>
  <c r="EU36" i="9"/>
  <c r="EM45" i="9"/>
  <c r="EZ45" i="9"/>
  <c r="EV45" i="9"/>
  <c r="EH45" i="9"/>
  <c r="EP45" i="9"/>
  <c r="EY45" i="9"/>
  <c r="EG45" i="9"/>
  <c r="EK45" i="9"/>
  <c r="EE45" i="9"/>
  <c r="FC45" i="9"/>
  <c r="FE45" i="9"/>
  <c r="EO45" i="9"/>
  <c r="ER45" i="9"/>
  <c r="EL44" i="9" l="1"/>
  <c r="KM68" i="9"/>
  <c r="EU44" i="9"/>
  <c r="KV68" i="9"/>
  <c r="LD71" i="9"/>
  <c r="LD69" i="9"/>
  <c r="LD70" i="9"/>
  <c r="KO71" i="9"/>
  <c r="KO70" i="9"/>
  <c r="KO69" i="9"/>
  <c r="KR71" i="9"/>
  <c r="KR70" i="9"/>
  <c r="KR69" i="9"/>
  <c r="KU71" i="9"/>
  <c r="KU69" i="9"/>
  <c r="KU70" i="9"/>
  <c r="KI71" i="9"/>
  <c r="KI70" i="9"/>
  <c r="KI69" i="9"/>
  <c r="LE71" i="9"/>
  <c r="LE70" i="9"/>
  <c r="LE69" i="9"/>
  <c r="KK71" i="9"/>
  <c r="KK70" i="9"/>
  <c r="KK69" i="9"/>
  <c r="KY71" i="9"/>
  <c r="KY70" i="9"/>
  <c r="KY69" i="9"/>
  <c r="KP71" i="9"/>
  <c r="KP69" i="9"/>
  <c r="KP70" i="9"/>
  <c r="KH71" i="9"/>
  <c r="KH70" i="9"/>
  <c r="KH69" i="9"/>
  <c r="KF71" i="9"/>
  <c r="KF70" i="9"/>
  <c r="KF69" i="9"/>
  <c r="KN71" i="9"/>
  <c r="KN69" i="9"/>
  <c r="KN70" i="9"/>
  <c r="EF44" i="9"/>
  <c r="KG68" i="9"/>
  <c r="LA71" i="9"/>
  <c r="LA70" i="9"/>
  <c r="LA69" i="9"/>
  <c r="KX71" i="9"/>
  <c r="KX70" i="9"/>
  <c r="KX69" i="9"/>
  <c r="KW71" i="9"/>
  <c r="KW69" i="9"/>
  <c r="KW70" i="9"/>
  <c r="KJ71" i="9"/>
  <c r="KJ70" i="9"/>
  <c r="KJ69" i="9"/>
  <c r="LB71" i="9"/>
  <c r="LB70" i="9"/>
  <c r="LB69" i="9"/>
  <c r="KZ71" i="9"/>
  <c r="KZ70" i="9"/>
  <c r="KZ69" i="9"/>
  <c r="LF71" i="9"/>
  <c r="LF69" i="9"/>
  <c r="LF70" i="9"/>
  <c r="KS71" i="9"/>
  <c r="KS70" i="9"/>
  <c r="KS69" i="9"/>
  <c r="LC71" i="9"/>
  <c r="LC70" i="9"/>
  <c r="LC69" i="9"/>
  <c r="KQ71" i="9"/>
  <c r="KQ70" i="9"/>
  <c r="KQ69" i="9"/>
  <c r="KT71" i="9"/>
  <c r="KT70" i="9"/>
  <c r="KT69" i="9"/>
  <c r="KL71" i="9"/>
  <c r="KL70" i="9"/>
  <c r="KL69" i="9"/>
  <c r="EF45" i="9"/>
  <c r="LA65" i="9"/>
  <c r="LA66" i="9" s="1"/>
  <c r="KI65" i="9"/>
  <c r="KI66" i="9" s="1"/>
  <c r="KV65" i="9"/>
  <c r="KV66" i="9" s="1"/>
  <c r="KZ64" i="9"/>
  <c r="KZ62" i="9"/>
  <c r="KZ63" i="9"/>
  <c r="KJ65" i="9"/>
  <c r="KJ66" i="9" s="1"/>
  <c r="KY65" i="9"/>
  <c r="KY66" i="9" s="1"/>
  <c r="LB65" i="9"/>
  <c r="LB66" i="9" s="1"/>
  <c r="KL65" i="9"/>
  <c r="KL66" i="9" s="1"/>
  <c r="KN65" i="9"/>
  <c r="KN66" i="9" s="1"/>
  <c r="LC65" i="9"/>
  <c r="LC66" i="9" s="1"/>
  <c r="KK65" i="9"/>
  <c r="KK66" i="9" s="1"/>
  <c r="KH65" i="9"/>
  <c r="KH66" i="9" s="1"/>
  <c r="KW65" i="9"/>
  <c r="KW66" i="9" s="1"/>
  <c r="KQ65" i="9"/>
  <c r="KQ66" i="9" s="1"/>
  <c r="KG64" i="9"/>
  <c r="KG62" i="9"/>
  <c r="KG63" i="9"/>
  <c r="KS65" i="9"/>
  <c r="KS66" i="9" s="1"/>
  <c r="LD65" i="9"/>
  <c r="LD66" i="9" s="1"/>
  <c r="KP65" i="9"/>
  <c r="KP66" i="9" s="1"/>
  <c r="KO65" i="9"/>
  <c r="KO66" i="9" s="1"/>
  <c r="KT65" i="9"/>
  <c r="KT66" i="9" s="1"/>
  <c r="LF65" i="9"/>
  <c r="LF66" i="9" s="1"/>
  <c r="KF65" i="9"/>
  <c r="KF66" i="9" s="1"/>
  <c r="KU65" i="9"/>
  <c r="KU66" i="9" s="1"/>
  <c r="KX65" i="9"/>
  <c r="KX66" i="9" s="1"/>
  <c r="LE65" i="9"/>
  <c r="LE66" i="9" s="1"/>
  <c r="KM65" i="9"/>
  <c r="KM66" i="9" s="1"/>
  <c r="KR65" i="9"/>
  <c r="KR66" i="9" s="1"/>
  <c r="EL45" i="9"/>
  <c r="EU45" i="9"/>
  <c r="G59" i="9"/>
  <c r="G60" i="9"/>
  <c r="LA72" i="9" l="1"/>
  <c r="LA73" i="9" s="1"/>
  <c r="KF72" i="9"/>
  <c r="KF73" i="9" s="1"/>
  <c r="KH72" i="9"/>
  <c r="KH73" i="9" s="1"/>
  <c r="KP72" i="9"/>
  <c r="KP73" i="9" s="1"/>
  <c r="KO72" i="9"/>
  <c r="KO73" i="9" s="1"/>
  <c r="KR72" i="9"/>
  <c r="KR73" i="9" s="1"/>
  <c r="KQ72" i="9"/>
  <c r="KQ73" i="9" s="1"/>
  <c r="KZ72" i="9"/>
  <c r="KZ73" i="9" s="1"/>
  <c r="KX72" i="9"/>
  <c r="KX73" i="9" s="1"/>
  <c r="KY72" i="9"/>
  <c r="KY73" i="9" s="1"/>
  <c r="KV71" i="9"/>
  <c r="KV70" i="9"/>
  <c r="KV69" i="9"/>
  <c r="KT72" i="9"/>
  <c r="KT73" i="9" s="1"/>
  <c r="KN72" i="9"/>
  <c r="KN73" i="9" s="1"/>
  <c r="KI72" i="9"/>
  <c r="KI73" i="9" s="1"/>
  <c r="KU72" i="9"/>
  <c r="KU73" i="9" s="1"/>
  <c r="KL72" i="9"/>
  <c r="KL73" i="9" s="1"/>
  <c r="KS72" i="9"/>
  <c r="KS73" i="9" s="1"/>
  <c r="LF72" i="9"/>
  <c r="LF73" i="9" s="1"/>
  <c r="KJ72" i="9"/>
  <c r="KJ73" i="9" s="1"/>
  <c r="KW72" i="9"/>
  <c r="KW73" i="9" s="1"/>
  <c r="KG71" i="9"/>
  <c r="KG69" i="9"/>
  <c r="KG70" i="9"/>
  <c r="LE72" i="9"/>
  <c r="LE73" i="9" s="1"/>
  <c r="LD72" i="9"/>
  <c r="LD73" i="9" s="1"/>
  <c r="KM71" i="9"/>
  <c r="KM70" i="9"/>
  <c r="KM69" i="9"/>
  <c r="LC72" i="9"/>
  <c r="LC73" i="9" s="1"/>
  <c r="LB72" i="9"/>
  <c r="LB73" i="9" s="1"/>
  <c r="KK72" i="9"/>
  <c r="KK73" i="9" s="1"/>
  <c r="KG65" i="9"/>
  <c r="KG66" i="9" s="1"/>
  <c r="KZ65" i="9"/>
  <c r="KZ66" i="9" s="1"/>
  <c r="FK55" i="9"/>
  <c r="FY55" i="9"/>
  <c r="GH55" i="9"/>
  <c r="FO55" i="9"/>
  <c r="FU55" i="9"/>
  <c r="FV55" i="9"/>
  <c r="GC55" i="9"/>
  <c r="FI55" i="9"/>
  <c r="GF55" i="9"/>
  <c r="FH55" i="9"/>
  <c r="GA55" i="9"/>
  <c r="FW55" i="9"/>
  <c r="FZ55" i="9"/>
  <c r="FP55" i="9"/>
  <c r="GD55" i="9"/>
  <c r="GG55" i="9"/>
  <c r="FR55" i="9"/>
  <c r="GE55" i="9"/>
  <c r="FJ55" i="9"/>
  <c r="FM55" i="9"/>
  <c r="FG55" i="9"/>
  <c r="FS55" i="9"/>
  <c r="FX55" i="9"/>
  <c r="GI55" i="9"/>
  <c r="FN55" i="9"/>
  <c r="FQ55" i="9"/>
  <c r="GB55" i="9"/>
  <c r="FT55" i="9"/>
  <c r="FL55" i="9"/>
  <c r="KM72" i="9" l="1"/>
  <c r="KM73" i="9" s="1"/>
  <c r="KG72" i="9"/>
  <c r="KG73" i="9" s="1"/>
  <c r="KV72" i="9"/>
  <c r="KV73" i="9" s="1"/>
  <c r="DF44" i="9"/>
  <c r="GR44" i="9" s="1"/>
  <c r="DF42" i="9"/>
  <c r="DF43" i="9"/>
  <c r="GR43" i="9" s="1"/>
  <c r="DM44" i="9"/>
  <c r="GY44" i="9" s="1"/>
  <c r="DM42" i="9"/>
  <c r="DM43" i="9"/>
  <c r="GY43" i="9" s="1"/>
  <c r="DZ44" i="9"/>
  <c r="HL44" i="9" s="1"/>
  <c r="DZ42" i="9"/>
  <c r="DZ43" i="9"/>
  <c r="HL43" i="9" s="1"/>
  <c r="DG44" i="9"/>
  <c r="GS44" i="9" s="1"/>
  <c r="DG42" i="9"/>
  <c r="DG43" i="9"/>
  <c r="GS43" i="9" s="1"/>
  <c r="DW44" i="9"/>
  <c r="HI44" i="9" s="1"/>
  <c r="DW42" i="9"/>
  <c r="DW43" i="9"/>
  <c r="HI43" i="9" s="1"/>
  <c r="DB44" i="9"/>
  <c r="GN44" i="9" s="1"/>
  <c r="DB42" i="9"/>
  <c r="DB43" i="9"/>
  <c r="GN43" i="9" s="1"/>
  <c r="DT44" i="9"/>
  <c r="HF44" i="9" s="1"/>
  <c r="DT42" i="9"/>
  <c r="DT43" i="9"/>
  <c r="HF43" i="9" s="1"/>
  <c r="DK44" i="9"/>
  <c r="GW44" i="9" s="1"/>
  <c r="DK42" i="9"/>
  <c r="DK43" i="9"/>
  <c r="GW43" i="9" s="1"/>
  <c r="DI44" i="9"/>
  <c r="GU44" i="9" s="1"/>
  <c r="DI42" i="9"/>
  <c r="DI43" i="9"/>
  <c r="GU43" i="9" s="1"/>
  <c r="DJ44" i="9"/>
  <c r="GV44" i="9" s="1"/>
  <c r="DJ42" i="9"/>
  <c r="DJ43" i="9"/>
  <c r="GV43" i="9" s="1"/>
  <c r="DQ44" i="9"/>
  <c r="HC44" i="9" s="1"/>
  <c r="DQ42" i="9"/>
  <c r="DQ43" i="9"/>
  <c r="HC43" i="9" s="1"/>
  <c r="DY44" i="9"/>
  <c r="HK44" i="9" s="1"/>
  <c r="DY42" i="9"/>
  <c r="DY43" i="9"/>
  <c r="HK43" i="9" s="1"/>
  <c r="DC44" i="9"/>
  <c r="GO44" i="9" s="1"/>
  <c r="DC42" i="9"/>
  <c r="DC43" i="9"/>
  <c r="GO43" i="9" s="1"/>
  <c r="DA44" i="9"/>
  <c r="GM44" i="9" s="1"/>
  <c r="DA42" i="9"/>
  <c r="DA43" i="9"/>
  <c r="GM43" i="9" s="1"/>
  <c r="DO44" i="9"/>
  <c r="HA44" i="9" s="1"/>
  <c r="DO42" i="9"/>
  <c r="DO43" i="9"/>
  <c r="HA43" i="9" s="1"/>
  <c r="DX44" i="9"/>
  <c r="HJ44" i="9" s="1"/>
  <c r="DX42" i="9"/>
  <c r="DX43" i="9"/>
  <c r="HJ43" i="9" s="1"/>
  <c r="DL44" i="9"/>
  <c r="GX44" i="9" s="1"/>
  <c r="DL42" i="9"/>
  <c r="DL43" i="9"/>
  <c r="GX43" i="9" s="1"/>
  <c r="DS44" i="9"/>
  <c r="HE44" i="9" s="1"/>
  <c r="DS42" i="9"/>
  <c r="DS43" i="9"/>
  <c r="HE43" i="9" s="1"/>
  <c r="DR44" i="9"/>
  <c r="HD44" i="9" s="1"/>
  <c r="DR42" i="9"/>
  <c r="DR43" i="9"/>
  <c r="HD43" i="9" s="1"/>
  <c r="DP44" i="9"/>
  <c r="HB44" i="9" s="1"/>
  <c r="DP42" i="9"/>
  <c r="DP43" i="9"/>
  <c r="HB43" i="9" s="1"/>
  <c r="EA43" i="9"/>
  <c r="HM43" i="9" s="1"/>
  <c r="EA44" i="9"/>
  <c r="HM44" i="9" s="1"/>
  <c r="EA42" i="9"/>
  <c r="DU44" i="9"/>
  <c r="HG44" i="9" s="1"/>
  <c r="DU42" i="9"/>
  <c r="DU43" i="9"/>
  <c r="HG43" i="9" s="1"/>
  <c r="DV44" i="9"/>
  <c r="HH44" i="9" s="1"/>
  <c r="DV42" i="9"/>
  <c r="DV43" i="9"/>
  <c r="HH43" i="9" s="1"/>
  <c r="DH44" i="9"/>
  <c r="GT44" i="9" s="1"/>
  <c r="DH42" i="9"/>
  <c r="DH43" i="9"/>
  <c r="GT43" i="9" s="1"/>
  <c r="CZ43" i="9"/>
  <c r="GL43" i="9" s="1"/>
  <c r="CZ42" i="9"/>
  <c r="ED16" i="9" s="1"/>
  <c r="CZ44" i="9"/>
  <c r="GL44" i="9" s="1"/>
  <c r="DE44" i="9"/>
  <c r="GQ44" i="9" s="1"/>
  <c r="DE42" i="9"/>
  <c r="DE43" i="9"/>
  <c r="GQ43" i="9" s="1"/>
  <c r="DD44" i="9"/>
  <c r="GP44" i="9" s="1"/>
  <c r="DD42" i="9"/>
  <c r="DD43" i="9"/>
  <c r="GP43" i="9" s="1"/>
  <c r="DN44" i="9"/>
  <c r="GZ44" i="9" s="1"/>
  <c r="DN42" i="9"/>
  <c r="DN43" i="9"/>
  <c r="GZ43" i="9" s="1"/>
  <c r="CY45" i="9"/>
  <c r="CY43" i="9"/>
  <c r="GK43" i="9" s="1"/>
  <c r="CY44" i="9"/>
  <c r="GK44" i="9" s="1"/>
  <c r="CY14" i="9"/>
  <c r="GK14" i="9" s="1"/>
  <c r="CY42" i="9"/>
  <c r="CY18" i="9"/>
  <c r="CY16" i="9"/>
  <c r="GK16" i="9" s="1"/>
  <c r="CY20" i="9"/>
  <c r="GK20" i="9" s="1"/>
  <c r="ED23" i="9" l="1"/>
  <c r="ED25" i="9" s="1"/>
  <c r="K76" i="9"/>
  <c r="ED18" i="9"/>
  <c r="ED27" i="9" s="1"/>
  <c r="GP42" i="9"/>
  <c r="GL42" i="9"/>
  <c r="ED34" i="9" s="1"/>
  <c r="HH42" i="9"/>
  <c r="HD42" i="9"/>
  <c r="GX42" i="9"/>
  <c r="HA42" i="9"/>
  <c r="GO42" i="9"/>
  <c r="HC42" i="9"/>
  <c r="GU42" i="9"/>
  <c r="HF42" i="9"/>
  <c r="HI42" i="9"/>
  <c r="HL42" i="9"/>
  <c r="GR42" i="9"/>
  <c r="GZ42" i="9"/>
  <c r="GQ42" i="9"/>
  <c r="GT42" i="9"/>
  <c r="HG42" i="9"/>
  <c r="HM42" i="9"/>
  <c r="HB42" i="9"/>
  <c r="HE42" i="9"/>
  <c r="HJ42" i="9"/>
  <c r="GM42" i="9"/>
  <c r="HK42" i="9"/>
  <c r="GV42" i="9"/>
  <c r="GW42" i="9"/>
  <c r="GN42" i="9"/>
  <c r="GS42" i="9"/>
  <c r="GY42" i="9"/>
  <c r="GK45" i="9"/>
  <c r="EC24" i="9"/>
  <c r="EC16" i="9"/>
  <c r="EC23" i="9" s="1"/>
  <c r="GK42" i="9"/>
  <c r="EC34" i="9" s="1"/>
  <c r="GK18" i="9"/>
  <c r="ED41" i="9" l="1"/>
  <c r="K81" i="9"/>
  <c r="ED36" i="9"/>
  <c r="ED43" i="9"/>
  <c r="ED45" i="9" s="1"/>
  <c r="KE61" i="9"/>
  <c r="I81" i="9"/>
  <c r="EC42" i="9"/>
  <c r="I76" i="9"/>
  <c r="EC41" i="9"/>
  <c r="I73" i="9"/>
  <c r="EC18" i="9"/>
  <c r="KD61" i="9" s="1"/>
  <c r="HM56" i="9"/>
  <c r="GS56" i="9"/>
  <c r="GN56" i="9"/>
  <c r="GL56" i="9"/>
  <c r="GR56" i="9"/>
  <c r="HH56" i="9"/>
  <c r="GT56" i="9"/>
  <c r="HG56" i="9"/>
  <c r="GP56" i="9"/>
  <c r="GQ56" i="9"/>
  <c r="HF56" i="9"/>
  <c r="GY56" i="9"/>
  <c r="GU56" i="9"/>
  <c r="HA56" i="9"/>
  <c r="GW56" i="9"/>
  <c r="GX56" i="9"/>
  <c r="HJ56" i="9"/>
  <c r="HI56" i="9"/>
  <c r="GO56" i="9"/>
  <c r="HE56" i="9"/>
  <c r="HC56" i="9"/>
  <c r="GV56" i="9"/>
  <c r="HL56" i="9"/>
  <c r="GZ56" i="9"/>
  <c r="HD56" i="9"/>
  <c r="HK56" i="9"/>
  <c r="GK56" i="9"/>
  <c r="GM56" i="9"/>
  <c r="HB56" i="9"/>
  <c r="KE64" i="9" l="1"/>
  <c r="KE62" i="9"/>
  <c r="KE63" i="9"/>
  <c r="KE68" i="9"/>
  <c r="ED44" i="9"/>
  <c r="KD64" i="9"/>
  <c r="KD63" i="9"/>
  <c r="KD62" i="9"/>
  <c r="GP57" i="9"/>
  <c r="GU57" i="9"/>
  <c r="GR57" i="9"/>
  <c r="HG57" i="9"/>
  <c r="HJ57" i="9"/>
  <c r="GW57" i="9"/>
  <c r="GL57" i="9"/>
  <c r="HA57" i="9"/>
  <c r="HF57" i="9"/>
  <c r="GZ57" i="9"/>
  <c r="HM57" i="9"/>
  <c r="GM57" i="9"/>
  <c r="GN57" i="9"/>
  <c r="GX57" i="9"/>
  <c r="HH57" i="9"/>
  <c r="GO57" i="9"/>
  <c r="HI57" i="9"/>
  <c r="GQ57" i="9"/>
  <c r="HB57" i="9"/>
  <c r="HK57" i="9"/>
  <c r="GS57" i="9"/>
  <c r="HD57" i="9"/>
  <c r="HC57" i="9"/>
  <c r="HL57" i="9"/>
  <c r="GT57" i="9"/>
  <c r="HE57" i="9"/>
  <c r="GV57" i="9"/>
  <c r="GY57" i="9"/>
  <c r="EC25" i="9"/>
  <c r="EC27" i="9" s="1"/>
  <c r="GK57" i="9"/>
  <c r="EC38" i="9"/>
  <c r="EC43" i="9" s="1"/>
  <c r="EC36" i="9"/>
  <c r="KE71" i="9" l="1"/>
  <c r="KE70" i="9"/>
  <c r="KE69" i="9"/>
  <c r="KE65" i="9"/>
  <c r="KE66" i="9" s="1"/>
  <c r="EC44" i="9"/>
  <c r="KD68" i="9"/>
  <c r="KD65" i="9"/>
  <c r="KD66" i="9" s="1"/>
  <c r="EC45" i="9"/>
  <c r="KE72" i="9" l="1"/>
  <c r="KE73" i="9" s="1"/>
  <c r="KD70" i="9"/>
  <c r="KD71" i="9"/>
  <c r="KD69" i="9"/>
  <c r="KD79" i="9" l="1"/>
  <c r="KD80" i="9" s="1"/>
  <c r="KD81" i="9" s="1"/>
  <c r="KD72" i="9"/>
  <c r="KD73" i="9" s="1"/>
  <c r="H78" i="9" l="1"/>
  <c r="H73" i="9"/>
  <c r="CG55" i="9"/>
  <c r="IS53" i="9"/>
  <c r="FK54" i="9"/>
  <c r="DM61" i="9"/>
  <c r="FT54" i="9"/>
  <c r="HV56" i="9"/>
  <c r="JA58" i="9"/>
  <c r="IX58" i="9"/>
  <c r="ID56" i="9"/>
  <c r="CJ53" i="9"/>
  <c r="HW53" i="9"/>
  <c r="JP54" i="9"/>
  <c r="DS54" i="9"/>
  <c r="DH54" i="9"/>
  <c r="DE61" i="9"/>
  <c r="CQ53" i="9"/>
  <c r="FZ54" i="9"/>
  <c r="JN57" i="9"/>
  <c r="GB54" i="9"/>
  <c r="IC54" i="9"/>
  <c r="BU55" i="9"/>
  <c r="IG56" i="9"/>
  <c r="DE54" i="9"/>
  <c r="CL53" i="9"/>
  <c r="CS55" i="9"/>
  <c r="JJ53" i="9"/>
  <c r="CD55" i="9"/>
  <c r="JK57" i="9"/>
  <c r="IK53" i="9"/>
  <c r="HY56" i="9"/>
  <c r="HS54" i="9"/>
  <c r="IF56" i="9"/>
  <c r="FP54" i="9"/>
  <c r="CM53" i="9"/>
  <c r="CH55" i="9"/>
  <c r="JU53" i="9"/>
  <c r="JV58" i="9"/>
  <c r="BX55" i="9"/>
  <c r="JW58" i="9"/>
  <c r="IT56" i="9"/>
  <c r="CY61" i="9"/>
  <c r="JN54" i="9"/>
  <c r="IO53" i="9"/>
  <c r="GX54" i="9"/>
  <c r="IT54" i="9"/>
  <c r="IG53" i="9"/>
  <c r="HA54" i="9"/>
  <c r="IE56" i="9"/>
  <c r="CA53" i="9"/>
  <c r="IM56" i="9"/>
  <c r="JS57" i="9"/>
  <c r="GP54" i="9"/>
  <c r="JZ57" i="9"/>
  <c r="GO54" i="9"/>
  <c r="CB55" i="9"/>
  <c r="IR56" i="9"/>
  <c r="IF54" i="9"/>
  <c r="HT56" i="9"/>
  <c r="HU54" i="9"/>
  <c r="BZ55" i="9"/>
  <c r="JC54" i="9"/>
  <c r="JJ54" i="9"/>
  <c r="DB61" i="9"/>
  <c r="HW54" i="9"/>
  <c r="DK54" i="9"/>
  <c r="DG61" i="9"/>
  <c r="JC53" i="9"/>
  <c r="FJ54" i="9"/>
  <c r="CQ55" i="9"/>
  <c r="JM54" i="9"/>
  <c r="JA57" i="9"/>
  <c r="IJ53" i="9"/>
  <c r="JX58" i="9"/>
  <c r="CT55" i="9"/>
  <c r="CP53" i="9"/>
  <c r="DW61" i="9"/>
  <c r="JI57" i="9"/>
  <c r="JG53" i="9"/>
  <c r="JE58" i="9"/>
  <c r="DI54" i="9"/>
  <c r="HV54" i="9"/>
  <c r="JT53" i="9"/>
  <c r="HD54" i="9"/>
  <c r="DU61" i="9"/>
  <c r="GN54" i="9"/>
  <c r="HY53" i="9"/>
  <c r="JF53" i="9"/>
  <c r="JF58" i="9"/>
  <c r="DT61" i="9"/>
  <c r="JW57" i="9"/>
  <c r="DO54" i="9"/>
  <c r="GD54" i="9"/>
  <c r="CR55" i="9"/>
  <c r="IY53" i="9"/>
  <c r="JC57" i="9"/>
  <c r="IU53" i="9"/>
  <c r="GE54" i="9"/>
  <c r="HB54" i="9"/>
  <c r="ID54" i="9"/>
  <c r="CK53" i="9"/>
  <c r="JE53" i="9"/>
  <c r="DC61" i="9"/>
  <c r="JN53" i="9"/>
  <c r="JU58" i="9"/>
  <c r="CU53" i="9"/>
  <c r="IY57" i="9"/>
  <c r="DH61" i="9"/>
  <c r="DZ54" i="9"/>
  <c r="IE53" i="9"/>
  <c r="JT58" i="9"/>
  <c r="JJ57" i="9"/>
  <c r="IX57" i="9"/>
  <c r="FI54" i="9"/>
  <c r="DX61" i="9"/>
  <c r="JP53" i="9"/>
  <c r="CN55" i="9"/>
  <c r="JI58" i="9"/>
  <c r="IR53" i="9"/>
  <c r="HT53" i="9"/>
  <c r="BV55" i="9"/>
  <c r="JG54" i="9"/>
  <c r="JS54" i="9"/>
  <c r="IX53" i="9"/>
  <c r="HO54" i="9"/>
  <c r="JE54" i="9"/>
  <c r="DR54" i="9"/>
  <c r="GI54" i="9"/>
  <c r="DL61" i="9"/>
  <c r="JB57" i="9"/>
  <c r="DM54" i="9"/>
  <c r="DD54" i="9"/>
  <c r="HS56" i="9"/>
  <c r="IP56" i="9"/>
  <c r="JA54" i="9"/>
  <c r="JK58" i="9"/>
  <c r="CU55" i="9"/>
  <c r="IF53" i="9"/>
  <c r="DB54" i="9"/>
  <c r="GT54" i="9"/>
  <c r="IX54" i="9"/>
  <c r="IN54" i="9"/>
  <c r="JR54" i="9"/>
  <c r="JO57" i="9"/>
  <c r="JJ58" i="9"/>
  <c r="EA61" i="9"/>
  <c r="DL54" i="9"/>
  <c r="CF53" i="9"/>
  <c r="II56" i="9"/>
  <c r="FL54" i="9"/>
  <c r="HM54" i="9"/>
  <c r="JB53" i="9"/>
  <c r="DW54" i="9"/>
  <c r="GY54" i="9"/>
  <c r="JM57" i="9"/>
  <c r="IQ53" i="9"/>
  <c r="JI54" i="9"/>
  <c r="HU53" i="9"/>
  <c r="JX54" i="9"/>
  <c r="JX53" i="9"/>
  <c r="IL53" i="9"/>
  <c r="FO54" i="9"/>
  <c r="JG58" i="9"/>
  <c r="IP53" i="9"/>
  <c r="DZ61" i="9"/>
  <c r="JY57" i="9"/>
  <c r="JZ53" i="9"/>
  <c r="CW55" i="9"/>
  <c r="IA53" i="9"/>
  <c r="JL57" i="9"/>
  <c r="DC54" i="9"/>
  <c r="JV53" i="9"/>
  <c r="CE53" i="9"/>
  <c r="FS54" i="9"/>
  <c r="FH54" i="9"/>
  <c r="FQ54" i="9"/>
  <c r="HE54" i="9"/>
  <c r="IJ56" i="9"/>
  <c r="GQ54" i="9"/>
  <c r="DA61" i="9"/>
  <c r="JY54" i="9"/>
  <c r="JS58" i="9"/>
  <c r="IB53" i="9"/>
  <c r="FW54" i="9"/>
  <c r="DT54" i="9"/>
  <c r="HF54" i="9"/>
  <c r="DA54" i="9"/>
  <c r="BX53" i="9"/>
  <c r="DN54" i="9"/>
  <c r="IB54" i="9"/>
  <c r="GW54" i="9"/>
  <c r="DJ54" i="9"/>
  <c r="FN54" i="9"/>
  <c r="CY54" i="9"/>
  <c r="GU54" i="9"/>
  <c r="JH54" i="9"/>
  <c r="HC54" i="9"/>
  <c r="HL54" i="9"/>
  <c r="JF57" i="9"/>
  <c r="CV53" i="9"/>
  <c r="IU54" i="9"/>
  <c r="CZ61" i="9"/>
  <c r="IY58" i="9"/>
  <c r="JL54" i="9"/>
  <c r="CC53" i="9"/>
  <c r="IU56" i="9"/>
  <c r="JP58" i="9"/>
  <c r="IT53" i="9"/>
  <c r="JW54" i="9"/>
  <c r="JO53" i="9"/>
  <c r="CV55" i="9"/>
  <c r="CK55" i="9"/>
  <c r="IZ58" i="9"/>
  <c r="JS53" i="9"/>
  <c r="IL56" i="9"/>
  <c r="DU54" i="9"/>
  <c r="CC55" i="9"/>
  <c r="CR53" i="9"/>
  <c r="IY54" i="9"/>
  <c r="IR54" i="9"/>
  <c r="CM55" i="9"/>
  <c r="IJ54" i="9"/>
  <c r="JU57" i="9"/>
  <c r="HX56" i="9"/>
  <c r="IH56" i="9"/>
  <c r="HG54" i="9"/>
  <c r="IE54" i="9"/>
  <c r="JY58" i="9"/>
  <c r="JD53" i="9"/>
  <c r="IS54" i="9"/>
  <c r="HK54" i="9"/>
  <c r="JX57" i="9"/>
  <c r="JO58" i="9"/>
  <c r="JV57" i="9"/>
  <c r="GR54" i="9"/>
  <c r="CI53" i="9"/>
  <c r="IS56" i="9"/>
  <c r="DS61" i="9"/>
  <c r="DX54" i="9"/>
  <c r="JK53" i="9"/>
  <c r="CP55" i="9"/>
  <c r="BY53" i="9"/>
  <c r="FY54" i="9"/>
  <c r="IG54" i="9"/>
  <c r="JP57" i="9"/>
  <c r="CS53" i="9"/>
  <c r="JZ58" i="9"/>
  <c r="IN56" i="9"/>
  <c r="BV53" i="9"/>
  <c r="G61" i="9"/>
  <c r="CO53" i="9"/>
  <c r="HZ56" i="9"/>
  <c r="CW53" i="9"/>
  <c r="IL54" i="9"/>
  <c r="JN58" i="9"/>
  <c r="IQ54" i="9"/>
  <c r="IN53" i="9"/>
  <c r="JQ54" i="9"/>
  <c r="JR58" i="9"/>
  <c r="DF61" i="9"/>
  <c r="GL54" i="9"/>
  <c r="IZ53" i="9"/>
  <c r="IK54" i="9"/>
  <c r="IZ54" i="9"/>
  <c r="FV54" i="9"/>
  <c r="DY61" i="9"/>
  <c r="IM54" i="9"/>
  <c r="IC56" i="9"/>
  <c r="DP54" i="9"/>
  <c r="DP61" i="9"/>
  <c r="JU54" i="9"/>
  <c r="JA53" i="9"/>
  <c r="JM58" i="9"/>
  <c r="JL58" i="9"/>
  <c r="JW53" i="9"/>
  <c r="GZ54" i="9"/>
  <c r="HU56" i="9"/>
  <c r="DQ61" i="9"/>
  <c r="GM54" i="9"/>
  <c r="HT54" i="9"/>
  <c r="GH54" i="9"/>
  <c r="HX54" i="9"/>
  <c r="JH58" i="9"/>
  <c r="DV54" i="9"/>
  <c r="CH53" i="9"/>
  <c r="CJ55" i="9"/>
  <c r="HX53" i="9"/>
  <c r="JD57" i="9"/>
  <c r="EA54" i="9"/>
  <c r="CG53" i="9"/>
  <c r="CZ54" i="9"/>
  <c r="JH57" i="9"/>
  <c r="IH54" i="9"/>
  <c r="HH54" i="9"/>
  <c r="GC54" i="9"/>
  <c r="JR53" i="9"/>
  <c r="HO57" i="9"/>
  <c r="JQ57" i="9"/>
  <c r="GA54" i="9"/>
  <c r="DK61" i="9"/>
  <c r="FR54" i="9"/>
  <c r="DN61" i="9"/>
  <c r="CN53" i="9"/>
  <c r="CB53" i="9"/>
  <c r="CA55" i="9"/>
  <c r="HZ53" i="9"/>
  <c r="JI53" i="9"/>
  <c r="CI55" i="9"/>
  <c r="FG54" i="9"/>
  <c r="DO61" i="9"/>
  <c r="JT57" i="9"/>
  <c r="CL55" i="9"/>
  <c r="JC58" i="9"/>
  <c r="DI61" i="9"/>
  <c r="JD58" i="9"/>
  <c r="IA54" i="9"/>
  <c r="JB58" i="9"/>
  <c r="JO54" i="9"/>
  <c r="GK54" i="9"/>
  <c r="FU54" i="9"/>
  <c r="IH53" i="9"/>
  <c r="IM53" i="9"/>
  <c r="JY53" i="9"/>
  <c r="JB54" i="9"/>
  <c r="HS53" i="9"/>
  <c r="JZ54" i="9"/>
  <c r="HY54" i="9"/>
  <c r="CE55" i="9"/>
  <c r="JH53" i="9"/>
  <c r="HW56" i="9"/>
  <c r="DG54" i="9"/>
  <c r="GG54" i="9"/>
  <c r="CT53" i="9"/>
  <c r="FM54" i="9"/>
  <c r="JF54" i="9"/>
  <c r="CD53" i="9"/>
  <c r="IB56" i="9"/>
  <c r="IA56" i="9"/>
  <c r="ID53" i="9"/>
  <c r="CF55" i="9"/>
  <c r="DR61" i="9"/>
  <c r="GS54" i="9"/>
  <c r="JT54" i="9"/>
  <c r="IZ57" i="9"/>
  <c r="JD54" i="9"/>
  <c r="HI54" i="9"/>
  <c r="G62" i="9"/>
  <c r="FX54" i="9"/>
  <c r="DQ54" i="9"/>
  <c r="BY55" i="9"/>
  <c r="IK56" i="9"/>
  <c r="DY54" i="9"/>
  <c r="DF54" i="9"/>
  <c r="IO54" i="9"/>
  <c r="HZ54" i="9"/>
  <c r="GF54" i="9"/>
  <c r="IQ56" i="9"/>
  <c r="JL53" i="9"/>
  <c r="JR57" i="9"/>
  <c r="JE57" i="9"/>
  <c r="HJ54" i="9"/>
  <c r="JG57" i="9"/>
  <c r="IP54" i="9"/>
  <c r="JV54" i="9"/>
  <c r="BU53" i="9"/>
  <c r="DJ61" i="9"/>
  <c r="BZ53" i="9"/>
  <c r="DD61" i="9"/>
  <c r="JK54" i="9"/>
  <c r="JM53" i="9"/>
  <c r="IO56" i="9"/>
  <c r="DV61" i="9"/>
  <c r="CO55" i="9"/>
  <c r="BW55" i="9"/>
  <c r="II53" i="9"/>
  <c r="JQ53" i="9"/>
  <c r="HV53" i="9"/>
  <c r="GV54" i="9"/>
  <c r="IC53" i="9"/>
  <c r="JQ58" i="9"/>
  <c r="BW53" i="9"/>
  <c r="II54" i="9"/>
  <c r="CI56" i="9" l="1"/>
  <c r="BK54" i="9"/>
  <c r="BK56" i="9"/>
  <c r="BJ56" i="9"/>
  <c r="BK60" i="9"/>
  <c r="BK53" i="9"/>
  <c r="BJ59" i="9"/>
  <c r="BK57" i="9"/>
  <c r="BK58" i="9"/>
  <c r="CV54" i="9"/>
  <c r="BJ60" i="9"/>
  <c r="BK55" i="9"/>
  <c r="GK55" i="9"/>
  <c r="I59" i="9" s="1"/>
  <c r="JP56" i="9"/>
  <c r="AR62" i="9" s="1"/>
  <c r="JP55" i="9"/>
  <c r="AS62" i="9" s="1"/>
  <c r="IT58" i="9"/>
  <c r="BJ53" i="9" s="1"/>
  <c r="AX60" i="9"/>
  <c r="AY53" i="9"/>
  <c r="AY56" i="9"/>
  <c r="AY57" i="9"/>
  <c r="AY60" i="9"/>
  <c r="AY55" i="9"/>
  <c r="AX56" i="9"/>
  <c r="CP54" i="9"/>
  <c r="AX59" i="9"/>
  <c r="AY54" i="9"/>
  <c r="AY58" i="9"/>
  <c r="JT60" i="9"/>
  <c r="AZ61" i="9" s="1"/>
  <c r="JT59" i="9"/>
  <c r="BA61" i="9" s="1"/>
  <c r="JG56" i="9"/>
  <c r="Z62" i="9" s="1"/>
  <c r="JG55" i="9"/>
  <c r="AA62" i="9" s="1"/>
  <c r="HB55" i="9"/>
  <c r="AQ59" i="9" s="1"/>
  <c r="IE58" i="9"/>
  <c r="AF53" i="9" s="1"/>
  <c r="AI55" i="9"/>
  <c r="AH60" i="9"/>
  <c r="AI53" i="9"/>
  <c r="CH54" i="9"/>
  <c r="AH56" i="9"/>
  <c r="AI56" i="9"/>
  <c r="AI58" i="9"/>
  <c r="AI54" i="9"/>
  <c r="AH59" i="9"/>
  <c r="AI60" i="9"/>
  <c r="AI57" i="9"/>
  <c r="JI59" i="9"/>
  <c r="AE61" i="9" s="1"/>
  <c r="JI60" i="9"/>
  <c r="AD61" i="9" s="1"/>
  <c r="CH56" i="9"/>
  <c r="JQ59" i="9"/>
  <c r="AU61" i="9" s="1"/>
  <c r="JQ60" i="9"/>
  <c r="AT61" i="9" s="1"/>
  <c r="H59" i="9"/>
  <c r="H58" i="9"/>
  <c r="I60" i="9"/>
  <c r="I57" i="9"/>
  <c r="H55" i="9"/>
  <c r="I55" i="9"/>
  <c r="I56" i="9"/>
  <c r="H53" i="9"/>
  <c r="H57" i="9"/>
  <c r="BU54" i="9"/>
  <c r="I53" i="9"/>
  <c r="I54" i="9"/>
  <c r="I58" i="9"/>
  <c r="H56" i="9"/>
  <c r="H54" i="9"/>
  <c r="HH55" i="9"/>
  <c r="BC59" i="9" s="1"/>
  <c r="HX55" i="9"/>
  <c r="R54" i="9" s="1"/>
  <c r="AU58" i="9"/>
  <c r="AU57" i="9"/>
  <c r="AT60" i="9"/>
  <c r="AT56" i="9"/>
  <c r="AU56" i="9"/>
  <c r="AU53" i="9"/>
  <c r="AU55" i="9"/>
  <c r="AT59" i="9"/>
  <c r="AU54" i="9"/>
  <c r="CN54" i="9"/>
  <c r="AU60" i="9"/>
  <c r="JI55" i="9"/>
  <c r="AE62" i="9" s="1"/>
  <c r="JI56" i="9"/>
  <c r="AD62" i="9" s="1"/>
  <c r="IP58" i="9"/>
  <c r="BB53" i="9" s="1"/>
  <c r="JZ60" i="9"/>
  <c r="BL61" i="9" s="1"/>
  <c r="JZ59" i="9"/>
  <c r="BM61" i="9" s="1"/>
  <c r="IG55" i="9"/>
  <c r="AJ54" i="9" s="1"/>
  <c r="HD55" i="9"/>
  <c r="AU59" i="9" s="1"/>
  <c r="JH56" i="9"/>
  <c r="AB62" i="9" s="1"/>
  <c r="JH55" i="9"/>
  <c r="AC62" i="9" s="1"/>
  <c r="IZ56" i="9"/>
  <c r="L62" i="9" s="1"/>
  <c r="IZ55" i="9"/>
  <c r="M62" i="9" s="1"/>
  <c r="CJ56" i="9"/>
  <c r="CT56" i="9"/>
  <c r="HW55" i="9"/>
  <c r="P54" i="9" s="1"/>
  <c r="IB58" i="9"/>
  <c r="Z53" i="9" s="1"/>
  <c r="II55" i="9"/>
  <c r="AN54" i="9" s="1"/>
  <c r="IY60" i="9"/>
  <c r="J61" i="9" s="1"/>
  <c r="IY59" i="9"/>
  <c r="K61" i="9" s="1"/>
  <c r="CK56" i="9"/>
  <c r="HY58" i="9"/>
  <c r="T53" i="9" s="1"/>
  <c r="GM55" i="9"/>
  <c r="M59" i="9" s="1"/>
  <c r="IO58" i="9"/>
  <c r="AZ53" i="9" s="1"/>
  <c r="HZ55" i="9"/>
  <c r="V54" i="9" s="1"/>
  <c r="IC58" i="9"/>
  <c r="AB53" i="9" s="1"/>
  <c r="IT55" i="9"/>
  <c r="BJ54" i="9" s="1"/>
  <c r="JQ56" i="9"/>
  <c r="AT62" i="9" s="1"/>
  <c r="JQ55" i="9"/>
  <c r="AU62" i="9" s="1"/>
  <c r="CV56" i="9"/>
  <c r="BW56" i="9"/>
  <c r="JU60" i="9"/>
  <c r="BB61" i="9" s="1"/>
  <c r="JU59" i="9"/>
  <c r="BC61" i="9" s="1"/>
  <c r="CG56" i="9"/>
  <c r="JX55" i="9"/>
  <c r="BI62" i="9" s="1"/>
  <c r="JX56" i="9"/>
  <c r="BH62" i="9" s="1"/>
  <c r="IA55" i="9"/>
  <c r="X54" i="9" s="1"/>
  <c r="BB60" i="9"/>
  <c r="BC56" i="9"/>
  <c r="BC57" i="9"/>
  <c r="BC58" i="9"/>
  <c r="BC55" i="9"/>
  <c r="BC60" i="9"/>
  <c r="BC53" i="9"/>
  <c r="BC54" i="9"/>
  <c r="BB59" i="9"/>
  <c r="CR54" i="9"/>
  <c r="BB56" i="9"/>
  <c r="IO55" i="9"/>
  <c r="AZ54" i="9" s="1"/>
  <c r="IQ55" i="9"/>
  <c r="BD54" i="9" s="1"/>
  <c r="HS58" i="9"/>
  <c r="HO56" i="9"/>
  <c r="HO58" i="9" s="1"/>
  <c r="HI55" i="9"/>
  <c r="BE59" i="9" s="1"/>
  <c r="BX56" i="9"/>
  <c r="BG58" i="9"/>
  <c r="BG53" i="9"/>
  <c r="BG54" i="9"/>
  <c r="BF56" i="9"/>
  <c r="BG57" i="9"/>
  <c r="BF59" i="9"/>
  <c r="BG60" i="9"/>
  <c r="BF60" i="9"/>
  <c r="BG56" i="9"/>
  <c r="CT54" i="9"/>
  <c r="BG55" i="9"/>
  <c r="GZ55" i="9"/>
  <c r="AM59" i="9" s="1"/>
  <c r="JB55" i="9"/>
  <c r="Q62" i="9" s="1"/>
  <c r="JB56" i="9"/>
  <c r="P62" i="9" s="1"/>
  <c r="GV55" i="9"/>
  <c r="AE59" i="9" s="1"/>
  <c r="IJ58" i="9"/>
  <c r="AP53" i="9" s="1"/>
  <c r="IU55" i="9"/>
  <c r="BL54" i="9" s="1"/>
  <c r="HC55" i="9"/>
  <c r="AS59" i="9" s="1"/>
  <c r="CQ56" i="9"/>
  <c r="AC54" i="9"/>
  <c r="AB56" i="9"/>
  <c r="AC58" i="9"/>
  <c r="AC53" i="9"/>
  <c r="CE54" i="9"/>
  <c r="AB60" i="9"/>
  <c r="AC57" i="9"/>
  <c r="AC55" i="9"/>
  <c r="AC60" i="9"/>
  <c r="AB59" i="9"/>
  <c r="AC56" i="9"/>
  <c r="IR58" i="9"/>
  <c r="BF53" i="9" s="1"/>
  <c r="HA55" i="9"/>
  <c r="AO59" i="9" s="1"/>
  <c r="JM55" i="9"/>
  <c r="AM62" i="9" s="1"/>
  <c r="JM56" i="9"/>
  <c r="AL62" i="9" s="1"/>
  <c r="CB56" i="9"/>
  <c r="IK55" i="9"/>
  <c r="AR54" i="9" s="1"/>
  <c r="IR55" i="9"/>
  <c r="BF54" i="9" s="1"/>
  <c r="JU56" i="9"/>
  <c r="BB62" i="9" s="1"/>
  <c r="JU55" i="9"/>
  <c r="BC62" i="9" s="1"/>
  <c r="JL55" i="9"/>
  <c r="AK62" i="9" s="1"/>
  <c r="JL56" i="9"/>
  <c r="AJ62" i="9" s="1"/>
  <c r="CW56" i="9"/>
  <c r="HZ58" i="9"/>
  <c r="V53" i="9" s="1"/>
  <c r="HJ55" i="9"/>
  <c r="BG59" i="9" s="1"/>
  <c r="JC55" i="9"/>
  <c r="S62" i="9" s="1"/>
  <c r="JC56" i="9"/>
  <c r="R62" i="9" s="1"/>
  <c r="JR56" i="9"/>
  <c r="AV62" i="9" s="1"/>
  <c r="JR55" i="9"/>
  <c r="AW62" i="9" s="1"/>
  <c r="II58" i="9"/>
  <c r="AN53" i="9" s="1"/>
  <c r="JS56" i="9"/>
  <c r="AX62" i="9" s="1"/>
  <c r="JS55" i="9"/>
  <c r="AY62" i="9" s="1"/>
  <c r="IF55" i="9"/>
  <c r="AH54" i="9" s="1"/>
  <c r="JE59" i="9"/>
  <c r="W61" i="9" s="1"/>
  <c r="JE60" i="9"/>
  <c r="V61" i="9" s="1"/>
  <c r="JR60" i="9"/>
  <c r="AV61" i="9" s="1"/>
  <c r="JR59" i="9"/>
  <c r="AW61" i="9" s="1"/>
  <c r="IX56" i="9"/>
  <c r="H62" i="9" s="1"/>
  <c r="IX55" i="9"/>
  <c r="I62" i="9" s="1"/>
  <c r="JG60" i="9"/>
  <c r="Z61" i="9" s="1"/>
  <c r="JG59" i="9"/>
  <c r="AA61" i="9" s="1"/>
  <c r="IS58" i="9"/>
  <c r="BH53" i="9" s="1"/>
  <c r="JD55" i="9"/>
  <c r="U62" i="9" s="1"/>
  <c r="JD56" i="9"/>
  <c r="T62" i="9" s="1"/>
  <c r="IL58" i="9"/>
  <c r="AT53" i="9" s="1"/>
  <c r="CL56" i="9"/>
  <c r="CM56" i="9"/>
  <c r="AP60" i="9"/>
  <c r="AP56" i="9"/>
  <c r="AQ60" i="9"/>
  <c r="AQ56" i="9"/>
  <c r="AQ54" i="9"/>
  <c r="AQ53" i="9"/>
  <c r="AQ55" i="9"/>
  <c r="AQ57" i="9"/>
  <c r="AP59" i="9"/>
  <c r="AQ58" i="9"/>
  <c r="CL54" i="9"/>
  <c r="JK59" i="9"/>
  <c r="AI61" i="9" s="1"/>
  <c r="JK60" i="9"/>
  <c r="AH61" i="9" s="1"/>
  <c r="HX58" i="9"/>
  <c r="R53" i="9" s="1"/>
  <c r="IX60" i="9"/>
  <c r="H61" i="9" s="1"/>
  <c r="IX59" i="9"/>
  <c r="I61" i="9" s="1"/>
  <c r="AZ59" i="9"/>
  <c r="BA54" i="9"/>
  <c r="BA58" i="9"/>
  <c r="BA53" i="9"/>
  <c r="AZ60" i="9"/>
  <c r="CQ54" i="9"/>
  <c r="BA56" i="9"/>
  <c r="AZ56" i="9"/>
  <c r="BA55" i="9"/>
  <c r="BA57" i="9"/>
  <c r="BA60" i="9"/>
  <c r="IA58" i="9"/>
  <c r="X53" i="9" s="1"/>
  <c r="O53" i="9"/>
  <c r="BX54" i="9"/>
  <c r="O60" i="9"/>
  <c r="O57" i="9"/>
  <c r="N59" i="9"/>
  <c r="O54" i="9"/>
  <c r="O58" i="9"/>
  <c r="O55" i="9"/>
  <c r="O56" i="9"/>
  <c r="N56" i="9"/>
  <c r="N60" i="9"/>
  <c r="JA56" i="9"/>
  <c r="N62" i="9" s="1"/>
  <c r="JA55" i="9"/>
  <c r="O62" i="9" s="1"/>
  <c r="HW58" i="9"/>
  <c r="P53" i="9" s="1"/>
  <c r="IK58" i="9"/>
  <c r="AR53" i="9" s="1"/>
  <c r="CR56" i="9"/>
  <c r="HY55" i="9"/>
  <c r="T54" i="9" s="1"/>
  <c r="JO56" i="9"/>
  <c r="AP62" i="9" s="1"/>
  <c r="JO55" i="9"/>
  <c r="AQ62" i="9" s="1"/>
  <c r="CA56" i="9"/>
  <c r="GQ55" i="9"/>
  <c r="U59" i="9" s="1"/>
  <c r="IE55" i="9"/>
  <c r="AF54" i="9" s="1"/>
  <c r="CD56" i="9"/>
  <c r="JK55" i="9"/>
  <c r="AI62" i="9" s="1"/>
  <c r="JK56" i="9"/>
  <c r="AH62" i="9" s="1"/>
  <c r="AN56" i="9"/>
  <c r="AO54" i="9"/>
  <c r="AO60" i="9"/>
  <c r="AO56" i="9"/>
  <c r="AN59" i="9"/>
  <c r="CK54" i="9"/>
  <c r="AO53" i="9"/>
  <c r="AO57" i="9"/>
  <c r="AO55" i="9"/>
  <c r="AO58" i="9"/>
  <c r="AN60" i="9"/>
  <c r="IU58" i="9"/>
  <c r="BL53" i="9" s="1"/>
  <c r="JF55" i="9"/>
  <c r="Y62" i="9" s="1"/>
  <c r="JF56" i="9"/>
  <c r="X62" i="9" s="1"/>
  <c r="JC59" i="9"/>
  <c r="S61" i="9" s="1"/>
  <c r="JC60" i="9"/>
  <c r="R61" i="9" s="1"/>
  <c r="IZ59" i="9"/>
  <c r="M61" i="9" s="1"/>
  <c r="IZ60" i="9"/>
  <c r="L61" i="9" s="1"/>
  <c r="AG53" i="9"/>
  <c r="CG54" i="9"/>
  <c r="AG58" i="9"/>
  <c r="AG57" i="9"/>
  <c r="AG56" i="9"/>
  <c r="AG60" i="9"/>
  <c r="AG54" i="9"/>
  <c r="AG55" i="9"/>
  <c r="AF59" i="9"/>
  <c r="AF56" i="9"/>
  <c r="AF60" i="9"/>
  <c r="CS56" i="9"/>
  <c r="HF55" i="9"/>
  <c r="AY59" i="9" s="1"/>
  <c r="JD59" i="9"/>
  <c r="U61" i="9" s="1"/>
  <c r="JD60" i="9"/>
  <c r="T61" i="9" s="1"/>
  <c r="IF58" i="9"/>
  <c r="AH53" i="9" s="1"/>
  <c r="ID58" i="9"/>
  <c r="AD53" i="9" s="1"/>
  <c r="IM58" i="9"/>
  <c r="AV53" i="9" s="1"/>
  <c r="GX55" i="9"/>
  <c r="AI59" i="9" s="1"/>
  <c r="ID55" i="9"/>
  <c r="AD54" i="9" s="1"/>
  <c r="GT55" i="9"/>
  <c r="AA59" i="9" s="1"/>
  <c r="U55" i="9"/>
  <c r="U60" i="9"/>
  <c r="U53" i="9"/>
  <c r="U56" i="9"/>
  <c r="U54" i="9"/>
  <c r="T56" i="9"/>
  <c r="U58" i="9"/>
  <c r="T60" i="9"/>
  <c r="T59" i="9"/>
  <c r="CA54" i="9"/>
  <c r="U57" i="9"/>
  <c r="IC55" i="9"/>
  <c r="AB54" i="9" s="1"/>
  <c r="JX60" i="9"/>
  <c r="BH61" i="9" s="1"/>
  <c r="JX59" i="9"/>
  <c r="BI61" i="9" s="1"/>
  <c r="CC56" i="9"/>
  <c r="K53" i="9"/>
  <c r="K60" i="9"/>
  <c r="K58" i="9"/>
  <c r="K57" i="9"/>
  <c r="J59" i="9"/>
  <c r="BV54" i="9"/>
  <c r="K55" i="9"/>
  <c r="J60" i="9"/>
  <c r="K54" i="9"/>
  <c r="J56" i="9"/>
  <c r="K56" i="9"/>
  <c r="HU55" i="9"/>
  <c r="L54" i="9" s="1"/>
  <c r="HG55" i="9"/>
  <c r="BA59" i="9" s="1"/>
  <c r="JA60" i="9"/>
  <c r="N61" i="9" s="1"/>
  <c r="JA59" i="9"/>
  <c r="O61" i="9" s="1"/>
  <c r="IY55" i="9"/>
  <c r="K62" i="9" s="1"/>
  <c r="IY56" i="9"/>
  <c r="J62" i="9" s="1"/>
  <c r="JS59" i="9"/>
  <c r="AY61" i="9" s="1"/>
  <c r="JS60" i="9"/>
  <c r="AX61" i="9" s="1"/>
  <c r="JE55" i="9"/>
  <c r="W62" i="9" s="1"/>
  <c r="JE56" i="9"/>
  <c r="V62" i="9" s="1"/>
  <c r="JB59" i="9"/>
  <c r="Q61" i="9" s="1"/>
  <c r="JB60" i="9"/>
  <c r="P61" i="9" s="1"/>
  <c r="BV56" i="9"/>
  <c r="JF60" i="9"/>
  <c r="X61" i="9" s="1"/>
  <c r="JF59" i="9"/>
  <c r="Y61" i="9" s="1"/>
  <c r="GU55" i="9"/>
  <c r="AC59" i="9" s="1"/>
  <c r="HV58" i="9"/>
  <c r="N53" i="9" s="1"/>
  <c r="Q55" i="9"/>
  <c r="Q53" i="9"/>
  <c r="P59" i="9"/>
  <c r="Q58" i="9"/>
  <c r="P56" i="9"/>
  <c r="BY54" i="9"/>
  <c r="Q60" i="9"/>
  <c r="P60" i="9"/>
  <c r="Q56" i="9"/>
  <c r="Q54" i="9"/>
  <c r="Q57" i="9"/>
  <c r="JP59" i="9"/>
  <c r="AS61" i="9" s="1"/>
  <c r="JP60" i="9"/>
  <c r="AR61" i="9" s="1"/>
  <c r="CI54" i="9"/>
  <c r="AK54" i="9"/>
  <c r="AK57" i="9"/>
  <c r="AJ59" i="9"/>
  <c r="AK53" i="9"/>
  <c r="AJ60" i="9"/>
  <c r="AK56" i="9"/>
  <c r="AJ56" i="9"/>
  <c r="AK60" i="9"/>
  <c r="AK55" i="9"/>
  <c r="AK58" i="9"/>
  <c r="CN56" i="9"/>
  <c r="IH55" i="9"/>
  <c r="AL54" i="9" s="1"/>
  <c r="GP55" i="9"/>
  <c r="S59" i="9" s="1"/>
  <c r="BI56" i="9"/>
  <c r="BH56" i="9"/>
  <c r="BH60" i="9"/>
  <c r="BI60" i="9"/>
  <c r="BI53" i="9"/>
  <c r="BI58" i="9"/>
  <c r="BH59" i="9"/>
  <c r="BI54" i="9"/>
  <c r="BI57" i="9"/>
  <c r="CU54" i="9"/>
  <c r="BI55" i="9"/>
  <c r="BY56" i="9"/>
  <c r="JJ56" i="9"/>
  <c r="AF62" i="9" s="1"/>
  <c r="JJ55" i="9"/>
  <c r="AG62" i="9" s="1"/>
  <c r="JO60" i="9"/>
  <c r="AP61" i="9" s="1"/>
  <c r="JO59" i="9"/>
  <c r="AQ61" i="9" s="1"/>
  <c r="X60" i="9"/>
  <c r="Y53" i="9"/>
  <c r="Y54" i="9"/>
  <c r="Y56" i="9"/>
  <c r="Y55" i="9"/>
  <c r="CC54" i="9"/>
  <c r="X56" i="9"/>
  <c r="Y58" i="9"/>
  <c r="X59" i="9"/>
  <c r="Y60" i="9"/>
  <c r="Y57" i="9"/>
  <c r="AW60" i="9"/>
  <c r="CO54" i="9"/>
  <c r="AV60" i="9"/>
  <c r="AW54" i="9"/>
  <c r="AV59" i="9"/>
  <c r="AV56" i="9"/>
  <c r="AW53" i="9"/>
  <c r="AW55" i="9"/>
  <c r="AW57" i="9"/>
  <c r="AW56" i="9"/>
  <c r="AW58" i="9"/>
  <c r="GW55" i="9"/>
  <c r="AG59" i="9" s="1"/>
  <c r="GL55" i="9"/>
  <c r="K59" i="9" s="1"/>
  <c r="JY56" i="9"/>
  <c r="BJ62" i="9" s="1"/>
  <c r="JY55" i="9"/>
  <c r="BK62" i="9" s="1"/>
  <c r="BE54" i="9"/>
  <c r="BD56" i="9"/>
  <c r="BD59" i="9"/>
  <c r="BE56" i="9"/>
  <c r="BE53" i="9"/>
  <c r="BE60" i="9"/>
  <c r="BE57" i="9"/>
  <c r="BE58" i="9"/>
  <c r="CS54" i="9"/>
  <c r="BE55" i="9"/>
  <c r="BD60" i="9"/>
  <c r="BU56" i="9"/>
  <c r="IN58" i="9"/>
  <c r="AX53" i="9" s="1"/>
  <c r="CU56" i="9"/>
  <c r="HT58" i="9"/>
  <c r="J53" i="9" s="1"/>
  <c r="IB55" i="9"/>
  <c r="Z54" i="9" s="1"/>
  <c r="JW56" i="9"/>
  <c r="BF62" i="9" s="1"/>
  <c r="JW55" i="9"/>
  <c r="BG62" i="9" s="1"/>
  <c r="CE56" i="9"/>
  <c r="HT55" i="9"/>
  <c r="J54" i="9" s="1"/>
  <c r="JV59" i="9"/>
  <c r="BE61" i="9" s="1"/>
  <c r="JV60" i="9"/>
  <c r="BD61" i="9" s="1"/>
  <c r="AE57" i="9"/>
  <c r="CF54" i="9"/>
  <c r="AE58" i="9"/>
  <c r="AE55" i="9"/>
  <c r="AD59" i="9"/>
  <c r="AE53" i="9"/>
  <c r="AE56" i="9"/>
  <c r="AE54" i="9"/>
  <c r="AD60" i="9"/>
  <c r="AE60" i="9"/>
  <c r="AD56" i="9"/>
  <c r="HU58" i="9"/>
  <c r="L53" i="9" s="1"/>
  <c r="BZ56" i="9"/>
  <c r="GS55" i="9"/>
  <c r="Y59" i="9" s="1"/>
  <c r="IJ55" i="9"/>
  <c r="AP54" i="9" s="1"/>
  <c r="JY59" i="9"/>
  <c r="BK61" i="9" s="1"/>
  <c r="JY60" i="9"/>
  <c r="BJ61" i="9" s="1"/>
  <c r="JV55" i="9"/>
  <c r="BE62" i="9" s="1"/>
  <c r="JV56" i="9"/>
  <c r="BD62" i="9" s="1"/>
  <c r="GY55" i="9"/>
  <c r="AK59" i="9" s="1"/>
  <c r="Z60" i="9"/>
  <c r="AA56" i="9"/>
  <c r="Z59" i="9"/>
  <c r="AA57" i="9"/>
  <c r="AA58" i="9"/>
  <c r="AA55" i="9"/>
  <c r="AA53" i="9"/>
  <c r="CD54" i="9"/>
  <c r="Z56" i="9"/>
  <c r="AA54" i="9"/>
  <c r="AA60" i="9"/>
  <c r="R59" i="9"/>
  <c r="S56" i="9"/>
  <c r="BZ54" i="9"/>
  <c r="R56" i="9"/>
  <c r="S57" i="9"/>
  <c r="S54" i="9"/>
  <c r="R60" i="9"/>
  <c r="S60" i="9"/>
  <c r="S55" i="9"/>
  <c r="S53" i="9"/>
  <c r="S58" i="9"/>
  <c r="IN55" i="9"/>
  <c r="AX54" i="9" s="1"/>
  <c r="IG58" i="9"/>
  <c r="AJ53" i="9" s="1"/>
  <c r="CP56" i="9"/>
  <c r="IH58" i="9"/>
  <c r="AL53" i="9" s="1"/>
  <c r="JL60" i="9"/>
  <c r="AJ61" i="9" s="1"/>
  <c r="JL59" i="9"/>
  <c r="AK61" i="9" s="1"/>
  <c r="HK55" i="9"/>
  <c r="BI59" i="9" s="1"/>
  <c r="JZ55" i="9"/>
  <c r="BM62" i="9" s="1"/>
  <c r="JZ56" i="9"/>
  <c r="BL62" i="9" s="1"/>
  <c r="JM60" i="9"/>
  <c r="AL61" i="9" s="1"/>
  <c r="JM59" i="9"/>
  <c r="AM61" i="9" s="1"/>
  <c r="GR55" i="9"/>
  <c r="W59" i="9" s="1"/>
  <c r="CW54" i="9"/>
  <c r="BM58" i="9"/>
  <c r="BM55" i="9"/>
  <c r="BM54" i="9"/>
  <c r="BM57" i="9"/>
  <c r="BM56" i="9"/>
  <c r="BL56" i="9"/>
  <c r="BM60" i="9"/>
  <c r="BL59" i="9"/>
  <c r="BM53" i="9"/>
  <c r="BL60" i="9"/>
  <c r="HE55" i="9"/>
  <c r="AW59" i="9" s="1"/>
  <c r="HL55" i="9"/>
  <c r="BK59" i="9" s="1"/>
  <c r="IS55" i="9"/>
  <c r="BH54" i="9" s="1"/>
  <c r="IM55" i="9"/>
  <c r="AV54" i="9" s="1"/>
  <c r="JN59" i="9"/>
  <c r="AO61" i="9" s="1"/>
  <c r="JN60" i="9"/>
  <c r="AN61" i="9" s="1"/>
  <c r="JJ59" i="9"/>
  <c r="AG61" i="9" s="1"/>
  <c r="JJ60" i="9"/>
  <c r="AF61" i="9" s="1"/>
  <c r="GN55" i="9"/>
  <c r="O59" i="9" s="1"/>
  <c r="JH60" i="9"/>
  <c r="AB61" i="9" s="1"/>
  <c r="JH59" i="9"/>
  <c r="AC61" i="9" s="1"/>
  <c r="AS54" i="9"/>
  <c r="AS53" i="9"/>
  <c r="CM54" i="9"/>
  <c r="AS57" i="9"/>
  <c r="AS56" i="9"/>
  <c r="AR59" i="9"/>
  <c r="AS60" i="9"/>
  <c r="AR56" i="9"/>
  <c r="AS58" i="9"/>
  <c r="AS55" i="9"/>
  <c r="AR60" i="9"/>
  <c r="IP55" i="9"/>
  <c r="BB54" i="9" s="1"/>
  <c r="CO56" i="9"/>
  <c r="AM54" i="9"/>
  <c r="AM60" i="9"/>
  <c r="AL60" i="9"/>
  <c r="AM58" i="9"/>
  <c r="AM55" i="9"/>
  <c r="AL59" i="9"/>
  <c r="CJ54" i="9"/>
  <c r="AM57" i="9"/>
  <c r="AM53" i="9"/>
  <c r="AM56" i="9"/>
  <c r="AL56" i="9"/>
  <c r="JN56" i="9"/>
  <c r="AN62" i="9" s="1"/>
  <c r="JN55" i="9"/>
  <c r="AO62" i="9" s="1"/>
  <c r="M60" i="9"/>
  <c r="BW54" i="9"/>
  <c r="M58" i="9"/>
  <c r="L60" i="9"/>
  <c r="M57" i="9"/>
  <c r="L56" i="9"/>
  <c r="M54" i="9"/>
  <c r="M53" i="9"/>
  <c r="M56" i="9"/>
  <c r="M55" i="9"/>
  <c r="L59" i="9"/>
  <c r="JW59" i="9"/>
  <c r="BG61" i="9" s="1"/>
  <c r="JW60" i="9"/>
  <c r="BF61" i="9" s="1"/>
  <c r="GO55" i="9"/>
  <c r="Q59" i="9" s="1"/>
  <c r="HO53" i="9"/>
  <c r="HO55" i="9" s="1"/>
  <c r="HS55" i="9"/>
  <c r="CF56" i="9"/>
  <c r="W55" i="9"/>
  <c r="W60" i="9"/>
  <c r="CB54" i="9"/>
  <c r="V59" i="9"/>
  <c r="V56" i="9"/>
  <c r="W56" i="9"/>
  <c r="W57" i="9"/>
  <c r="W53" i="9"/>
  <c r="V60" i="9"/>
  <c r="W54" i="9"/>
  <c r="W58" i="9"/>
  <c r="JT56" i="9"/>
  <c r="AZ62" i="9" s="1"/>
  <c r="JT55" i="9"/>
  <c r="BA62" i="9" s="1"/>
  <c r="IL55" i="9"/>
  <c r="AT54" i="9" s="1"/>
  <c r="HV55" i="9"/>
  <c r="N54" i="9" s="1"/>
  <c r="HM55" i="9"/>
  <c r="BM59" i="9" s="1"/>
  <c r="IQ58" i="9"/>
  <c r="BD53" i="9" s="1"/>
  <c r="LF60" i="9" l="1"/>
  <c r="LF74" i="9"/>
  <c r="BL58" i="9" s="1"/>
  <c r="LF67" i="9"/>
  <c r="BL55" i="9" s="1"/>
  <c r="LB74" i="9"/>
  <c r="BD58" i="9" s="1"/>
  <c r="LB67" i="9"/>
  <c r="BD55" i="9" s="1"/>
  <c r="LB60" i="9"/>
  <c r="KR60" i="9"/>
  <c r="KR74" i="9"/>
  <c r="AJ58" i="9" s="1"/>
  <c r="KR67" i="9"/>
  <c r="AJ55" i="9" s="1"/>
  <c r="KW67" i="9"/>
  <c r="AT55" i="9" s="1"/>
  <c r="KW60" i="9"/>
  <c r="KW74" i="9"/>
  <c r="AT58" i="9" s="1"/>
  <c r="KY67" i="9"/>
  <c r="AX55" i="9" s="1"/>
  <c r="KY74" i="9"/>
  <c r="AX58" i="9" s="1"/>
  <c r="KY60" i="9"/>
  <c r="KK67" i="9"/>
  <c r="V55" i="9" s="1"/>
  <c r="KK74" i="9"/>
  <c r="V58" i="9" s="1"/>
  <c r="KK60" i="9"/>
  <c r="KI67" i="9"/>
  <c r="R55" i="9" s="1"/>
  <c r="KI74" i="9"/>
  <c r="R58" i="9" s="1"/>
  <c r="KI60" i="9"/>
  <c r="KO60" i="9"/>
  <c r="KO67" i="9"/>
  <c r="AD55" i="9" s="1"/>
  <c r="KO74" i="9"/>
  <c r="AD58" i="9" s="1"/>
  <c r="KL60" i="9"/>
  <c r="KL67" i="9"/>
  <c r="X55" i="9" s="1"/>
  <c r="KL74" i="9"/>
  <c r="X58" i="9" s="1"/>
  <c r="LD74" i="9"/>
  <c r="BH58" i="9" s="1"/>
  <c r="LD60" i="9"/>
  <c r="LD67" i="9"/>
  <c r="BH55" i="9" s="1"/>
  <c r="LC67" i="9"/>
  <c r="BF55" i="9" s="1"/>
  <c r="LC60" i="9"/>
  <c r="LC74" i="9"/>
  <c r="BF58" i="9" s="1"/>
  <c r="KD67" i="9"/>
  <c r="KD60" i="9"/>
  <c r="H60" i="9" s="1"/>
  <c r="KD74" i="9"/>
  <c r="KV67" i="9"/>
  <c r="AR55" i="9" s="1"/>
  <c r="KV60" i="9"/>
  <c r="KV74" i="9"/>
  <c r="AR58" i="9" s="1"/>
  <c r="KH67" i="9"/>
  <c r="P55" i="9" s="1"/>
  <c r="KH74" i="9"/>
  <c r="P58" i="9" s="1"/>
  <c r="KH60" i="9"/>
  <c r="KX60" i="9"/>
  <c r="KX74" i="9"/>
  <c r="AV58" i="9" s="1"/>
  <c r="KX67" i="9"/>
  <c r="AV55" i="9" s="1"/>
  <c r="KT74" i="9"/>
  <c r="AN58" i="9" s="1"/>
  <c r="KT60" i="9"/>
  <c r="KT67" i="9"/>
  <c r="AN55" i="9" s="1"/>
  <c r="KU60" i="9"/>
  <c r="KU67" i="9"/>
  <c r="AP55" i="9" s="1"/>
  <c r="KU74" i="9"/>
  <c r="AP58" i="9" s="1"/>
  <c r="LA60" i="9"/>
  <c r="LA74" i="9"/>
  <c r="BB58" i="9" s="1"/>
  <c r="LA67" i="9"/>
  <c r="BB55" i="9" s="1"/>
  <c r="LE60" i="9"/>
  <c r="LE74" i="9"/>
  <c r="BJ58" i="9" s="1"/>
  <c r="LE67" i="9"/>
  <c r="BJ55" i="9" s="1"/>
  <c r="KE60" i="9"/>
  <c r="KE67" i="9"/>
  <c r="J55" i="9" s="1"/>
  <c r="KE74" i="9"/>
  <c r="J58" i="9" s="1"/>
  <c r="KP60" i="9"/>
  <c r="KP67" i="9"/>
  <c r="AF55" i="9" s="1"/>
  <c r="KP74" i="9"/>
  <c r="AF58" i="9" s="1"/>
  <c r="KF60" i="9"/>
  <c r="KF67" i="9"/>
  <c r="L55" i="9" s="1"/>
  <c r="KF74" i="9"/>
  <c r="L58" i="9" s="1"/>
  <c r="KS67" i="9"/>
  <c r="AL55" i="9" s="1"/>
  <c r="KS74" i="9"/>
  <c r="AL58" i="9" s="1"/>
  <c r="KS60" i="9"/>
  <c r="KM60" i="9"/>
  <c r="KM74" i="9"/>
  <c r="Z58" i="9" s="1"/>
  <c r="KM67" i="9"/>
  <c r="Z55" i="9" s="1"/>
  <c r="KJ67" i="9"/>
  <c r="T55" i="9" s="1"/>
  <c r="KJ60" i="9"/>
  <c r="KJ74" i="9"/>
  <c r="T58" i="9" s="1"/>
  <c r="KG67" i="9"/>
  <c r="N55" i="9" s="1"/>
  <c r="KG74" i="9"/>
  <c r="N58" i="9" s="1"/>
  <c r="KG60" i="9"/>
  <c r="KZ60" i="9"/>
  <c r="KZ74" i="9"/>
  <c r="AZ58" i="9" s="1"/>
  <c r="KZ67" i="9"/>
  <c r="AZ55" i="9" s="1"/>
  <c r="KN60" i="9"/>
  <c r="KN67" i="9"/>
  <c r="AB55" i="9" s="1"/>
  <c r="KN74" i="9"/>
  <c r="AB58" i="9" s="1"/>
  <c r="KQ74" i="9"/>
  <c r="AH58" i="9" s="1"/>
  <c r="KQ67" i="9"/>
  <c r="AH55" i="9" s="1"/>
  <c r="KQ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sefurjanic</author>
  </authors>
  <commentList>
    <comment ref="B16" authorId="0" shapeId="0" xr:uid="{00000000-0006-0000-0000-000001000000}">
      <text>
        <r>
          <rPr>
            <b/>
            <sz val="8"/>
            <color indexed="81"/>
            <rFont val="Tahoma"/>
            <family val="2"/>
          </rPr>
          <t>Select parameter</t>
        </r>
        <r>
          <rPr>
            <sz val="8"/>
            <color indexed="81"/>
            <rFont val="Tahoma"/>
            <family val="2"/>
          </rPr>
          <t xml:space="preserve">
</t>
        </r>
      </text>
    </comment>
    <comment ref="B18" authorId="0" shapeId="0" xr:uid="{00000000-0006-0000-0000-000002000000}">
      <text>
        <r>
          <rPr>
            <b/>
            <sz val="8"/>
            <color indexed="81"/>
            <rFont val="Tahoma"/>
            <family val="2"/>
          </rPr>
          <t>Select stage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sefurjanic</author>
  </authors>
  <commentList>
    <comment ref="H13" authorId="0" shapeId="0" xr:uid="{00000000-0006-0000-0100-000001000000}">
      <text>
        <r>
          <rPr>
            <b/>
            <sz val="8"/>
            <color indexed="81"/>
            <rFont val="Arial"/>
            <family val="2"/>
          </rPr>
          <t>Q = Qualifier - select less than (&lt;) or greater than (&gt;) from the list if applicable.</t>
        </r>
        <r>
          <rPr>
            <sz val="8"/>
            <color indexed="81"/>
            <rFont val="Tahoma"/>
            <family val="2"/>
          </rPr>
          <t xml:space="preserve">
</t>
        </r>
      </text>
    </comment>
    <comment ref="B72" authorId="0" shapeId="0" xr:uid="{00000000-0006-0000-0100-000002000000}">
      <text>
        <r>
          <rPr>
            <b/>
            <sz val="8"/>
            <color indexed="81"/>
            <rFont val="Tahoma"/>
            <family val="2"/>
          </rPr>
          <t>The maximum weekly average statistic is used for compliance (for the DMR) when there is an average weekly permit limit.  However, all weekly average results are to be examined when determining the number of exceedances ("NO EX") for entry into the eDMR system.</t>
        </r>
        <r>
          <rPr>
            <sz val="8"/>
            <color indexed="81"/>
            <rFont val="Tahoma"/>
            <family val="2"/>
          </rPr>
          <t xml:space="preserve">
</t>
        </r>
      </text>
    </comment>
  </commentList>
</comments>
</file>

<file path=xl/sharedStrings.xml><?xml version="1.0" encoding="utf-8"?>
<sst xmlns="http://schemas.openxmlformats.org/spreadsheetml/2006/main" count="1520" uniqueCount="1261">
  <si>
    <t xml:space="preserve">Max Avg Weekly (Conc.):  </t>
  </si>
  <si>
    <t xml:space="preserve">Avg Monthly (Conc.):  </t>
  </si>
  <si>
    <t xml:space="preserve">Geometric Mean (Conc.):  </t>
  </si>
  <si>
    <t>L</t>
  </si>
  <si>
    <t>Units</t>
  </si>
  <si>
    <t>in</t>
  </si>
  <si>
    <t>DAILY EFFLUENT MONITORING SUPPLEMENTAL REPORT</t>
  </si>
  <si>
    <t>Laboratories:</t>
  </si>
  <si>
    <r>
      <t xml:space="preserve">Renewal application due </t>
    </r>
    <r>
      <rPr>
        <b/>
        <u/>
        <sz val="10"/>
        <rFont val="Arial"/>
        <family val="2"/>
      </rPr>
      <t>180 days</t>
    </r>
    <r>
      <rPr>
        <sz val="10"/>
        <rFont val="Arial"/>
        <family val="2"/>
      </rPr>
      <t xml:space="preserve"> prior to expiration.</t>
    </r>
  </si>
  <si>
    <t>Load 1</t>
  </si>
  <si>
    <t>µW/cm²</t>
  </si>
  <si>
    <r>
      <t>The first week of each month begins on a Sunday and the last week of each month ends on a Saturday.  The Week column identifies the start of each weekly period for the purpose of computing weekly statistics.  The full calendar month is used for calculating monthly statistics.  Days and dates are automatically populated following your entry of the numeric Month and Year in Step 1.  If the permit does not contain a weekly statistical reporting requirement for a parameter, do not enter data outside of the calendar month.  For example, if you must report minimum and maximum pH measurements (but not weekly average), enter data beginning on the first day of the month and ending on the last day of the month.  If, for example, you have a weekly average limit for CBOD</t>
    </r>
    <r>
      <rPr>
        <vertAlign val="subscript"/>
        <sz val="10"/>
        <rFont val="Arial"/>
        <family val="2"/>
      </rPr>
      <t>5</t>
    </r>
    <r>
      <rPr>
        <sz val="10"/>
        <rFont val="Arial"/>
        <family val="2"/>
      </rPr>
      <t xml:space="preserve">, and if samples were collected on any date shown on the form that is outside the calendar month, enter the results. </t>
    </r>
  </si>
  <si>
    <t>Lancaster</t>
  </si>
  <si>
    <t>This permit will expire on:</t>
  </si>
  <si>
    <t>Months</t>
  </si>
  <si>
    <t>Years</t>
  </si>
  <si>
    <t>(select number)</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</si>
  <si>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</si>
  <si>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</si>
  <si>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</si>
  <si>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</si>
  <si>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</si>
  <si>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</si>
  <si>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</si>
  <si>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</si>
  <si>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</si>
  <si>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</si>
  <si>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</si>
  <si>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</si>
  <si>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</si>
  <si>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</si>
  <si>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</si>
  <si>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</si>
  <si>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</si>
  <si>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</si>
  <si>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</si>
  <si>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</si>
  <si>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</si>
  <si>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</si>
  <si>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</si>
  <si>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</si>
  <si>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</si>
  <si>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</si>
  <si>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</si>
  <si>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</si>
  <si>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</si>
  <si>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</si>
  <si>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</si>
  <si>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</si>
  <si>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</si>
  <si>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</si>
  <si>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</si>
  <si>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Lawrence</t>
  </si>
  <si>
    <t>Lebanon</t>
  </si>
  <si>
    <t>Lehigh</t>
  </si>
  <si>
    <t>Luzerne</t>
  </si>
  <si>
    <r>
      <t xml:space="preserve">The recommended sequence of data entry is as follows: 1) Enter parameter names, units of measurement, and permit limits into the </t>
    </r>
    <r>
      <rPr>
        <b/>
        <sz val="10"/>
        <rFont val="Arial"/>
        <family val="2"/>
      </rPr>
      <t xml:space="preserve">Limits </t>
    </r>
    <r>
      <rPr>
        <sz val="10"/>
        <rFont val="Arial"/>
        <family val="2"/>
      </rPr>
      <t xml:space="preserve">worksheet, and 2) Enter daily monitoring results into the </t>
    </r>
    <r>
      <rPr>
        <b/>
        <sz val="10"/>
        <rFont val="Arial"/>
        <family val="2"/>
      </rPr>
      <t>Daily</t>
    </r>
    <r>
      <rPr>
        <sz val="10"/>
        <rFont val="Arial"/>
        <family val="2"/>
      </rPr>
      <t xml:space="preserve"> worksheet (for each outfall).  The statistics for DMR reporting are presented at the bottom of the  Daily table.  You may then manually enter the statistics results into the eDMR report.</t>
    </r>
  </si>
  <si>
    <t>Daily Worksheet</t>
  </si>
  <si>
    <t>In the Daily worksheet, the pane has been "frozen" so that pertinent information can be viewed at all times.  You can "unfreeze" the panes at any time by clicking on Window - Unfreeze Panes (Excel 2003) or select the "View" tab from the "Windows" group, choose "Freeze Panes", and select "Unfreeze Panes" from the pop-up (Excel 2007).
Read more: How to Unfreeze Panes | eHow.com http://www.ehow.com/how_5132899_unfreeze-panes.html#ixzz1BgWpS3sJ</t>
  </si>
  <si>
    <t>Lycoming</t>
  </si>
  <si>
    <t>McKean</t>
  </si>
  <si>
    <t>Mercer</t>
  </si>
  <si>
    <t>Mifflin</t>
  </si>
  <si>
    <t>Monroe</t>
  </si>
  <si>
    <t>Montgomery</t>
  </si>
  <si>
    <t>Montour</t>
  </si>
  <si>
    <t>Northampton</t>
  </si>
  <si>
    <t>Northumberland</t>
  </si>
  <si>
    <t>Perry</t>
  </si>
  <si>
    <t>Philadelphia</t>
  </si>
  <si>
    <t>Pike</t>
  </si>
  <si>
    <t>Potter</t>
  </si>
  <si>
    <t>Schuylkill</t>
  </si>
  <si>
    <t>Somerset</t>
  </si>
  <si>
    <t>Susquehanna</t>
  </si>
  <si>
    <t>Union</t>
  </si>
  <si>
    <t>Warren</t>
  </si>
  <si>
    <t>Wayne</t>
  </si>
  <si>
    <t>Wyoming</t>
  </si>
  <si>
    <t>County</t>
  </si>
  <si>
    <t>Stage Description</t>
  </si>
  <si>
    <t>GPD</t>
  </si>
  <si>
    <t>GPM</t>
  </si>
  <si>
    <t>QUANTITY OR LOADING</t>
  </si>
  <si>
    <t>QUALITY OR CONCENTRATION</t>
  </si>
  <si>
    <t>UNITS</t>
  </si>
  <si>
    <t>LIMIT</t>
  </si>
  <si>
    <t>STATISTICAL CODE</t>
  </si>
  <si>
    <t>lbs/acre</t>
  </si>
  <si>
    <t>lbs/acre/day</t>
  </si>
  <si>
    <t>gal/acre</t>
  </si>
  <si>
    <t>in/week</t>
  </si>
  <si>
    <t>PARAMETER / STAGE</t>
  </si>
  <si>
    <t>LOAD 1</t>
  </si>
  <si>
    <t>LOAD 2</t>
  </si>
  <si>
    <t>CONC 1</t>
  </si>
  <si>
    <t>CONC 2</t>
  </si>
  <si>
    <t>CONC 3</t>
  </si>
  <si>
    <t>Select Parameters and Stages (Monitoring Locations) and Enter Limits Contained in Your Permit</t>
  </si>
  <si>
    <t>Outfall No.</t>
  </si>
  <si>
    <t>Flow (mgd) (50050)</t>
  </si>
  <si>
    <t>Total Residual Chlorine (TRC) (50060)</t>
  </si>
  <si>
    <t>pH (400)</t>
  </si>
  <si>
    <t>Dissolved Oxygen (300)</t>
  </si>
  <si>
    <t>BOD5 (310)</t>
  </si>
  <si>
    <t>CBOD5 (80082)</t>
  </si>
  <si>
    <t>Total Suspended Solids (530)</t>
  </si>
  <si>
    <t>Ammonia-Nitrogen (610)</t>
  </si>
  <si>
    <t>Total Nitrogen (600)</t>
  </si>
  <si>
    <t>Total Phosphorus (665)</t>
  </si>
  <si>
    <t>1,1,1,2-Tetrachloroethane (77562)</t>
  </si>
  <si>
    <t>1,1,1-Trichloroethane (34506)</t>
  </si>
  <si>
    <t>1,1,2,2-Tetrachloroethane (34516)</t>
  </si>
  <si>
    <t>1,1,2-Trichloro-1,2,2-Trifloroethane (77652)</t>
  </si>
  <si>
    <t>1,1,2-Trichloroethane (34511)</t>
  </si>
  <si>
    <t>1,1-Dichloro-1,2,2,2-Tetrafluoroethane (CFC-114a) (38675)</t>
  </si>
  <si>
    <t>1,1-Dichloro-2,2,2-Trifluoroethane (HCFC-123) (38671)</t>
  </si>
  <si>
    <t>1,1-Dichloro-2,2-Diethoxyethane (49888)</t>
  </si>
  <si>
    <t>1,1-Dichloroethane (34496)</t>
  </si>
  <si>
    <t>1,1-Dichloroethylene (34501)</t>
  </si>
  <si>
    <t>1,2,3-Trichloropropane (77443)</t>
  </si>
  <si>
    <t>1,2,4-Trichlorobenzene (34551)</t>
  </si>
  <si>
    <t>1,2,4-Trimethylbenzene (77222)</t>
  </si>
  <si>
    <t>1,2-Dibromoethane (77651)</t>
  </si>
  <si>
    <t>1,2-Dichlorobenzene (34536)</t>
  </si>
  <si>
    <t>1,2-Dichloroethane (32103)</t>
  </si>
  <si>
    <t>1,2-Dichloropropane (34541)</t>
  </si>
  <si>
    <t>1,2-Diphenylhydrazine (34346)</t>
  </si>
  <si>
    <t>1,3,5-Trimethylbenzene (77226)</t>
  </si>
  <si>
    <t>1,3-Dichlorobenzene (34566)</t>
  </si>
  <si>
    <t>1,3-Dichloropropylene (77163)</t>
  </si>
  <si>
    <t>1,4-Dichlorobenzene (34571)</t>
  </si>
  <si>
    <t>1,4-Dioxane (82388)</t>
  </si>
  <si>
    <t>1-Propanol (77018)</t>
  </si>
  <si>
    <t>2,2-Dimethoxypropane (51070)</t>
  </si>
  <si>
    <t>2,3,4,6-Tetrachlorophenol (77770)</t>
  </si>
  <si>
    <t>2,3,7,8-TCDD (34675)</t>
  </si>
  <si>
    <t>2,3,7,8-TCDF (38691)</t>
  </si>
  <si>
    <t>2,4,5-Trichlorophenol (77687)</t>
  </si>
  <si>
    <t>2,4,6-Trichlorophenol (34621)</t>
  </si>
  <si>
    <t>2,4-Dichlorophenol (34601)</t>
  </si>
  <si>
    <t>2,4-Dichlorophenoxyacetic Acid (39730)</t>
  </si>
  <si>
    <t>2,4-Dimethylphenol (34606)</t>
  </si>
  <si>
    <t>2,4-Dinitrophenol (34616)</t>
  </si>
  <si>
    <t>2,4-Dinitrotoluene (34611)</t>
  </si>
  <si>
    <t>2,6-Dinitrotoluene (34626)</t>
  </si>
  <si>
    <t>2-Butanone (78356)</t>
  </si>
  <si>
    <t>2-Chloroaniline (77287)</t>
  </si>
  <si>
    <t>2-Chloroethyl Vinyl Ether (34576)</t>
  </si>
  <si>
    <t>2-Chloronaphthalene (34581)</t>
  </si>
  <si>
    <t>2-Chlorophenol (34586)</t>
  </si>
  <si>
    <t>2-Ethylbenzenamine (49889)</t>
  </si>
  <si>
    <t>2-Ethylhexanol (51175)</t>
  </si>
  <si>
    <t>2-Hexanone (77103)</t>
  </si>
  <si>
    <t>2-Methylnapthalene (77416)</t>
  </si>
  <si>
    <t>2-Methylphenol (78395)</t>
  </si>
  <si>
    <t>2-Nitrophenol (34591)</t>
  </si>
  <si>
    <t>3,3-Dichlorobenzidine (34631)</t>
  </si>
  <si>
    <t>3,4,5-Trichlorocatechol (73037)</t>
  </si>
  <si>
    <t>3,4,5-Trichloroguaiacol (61024)</t>
  </si>
  <si>
    <t>3,4,6-Trichlorocatechol (51024)</t>
  </si>
  <si>
    <t>3,4,6-Trichloroguaiacol (51022)</t>
  </si>
  <si>
    <t>3,4-Benzofluoranthene (79531)</t>
  </si>
  <si>
    <t>3-Trifluoromethyl-4-Nitrophenol (TFM) (82563)</t>
  </si>
  <si>
    <t>4,4-DDD (39310)</t>
  </si>
  <si>
    <t>4,4-DDE (39320)</t>
  </si>
  <si>
    <t>4,4-DDT (39300)</t>
  </si>
  <si>
    <t>4,5,6-Trichloroguaiacol (73088)</t>
  </si>
  <si>
    <t>4,6-Dinitrophenol-o-Cresol (34657)</t>
  </si>
  <si>
    <t>4-Bromophenylphenylether (34636)</t>
  </si>
  <si>
    <t>4-Chlorobenzotrifluoride (78143)</t>
  </si>
  <si>
    <t>4-Chlorophenyl Phenyl Ether (34641)</t>
  </si>
  <si>
    <t>4-Methyl-2,6-Di-Tert-Butylphenol (51036)</t>
  </si>
  <si>
    <t>4-Methyl-2-pentanone (78133)</t>
  </si>
  <si>
    <t>4-Nitrophenol (34646)</t>
  </si>
  <si>
    <t>4-t-Amyl-2-Chlorophenol (51038)</t>
  </si>
  <si>
    <t>5-Methyl-2-Hexanone (77179)</t>
  </si>
  <si>
    <t>Acenaphthene (34205)</t>
  </si>
  <si>
    <t>Acenaphthylene (34200)</t>
  </si>
  <si>
    <t>Acetaldehyde (77001)</t>
  </si>
  <si>
    <t>Acetic Acid (697)</t>
  </si>
  <si>
    <t>Acetone (81552)</t>
  </si>
  <si>
    <t>Acetonitrile (73207)</t>
  </si>
  <si>
    <t>Acetophenone (81553)</t>
  </si>
  <si>
    <t>Acid Compounds (32020)</t>
  </si>
  <si>
    <t>Acrolein (34210)</t>
  </si>
  <si>
    <t>Acrylamide (50796)</t>
  </si>
  <si>
    <t>Acrylonitrile (34215)</t>
  </si>
  <si>
    <t>Acute toxicity (Ceriodaphnia) (61425)</t>
  </si>
  <si>
    <t>Acute toxicity (Pimephales) (61427)</t>
  </si>
  <si>
    <t>Adsorbable Organic Halides (AOX) (79855)</t>
  </si>
  <si>
    <t>Aldrin (39330)</t>
  </si>
  <si>
    <t>alpha-BHC (39336)</t>
  </si>
  <si>
    <t>alpha-Endosulfan (34361)</t>
  </si>
  <si>
    <t>Amyl Alcohol (51003)</t>
  </si>
  <si>
    <t>Aniline (77089)</t>
  </si>
  <si>
    <t>Anthracene (34220)</t>
  </si>
  <si>
    <t>a-Terpineol (77493)</t>
  </si>
  <si>
    <t>Backwash Cycles (Total Number) (82629)</t>
  </si>
  <si>
    <t>Base Neutrals &amp; Acids (76028)</t>
  </si>
  <si>
    <t>Benzene (34030)</t>
  </si>
  <si>
    <t>Benzenesulphonic Acid (77517)</t>
  </si>
  <si>
    <t>Benzidine (39120)</t>
  </si>
  <si>
    <t>Benzo(a)Anthracene (34526)</t>
  </si>
  <si>
    <t>Benzo(a)Pyrene (34247)</t>
  </si>
  <si>
    <t>Benzo(ghi)Perylene (34521)</t>
  </si>
  <si>
    <t>Benzo(k)Fluoranthene (34242)</t>
  </si>
  <si>
    <t>Benzoic Acid (77247)</t>
  </si>
  <si>
    <t>Benzyl Alcohol (77147)</t>
  </si>
  <si>
    <t>beta-BHC (39338)</t>
  </si>
  <si>
    <t>beta-Endosulfan (79618)</t>
  </si>
  <si>
    <t>Bicarbonate (440)</t>
  </si>
  <si>
    <t>Bis(2-Chloroethoxy)Methane (34278)</t>
  </si>
  <si>
    <t>Bis(2-Chloroethyl)Ether (34273)</t>
  </si>
  <si>
    <t>Bis(2-Chloroisopropyl)Ether (34283)</t>
  </si>
  <si>
    <t>Bis(2-Ethylhexyl)Phthalate (39100)</t>
  </si>
  <si>
    <t>BOD5 % Removal (81010)</t>
  </si>
  <si>
    <t>Bromide (71870)</t>
  </si>
  <si>
    <t>Bromine (71871)</t>
  </si>
  <si>
    <t>Bromine Chloride (71872)</t>
  </si>
  <si>
    <t>Bromobenzene (81555)</t>
  </si>
  <si>
    <t>Bromoform (32104)</t>
  </si>
  <si>
    <t>Butyl Benzyl Phthalate (34292)</t>
  </si>
  <si>
    <t>Camphor (81324)</t>
  </si>
  <si>
    <t>Carbazole (77571)</t>
  </si>
  <si>
    <t>Carbon Disulfide (77041)</t>
  </si>
  <si>
    <t>Carbon Tetrachloride (32102)</t>
  </si>
  <si>
    <t>CBOD20 (80087)</t>
  </si>
  <si>
    <t>CBOD5 % Removal (80091)</t>
  </si>
  <si>
    <t>Convert text limits to values to compare with Ch 16 DLs</t>
  </si>
  <si>
    <t>Chemical Oxygen Demand (340)</t>
  </si>
  <si>
    <t>Chlordane (51032)</t>
  </si>
  <si>
    <t>Chloride (940)</t>
  </si>
  <si>
    <t>Chlorination Duration (78739)</t>
  </si>
  <si>
    <t>Chlorobenzene (34301)</t>
  </si>
  <si>
    <t>Chlorodibromomethane (34306)</t>
  </si>
  <si>
    <t>Chlorodifluoromethane (45028)</t>
  </si>
  <si>
    <t>Chloroethane (85811)</t>
  </si>
  <si>
    <t>Chloroform (32106)</t>
  </si>
  <si>
    <t>Chlorpyrifos (77969)</t>
  </si>
  <si>
    <t>Chronic toxicity (Ceriodaphnia) (61426)</t>
  </si>
  <si>
    <t>Chronic toxicity (Pimephales) (61428)</t>
  </si>
  <si>
    <t>Chrysene (34320)</t>
  </si>
  <si>
    <t>cis-1,2-Dichloroethylene (77093)</t>
  </si>
  <si>
    <t>cis-1,3-Dichloropropene (34704)</t>
  </si>
  <si>
    <t>Clamtrol CT-1 (4251)</t>
  </si>
  <si>
    <t>Clamtrol CT-2 (49886)</t>
  </si>
  <si>
    <t>Clamtrol CT-4 (49887)</t>
  </si>
  <si>
    <t>Color (Pt-Co Units) (80)</t>
  </si>
  <si>
    <t>Conductivity (94)</t>
  </si>
  <si>
    <t>Cumene (77223)</t>
  </si>
  <si>
    <t>Cyclohexane (81570)</t>
  </si>
  <si>
    <t>delta-BHC (34198)</t>
  </si>
  <si>
    <t>Di(2-Ethylhexyl)Adipate (51174)</t>
  </si>
  <si>
    <t>Diazinon (39570)</t>
  </si>
  <si>
    <t>Dibenzo(a,h)Anthrancene (34556)</t>
  </si>
  <si>
    <t>Dibromochloromethane (77779)</t>
  </si>
  <si>
    <t>Dibromomethane (38679)</t>
  </si>
  <si>
    <t>Dichloro-4-(1,1-Dimethylpropyl) Phenol (51039)</t>
  </si>
  <si>
    <t>Dichlorobenzene (81524)</t>
  </si>
  <si>
    <t>Dichlorobromomethane (32101)</t>
  </si>
  <si>
    <t>Dichlorodifluoromethane (34668)</t>
  </si>
  <si>
    <t>Dichloroethane (81680)</t>
  </si>
  <si>
    <t>Dichlorofluoromethane (70010)</t>
  </si>
  <si>
    <t>Dieldrin (39380)</t>
  </si>
  <si>
    <t>Diesel Range Organics (49922)</t>
  </si>
  <si>
    <t>Diethyl Ether (81576)</t>
  </si>
  <si>
    <t>Diethyl Phthalate (34336)</t>
  </si>
  <si>
    <t>Diethylamine (77030)</t>
  </si>
  <si>
    <t>Diethylene Glycol (51555)</t>
  </si>
  <si>
    <t>Dimethyl Disulfide (81580)</t>
  </si>
  <si>
    <t>Dimethyl Phthalate (34341)</t>
  </si>
  <si>
    <t>Dimethyl Sulfoxide (77042)</t>
  </si>
  <si>
    <t>Dimethylformamide (77110)</t>
  </si>
  <si>
    <t>Dimethylpropylphenol (51037)</t>
  </si>
  <si>
    <t>Di-n-Butyl Phthalate (39110)</t>
  </si>
  <si>
    <t>Dinitrotoluene (81533)</t>
  </si>
  <si>
    <t>Di-n-Octyl Phthalate (34596)</t>
  </si>
  <si>
    <t>Dinonylphthalate (45670)</t>
  </si>
  <si>
    <t>Dioxin (3610)</t>
  </si>
  <si>
    <t>Dissolved Copper (1040)</t>
  </si>
  <si>
    <t>Dissolved Iron (1046)</t>
  </si>
  <si>
    <t>Dissolved Magnesium (925)</t>
  </si>
  <si>
    <t>Dissolved Molybdenum (1060)</t>
  </si>
  <si>
    <t>Dissolved Phosphorus (666)</t>
  </si>
  <si>
    <t>Dissolved Selenium (1145)</t>
  </si>
  <si>
    <t>Dissolved Sulfide (746)</t>
  </si>
  <si>
    <t>Dissolved Thallium (1057)</t>
  </si>
  <si>
    <t>Duration of Discharge (81381)</t>
  </si>
  <si>
    <t>Endosulfan (39388)</t>
  </si>
  <si>
    <t>Endosulfan Sulfate (34351)</t>
  </si>
  <si>
    <t>Endrin (39390)</t>
  </si>
  <si>
    <t>Endrin Aldehyde (34366)</t>
  </si>
  <si>
    <t>Ethanol (77004)</t>
  </si>
  <si>
    <t>Ethyl Acetate (81585)</t>
  </si>
  <si>
    <t>Ethylbenzene (34371)</t>
  </si>
  <si>
    <t>Ethylene Glycol (81688)</t>
  </si>
  <si>
    <t>Fecal Coliform (74055)</t>
  </si>
  <si>
    <t>Filter Backwash Discharges/Day (51170)</t>
  </si>
  <si>
    <t>Fluoranthene (34376)</t>
  </si>
  <si>
    <t xml:space="preserve">I certify under penalty of law that this document was prepared under my direction or supervision in accordance with a system designed to assure that qualified personnel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 knowing violations.  See 18 Pa. C.S. § 4904 (relating to unsworn falsification). </t>
  </si>
  <si>
    <t>Fluorene (34381)</t>
  </si>
  <si>
    <t>Fluoride (951)</t>
  </si>
  <si>
    <t>Fluoroborates (952)</t>
  </si>
  <si>
    <t>Formaldehyde (71880)</t>
  </si>
  <si>
    <t>Free Available Chlorine (50064)</t>
  </si>
  <si>
    <t>Free Available Cyanide (51173)</t>
  </si>
  <si>
    <t>gamma-BHC (39344)</t>
  </si>
  <si>
    <t>Gasoline Range Organics (4584)</t>
  </si>
  <si>
    <t>Gross Alpha Radioactivity (80029)</t>
  </si>
  <si>
    <t>Hardness, Total (as CaCO3) (900)</t>
  </si>
  <si>
    <t>Heat Rejection Rate (MBTUs/day) (17)</t>
  </si>
  <si>
    <t>Heat Rejection Rate (MBTUs/hr) (15)</t>
  </si>
  <si>
    <t>Hemitite Production (51169)</t>
  </si>
  <si>
    <t>Heptachlor (39410)</t>
  </si>
  <si>
    <t>Heptachlor Epoxide (39420)</t>
  </si>
  <si>
    <t>Heptane (78198)</t>
  </si>
  <si>
    <t>Hexachlorobenzene (39700)</t>
  </si>
  <si>
    <t>Hexachlorobutadiene (39702)</t>
  </si>
  <si>
    <t>Hexachlorocyclopentadiene (34386)</t>
  </si>
  <si>
    <t>Hexachloroethane (34396)</t>
  </si>
  <si>
    <t>Hexane (81590)</t>
  </si>
  <si>
    <t>Hexavalent Chromium (1032)</t>
  </si>
  <si>
    <t>Hourly Temperature Change (74029)</t>
  </si>
  <si>
    <t>Hydrazine (81313)</t>
  </si>
  <si>
    <t>Hydrogen Peroxide (139)</t>
  </si>
  <si>
    <t>Hydrogen Sulfide (71875)</t>
  </si>
  <si>
    <t>Indeno(1,2,3-cd)Pyrene (34403)</t>
  </si>
  <si>
    <t>Isobutyraldehyde (51001)</t>
  </si>
  <si>
    <t>Isooctane (45019)</t>
  </si>
  <si>
    <t>Isophorone (34408)</t>
  </si>
  <si>
    <t>Isopropanol (77015)</t>
  </si>
  <si>
    <t>Isopropyl Acetate (45013)</t>
  </si>
  <si>
    <t>Isopropyl Ether (77117)</t>
  </si>
  <si>
    <t>Kappa Number (51019)</t>
  </si>
  <si>
    <t>MBAS (47021)</t>
  </si>
  <si>
    <t>m-Benzenedisulfonic Acid (51360)</t>
  </si>
  <si>
    <t>Methyl Bromide (38677)</t>
  </si>
  <si>
    <t>Methyl Cellosolve (4147)</t>
  </si>
  <si>
    <t>Methyl Chloride (34418)</t>
  </si>
  <si>
    <t>Methyl Cyclopentane (51074)</t>
  </si>
  <si>
    <t>Methyl Ethyl Ketone (81595)</t>
  </si>
  <si>
    <t>Methyl Formate (51000)</t>
  </si>
  <si>
    <t>Methyl Isobutyl Ketone (81596)</t>
  </si>
  <si>
    <t>Methylene Chloride (34423)</t>
  </si>
  <si>
    <t>Metolachlor (39356)</t>
  </si>
  <si>
    <t>Minimum Stream Flow (91)</t>
  </si>
  <si>
    <t>Mirex (39755)</t>
  </si>
  <si>
    <t>MTBE (22417)</t>
  </si>
  <si>
    <t>N-(Methylpropylidenepropamine) (51034)</t>
  </si>
  <si>
    <t>N,N-Dimethyl-1-Butanamine (51033)</t>
  </si>
  <si>
    <t>N,N-Dimethylacetamide (81332)</t>
  </si>
  <si>
    <t>N,N-Dimethylaniline (49543)</t>
  </si>
  <si>
    <t>Nalco Macrotrol 9210 (51029)</t>
  </si>
  <si>
    <t>n-Amyl Acetate (51002)</t>
  </si>
  <si>
    <t>Naphthalene (34696)</t>
  </si>
  <si>
    <t>n-Butyl Acetate (77189)</t>
  </si>
  <si>
    <t>n-Butylbenzene (77342)</t>
  </si>
  <si>
    <t>n-Decane (77427)</t>
  </si>
  <si>
    <t>N-Ethylaniline (51077)</t>
  </si>
  <si>
    <t>N-Ethylbenzenamine (77234)</t>
  </si>
  <si>
    <t>Nitrate as N (620)</t>
  </si>
  <si>
    <t>Nitrate-Nitrite as N (630)</t>
  </si>
  <si>
    <t>Nitrite as N (615)</t>
  </si>
  <si>
    <t>Nitrobenzene (34447)</t>
  </si>
  <si>
    <t>N-Methylbenzenamine (49924)</t>
  </si>
  <si>
    <t>Statistics for DMR</t>
  </si>
  <si>
    <t>Symbol</t>
  </si>
  <si>
    <t>C3</t>
  </si>
  <si>
    <t>C4</t>
  </si>
  <si>
    <t>Geomean:</t>
  </si>
  <si>
    <t>Min (raw data):</t>
  </si>
  <si>
    <t>Min (transformed):</t>
  </si>
  <si>
    <t>Use &lt; for Min?</t>
  </si>
  <si>
    <t>Max (raw data):</t>
  </si>
  <si>
    <t>Max (transformed):</t>
  </si>
  <si>
    <t>Use &lt; for Max?</t>
  </si>
  <si>
    <t>Week 1 Avg</t>
  </si>
  <si>
    <t>Week 2 Avg</t>
  </si>
  <si>
    <t>Week 3 Avg</t>
  </si>
  <si>
    <t>Week 4 Avg</t>
  </si>
  <si>
    <t>Week 5 Avg</t>
  </si>
  <si>
    <t>Max</t>
  </si>
  <si>
    <t>Use &lt;?</t>
  </si>
  <si>
    <t>RI</t>
  </si>
  <si>
    <t>=</t>
  </si>
  <si>
    <t>0B</t>
  </si>
  <si>
    <t>0E</t>
  </si>
  <si>
    <t>B</t>
  </si>
  <si>
    <t>BM</t>
  </si>
  <si>
    <t>EM</t>
  </si>
  <si>
    <t>G</t>
  </si>
  <si>
    <t>G2</t>
  </si>
  <si>
    <t>II</t>
  </si>
  <si>
    <t>IM</t>
  </si>
  <si>
    <t>K</t>
  </si>
  <si>
    <t>PI</t>
  </si>
  <si>
    <t>PR</t>
  </si>
  <si>
    <t>SW</t>
  </si>
  <si>
    <t>Stagecode</t>
  </si>
  <si>
    <t>Parametershort</t>
  </si>
  <si>
    <t>Avg Mo Conc:</t>
  </si>
  <si>
    <t>Avg Mo Load</t>
  </si>
  <si>
    <t>Final Avg Mo Load:</t>
  </si>
  <si>
    <t>Total Mo Load</t>
  </si>
  <si>
    <t>Final Total Mo Load:</t>
  </si>
  <si>
    <t>Decimal places, as reported</t>
  </si>
  <si>
    <t>Max:</t>
  </si>
  <si>
    <t>E = Limit is Report or is Empty</t>
  </si>
  <si>
    <t>pH</t>
  </si>
  <si>
    <t>TRC</t>
  </si>
  <si>
    <t>Dissolved Oxygen</t>
  </si>
  <si>
    <t>CBOD5</t>
  </si>
  <si>
    <t>BOD5</t>
  </si>
  <si>
    <t>TSS</t>
  </si>
  <si>
    <t>Fecal Coliform</t>
  </si>
  <si>
    <t>Total Nitrogen</t>
  </si>
  <si>
    <t>Total Phosphorus</t>
  </si>
  <si>
    <t>TKN</t>
  </si>
  <si>
    <r>
      <t>NH</t>
    </r>
    <r>
      <rPr>
        <vertAlign val="subscript"/>
        <sz val="8"/>
        <rFont val="Arial"/>
        <family val="2"/>
      </rPr>
      <t>3</t>
    </r>
    <r>
      <rPr>
        <sz val="8"/>
        <rFont val="Arial"/>
        <family val="2"/>
      </rPr>
      <t>-N</t>
    </r>
  </si>
  <si>
    <r>
      <t>NO</t>
    </r>
    <r>
      <rPr>
        <vertAlign val="subscript"/>
        <sz val="8"/>
        <rFont val="Arial"/>
        <family val="2"/>
      </rPr>
      <t>2</t>
    </r>
    <r>
      <rPr>
        <sz val="8"/>
        <rFont val="Arial"/>
        <family val="2"/>
      </rPr>
      <t>-N</t>
    </r>
  </si>
  <si>
    <r>
      <t>NO</t>
    </r>
    <r>
      <rPr>
        <vertAlign val="subscript"/>
        <sz val="8"/>
        <rFont val="Arial"/>
        <family val="2"/>
      </rPr>
      <t>3</t>
    </r>
    <r>
      <rPr>
        <sz val="8"/>
        <rFont val="Arial"/>
        <family val="2"/>
      </rPr>
      <t>-N</t>
    </r>
  </si>
  <si>
    <r>
      <t>NO</t>
    </r>
    <r>
      <rPr>
        <vertAlign val="subscript"/>
        <sz val="8"/>
        <rFont val="Arial"/>
        <family val="2"/>
      </rPr>
      <t>2</t>
    </r>
    <r>
      <rPr>
        <sz val="8"/>
        <rFont val="Arial"/>
        <family val="2"/>
      </rPr>
      <t>-N + NO</t>
    </r>
    <r>
      <rPr>
        <vertAlign val="subscript"/>
        <sz val="8"/>
        <rFont val="Arial"/>
        <family val="2"/>
      </rPr>
      <t>3</t>
    </r>
    <r>
      <rPr>
        <sz val="8"/>
        <rFont val="Arial"/>
        <family val="2"/>
      </rPr>
      <t>-N</t>
    </r>
  </si>
  <si>
    <t>1,1,1,2-Tetrachloroethane</t>
  </si>
  <si>
    <t>1,1,1-Trichloroethane</t>
  </si>
  <si>
    <t>1,1,2,2-Tetrachloroethane</t>
  </si>
  <si>
    <t>1,1,2-Trichloro-1,2,2-Trifloroethane</t>
  </si>
  <si>
    <t>1,1,2-Trichloroethane</t>
  </si>
  <si>
    <t>CFC-114a</t>
  </si>
  <si>
    <t>HCFC-123</t>
  </si>
  <si>
    <t>1,1-Dichloro-2,2-Diethoxyethane</t>
  </si>
  <si>
    <t>1,1-Dichloroethane</t>
  </si>
  <si>
    <t>1,1-Dichloroethylene</t>
  </si>
  <si>
    <t>1,2,3-Trichloropropane</t>
  </si>
  <si>
    <t>1,2,4-Trichlorobenzene</t>
  </si>
  <si>
    <t>1,2,4-Trimethylbenzene</t>
  </si>
  <si>
    <t>1,2-Dibromoethane</t>
  </si>
  <si>
    <t>1,2-Dichlorobenzene</t>
  </si>
  <si>
    <t>1,2-Dichloroethane</t>
  </si>
  <si>
    <t>1,2-Dichloropropane</t>
  </si>
  <si>
    <t>1,2-Diphenylhydrazine</t>
  </si>
  <si>
    <t>1,3,5-Trimethylbenzene</t>
  </si>
  <si>
    <t>1,3-Dichlorobenzene</t>
  </si>
  <si>
    <t>1,3-Dichloropropylene</t>
  </si>
  <si>
    <t>1,4-Dichlorobenzene</t>
  </si>
  <si>
    <t>1,4-Dioxane</t>
  </si>
  <si>
    <t>1-Propanol</t>
  </si>
  <si>
    <t>2,2-Dimethoxypropane</t>
  </si>
  <si>
    <t>2,3,4,6-Tetrachlorophenol</t>
  </si>
  <si>
    <t>2,3,7,8-TCDD</t>
  </si>
  <si>
    <t>2,3,7,8-TCDF</t>
  </si>
  <si>
    <t>2,4,5-Trichlorophenol</t>
  </si>
  <si>
    <t>2,4,6-Trichlorophenol</t>
  </si>
  <si>
    <t>2,4-Dichlorophenol</t>
  </si>
  <si>
    <t>2,4-Dichlorophenoxyacetic Acid</t>
  </si>
  <si>
    <t>2,4-Dimethylphenol</t>
  </si>
  <si>
    <t>2,4-Dinitrophenol</t>
  </si>
  <si>
    <t>2,4-Dinitrotoluene</t>
  </si>
  <si>
    <t>2,6-Dinitrotoluene</t>
  </si>
  <si>
    <t>2-Butanone</t>
  </si>
  <si>
    <t>2-Chloroaniline</t>
  </si>
  <si>
    <t>2-Chloroethyl Vinyl Ether</t>
  </si>
  <si>
    <t>2-Chloronaphthalene</t>
  </si>
  <si>
    <t>2-Chlorophenol</t>
  </si>
  <si>
    <t>2-Ethylbenzenamine</t>
  </si>
  <si>
    <t>2-Ethylhexanol</t>
  </si>
  <si>
    <t>2-Hexanone</t>
  </si>
  <si>
    <t>2-Methylnapthalene</t>
  </si>
  <si>
    <t>2-Methylphenol</t>
  </si>
  <si>
    <t>2-Nitrophenol</t>
  </si>
  <si>
    <t>3,3-Dichlorobenzidine</t>
  </si>
  <si>
    <t>3,4,5-Trichlorocatechol</t>
  </si>
  <si>
    <t>3,4,5-Trichloroguaiacol</t>
  </si>
  <si>
    <t>3,4,6-Trichlorocatechol</t>
  </si>
  <si>
    <t>3,4,6-Trichloroguaiacol</t>
  </si>
  <si>
    <t>3,4-Benzofluoranthene</t>
  </si>
  <si>
    <t>3-Trifluoromethyl-4-Nitrophenol (TFM)</t>
  </si>
  <si>
    <t>4,4-DDD</t>
  </si>
  <si>
    <t>4,4-DDE</t>
  </si>
  <si>
    <t>4,4-DDT</t>
  </si>
  <si>
    <t>4,5,6-Trichloroguaiacol</t>
  </si>
  <si>
    <t>4,6-Dinitrophenol-o-Cresol</t>
  </si>
  <si>
    <t>4-Bromophenylphenylether</t>
  </si>
  <si>
    <t>4-Chlorobenzotrifluoride</t>
  </si>
  <si>
    <t>4-Chlorophenyl Phenyl Ether</t>
  </si>
  <si>
    <t>4-Methyl-2,6-Di-Tert-Butylphenol</t>
  </si>
  <si>
    <t>4-Methyl-2-pentanone</t>
  </si>
  <si>
    <t>4-Nitrophenol</t>
  </si>
  <si>
    <t>4-t-Amyl-2-Chlorophenol</t>
  </si>
  <si>
    <t>5-Methyl-2-Hexanone</t>
  </si>
  <si>
    <t>Acenaphthene</t>
  </si>
  <si>
    <t>Acenaphthylene</t>
  </si>
  <si>
    <t>Acetaldehyde</t>
  </si>
  <si>
    <t>Acetic Acid</t>
  </si>
  <si>
    <t>Acetone</t>
  </si>
  <si>
    <t>Acetonitrile</t>
  </si>
  <si>
    <t>Acetophenone</t>
  </si>
  <si>
    <t>Acid Compounds</t>
  </si>
  <si>
    <t>Acrolein</t>
  </si>
  <si>
    <t>Acrylamide</t>
  </si>
  <si>
    <t>Acrylonitrile</t>
  </si>
  <si>
    <t>Acute toxicity (Ceriodaphnia)</t>
  </si>
  <si>
    <t>Acute toxicity (Pimephales)</t>
  </si>
  <si>
    <t>AOX</t>
  </si>
  <si>
    <t>Aldrin</t>
  </si>
  <si>
    <t>alpha-BHC</t>
  </si>
  <si>
    <t>alpha-Endosulfan</t>
  </si>
  <si>
    <t>Amyl Alcohol</t>
  </si>
  <si>
    <t>Aniline</t>
  </si>
  <si>
    <t>Anthracene</t>
  </si>
  <si>
    <t>a-Terpineol</t>
  </si>
  <si>
    <t>Backwash Cycles</t>
  </si>
  <si>
    <t>Base Neutrals &amp; Acids</t>
  </si>
  <si>
    <t>Benzene</t>
  </si>
  <si>
    <t>Benzenesulphonic Acid</t>
  </si>
  <si>
    <t>Benzidine</t>
  </si>
  <si>
    <t>Benzo(a)Anthracene</t>
  </si>
  <si>
    <t>Benzo(a)Pyrene</t>
  </si>
  <si>
    <t>Benzo(ghi)Perylene</t>
  </si>
  <si>
    <t>Benzo(k)Fluoranthene</t>
  </si>
  <si>
    <t>Benzoic Acid</t>
  </si>
  <si>
    <t>Benzyl Alcohol</t>
  </si>
  <si>
    <t>beta-BHC</t>
  </si>
  <si>
    <t>beta-Endosulfan</t>
  </si>
  <si>
    <t>Bicarbonate</t>
  </si>
  <si>
    <t>Bis(2-Chloroethoxy)Methane</t>
  </si>
  <si>
    <t>Bis(2-Chloroethyl)Ether</t>
  </si>
  <si>
    <t>Bis(2-Chloroisopropyl)Ether</t>
  </si>
  <si>
    <t>Bis(2-Ethylhexyl)Phthalate</t>
  </si>
  <si>
    <t>BOD5 % Removal</t>
  </si>
  <si>
    <t>Bromide</t>
  </si>
  <si>
    <t>Bromine</t>
  </si>
  <si>
    <t>Bromine Chloride</t>
  </si>
  <si>
    <t>Bromobenzene</t>
  </si>
  <si>
    <t>Bromoform</t>
  </si>
  <si>
    <t>Butyl Benzyl Phthalate</t>
  </si>
  <si>
    <t>Camphor</t>
  </si>
  <si>
    <t>Carbazole</t>
  </si>
  <si>
    <t>Carbon Disulfide</t>
  </si>
  <si>
    <t>Carbon Tetrachloride</t>
  </si>
  <si>
    <t>CBOD20</t>
  </si>
  <si>
    <t>CBOD5 % Removal</t>
  </si>
  <si>
    <t>COD</t>
  </si>
  <si>
    <t>Chlordane</t>
  </si>
  <si>
    <t>Chloride</t>
  </si>
  <si>
    <t>Chlorination Duration</t>
  </si>
  <si>
    <t>Chlorobenzene</t>
  </si>
  <si>
    <t>Chlorodibromomethane</t>
  </si>
  <si>
    <t>Chlorodifluoromethane</t>
  </si>
  <si>
    <t>Chloroethane</t>
  </si>
  <si>
    <t>Chloroform</t>
  </si>
  <si>
    <t>Chlorpyrifos</t>
  </si>
  <si>
    <t>Chronic toxicity (Ceriodaphnia)</t>
  </si>
  <si>
    <t>Chronic toxicity (Pimephales)</t>
  </si>
  <si>
    <t>Chrysene</t>
  </si>
  <si>
    <t>cis-1,2-Dichloroethylene</t>
  </si>
  <si>
    <t>cis-1,3-Dichloropropene</t>
  </si>
  <si>
    <t>Clamtrol CT-1</t>
  </si>
  <si>
    <t>Clamtrol CT-2</t>
  </si>
  <si>
    <t>Clamtrol CT-4</t>
  </si>
  <si>
    <t>Color</t>
  </si>
  <si>
    <t>Conductivity</t>
  </si>
  <si>
    <t>Cumene</t>
  </si>
  <si>
    <t>Cyclohexane</t>
  </si>
  <si>
    <t>delta-BHC</t>
  </si>
  <si>
    <t>Di(2-Ethylhexyl)Adipate</t>
  </si>
  <si>
    <t>Diazinon</t>
  </si>
  <si>
    <t>Dibenzo(a,h)Anthrancene</t>
  </si>
  <si>
    <t>Dibromochloromethane</t>
  </si>
  <si>
    <t>Dibromomethane</t>
  </si>
  <si>
    <t>Dichloro-4-(1,1-Dimethylpropyl) Phenol</t>
  </si>
  <si>
    <t>Dichlorobenzene</t>
  </si>
  <si>
    <t>Dichlorobromomethane</t>
  </si>
  <si>
    <t>Dichlorodifluoromethane</t>
  </si>
  <si>
    <t>Dichloroethane</t>
  </si>
  <si>
    <t>Dichlorofluoromethane</t>
  </si>
  <si>
    <t>Dieldrin</t>
  </si>
  <si>
    <t>Diesel Range Organics</t>
  </si>
  <si>
    <t>Diethyl Ether</t>
  </si>
  <si>
    <t>Diethyl Phthalate</t>
  </si>
  <si>
    <t>Diethylamine</t>
  </si>
  <si>
    <t>Diethylene Glycol</t>
  </si>
  <si>
    <t>Dimethyl Disulfide</t>
  </si>
  <si>
    <t>Dimethyl Phthalate</t>
  </si>
  <si>
    <t>Dimethyl Sulfoxide</t>
  </si>
  <si>
    <t>Dimethylformamide</t>
  </si>
  <si>
    <t>Dimethylpropylphenol</t>
  </si>
  <si>
    <t>Di-n-Butyl Phthalate</t>
  </si>
  <si>
    <t>Dinitrotoluene</t>
  </si>
  <si>
    <t>Di-n-Octyl Phthalate</t>
  </si>
  <si>
    <t>Dinonylphthalate</t>
  </si>
  <si>
    <t>Dioxin</t>
  </si>
  <si>
    <t>Dissolved Copper</t>
  </si>
  <si>
    <t>Dissolved Iron</t>
  </si>
  <si>
    <t>Dissolved Magnesium</t>
  </si>
  <si>
    <t>Dissolved Molybdenum</t>
  </si>
  <si>
    <t>Dissolved Phosphorus</t>
  </si>
  <si>
    <t>Dissolved Selenium</t>
  </si>
  <si>
    <t>Dissolved Sulfide</t>
  </si>
  <si>
    <t>Dissolved Thallium</t>
  </si>
  <si>
    <t>Duration of Discharge</t>
  </si>
  <si>
    <t>Endosulfan</t>
  </si>
  <si>
    <t>Endosulfan Sulfate</t>
  </si>
  <si>
    <t>Endrin</t>
  </si>
  <si>
    <t>Endrin Aldehyde</t>
  </si>
  <si>
    <t>Ethanol</t>
  </si>
  <si>
    <t>Ethyl Acetate</t>
  </si>
  <si>
    <t>Ethylbenzene</t>
  </si>
  <si>
    <t>Ethylene Glycol</t>
  </si>
  <si>
    <t>Filter Backwash Discharges/Day</t>
  </si>
  <si>
    <t>Fluoranthene</t>
  </si>
  <si>
    <t>Fluorene</t>
  </si>
  <si>
    <t>Fluoride</t>
  </si>
  <si>
    <t>Fluoroborates</t>
  </si>
  <si>
    <t>Formaldehyde</t>
  </si>
  <si>
    <t>Free Available Chlorine</t>
  </si>
  <si>
    <t>Free Available Cyanide</t>
  </si>
  <si>
    <t>gamma-BHC</t>
  </si>
  <si>
    <t>Gasoline Range Organics</t>
  </si>
  <si>
    <t>Gross Alpha Radioactivity</t>
  </si>
  <si>
    <t>Total Hardness (as CaCO3)</t>
  </si>
  <si>
    <t>Heat Rejection Rate (MBTUs/day)</t>
  </si>
  <si>
    <t>Heat Rejection Rate (MBTUs/hr)</t>
  </si>
  <si>
    <t>Hemitite Production</t>
  </si>
  <si>
    <t>Heptachlor</t>
  </si>
  <si>
    <t>Heptachlor Epoxide</t>
  </si>
  <si>
    <t>Heptane</t>
  </si>
  <si>
    <t>Hexachlorobenzene</t>
  </si>
  <si>
    <t>Hexachlorobutadiene</t>
  </si>
  <si>
    <t>Hexachlorocyclopentadiene</t>
  </si>
  <si>
    <t>Hexachloroethane</t>
  </si>
  <si>
    <t>Hexane</t>
  </si>
  <si>
    <t>Hexavalent Chromium</t>
  </si>
  <si>
    <t>Hourly Temperature Change</t>
  </si>
  <si>
    <t>Hydrazine</t>
  </si>
  <si>
    <t>Hydrogen Peroxide</t>
  </si>
  <si>
    <t>Hydrogen Sulfide</t>
  </si>
  <si>
    <t>Indeno(1,2,3-cd)Pyrene</t>
  </si>
  <si>
    <t>Isobutyraldehyde</t>
  </si>
  <si>
    <t>Isooctane</t>
  </si>
  <si>
    <t>Isophorone</t>
  </si>
  <si>
    <t>Isopropanol</t>
  </si>
  <si>
    <t>Isopropyl Acetate</t>
  </si>
  <si>
    <t>Isopropyl Ether</t>
  </si>
  <si>
    <t>Kappa Number</t>
  </si>
  <si>
    <t>MBAS</t>
  </si>
  <si>
    <t>m-Benzenedisulfonic Acid</t>
  </si>
  <si>
    <t>Methyl Bromide</t>
  </si>
  <si>
    <t>Methyl Cellosolve</t>
  </si>
  <si>
    <t>Methyl Chloride</t>
  </si>
  <si>
    <t>Methyl Cyclopentane</t>
  </si>
  <si>
    <t>Methyl Ethyl Ketone</t>
  </si>
  <si>
    <t>Methyl Formate</t>
  </si>
  <si>
    <t>Methyl Isobutyl Ketone</t>
  </si>
  <si>
    <t>Methylene Chloride</t>
  </si>
  <si>
    <t>Metolachlor</t>
  </si>
  <si>
    <t>Minimum Stream Flow</t>
  </si>
  <si>
    <t>Mirex</t>
  </si>
  <si>
    <t>MTBE</t>
  </si>
  <si>
    <t xml:space="preserve">% </t>
  </si>
  <si>
    <t>If your permit contains limits in terms of micrograms, nanograms or picograms per liter (μg/l, ng/l or pg/l), please convert this to mg/l for entry into the Limits worksheet.</t>
  </si>
  <si>
    <t>Chesapeake Bay nutrient parameters for Total Monthly Loading statistics (e.g., Total Nitrogen, parameter code 51445) cannot be selected on the Limits worksheet.  However, you can select the concentration-based parameter that is equivalent (e.g., Total Nitrogen, parameter code 600), enter flows and concentration values, and Total Monthly Loading statistics will be calculated.</t>
  </si>
  <si>
    <t>N-(Methylpropylidenepropamine)</t>
  </si>
  <si>
    <t>N,N-Dimethyl-1-Butanamine</t>
  </si>
  <si>
    <t>N,N-Dimethylacetamide</t>
  </si>
  <si>
    <t>N,N-Dimethylaniline</t>
  </si>
  <si>
    <t>Nalco Macrotrol 9210</t>
  </si>
  <si>
    <t>n-Amyl Acetate</t>
  </si>
  <si>
    <t>Naphthalene</t>
  </si>
  <si>
    <t>n-Butyl Acetate</t>
  </si>
  <si>
    <t>n-Butylbenzene</t>
  </si>
  <si>
    <t>n-Decane</t>
  </si>
  <si>
    <t>N-Ethylaniline</t>
  </si>
  <si>
    <t>N-Ethylbenzenamine</t>
  </si>
  <si>
    <t>Nitrobenzene</t>
  </si>
  <si>
    <t>N-Methylbenzenamine</t>
  </si>
  <si>
    <t>N-Nitrosodimethylamine</t>
  </si>
  <si>
    <t>N-Nitrosodi-N-Propylamine</t>
  </si>
  <si>
    <t>N-Nitrosodiphenylamine</t>
  </si>
  <si>
    <t>n-Octadecane</t>
  </si>
  <si>
    <t>n-Octane</t>
  </si>
  <si>
    <t>n-Propyl Bromide</t>
  </si>
  <si>
    <t>n-Propylbenzene</t>
  </si>
  <si>
    <t>o-Cresol</t>
  </si>
  <si>
    <t>Octachlorocyclopentene</t>
  </si>
  <si>
    <t>Oil and Grease</t>
  </si>
  <si>
    <t>Orthophosphate</t>
  </si>
  <si>
    <t>Osmotic Pressure</t>
  </si>
  <si>
    <t>Oxalic Acid</t>
  </si>
  <si>
    <t>Ozone, Residual</t>
  </si>
  <si>
    <t>Particulate Organic Carbon</t>
  </si>
  <si>
    <t>PCB-1016</t>
  </si>
  <si>
    <t>PCB-1221</t>
  </si>
  <si>
    <t>PCB-1232</t>
  </si>
  <si>
    <t>PCB-1242</t>
  </si>
  <si>
    <t>PCB-1248</t>
  </si>
  <si>
    <t>PCB-1254</t>
  </si>
  <si>
    <t>PCB-1260</t>
  </si>
  <si>
    <t>PCBs (Dry Weather)</t>
  </si>
  <si>
    <t>PCBs (Wet Weather)</t>
  </si>
  <si>
    <t>P-Chloroaniline</t>
  </si>
  <si>
    <t>p-Chloro-m-Cresol</t>
  </si>
  <si>
    <t>p-Cresol</t>
  </si>
  <si>
    <t>Pentachlorobenzene</t>
  </si>
  <si>
    <t>Pentachlorophenol</t>
  </si>
  <si>
    <t>Phenanthrene</t>
  </si>
  <si>
    <t>Phenol</t>
  </si>
  <si>
    <t>Phthalic Anhydride</t>
  </si>
  <si>
    <t>Polybrominated Biphenyls</t>
  </si>
  <si>
    <t>PAHs</t>
  </si>
  <si>
    <t>Potassium Permanganate</t>
  </si>
  <si>
    <t>p-Phenolsulfonic acid</t>
  </si>
  <si>
    <t>Propionic Acid</t>
  </si>
  <si>
    <t>Propylene Glycol</t>
  </si>
  <si>
    <t>Purgeable Aromatics (Method 602)</t>
  </si>
  <si>
    <t>Purgeable Halocarbons</t>
  </si>
  <si>
    <t>p-Xylene</t>
  </si>
  <si>
    <t>Pyrene</t>
  </si>
  <si>
    <t>Pyridine</t>
  </si>
  <si>
    <t>Radium-226 and Radium-228</t>
  </si>
  <si>
    <t>Rainfall (in)</t>
  </si>
  <si>
    <t>Resorcinol</t>
  </si>
  <si>
    <t>Specific Conductance</t>
  </si>
  <si>
    <t>Spectrus CT 1300</t>
  </si>
  <si>
    <t>Spectrus OX 1200</t>
  </si>
  <si>
    <t>Spinosad (DE-105)</t>
  </si>
  <si>
    <t>Stream Flow, End of Discharge</t>
  </si>
  <si>
    <t>Stream Flow, Start of Discharge</t>
  </si>
  <si>
    <t>Styrene</t>
  </si>
  <si>
    <t>Sulfate</t>
  </si>
  <si>
    <t>Sulfite</t>
  </si>
  <si>
    <t>Surfynol 104E</t>
  </si>
  <si>
    <t>Syltherm</t>
  </si>
  <si>
    <t>t-Amyl Methyl Ether</t>
  </si>
  <si>
    <t>t-Butyl Alcohol</t>
  </si>
  <si>
    <t>Temperature</t>
  </si>
  <si>
    <t>Temperature Delta (Discharge - Intake)</t>
  </si>
  <si>
    <t>Tetrachlorocatechol</t>
  </si>
  <si>
    <t>Tetrachloroethylene</t>
  </si>
  <si>
    <t>Tetrachloroguaiacol</t>
  </si>
  <si>
    <t>Tetrahydrofuran</t>
  </si>
  <si>
    <t>Tetramethylurea</t>
  </si>
  <si>
    <t>Toluene</t>
  </si>
  <si>
    <t>Total Acidity (as CaCO3)</t>
  </si>
  <si>
    <t>Total Alkalinity (as CaCO3)</t>
  </si>
  <si>
    <t>Total Aluminum</t>
  </si>
  <si>
    <t>Total Antimony</t>
  </si>
  <si>
    <t>Total Arsenic</t>
  </si>
  <si>
    <t>Total Barium</t>
  </si>
  <si>
    <t>Total Beryllium</t>
  </si>
  <si>
    <t>Total Beta</t>
  </si>
  <si>
    <t>Total Boron</t>
  </si>
  <si>
    <t>Total BTEX</t>
  </si>
  <si>
    <t>Total Cadmium</t>
  </si>
  <si>
    <t>Total Calcium</t>
  </si>
  <si>
    <t>Total Chlorides and sulfates</t>
  </si>
  <si>
    <t>Total Chromium</t>
  </si>
  <si>
    <t>Total Chromium (III)</t>
  </si>
  <si>
    <t>Total Cobalt</t>
  </si>
  <si>
    <t>Total Coliform</t>
  </si>
  <si>
    <t>Total Copper</t>
  </si>
  <si>
    <t>Total Cyanide</t>
  </si>
  <si>
    <t>Total DDT</t>
  </si>
  <si>
    <t>TDS</t>
  </si>
  <si>
    <t>Total Glycol</t>
  </si>
  <si>
    <t>Total Gold</t>
  </si>
  <si>
    <t>Total Iron</t>
  </si>
  <si>
    <t>Total Lead</t>
  </si>
  <si>
    <t>Total Lithium</t>
  </si>
  <si>
    <t>Total Magnesium</t>
  </si>
  <si>
    <t>Total Manganese</t>
  </si>
  <si>
    <t>Total Mercury</t>
  </si>
  <si>
    <t>Total Methanol</t>
  </si>
  <si>
    <t>Total Molybdenum</t>
  </si>
  <si>
    <t>Total Nickel</t>
  </si>
  <si>
    <t>Total Organic Carbon</t>
  </si>
  <si>
    <t>Total Palladium</t>
  </si>
  <si>
    <t>Total PCBs</t>
  </si>
  <si>
    <t>Total Phenolics</t>
  </si>
  <si>
    <t>Total Phospate</t>
  </si>
  <si>
    <t>Total Platinum</t>
  </si>
  <si>
    <t>Total Potassium</t>
  </si>
  <si>
    <t>Total Priority Pollutants</t>
  </si>
  <si>
    <t>Total Purgeable Organics</t>
  </si>
  <si>
    <t>Total Residual Halogens</t>
  </si>
  <si>
    <t>Total Residual Oxidants</t>
  </si>
  <si>
    <t>Total Selenium</t>
  </si>
  <si>
    <t>Total Silver</t>
  </si>
  <si>
    <t>Total Sodium</t>
  </si>
  <si>
    <t>Total Solids</t>
  </si>
  <si>
    <t>Total Strontium</t>
  </si>
  <si>
    <t>Total Sulfide</t>
  </si>
  <si>
    <t>Total Tantalum</t>
  </si>
  <si>
    <t>Total Tellurium</t>
  </si>
  <si>
    <t>Total Thallium</t>
  </si>
  <si>
    <t>Total Tin</t>
  </si>
  <si>
    <t>Total Titanium</t>
  </si>
  <si>
    <t>Total Toxic Organics</t>
  </si>
  <si>
    <t>Total Tritium</t>
  </si>
  <si>
    <t>Total Tungsten</t>
  </si>
  <si>
    <t>Total Vanadium</t>
  </si>
  <si>
    <t>Total Volume</t>
  </si>
  <si>
    <t>Total Xylenes</t>
  </si>
  <si>
    <t>Total Zinc</t>
  </si>
  <si>
    <t>Toxaphene</t>
  </si>
  <si>
    <t>trans-1,2-Dichloroethylene</t>
  </si>
  <si>
    <t>trans-1,3-Dichloropropene</t>
  </si>
  <si>
    <t>Tributylamine</t>
  </si>
  <si>
    <t>Trichloroethylene</t>
  </si>
  <si>
    <t>Trichlorofluoromethane</t>
  </si>
  <si>
    <t>Trichlorosyringol</t>
  </si>
  <si>
    <t>Triethylamine</t>
  </si>
  <si>
    <t>Trihalomethanes</t>
  </si>
  <si>
    <t>Trimethyl Benzene</t>
  </si>
  <si>
    <t>Trimethylorthoacetate</t>
  </si>
  <si>
    <t>Trimethylorthoformate</t>
  </si>
  <si>
    <t>Tripropylorthoformate</t>
  </si>
  <si>
    <t>Tris(2,3-Dibromopropyl)Phosphate</t>
  </si>
  <si>
    <t>TRPH</t>
  </si>
  <si>
    <t>TSS % Removal</t>
  </si>
  <si>
    <t>Turbidity</t>
  </si>
  <si>
    <t>Ultimate Oxygen Demand</t>
  </si>
  <si>
    <t>Urea</t>
  </si>
  <si>
    <t>UV Dosage</t>
  </si>
  <si>
    <t>UV Intensity</t>
  </si>
  <si>
    <t>UV Transmittance</t>
  </si>
  <si>
    <t>Vinyl Chloride</t>
  </si>
  <si>
    <t xml:space="preserve">Parameter </t>
  </si>
  <si>
    <t xml:space="preserve">Stage </t>
  </si>
  <si>
    <t>Step 3 - determine max avg wkly conc statistics</t>
  </si>
  <si>
    <t>No. Results (Month)</t>
  </si>
  <si>
    <t>Sum (Week 1)</t>
  </si>
  <si>
    <t>Sum (Month)</t>
  </si>
  <si>
    <t>All Results &lt; (Month)</t>
  </si>
  <si>
    <t>Sum (Week 2)</t>
  </si>
  <si>
    <t>Sum (Week 3)</t>
  </si>
  <si>
    <t>Sum (Week 4)</t>
  </si>
  <si>
    <t>Sum (Week 5)</t>
  </si>
  <si>
    <t>Use &gt; symbol for Geo Mean</t>
  </si>
  <si>
    <t>Sum</t>
  </si>
  <si>
    <t>Step 7 - transform data for bacteria "&gt;" results</t>
  </si>
  <si>
    <t>Use &gt; for Max?</t>
  </si>
  <si>
    <t>Use &gt; for Min?</t>
  </si>
  <si>
    <t>Limits Worksheet</t>
  </si>
  <si>
    <t>1.</t>
  </si>
  <si>
    <t>2.</t>
  </si>
  <si>
    <t>3.</t>
  </si>
  <si>
    <t>Paper and electronic DMRs contain five columns or fields for data entry.  In the Limits worksheet, the columns are named "Load 1", "Load 2", "Conc 1", "Conc 2", and "Conc 3".  Enter permit limit values in the row for "LIMIT" and the appropriate column.  If there is a "Monitor &amp; Report" requirement only, type "Report".  If there is no limit or monitoring required for the column, leave it blank.  You can also select Statistical Codes from the lists below each limit field, though this is not required.</t>
  </si>
  <si>
    <t>Enter Facility Name, Municipality, County (select from list), Watershed No., Month (select number from list), Year (select from list), Permit No., and Permit Expiration Date (leave blank if not applicable).  Also, report all laboratories where samples were analyzed during the month, including on-site analysis.</t>
  </si>
  <si>
    <t>If you have entered a limit value for either Load 1 or Load 2 for a parameter, you must select a value for Units in the "Quantity or Loading" column.  If you have entered a limit value for either Conc 1, Conc 2 or Conc 3 for a parameter, you must select a value for Units in the "Quality or Concentration" column.  If a parameter does not, for example, have a limit value (including "Report") for Load 1 or Load 2, the Units value may remain blank.</t>
  </si>
  <si>
    <t>4.</t>
  </si>
  <si>
    <t>In the column named "Parameter / Stage", select each parameter and its associated stage (monitoring location) from your permit or eDMR report that corresponds to the selected Outfall.  Parameter names include the Parameter Code in parentheses.  Common parameters are listed first, and then are listed alphabetically.  Up to 30 parameters, including Flow, can be selected per Outfall.  Stage names include the Stage Code in parentheses.  Codes are shown to help you match your selections with the eDMR data entry screen.  In the event a parameter or stage on your eDMR report is not available, please contact DEP at (717) 787-6744.  It is assumed that Flow - Final Effluent is in your permit.  This assumption is necessary for loading calculations, where applicable.  If you are not required to measure flow in your permit for the outfall, please ignore it.  If you are required to monitor a bacterial parameter (e.g., Fecal Coliform), it is recommended that you select this parameter immediately below "Flow" as explained below (No. 3, Daily Effluent Monitoring Worksheet).</t>
  </si>
  <si>
    <t>Parameters (abbreviated), stages (stage code), and units will be displayed in the order selected on the Limits worksheet.  The Qualifier ("Q") columns allow you to select the "&lt;" symbol.  In addition, the first "Q" column to the right of Flow allows you to select the "&lt;" symbol as well as the "&gt;" symbol.  By policy, DEP accepts the use of the "&gt;" symbol only for bacterial results.  Therefore, if you have a bacterial parameter in your permit, it is recommended that you select it after Flow in the Limits worksheet.</t>
  </si>
  <si>
    <t>5.</t>
  </si>
  <si>
    <t>6.</t>
  </si>
  <si>
    <t>Notes:</t>
  </si>
  <si>
    <t>Enter the Outfall Number from your permit or eDMR report.</t>
  </si>
  <si>
    <t>N-Nitrosodimethylamine (34438)</t>
  </si>
  <si>
    <t>N-Nitrosodi-N-Propylamine (34428)</t>
  </si>
  <si>
    <t>*****</t>
  </si>
  <si>
    <t>Ch 16 DL</t>
  </si>
  <si>
    <t>Reference Data</t>
  </si>
  <si>
    <t>&lt; Ch 16 DL Flag</t>
  </si>
  <si>
    <t>Ch16DLmg/l</t>
  </si>
  <si>
    <t>N-Nitrosodiphenylamine (34433)</t>
  </si>
  <si>
    <t>n-Octadecane (77804)</t>
  </si>
  <si>
    <t>n-Octane (77183)</t>
  </si>
  <si>
    <t>n-Propyl Bromide (51572)</t>
  </si>
  <si>
    <t>n-Propylbenzene (77224)</t>
  </si>
  <si>
    <t>o-Cresol (51046)</t>
  </si>
  <si>
    <t>Octachlorocyclopentene (77889)</t>
  </si>
  <si>
    <t>Oil and Grease (556)</t>
  </si>
  <si>
    <t>Orthophosphate (4175)</t>
  </si>
  <si>
    <t>Osmotic Pressure (82550)</t>
  </si>
  <si>
    <t>Oxalic Acid (77081)</t>
  </si>
  <si>
    <t>Ozone, Residual (387)</t>
  </si>
  <si>
    <t>Particulate Organic Carbon (51599)</t>
  </si>
  <si>
    <t>PCB-1016 (34671)</t>
  </si>
  <si>
    <t>PCB-1221 (39488)</t>
  </si>
  <si>
    <t>PCB-1232 (39492)</t>
  </si>
  <si>
    <t>PCB-1242 (39496)</t>
  </si>
  <si>
    <t>PCB-1248 (39500)</t>
  </si>
  <si>
    <t>PCB-1254 (39504)</t>
  </si>
  <si>
    <t>PCB-1260 (39508)</t>
  </si>
  <si>
    <t>PCBs (Dry Weather) (51557)</t>
  </si>
  <si>
    <t>PCBs (Wet Weather) (51556)</t>
  </si>
  <si>
    <t>P-Chloroaniline (73529)</t>
  </si>
  <si>
    <t>p-Chloro-m-Cresol (34452)</t>
  </si>
  <si>
    <t>p-Cresol (77146)</t>
  </si>
  <si>
    <t>Pentachlorobenzene (77793)</t>
  </si>
  <si>
    <t>Pentachlorophenol (39032)</t>
  </si>
  <si>
    <t>Phenanthrene (34461)</t>
  </si>
  <si>
    <t>Phenol (34694)</t>
  </si>
  <si>
    <t>Phthalic Anhydride (77453)</t>
  </si>
  <si>
    <t>Polybrominated Biphenyls (39521)</t>
  </si>
  <si>
    <t>Polynuclear Aromatic Hydrocarbons (22456)</t>
  </si>
  <si>
    <t>Potassium Permanganate (51068)</t>
  </si>
  <si>
    <t>p-Phenolsulfonic acid (51340)</t>
  </si>
  <si>
    <t>Propionic Acid (77031)</t>
  </si>
  <si>
    <t>Propylene Glycol (61163)</t>
  </si>
  <si>
    <t>Purgeable Aromatics (Method 602) (3771)</t>
  </si>
  <si>
    <t>Purgeable Halocarbons (39084)</t>
  </si>
  <si>
    <t>p-Xylene (34728)</t>
  </si>
  <si>
    <t>Pyrene (34469)</t>
  </si>
  <si>
    <t>Pyridine (77045)</t>
  </si>
  <si>
    <t>Radium-226 and Radium-228, Total (11503)</t>
  </si>
  <si>
    <t>Rainfall (in) (46529)</t>
  </si>
  <si>
    <t>Resorcinol (77164)</t>
  </si>
  <si>
    <t>Specific Conductance (95)</t>
  </si>
  <si>
    <t>Spectrus CT 1300 (51030)</t>
  </si>
  <si>
    <t>Spectrus OX 1200 (51497)</t>
  </si>
  <si>
    <t>Spinosad (DE-105) (51006)</t>
  </si>
  <si>
    <t>Stream Flow, End of Discharge (51579)</t>
  </si>
  <si>
    <t>Stream Flow, Start of Discharge (51578)</t>
  </si>
  <si>
    <t>Styrene (81708)</t>
  </si>
  <si>
    <t>Sulfate (945)</t>
  </si>
  <si>
    <t>Sulfite (740)</t>
  </si>
  <si>
    <t>Surfynol 104E (51176)</t>
  </si>
  <si>
    <t>Syltherm (51075)</t>
  </si>
  <si>
    <t>t-Amyl Methyl Ether (22421)</t>
  </si>
  <si>
    <t>t-Butyl Alcohol (51071)</t>
  </si>
  <si>
    <t>Temperature (°F) (11)</t>
  </si>
  <si>
    <t>Temperature Delta (Discharge - Intake) (°F) (18)</t>
  </si>
  <si>
    <t>Tetrachlorocatechol (73050)</t>
  </si>
  <si>
    <t>Tetrachloroethylene (34475)</t>
  </si>
  <si>
    <t>Tetrachloroguaiacol (73047)</t>
  </si>
  <si>
    <t>Tetrahydrofuran (81607)</t>
  </si>
  <si>
    <t>Tetramethylurea (49890)</t>
  </si>
  <si>
    <t>Toluene (34010)</t>
  </si>
  <si>
    <t>Total Acidity (as CaCO3) (435)</t>
  </si>
  <si>
    <t>Total Alkalinity (as CaCO3) (410)</t>
  </si>
  <si>
    <t>Total Aluminum (1105)</t>
  </si>
  <si>
    <t>Total Antimony (1097)</t>
  </si>
  <si>
    <t>Total Arsenic (1002)</t>
  </si>
  <si>
    <t>Total Barium (1007)</t>
  </si>
  <si>
    <t>Total Beryllium (1012)</t>
  </si>
  <si>
    <t>Total Beta (3501)</t>
  </si>
  <si>
    <t>Total Boron (1022)</t>
  </si>
  <si>
    <t>Total BTEX (30383)</t>
  </si>
  <si>
    <t>Total Cadmium (1027)</t>
  </si>
  <si>
    <t>Total Calcium (916)</t>
  </si>
  <si>
    <t>Total Chlorides and sulfates (82209)</t>
  </si>
  <si>
    <t>Total Chromium (1034)</t>
  </si>
  <si>
    <t>Total Chromium (III) (1033)</t>
  </si>
  <si>
    <t>Total Cobalt (1037)</t>
  </si>
  <si>
    <t>Total Coliform (74056)</t>
  </si>
  <si>
    <t>Total Copper (1042)</t>
  </si>
  <si>
    <t>Total Cyanide (720)</t>
  </si>
  <si>
    <t>Total DDT (39370)</t>
  </si>
  <si>
    <t>Total Dissolved Solids (70295)</t>
  </si>
  <si>
    <t>Total Glycol (49489)</t>
  </si>
  <si>
    <t>Total Gold (71910)</t>
  </si>
  <si>
    <t>Average Weekly Statistics</t>
  </si>
  <si>
    <t>Week 1 (Conc):</t>
  </si>
  <si>
    <t>Week 2 (Conc):</t>
  </si>
  <si>
    <t>Week 3 (Conc):</t>
  </si>
  <si>
    <t>Week 4 (Conc):</t>
  </si>
  <si>
    <t>Week 5 (Conc):</t>
  </si>
  <si>
    <t>Week 1 (Load):</t>
  </si>
  <si>
    <t>Week 2 (Load):</t>
  </si>
  <si>
    <t>Week 3 (Load):</t>
  </si>
  <si>
    <t>Week 4 (Load):</t>
  </si>
  <si>
    <t>Week 5 (Load):</t>
  </si>
  <si>
    <t>Total Iron (1045)</t>
  </si>
  <si>
    <t>Total Kjeldahl Nitrogen (625)</t>
  </si>
  <si>
    <t>Total Lead (1051)</t>
  </si>
  <si>
    <t>Total Lithium (1132)</t>
  </si>
  <si>
    <t>Total Magnesium (927)</t>
  </si>
  <si>
    <t>Total Manganese (1055)</t>
  </si>
  <si>
    <t>Total Mercury (71900)</t>
  </si>
  <si>
    <t>Total Methanol (77885)</t>
  </si>
  <si>
    <t>Total Molybdenum (1062)</t>
  </si>
  <si>
    <t>Total Nickel (1067)</t>
  </si>
  <si>
    <t>Total Organic Carbon (680)</t>
  </si>
  <si>
    <t>Total Palladium (1210)</t>
  </si>
  <si>
    <t>Total PCBs (39516)</t>
  </si>
  <si>
    <t>Total Phenolics (32730)</t>
  </si>
  <si>
    <t>Total Phospate (650)</t>
  </si>
  <si>
    <t>Total Platinum (1171)</t>
  </si>
  <si>
    <t>Total Potassium (937)</t>
  </si>
  <si>
    <t>Total Priority Pollutants (50008)</t>
  </si>
  <si>
    <t>Total Purgeable Organics (76029)</t>
  </si>
  <si>
    <t>Total Residual Halogens (61194)</t>
  </si>
  <si>
    <t>Total Residual Oxidants (34044)</t>
  </si>
  <si>
    <t>Total Selenium (1147)</t>
  </si>
  <si>
    <t>Total Silver (1077)</t>
  </si>
  <si>
    <t>Total Sodium (929)</t>
  </si>
  <si>
    <t>Total Solids (500)</t>
  </si>
  <si>
    <t>Total Strontium (1082)</t>
  </si>
  <si>
    <t>Total Sulfide (745)</t>
  </si>
  <si>
    <t>Total Tantalum (82318)</t>
  </si>
  <si>
    <t>Total Tellurium (1064)</t>
  </si>
  <si>
    <t>Total Thallium (1059)</t>
  </si>
  <si>
    <t>Total Tin (1102)</t>
  </si>
  <si>
    <t>Total Titanium (1152)</t>
  </si>
  <si>
    <t>Total Toxic Organics (78141)</t>
  </si>
  <si>
    <t>Total Tritium (82126)</t>
  </si>
  <si>
    <t>Total Tungsten (1154)</t>
  </si>
  <si>
    <t>Total Vanadium (1087)</t>
  </si>
  <si>
    <t>Total Volume (52370)</t>
  </si>
  <si>
    <t>Total Xylenes (81551)</t>
  </si>
  <si>
    <t>Total Zinc (1092)</t>
  </si>
  <si>
    <t>Toxaphene (39400)</t>
  </si>
  <si>
    <t>trans-1,2-Dichloroethylene (34546)</t>
  </si>
  <si>
    <t>trans-1,3-Dichloropropene (34699)</t>
  </si>
  <si>
    <t>Tributylamine (78734)</t>
  </si>
  <si>
    <t>Trichloroethylene (39180)</t>
  </si>
  <si>
    <t>Trichlorofluoromethane (34488)</t>
  </si>
  <si>
    <t>Trichlorosyringol (73054)</t>
  </si>
  <si>
    <t>Triethylamine (77111)</t>
  </si>
  <si>
    <t>Trihalomethanes (82080)</t>
  </si>
  <si>
    <t>Trimethyl Benzene (78136)</t>
  </si>
  <si>
    <t>Trimethylorthoacetate (50022)</t>
  </si>
  <si>
    <t>Trimethylorthoformate (51076)</t>
  </si>
  <si>
    <t>Tripropylorthoformate (50021)</t>
  </si>
  <si>
    <t>Tris(2,3-Dibromopropyl)Phosphate (22410)</t>
  </si>
  <si>
    <t>TRPH (45501)</t>
  </si>
  <si>
    <t>TSS % Removal (81011)</t>
  </si>
  <si>
    <t>Turbidity (NTU) (70)</t>
  </si>
  <si>
    <t>Ultimate Oxygen Demand (181)</t>
  </si>
  <si>
    <t>Urea (71800)</t>
  </si>
  <si>
    <t>UV Dosage (61938)</t>
  </si>
  <si>
    <t>UV Intensity (49607)</t>
  </si>
  <si>
    <t>UV Transmittance (%) (51043)</t>
  </si>
  <si>
    <t>Vinyl Chloride (39175)</t>
  </si>
  <si>
    <t>Ambient (=)</t>
  </si>
  <si>
    <t>Intake (0)</t>
  </si>
  <si>
    <t>Intake - Day 1 thru 15 (0B)</t>
  </si>
  <si>
    <t>Intake - Day 16 thru End of Month (0E)</t>
  </si>
  <si>
    <t>Final Effluent (1)</t>
  </si>
  <si>
    <t>Effluent Net (2)</t>
  </si>
  <si>
    <t>Downstream Monitoring (6)</t>
  </si>
  <si>
    <t>Prior to Disinfection (B )</t>
  </si>
  <si>
    <t>Final Effluent - Day 1 thru 15 (BM)</t>
  </si>
  <si>
    <t>Final Effluent - Day 16 thru End of Month (EM)</t>
  </si>
  <si>
    <t>Influent (G )</t>
  </si>
  <si>
    <t>Groundwater (G2)</t>
  </si>
  <si>
    <t>Industrial Influent (II)</t>
  </si>
  <si>
    <t>Instream Monitoring (IM)</t>
  </si>
  <si>
    <t>Percent Removal (K )</t>
  </si>
  <si>
    <t>Prior to Irrigation (PI)</t>
  </si>
  <si>
    <t>Prior to Reuse (PR)</t>
  </si>
  <si>
    <t>Internal Monitoring Point (R )</t>
  </si>
  <si>
    <t>Raw Sewage Influent (RI)</t>
  </si>
  <si>
    <t>Other Stormwater (SW)</t>
  </si>
  <si>
    <t>Average</t>
  </si>
  <si>
    <t>Average Monthly</t>
  </si>
  <si>
    <t>Daily Average</t>
  </si>
  <si>
    <t>Daily Minimum</t>
  </si>
  <si>
    <t>Daily Maximum</t>
  </si>
  <si>
    <t>Daily Minimum Average</t>
  </si>
  <si>
    <t>Geometric Mean</t>
  </si>
  <si>
    <t>Instantaneous Maximum</t>
  </si>
  <si>
    <t>Instantaneous Minimum</t>
  </si>
  <si>
    <t>Maximum</t>
  </si>
  <si>
    <t>Minimum Monthly % Removal</t>
  </si>
  <si>
    <t>Minimum</t>
  </si>
  <si>
    <t>Total Monthly</t>
  </si>
  <si>
    <t>Weekly Average</t>
  </si>
  <si>
    <t>Load 2</t>
  </si>
  <si>
    <t>Conc 1</t>
  </si>
  <si>
    <t>Conc 2</t>
  </si>
  <si>
    <t>Conc 3</t>
  </si>
  <si>
    <t>lbs/mo</t>
  </si>
  <si>
    <t>CFU/100 ml</t>
  </si>
  <si>
    <t>mjoule/cm²</t>
  </si>
  <si>
    <t>minutes</t>
  </si>
  <si>
    <t>(Note - Flow is assumed.  If it does not apply, please ignore).</t>
  </si>
  <si>
    <t>Month:</t>
  </si>
  <si>
    <t>Year:</t>
  </si>
  <si>
    <t xml:space="preserve"> </t>
  </si>
  <si>
    <t>Week</t>
  </si>
  <si>
    <t>Date</t>
  </si>
  <si>
    <t>Facility Name:</t>
  </si>
  <si>
    <t>Municipality:</t>
  </si>
  <si>
    <t>County:</t>
  </si>
  <si>
    <t>Outfall:</t>
  </si>
  <si>
    <t>Watershed:</t>
  </si>
  <si>
    <t>Prepared By:</t>
  </si>
  <si>
    <t>License No.:</t>
  </si>
  <si>
    <t>Title:</t>
  </si>
  <si>
    <t>Date:</t>
  </si>
  <si>
    <t xml:space="preserve"> Day</t>
  </si>
  <si>
    <t>SUPPLEMENTAL REPORT</t>
  </si>
  <si>
    <t>Permit No.:</t>
  </si>
  <si>
    <t>INSTRUCTIONS FOR COMPLETING</t>
  </si>
  <si>
    <t>Type the name of the person who prepared the form, the person's job title, DEP License No. (if applicable), and date the form was completed after reading the certification statement.</t>
  </si>
  <si>
    <t>DAILY EFFLUENT MONITORING</t>
  </si>
  <si>
    <t>Flow</t>
  </si>
  <si>
    <t>MGD</t>
  </si>
  <si>
    <t>mg/L</t>
  </si>
  <si>
    <t>µg/L</t>
  </si>
  <si>
    <t>ng/L</t>
  </si>
  <si>
    <t>pg/L</t>
  </si>
  <si>
    <t>S.U.</t>
  </si>
  <si>
    <t>ºF</t>
  </si>
  <si>
    <t>°F/hr</t>
  </si>
  <si>
    <t>ºC</t>
  </si>
  <si>
    <t>MBTUs/day</t>
  </si>
  <si>
    <t>MBTUs/hr</t>
  </si>
  <si>
    <t>%</t>
  </si>
  <si>
    <t>TUa</t>
  </si>
  <si>
    <t>TUc</t>
  </si>
  <si>
    <t>CFU/100 mL</t>
  </si>
  <si>
    <t>No.</t>
  </si>
  <si>
    <t>Pt-Co Units</t>
  </si>
  <si>
    <r>
      <t>mjoules/cm</t>
    </r>
    <r>
      <rPr>
        <vertAlign val="superscript"/>
        <sz val="8"/>
        <rFont val="Arial"/>
        <family val="2"/>
      </rPr>
      <t>2</t>
    </r>
  </si>
  <si>
    <t>mOs/kg</t>
  </si>
  <si>
    <t>NTU</t>
  </si>
  <si>
    <t>µmhos/cm</t>
  </si>
  <si>
    <t>cfs</t>
  </si>
  <si>
    <t>gal</t>
  </si>
  <si>
    <t>pCi/L</t>
  </si>
  <si>
    <t>mg/kg</t>
  </si>
  <si>
    <t>µg/kg</t>
  </si>
  <si>
    <t>tons/day</t>
  </si>
  <si>
    <t>hours</t>
  </si>
  <si>
    <t>SVI</t>
  </si>
  <si>
    <t>&lt;</t>
  </si>
  <si>
    <t>&gt;</t>
  </si>
  <si>
    <t>Q</t>
  </si>
  <si>
    <t>SU</t>
  </si>
  <si>
    <t>C1</t>
  </si>
  <si>
    <t>C2</t>
  </si>
  <si>
    <t>lbs</t>
  </si>
  <si>
    <t>lbs/day</t>
  </si>
  <si>
    <t>Parameter</t>
  </si>
  <si>
    <t xml:space="preserve">Total Monthly (Load):  </t>
  </si>
  <si>
    <t xml:space="preserve">Max Avg Weekly (Load):  </t>
  </si>
  <si>
    <t xml:space="preserve">Avg Monthly (Load):  </t>
  </si>
  <si>
    <t xml:space="preserve">Daily Maximum (Conc):   </t>
  </si>
  <si>
    <t xml:space="preserve">Daily Maximum (Load):   </t>
  </si>
  <si>
    <t xml:space="preserve">Daily Minimum (Conc.):   </t>
  </si>
  <si>
    <t xml:space="preserve">Daily Minimum (Load):   </t>
  </si>
  <si>
    <t>At Least 1 &lt; (Week 1)</t>
  </si>
  <si>
    <t>At Least 1 &lt; (Week 2)</t>
  </si>
  <si>
    <t>At Least 1 &lt; (Week 3)</t>
  </si>
  <si>
    <t>At Least 1 &lt; (Week 4)</t>
  </si>
  <si>
    <t>At Least 1 &lt; (Week 5)</t>
  </si>
  <si>
    <t>At Least 1 &lt; (Month)</t>
  </si>
  <si>
    <t>&gt; for Bacteria only (2nd column)</t>
  </si>
  <si>
    <t>Week 1 Adj</t>
  </si>
  <si>
    <t>Week 2 Adj</t>
  </si>
  <si>
    <t>Week 3 Adj</t>
  </si>
  <si>
    <t>Week 4 Adj</t>
  </si>
  <si>
    <t>Week 5 Adj</t>
  </si>
  <si>
    <t>Step 2 - determine final values for concentration average statistics; full RL or 0 for non-detects</t>
  </si>
  <si>
    <t>Step 8 - determine max and min concentrations</t>
  </si>
  <si>
    <t>Step 9 - determine max and min loads</t>
  </si>
  <si>
    <t>Final Max:</t>
  </si>
  <si>
    <t>Final Min:</t>
  </si>
  <si>
    <t>Step 4 - determine max avg wkly load statistics</t>
  </si>
  <si>
    <t>Final Wkly Avg</t>
  </si>
  <si>
    <t>Step 5 - Determine raw loading data</t>
  </si>
  <si>
    <t>Step 6 - Determine final loading statistics for Avg and Total Monthly</t>
  </si>
  <si>
    <t>Decimal Places</t>
  </si>
  <si>
    <t>Westmoreland</t>
  </si>
  <si>
    <t>Snyder</t>
  </si>
  <si>
    <t>Venango</t>
  </si>
  <si>
    <t>Washington</t>
  </si>
  <si>
    <t>Sullivan</t>
  </si>
  <si>
    <t>Tioga</t>
  </si>
  <si>
    <t>York</t>
  </si>
  <si>
    <t>This spreadsheet is used for recording daily sample results for effluent (although other stages can be selected), and includes DEP-approved calculations and handling of rounding and significant figures for reporting*.  The calculations are provided for convenience and do not automatically populate into online eDMR reports.</t>
  </si>
  <si>
    <r>
      <t xml:space="preserve">On each day in which a sample is collected for analysis, enter the result in the column corresponding to the parameter analyzed.  </t>
    </r>
    <r>
      <rPr>
        <b/>
        <sz val="10"/>
        <rFont val="Arial"/>
        <family val="2"/>
      </rPr>
      <t>Enter the result exactly as reported by the laboratory or determined by on-site equipment</t>
    </r>
    <r>
      <rPr>
        <sz val="10"/>
        <rFont val="Arial"/>
        <family val="2"/>
      </rPr>
      <t>.  If the result is reported as a "non-detect" result, enter the laboratory's reporting limit for the result and select the "less than" (&lt;) symbol from the lists in the "Q" columns.  For bacteria, if the result is "0", enter "1".</t>
    </r>
  </si>
  <si>
    <t>Statistics are computed at the bottom of the form.  If a limit value exists for the statistic, the decimal places of the statistic will match that of the limit.  If a limit value does not exist, the statistic will present the maximum number of decimal places from the reported results.  Note - for maximum weekly average results, week 5 is not included in the results unless week 5 is a full week (7 days).</t>
  </si>
  <si>
    <t>Step 1 - Evaluate non-detects in data set (to determine whether to use &lt; symbol in statistics) - use when limit &gt;= most sensitive DL</t>
  </si>
  <si>
    <t>Limit &lt; DL?</t>
  </si>
  <si>
    <t>DL</t>
  </si>
  <si>
    <t>Step 10 - Evaluate non-detects in data set (to determine whether to use &lt; symbol in statistics) - use when limit &lt; most sensitive DL</t>
  </si>
  <si>
    <t>Include &lt; for Avg Mo (Final)?</t>
  </si>
  <si>
    <t>Max Conc Week No.</t>
  </si>
  <si>
    <t>No. Results (Week 1)</t>
  </si>
  <si>
    <t>All Results &lt; (Week 1)</t>
  </si>
  <si>
    <t>No. Results (Week 2)</t>
  </si>
  <si>
    <t>All Results &lt; (Week 2)</t>
  </si>
  <si>
    <t>All Results &lt; (Week 3)</t>
  </si>
  <si>
    <t>No. Results (Week 3)</t>
  </si>
  <si>
    <t>No. Results (Week 4)</t>
  </si>
  <si>
    <t>All Results &lt; (Week 4)</t>
  </si>
  <si>
    <t>No. Results (Week 5)</t>
  </si>
  <si>
    <t>All Results &lt; (Week 5)</t>
  </si>
  <si>
    <t>Include &lt; (Step 10 only)?</t>
  </si>
  <si>
    <t>No. "A" (Limit &lt; DL, Value "&lt;" and &lt;= DL) - Month</t>
  </si>
  <si>
    <t>No. "B" (Limit &lt; DL, Value "&lt;" and &gt; DL) - Month</t>
  </si>
  <si>
    <t>No. "C" (Limit &lt; DL, Value not "&lt;") - Month</t>
  </si>
  <si>
    <t>No. "A" (Limit &lt; DL, Value "&lt;" and &lt;= DL) - Max Week</t>
  </si>
  <si>
    <t>No. "B" (Limit &lt; DL, Value "&lt;" and &gt; DL) - Max Week</t>
  </si>
  <si>
    <t>No. "C" (Limit &lt; DL, Value not "&lt;") - Max Week</t>
  </si>
  <si>
    <t>Include &lt; for Avg Wkly (Conc) (Final)?</t>
  </si>
  <si>
    <t>Max Load Week No.</t>
  </si>
  <si>
    <t>Include &lt; for Avg Wkly (Load) (Final)?</t>
  </si>
  <si>
    <t>For Average Weekly Statistics:</t>
  </si>
  <si>
    <t>No. "A" (Limit &lt; DL, Value "&lt;" and &lt;= DL) - Week 1</t>
  </si>
  <si>
    <t>No. "B" (Limit &lt; DL, Value "&lt;" and &gt; DL) - Week 1</t>
  </si>
  <si>
    <t>No. "C" (Limit &lt; DL, Value not "&lt;") - Week 1</t>
  </si>
  <si>
    <t>Include &lt; for Avg Wkly 1 (Conc) (Final)?</t>
  </si>
  <si>
    <t>No. "A" (Limit &lt; DL, Value "&lt;" and &lt;= DL) - Week 2</t>
  </si>
  <si>
    <t>No. "B" (Limit &lt; DL, Value "&lt;" and &gt; DL) - Week 2</t>
  </si>
  <si>
    <t>No. "C" (Limit &lt; DL, Value not "&lt;") - Week 2</t>
  </si>
  <si>
    <t>Include &lt; for Avg Wkly 2 (Conc) (Final)?</t>
  </si>
  <si>
    <t>No. "A" (Limit &lt; DL, Value "&lt;" and &lt;= DL) - Week 3</t>
  </si>
  <si>
    <t>No. "B" (Limit &lt; DL, Value "&lt;" and &gt; DL) - Week 3</t>
  </si>
  <si>
    <t>No. "C" (Limit &lt; DL, Value not "&lt;") - Week 3</t>
  </si>
  <si>
    <t>No. "A" (Limit &lt; DL, Value "&lt;" and &lt;= DL) - Week 4</t>
  </si>
  <si>
    <t>No. "B" (Limit &lt; DL, Value "&lt;" and &gt; DL) - Week 4</t>
  </si>
  <si>
    <t>No. "C" (Limit &lt; DL, Value not "&lt;") - Week 4</t>
  </si>
  <si>
    <t>No. "A" (Limit &lt; DL, Value "&lt;" and &lt;= DL) - Week 5</t>
  </si>
  <si>
    <t>Include &lt; for Avg Wkly 3 (Conc) (Final)?</t>
  </si>
  <si>
    <t>Include &lt; for Avg Wkly 4 (Conc) (Final)?</t>
  </si>
  <si>
    <t>No. "B" (Limit &lt; DL, Value "&lt;" and &gt; DL) - Week 5</t>
  </si>
  <si>
    <t>No. "C" (Limit &lt; DL, Value not "&lt;") - Week 5</t>
  </si>
  <si>
    <t>Include &lt; for Avg Wkly 5 (Conc) (Final)?</t>
  </si>
  <si>
    <t>Flow (50050)</t>
  </si>
  <si>
    <t>3800-FM-BCW0435  3/2012</t>
  </si>
  <si>
    <t>3800-FM-BCW0435  3/2012, Instructions</t>
  </si>
  <si>
    <t>mW/cm²</t>
  </si>
  <si>
    <t>Net Alkalinity (51922)</t>
  </si>
  <si>
    <t>PFOA (51521)</t>
  </si>
  <si>
    <t>PFOA</t>
  </si>
  <si>
    <t>PFOS</t>
  </si>
  <si>
    <t>Total PFOA and PFOS</t>
  </si>
  <si>
    <t>PFOS (51526)</t>
  </si>
  <si>
    <t>1,2,4,5-Tetrachlorobenzene (77734)</t>
  </si>
  <si>
    <t xml:space="preserve">1,2,4,5-Tetrachlorobenzene </t>
  </si>
  <si>
    <t>1,2,3,4-Tetrachlorobenzene (77736)</t>
  </si>
  <si>
    <t xml:space="preserve">1,2,3,4-Tetrachlorobenzene </t>
  </si>
  <si>
    <t>E. Coli (51040)</t>
  </si>
  <si>
    <t>E. Coli</t>
  </si>
  <si>
    <t>Total Inorganic Nitrogen (00640)</t>
  </si>
  <si>
    <t>Total Inorganic Nitrogen</t>
  </si>
  <si>
    <r>
      <t>* A</t>
    </r>
    <r>
      <rPr>
        <i/>
        <sz val="10"/>
        <rFont val="Arial"/>
        <family val="2"/>
      </rPr>
      <t>ll attempts have been made in developing this spreadsheet to follow procedures contained in "Discharge Monitoring Reports Overview and Summary" (3800-BK-DEP3047).  Please check the Supplemental Forms website for updates to this spreadsheet periodically and contact DEP at 717-787-6744 with questions and enhancement or customization requests.  If your permit requires that you follow different procedures, you must follow your permit.</t>
    </r>
  </si>
  <si>
    <t>µWsec/cm²</t>
  </si>
  <si>
    <t>mWsec/cm²</t>
  </si>
  <si>
    <t>Dibromoacetic Acid (82721)</t>
  </si>
  <si>
    <t>Dibromoacetic Acid</t>
  </si>
  <si>
    <t>Dichloroacetic Acid (51605)</t>
  </si>
  <si>
    <t>Dichloroacetic Acid</t>
  </si>
  <si>
    <t>Haloacetic Acids (51535)</t>
  </si>
  <si>
    <t>Haloacetic Acids</t>
  </si>
  <si>
    <t>Monobromoacetic Acid (51606)</t>
  </si>
  <si>
    <t>Monobromoacetic Acid</t>
  </si>
  <si>
    <t>Monochloroacetic Acid (78213)</t>
  </si>
  <si>
    <t>Monochloroacetic Acid</t>
  </si>
  <si>
    <t>Nalco H150M (51698)</t>
  </si>
  <si>
    <t>Nalco H150M</t>
  </si>
  <si>
    <t xml:space="preserve">Net Alkalinity </t>
  </si>
  <si>
    <t>Total PFOA and PFOS (51526)</t>
  </si>
  <si>
    <t>Trichloroacetic Acid (82723)</t>
  </si>
  <si>
    <t>Trichloroacetic Acid</t>
  </si>
  <si>
    <t>UV Functional</t>
  </si>
  <si>
    <t>sec-Butylbenzene (77350)</t>
  </si>
  <si>
    <t xml:space="preserve">sec-Butylbenzene </t>
  </si>
  <si>
    <t>tert-Butylbenzene (77353)</t>
  </si>
  <si>
    <t xml:space="preserve">tert-Butylbenzene </t>
  </si>
  <si>
    <t>Total Organic Halogens (52120)</t>
  </si>
  <si>
    <t xml:space="preserve">Total Organic Halogens </t>
  </si>
  <si>
    <t>HFPO-DA (52612)</t>
  </si>
  <si>
    <t>HFPO-DA</t>
  </si>
  <si>
    <t>PFBS (52602)</t>
  </si>
  <si>
    <t>PFBS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</si>
</sst>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409]mmmm\ d\,\ yyyy;@"/>
    <numFmt numFmtId="166" formatCode="ddd"/>
    <numFmt numFmtId="167" formatCode="m/d/yy;@"/>
    <numFmt numFmtId="168" formatCode="0.000"/>
    <numFmt numFmtId="169" formatCode="###0.0####"/>
    <numFmt numFmtId="170" formatCode="###0.0###"/>
    <numFmt numFmtId="171" formatCode="###,###"/>
    <numFmt numFmtId="172" formatCode="#,##0.0000000"/>
    <numFmt numFmtId="173" formatCode="######0.0#########"/>
  </numFmts>
  <fonts count="47" x14ac:knownFonts="1">
    <font>
      <sz val="10"/>
      <name val="Arial"/>
    </font>
    <font>
      <sz val="10"/>
      <name val="Arial"/>
      <family val="2"/>
    </font>
    <font>
      <b/>
      <sz val="10"/>
      <name val="Arial"/>
      <family val="2"/>
    </font>
    <font>
      <b/>
      <sz val="8"/>
      <name val="Arial"/>
      <family val="2"/>
    </font>
    <font>
      <sz val="8"/>
      <name val="Arial"/>
      <family val="2"/>
    </font>
    <font>
      <sz val="8"/>
      <name val="Arial"/>
      <family val="2"/>
    </font>
    <font>
      <b/>
      <sz val="8"/>
      <name val="Arial"/>
      <family val="2"/>
    </font>
    <font>
      <i/>
      <sz val="8"/>
      <name val="Arial"/>
      <family val="2"/>
    </font>
    <font>
      <sz val="7"/>
      <name val="Arial"/>
      <family val="2"/>
    </font>
    <font>
      <b/>
      <sz val="11"/>
      <name val="Arial"/>
      <family val="2"/>
    </font>
    <font>
      <sz val="10"/>
      <name val="Arial"/>
      <family val="2"/>
    </font>
    <font>
      <b/>
      <sz val="7"/>
      <name val="Arial"/>
      <family val="2"/>
    </font>
    <font>
      <b/>
      <sz val="10"/>
      <name val="Arial"/>
      <family val="2"/>
    </font>
    <font>
      <sz val="10"/>
      <name val="Arial"/>
      <family val="2"/>
    </font>
    <font>
      <sz val="7"/>
      <name val="Arial"/>
      <family val="2"/>
    </font>
    <font>
      <sz val="6"/>
      <color indexed="9"/>
      <name val="Arial"/>
      <family val="2"/>
    </font>
    <font>
      <vertAlign val="superscript"/>
      <sz val="8"/>
      <name val="Arial"/>
      <family val="2"/>
    </font>
    <font>
      <b/>
      <sz val="7"/>
      <name val="Arial"/>
      <family val="2"/>
    </font>
    <font>
      <b/>
      <sz val="9"/>
      <name val="Arial"/>
      <family val="2"/>
    </font>
    <font>
      <sz val="8"/>
      <color indexed="81"/>
      <name val="Tahoma"/>
      <family val="2"/>
    </font>
    <font>
      <b/>
      <sz val="8"/>
      <color indexed="81"/>
      <name val="Arial"/>
      <family val="2"/>
    </font>
    <font>
      <b/>
      <u/>
      <sz val="10"/>
      <name val="Arial"/>
      <family val="2"/>
    </font>
    <font>
      <vertAlign val="subscript"/>
      <sz val="10"/>
      <name val="Arial"/>
      <family val="2"/>
    </font>
    <font>
      <i/>
      <sz val="10"/>
      <name val="Arial"/>
      <family val="2"/>
    </font>
    <font>
      <sz val="8"/>
      <name val="Arial"/>
      <family val="2"/>
    </font>
    <font>
      <b/>
      <sz val="8"/>
      <name val="Arial"/>
      <family val="2"/>
    </font>
    <font>
      <sz val="8"/>
      <color indexed="10"/>
      <name val="Arial"/>
      <family val="2"/>
    </font>
    <font>
      <sz val="9"/>
      <name val="Arial"/>
      <family val="2"/>
    </font>
    <font>
      <b/>
      <sz val="8"/>
      <color indexed="81"/>
      <name val="Tahoma"/>
      <family val="2"/>
    </font>
    <font>
      <sz val="8"/>
      <color indexed="10"/>
      <name val="Arial"/>
      <family val="2"/>
    </font>
    <font>
      <b/>
      <sz val="10"/>
      <color indexed="10"/>
      <name val="Arial"/>
      <family val="2"/>
    </font>
    <font>
      <vertAlign val="subscript"/>
      <sz val="8"/>
      <name val="Arial"/>
      <family val="2"/>
    </font>
    <font>
      <sz val="8"/>
      <color indexed="10"/>
      <name val="Arial"/>
      <family val="2"/>
    </font>
    <font>
      <b/>
      <sz val="10"/>
      <color indexed="10"/>
      <name val="Arial"/>
      <family val="2"/>
    </font>
    <font>
      <b/>
      <sz val="8"/>
      <color indexed="10"/>
      <name val="Arial"/>
      <family val="2"/>
    </font>
    <font>
      <sz val="10"/>
      <color indexed="10"/>
      <name val="Arial"/>
      <family val="2"/>
    </font>
    <font>
      <b/>
      <sz val="10"/>
      <color indexed="9"/>
      <name val="Arial"/>
      <family val="2"/>
    </font>
    <font>
      <b/>
      <sz val="7"/>
      <color indexed="9"/>
      <name val="Arial"/>
      <family val="2"/>
    </font>
    <font>
      <sz val="10"/>
      <color indexed="9"/>
      <name val="Arial"/>
      <family val="2"/>
    </font>
    <font>
      <b/>
      <i/>
      <sz val="8"/>
      <color indexed="9"/>
      <name val="Arial"/>
      <family val="2"/>
    </font>
    <font>
      <sz val="6"/>
      <color indexed="10"/>
      <name val="Arial"/>
      <family val="2"/>
    </font>
    <font>
      <b/>
      <sz val="8"/>
      <color indexed="10"/>
      <name val="Arial"/>
      <family val="2"/>
    </font>
    <font>
      <sz val="7"/>
      <name val="Arial"/>
      <family val="2"/>
    </font>
    <font>
      <b/>
      <sz val="8"/>
      <color rgb="FFFF0000"/>
      <name val="Arial"/>
      <family val="2"/>
    </font>
    <font>
      <sz val="6"/>
      <color rgb="FFFF0000"/>
      <name val="Arial"/>
      <family val="2"/>
    </font>
    <font>
      <sz val="6"/>
      <name val="Arial"/>
      <family val="2"/>
    </font>
    <font>
      <b/>
      <sz val="6"/>
      <name val="Arial"/>
      <family val="2"/>
    </font>
  </fonts>
  <fills count="7">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55"/>
        <bgColor indexed="64"/>
      </patternFill>
    </fill>
    <fill>
      <patternFill patternType="solid">
        <fgColor theme="0"/>
        <bgColor indexed="64"/>
      </patternFill>
    </fill>
    <fill>
      <patternFill patternType="solid">
        <fgColor rgb="FF003366"/>
        <bgColor indexed="64"/>
      </patternFill>
    </fill>
  </fills>
  <borders count="87">
    <border>
      <left/>
      <right/>
      <top/>
      <bottom/>
      <diagonal/>
    </border>
    <border>
      <left style="thick">
        <color indexed="64"/>
      </left>
      <right/>
      <top/>
      <bottom/>
      <diagonal/>
    </border>
    <border>
      <left/>
      <right/>
      <top/>
      <bottom style="thick">
        <color indexed="64"/>
      </bottom>
      <diagonal/>
    </border>
    <border>
      <left style="double">
        <color indexed="64"/>
      </left>
      <right/>
      <top style="thick">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hair">
        <color indexed="64"/>
      </bottom>
      <diagonal/>
    </border>
    <border>
      <left/>
      <right/>
      <top style="double">
        <color indexed="64"/>
      </top>
      <bottom/>
      <diagonal/>
    </border>
    <border>
      <left style="thick">
        <color indexed="64"/>
      </left>
      <right style="thin">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double">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right style="double">
        <color indexed="64"/>
      </right>
      <top style="double">
        <color indexed="64"/>
      </top>
      <bottom style="thick">
        <color indexed="64"/>
      </bottom>
      <diagonal/>
    </border>
    <border>
      <left style="thin">
        <color indexed="64"/>
      </left>
      <right style="thick">
        <color indexed="64"/>
      </right>
      <top style="thick">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ck">
        <color indexed="64"/>
      </bottom>
      <diagonal/>
    </border>
    <border>
      <left style="double">
        <color indexed="64"/>
      </left>
      <right/>
      <top/>
      <bottom style="thin">
        <color indexed="64"/>
      </bottom>
      <diagonal/>
    </border>
    <border>
      <left style="double">
        <color indexed="64"/>
      </left>
      <right style="thin">
        <color indexed="64"/>
      </right>
      <top style="medium">
        <color indexed="23"/>
      </top>
      <bottom style="thick">
        <color indexed="64"/>
      </bottom>
      <diagonal/>
    </border>
    <border>
      <left style="double">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ck">
        <color indexed="64"/>
      </left>
      <right/>
      <top/>
      <bottom style="medium">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thick">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style="double">
        <color indexed="64"/>
      </right>
      <top/>
      <bottom/>
      <diagonal/>
    </border>
    <border>
      <left style="thin">
        <color indexed="64"/>
      </left>
      <right style="thin">
        <color indexed="64"/>
      </right>
      <top style="medium">
        <color indexed="23"/>
      </top>
      <bottom style="thick">
        <color indexed="64"/>
      </bottom>
      <diagonal/>
    </border>
    <border>
      <left style="thin">
        <color indexed="64"/>
      </left>
      <right style="double">
        <color indexed="64"/>
      </right>
      <top/>
      <bottom style="hair">
        <color indexed="64"/>
      </bottom>
      <diagonal/>
    </border>
    <border>
      <left style="thin">
        <color indexed="64"/>
      </left>
      <right style="double">
        <color indexed="64"/>
      </right>
      <top style="medium">
        <color indexed="23"/>
      </top>
      <bottom style="thick">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s>
  <cellStyleXfs count="1">
    <xf numFmtId="0" fontId="0" fillId="0" borderId="0"/>
  </cellStyleXfs>
  <cellXfs count="495">
    <xf numFmtId="0" fontId="0" fillId="0" borderId="0" xfId="0"/>
    <xf numFmtId="0" fontId="4" fillId="0" borderId="0" xfId="0" applyFont="1"/>
    <xf numFmtId="0" fontId="0" fillId="0" borderId="0" xfId="0" applyFill="1"/>
    <xf numFmtId="0" fontId="0" fillId="2" borderId="0" xfId="0" applyFill="1" applyBorder="1"/>
    <xf numFmtId="0" fontId="2" fillId="2" borderId="0" xfId="0" applyFont="1" applyFill="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0" fillId="2" borderId="0" xfId="0" applyFill="1" applyBorder="1" applyAlignment="1">
      <alignment horizontal="center"/>
    </xf>
    <xf numFmtId="0" fontId="3" fillId="0" borderId="0" xfId="0" applyFont="1" applyAlignment="1">
      <alignment horizontal="center"/>
    </xf>
    <xf numFmtId="0" fontId="2" fillId="2" borderId="0" xfId="0" applyFont="1" applyFill="1" applyBorder="1" applyAlignment="1">
      <alignment horizontal="center" vertical="center"/>
    </xf>
    <xf numFmtId="0" fontId="24"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0" fillId="2" borderId="0" xfId="0" applyFill="1" applyBorder="1" applyAlignment="1">
      <alignment horizontal="left"/>
    </xf>
    <xf numFmtId="0" fontId="4" fillId="2" borderId="0" xfId="0" applyFont="1" applyFill="1" applyBorder="1" applyAlignment="1">
      <alignment horizontal="center"/>
    </xf>
    <xf numFmtId="0" fontId="0" fillId="0" borderId="0" xfId="0" applyAlignment="1">
      <alignment horizontal="left"/>
    </xf>
    <xf numFmtId="0" fontId="0" fillId="0" borderId="0" xfId="0" applyBorder="1"/>
    <xf numFmtId="0" fontId="0" fillId="0" borderId="1" xfId="0" applyFill="1" applyBorder="1" applyAlignment="1">
      <alignment horizontal="center"/>
    </xf>
    <xf numFmtId="0" fontId="24" fillId="0" borderId="0" xfId="0" applyFont="1"/>
    <xf numFmtId="0" fontId="2" fillId="2" borderId="0" xfId="0" applyFont="1" applyFill="1" applyBorder="1" applyAlignment="1">
      <alignment horizontal="left"/>
    </xf>
    <xf numFmtId="0" fontId="18" fillId="0" borderId="0" xfId="0" applyFont="1" applyFill="1" applyBorder="1" applyAlignment="1" applyProtection="1">
      <alignment horizontal="left"/>
      <protection locked="0"/>
    </xf>
    <xf numFmtId="0" fontId="18" fillId="0" borderId="0" xfId="0" applyFont="1" applyFill="1" applyBorder="1" applyAlignment="1" applyProtection="1">
      <alignment horizontal="center"/>
      <protection locked="0"/>
    </xf>
    <xf numFmtId="0" fontId="0" fillId="0" borderId="0" xfId="0" applyBorder="1" applyAlignment="1">
      <alignment horizontal="center"/>
    </xf>
    <xf numFmtId="0" fontId="25" fillId="0" borderId="0" xfId="0" applyFont="1" applyFill="1" applyBorder="1" applyAlignment="1" applyProtection="1">
      <alignment horizontal="center"/>
      <protection locked="0"/>
    </xf>
    <xf numFmtId="0" fontId="24" fillId="0" borderId="0" xfId="0" applyFont="1" applyBorder="1" applyAlignment="1">
      <alignment horizontal="center"/>
    </xf>
    <xf numFmtId="169" fontId="4" fillId="0" borderId="3" xfId="0" applyNumberFormat="1" applyFont="1" applyFill="1" applyBorder="1" applyAlignment="1" applyProtection="1">
      <alignment horizontal="center"/>
      <protection locked="0"/>
    </xf>
    <xf numFmtId="169" fontId="4" fillId="0" borderId="4" xfId="0" applyNumberFormat="1" applyFont="1" applyFill="1" applyBorder="1" applyAlignment="1" applyProtection="1">
      <alignment horizontal="center"/>
      <protection locked="0"/>
    </xf>
    <xf numFmtId="169" fontId="4" fillId="0" borderId="5" xfId="0" applyNumberFormat="1" applyFont="1" applyFill="1" applyBorder="1" applyAlignment="1" applyProtection="1">
      <alignment horizontal="center"/>
      <protection locked="0"/>
    </xf>
    <xf numFmtId="0" fontId="33" fillId="0" borderId="0" xfId="0" applyFont="1"/>
    <xf numFmtId="0" fontId="3" fillId="0" borderId="0" xfId="0" applyFont="1" applyAlignment="1">
      <alignment horizontal="right"/>
    </xf>
    <xf numFmtId="0" fontId="34" fillId="0" borderId="0" xfId="0" applyFont="1" applyAlignment="1">
      <alignment horizontal="left"/>
    </xf>
    <xf numFmtId="0" fontId="0" fillId="2" borderId="6" xfId="0" applyFill="1" applyBorder="1" applyAlignment="1">
      <alignment horizontal="center"/>
    </xf>
    <xf numFmtId="0" fontId="8" fillId="2" borderId="7" xfId="0" applyFont="1" applyFill="1" applyBorder="1" applyAlignment="1">
      <alignment horizontal="left"/>
    </xf>
    <xf numFmtId="0" fontId="8" fillId="2" borderId="7" xfId="0" applyFont="1" applyFill="1" applyBorder="1" applyAlignment="1">
      <alignment horizontal="center"/>
    </xf>
    <xf numFmtId="0" fontId="0" fillId="2" borderId="7" xfId="0" applyFill="1" applyBorder="1" applyAlignment="1">
      <alignment horizontal="center"/>
    </xf>
    <xf numFmtId="0" fontId="0" fillId="2" borderId="1" xfId="0" applyFill="1" applyBorder="1" applyAlignment="1">
      <alignment horizontal="center"/>
    </xf>
    <xf numFmtId="0" fontId="0" fillId="2" borderId="0" xfId="0" applyFill="1" applyBorder="1" applyAlignment="1" applyProtection="1">
      <alignment horizontal="left"/>
      <protection locked="0"/>
    </xf>
    <xf numFmtId="0" fontId="0" fillId="2" borderId="0" xfId="0" applyFill="1" applyBorder="1" applyProtection="1">
      <protection locked="0"/>
    </xf>
    <xf numFmtId="0" fontId="10" fillId="2" borderId="0" xfId="0" applyFont="1" applyFill="1" applyBorder="1" applyAlignment="1" applyProtection="1">
      <alignment horizontal="left"/>
      <protection locked="0"/>
    </xf>
    <xf numFmtId="0" fontId="10" fillId="2" borderId="0" xfId="0" applyFont="1" applyFill="1" applyBorder="1" applyAlignment="1" applyProtection="1">
      <alignment horizontal="center"/>
      <protection locked="0"/>
    </xf>
    <xf numFmtId="0" fontId="2" fillId="2" borderId="0" xfId="0" applyFont="1" applyFill="1" applyBorder="1" applyAlignment="1" applyProtection="1">
      <alignment horizontal="left"/>
      <protection locked="0"/>
    </xf>
    <xf numFmtId="0" fontId="2" fillId="2" borderId="8" xfId="0" applyFont="1" applyFill="1" applyBorder="1" applyAlignment="1" applyProtection="1">
      <alignment horizontal="left"/>
      <protection locked="0"/>
    </xf>
    <xf numFmtId="0" fontId="8" fillId="2" borderId="0" xfId="0" applyFont="1" applyFill="1" applyBorder="1" applyAlignment="1" applyProtection="1">
      <alignment horizontal="left"/>
      <protection locked="0"/>
    </xf>
    <xf numFmtId="0" fontId="36" fillId="2" borderId="0" xfId="0" applyFont="1" applyFill="1" applyBorder="1" applyAlignment="1" applyProtection="1">
      <alignment horizontal="left"/>
      <protection locked="0"/>
    </xf>
    <xf numFmtId="0" fontId="0" fillId="2" borderId="0" xfId="0" applyFill="1"/>
    <xf numFmtId="0" fontId="0" fillId="2" borderId="0" xfId="0" applyFill="1" applyBorder="1" applyAlignment="1"/>
    <xf numFmtId="0" fontId="15" fillId="2" borderId="0" xfId="0" applyFont="1" applyFill="1" applyBorder="1" applyAlignment="1" applyProtection="1">
      <alignment horizontal="center"/>
    </xf>
    <xf numFmtId="0" fontId="6" fillId="2" borderId="0" xfId="0" applyFont="1" applyFill="1" applyBorder="1" applyAlignment="1">
      <alignment horizontal="left"/>
    </xf>
    <xf numFmtId="0" fontId="18" fillId="2" borderId="10" xfId="0" applyFont="1" applyFill="1" applyBorder="1" applyAlignment="1">
      <alignment horizontal="left"/>
    </xf>
    <xf numFmtId="169" fontId="3" fillId="0" borderId="11" xfId="0" applyNumberFormat="1" applyFont="1" applyFill="1" applyBorder="1" applyAlignment="1" applyProtection="1">
      <alignment horizontal="center"/>
      <protection locked="0"/>
    </xf>
    <xf numFmtId="173" fontId="4" fillId="0" borderId="12" xfId="0" applyNumberFormat="1" applyFont="1" applyFill="1" applyBorder="1" applyAlignment="1" applyProtection="1">
      <alignment horizontal="center"/>
      <protection locked="0"/>
    </xf>
    <xf numFmtId="169" fontId="3" fillId="0" borderId="12" xfId="0" applyNumberFormat="1" applyFont="1" applyFill="1" applyBorder="1" applyAlignment="1" applyProtection="1">
      <alignment horizontal="center"/>
      <protection locked="0"/>
    </xf>
    <xf numFmtId="169" fontId="3" fillId="0" borderId="13" xfId="0" applyNumberFormat="1" applyFont="1" applyFill="1" applyBorder="1" applyAlignment="1" applyProtection="1">
      <alignment horizontal="center"/>
      <protection locked="0"/>
    </xf>
    <xf numFmtId="173" fontId="4" fillId="0" borderId="13" xfId="0" applyNumberFormat="1" applyFont="1" applyFill="1" applyBorder="1" applyAlignment="1" applyProtection="1">
      <alignment horizontal="center"/>
      <protection locked="0"/>
    </xf>
    <xf numFmtId="0" fontId="4" fillId="0" borderId="14" xfId="0" applyFont="1" applyFill="1" applyBorder="1" applyAlignment="1" applyProtection="1">
      <alignment horizontal="center"/>
    </xf>
    <xf numFmtId="0" fontId="4" fillId="0" borderId="15" xfId="0" applyFont="1" applyFill="1" applyBorder="1" applyAlignment="1" applyProtection="1">
      <alignment horizontal="center"/>
    </xf>
    <xf numFmtId="0" fontId="4" fillId="0" borderId="16" xfId="0" applyFont="1" applyFill="1" applyBorder="1" applyAlignment="1" applyProtection="1">
      <alignment horizontal="center"/>
    </xf>
    <xf numFmtId="0" fontId="37" fillId="3" borderId="17" xfId="0" applyFont="1" applyFill="1" applyBorder="1" applyAlignment="1" applyProtection="1">
      <alignment horizontal="left"/>
    </xf>
    <xf numFmtId="0" fontId="37" fillId="3" borderId="17" xfId="0" applyFont="1" applyFill="1" applyBorder="1" applyAlignment="1" applyProtection="1">
      <alignment horizontal="center"/>
    </xf>
    <xf numFmtId="0" fontId="24" fillId="2" borderId="1" xfId="0" applyFont="1" applyFill="1" applyBorder="1" applyAlignment="1">
      <alignment horizontal="center"/>
    </xf>
    <xf numFmtId="0" fontId="4" fillId="0" borderId="0" xfId="0" applyFont="1" applyBorder="1" applyAlignment="1">
      <alignment horizontal="center"/>
    </xf>
    <xf numFmtId="0" fontId="3" fillId="0" borderId="18"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19"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20" xfId="0" applyNumberFormat="1" applyFont="1" applyFill="1" applyBorder="1" applyAlignment="1">
      <alignment horizontal="center"/>
    </xf>
    <xf numFmtId="0" fontId="3" fillId="0" borderId="21" xfId="0" applyNumberFormat="1" applyFont="1" applyFill="1" applyBorder="1" applyAlignment="1">
      <alignment horizontal="center"/>
    </xf>
    <xf numFmtId="0" fontId="37" fillId="3" borderId="22" xfId="0" applyFont="1" applyFill="1" applyBorder="1" applyAlignment="1" applyProtection="1">
      <alignment horizontal="left"/>
    </xf>
    <xf numFmtId="0" fontId="37" fillId="3" borderId="23" xfId="0" applyFont="1" applyFill="1" applyBorder="1" applyAlignment="1" applyProtection="1">
      <alignment horizontal="left"/>
    </xf>
    <xf numFmtId="172" fontId="37" fillId="3" borderId="23" xfId="0" applyNumberFormat="1" applyFont="1" applyFill="1" applyBorder="1" applyAlignment="1" applyProtection="1">
      <alignment horizontal="left"/>
    </xf>
    <xf numFmtId="171" fontId="37" fillId="3" borderId="23" xfId="0" applyNumberFormat="1" applyFont="1" applyFill="1" applyBorder="1" applyAlignment="1" applyProtection="1">
      <alignment horizontal="left"/>
    </xf>
    <xf numFmtId="0" fontId="38" fillId="3" borderId="23" xfId="0" applyFont="1" applyFill="1" applyBorder="1" applyAlignment="1">
      <alignment horizontal="left"/>
    </xf>
    <xf numFmtId="0" fontId="38" fillId="3" borderId="23" xfId="0" applyFont="1" applyFill="1" applyBorder="1" applyAlignment="1">
      <alignment horizontal="center"/>
    </xf>
    <xf numFmtId="0" fontId="4" fillId="2" borderId="2" xfId="0"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24" xfId="0" applyFont="1" applyBorder="1" applyAlignment="1">
      <alignment horizontal="center"/>
    </xf>
    <xf numFmtId="0" fontId="4" fillId="0" borderId="1" xfId="0" applyFont="1" applyBorder="1" applyAlignment="1">
      <alignment horizontal="center"/>
    </xf>
    <xf numFmtId="0" fontId="4" fillId="0" borderId="25" xfId="0" applyFont="1" applyBorder="1" applyAlignment="1">
      <alignment horizontal="center"/>
    </xf>
    <xf numFmtId="0" fontId="26" fillId="0" borderId="0" xfId="0" applyFont="1" applyAlignment="1">
      <alignment horizontal="right"/>
    </xf>
    <xf numFmtId="0" fontId="25" fillId="0" borderId="0" xfId="0" applyFont="1" applyAlignment="1">
      <alignment horizontal="center"/>
    </xf>
    <xf numFmtId="0" fontId="3" fillId="0" borderId="26" xfId="0" applyFont="1" applyBorder="1" applyAlignment="1">
      <alignment horizontal="center"/>
    </xf>
    <xf numFmtId="0" fontId="3" fillId="0" borderId="2" xfId="0" applyFont="1" applyBorder="1" applyAlignment="1">
      <alignment horizontal="center"/>
    </xf>
    <xf numFmtId="0" fontId="3" fillId="0" borderId="27"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25" fillId="0" borderId="0" xfId="0" applyFont="1" applyBorder="1" applyAlignment="1">
      <alignment horizontal="center"/>
    </xf>
    <xf numFmtId="0" fontId="26" fillId="0" borderId="0" xfId="0" applyFont="1" applyAlignment="1">
      <alignment horizontal="left"/>
    </xf>
    <xf numFmtId="0" fontId="4" fillId="2" borderId="0" xfId="0" applyFont="1" applyFill="1" applyBorder="1" applyAlignment="1">
      <alignment horizontal="right"/>
    </xf>
    <xf numFmtId="0" fontId="0" fillId="2" borderId="0" xfId="0" applyFill="1" applyBorder="1" applyAlignment="1">
      <alignment horizontal="right"/>
    </xf>
    <xf numFmtId="2" fontId="1" fillId="2" borderId="0" xfId="0" applyNumberFormat="1" applyFont="1" applyFill="1" applyBorder="1" applyAlignment="1"/>
    <xf numFmtId="2" fontId="5" fillId="2" borderId="0" xfId="0" applyNumberFormat="1" applyFont="1" applyFill="1" applyBorder="1" applyAlignment="1">
      <alignment horizontal="center"/>
    </xf>
    <xf numFmtId="0" fontId="14" fillId="2" borderId="0" xfId="0" applyFont="1" applyFill="1" applyBorder="1" applyAlignment="1" applyProtection="1">
      <alignment horizontal="left"/>
    </xf>
    <xf numFmtId="0" fontId="5" fillId="2" borderId="0" xfId="0" applyFont="1" applyFill="1" applyBorder="1" applyAlignment="1" applyProtection="1">
      <alignment horizontal="justify" vertical="center" wrapText="1"/>
      <protection locked="0"/>
    </xf>
    <xf numFmtId="0" fontId="5"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protection locked="0"/>
    </xf>
    <xf numFmtId="0" fontId="12" fillId="2" borderId="0" xfId="0" applyFont="1" applyFill="1" applyBorder="1" applyAlignment="1" applyProtection="1">
      <alignment horizontal="left"/>
      <protection locked="0"/>
    </xf>
    <xf numFmtId="0" fontId="13" fillId="2" borderId="0" xfId="0"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4" fillId="2" borderId="2" xfId="0" applyFont="1" applyFill="1" applyBorder="1"/>
    <xf numFmtId="0" fontId="0" fillId="2" borderId="2" xfId="0" applyFill="1" applyBorder="1"/>
    <xf numFmtId="0" fontId="4" fillId="0" borderId="28" xfId="0" applyFont="1" applyBorder="1" applyAlignment="1">
      <alignment horizontal="center"/>
    </xf>
    <xf numFmtId="0" fontId="0" fillId="2" borderId="7" xfId="0" applyFill="1" applyBorder="1" applyAlignment="1">
      <alignment horizontal="left"/>
    </xf>
    <xf numFmtId="0" fontId="0" fillId="2" borderId="24" xfId="0" applyFill="1" applyBorder="1" applyAlignment="1">
      <alignment horizontal="center"/>
    </xf>
    <xf numFmtId="0" fontId="0" fillId="2" borderId="25" xfId="0" applyFill="1" applyBorder="1" applyAlignment="1">
      <alignment horizontal="center"/>
    </xf>
    <xf numFmtId="0" fontId="0" fillId="2" borderId="2" xfId="0" applyFill="1" applyBorder="1" applyAlignment="1">
      <alignment horizontal="left"/>
    </xf>
    <xf numFmtId="0" fontId="0" fillId="2" borderId="2" xfId="0" applyFill="1" applyBorder="1" applyAlignment="1">
      <alignment horizontal="center"/>
    </xf>
    <xf numFmtId="0" fontId="0" fillId="2" borderId="27" xfId="0" applyFill="1" applyBorder="1" applyAlignment="1">
      <alignment horizontal="center"/>
    </xf>
    <xf numFmtId="14" fontId="12" fillId="2" borderId="0" xfId="0" applyNumberFormat="1" applyFont="1" applyFill="1" applyBorder="1" applyAlignment="1" applyProtection="1">
      <alignment horizontal="left"/>
      <protection locked="0"/>
    </xf>
    <xf numFmtId="173" fontId="4" fillId="0" borderId="31" xfId="0" applyNumberFormat="1" applyFont="1" applyFill="1" applyBorder="1" applyAlignment="1" applyProtection="1">
      <alignment horizontal="center"/>
      <protection locked="0"/>
    </xf>
    <xf numFmtId="173" fontId="4" fillId="0" borderId="32" xfId="0" applyNumberFormat="1" applyFont="1" applyFill="1" applyBorder="1" applyAlignment="1" applyProtection="1">
      <alignment horizontal="center"/>
      <protection locked="0"/>
    </xf>
    <xf numFmtId="0" fontId="38" fillId="3" borderId="33" xfId="0" applyFont="1" applyFill="1" applyBorder="1" applyAlignment="1">
      <alignment horizontal="center"/>
    </xf>
    <xf numFmtId="170" fontId="3" fillId="0" borderId="11" xfId="0" applyNumberFormat="1" applyFont="1" applyFill="1" applyBorder="1" applyAlignment="1">
      <alignment horizontal="center"/>
    </xf>
    <xf numFmtId="170" fontId="3" fillId="0" borderId="12" xfId="0" applyNumberFormat="1" applyFont="1" applyFill="1" applyBorder="1" applyAlignment="1">
      <alignment horizontal="center"/>
    </xf>
    <xf numFmtId="168" fontId="3" fillId="0" borderId="12" xfId="0" applyNumberFormat="1" applyFont="1" applyFill="1" applyBorder="1" applyAlignment="1">
      <alignment horizontal="center"/>
    </xf>
    <xf numFmtId="171" fontId="3" fillId="0" borderId="12" xfId="0" applyNumberFormat="1" applyFont="1" applyFill="1" applyBorder="1" applyAlignment="1">
      <alignment horizontal="center"/>
    </xf>
    <xf numFmtId="170" fontId="3" fillId="0" borderId="21" xfId="0" applyNumberFormat="1" applyFont="1" applyFill="1" applyBorder="1" applyAlignment="1">
      <alignment horizontal="center"/>
    </xf>
    <xf numFmtId="0" fontId="3" fillId="0" borderId="34" xfId="0" applyNumberFormat="1" applyFont="1" applyFill="1" applyBorder="1" applyAlignment="1">
      <alignment horizontal="center"/>
    </xf>
    <xf numFmtId="0" fontId="3" fillId="0" borderId="35" xfId="0" applyNumberFormat="1" applyFont="1" applyFill="1" applyBorder="1" applyAlignment="1">
      <alignment horizontal="center"/>
    </xf>
    <xf numFmtId="0" fontId="3" fillId="0" borderId="36" xfId="0" applyNumberFormat="1" applyFont="1" applyFill="1" applyBorder="1" applyAlignment="1">
      <alignment horizontal="center"/>
    </xf>
    <xf numFmtId="0" fontId="1" fillId="2" borderId="0" xfId="0" applyFont="1" applyFill="1" applyBorder="1"/>
    <xf numFmtId="0" fontId="1" fillId="0" borderId="0" xfId="0" applyFont="1"/>
    <xf numFmtId="0" fontId="0" fillId="2" borderId="0" xfId="0" applyFill="1" applyBorder="1" applyAlignment="1">
      <alignment horizontal="justify"/>
    </xf>
    <xf numFmtId="49" fontId="2" fillId="2" borderId="0" xfId="0" applyNumberFormat="1" applyFont="1" applyFill="1" applyBorder="1" applyAlignment="1">
      <alignment horizontal="justify"/>
    </xf>
    <xf numFmtId="0" fontId="0" fillId="2" borderId="0" xfId="0" applyFill="1" applyBorder="1" applyAlignment="1">
      <alignment horizontal="justify" vertical="center"/>
    </xf>
    <xf numFmtId="0" fontId="10" fillId="0" borderId="0" xfId="0" applyFont="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justify" wrapText="1"/>
    </xf>
    <xf numFmtId="49" fontId="2" fillId="2" borderId="0" xfId="0" applyNumberFormat="1" applyFont="1" applyFill="1"/>
    <xf numFmtId="0" fontId="0" fillId="2" borderId="0" xfId="0" applyFill="1" applyAlignment="1">
      <alignment horizontal="justify"/>
    </xf>
    <xf numFmtId="0" fontId="10" fillId="2" borderId="0" xfId="0" applyFont="1" applyFill="1" applyAlignment="1">
      <alignment horizontal="left"/>
    </xf>
    <xf numFmtId="0" fontId="24" fillId="0" borderId="37" xfId="0" applyFont="1" applyBorder="1" applyAlignment="1" applyProtection="1">
      <alignment horizontal="center" vertical="center"/>
    </xf>
    <xf numFmtId="0" fontId="8" fillId="0" borderId="38" xfId="0" applyFont="1" applyFill="1" applyBorder="1" applyAlignment="1" applyProtection="1">
      <alignment horizontal="center"/>
    </xf>
    <xf numFmtId="0" fontId="8" fillId="0" borderId="39" xfId="0" applyFont="1" applyFill="1" applyBorder="1" applyAlignment="1" applyProtection="1">
      <alignment horizontal="center"/>
    </xf>
    <xf numFmtId="0" fontId="11" fillId="0" borderId="40" xfId="0" applyFont="1" applyFill="1" applyBorder="1" applyAlignment="1" applyProtection="1">
      <alignment horizontal="center"/>
    </xf>
    <xf numFmtId="0" fontId="8" fillId="0" borderId="40" xfId="0" applyFont="1" applyFill="1" applyBorder="1" applyAlignment="1" applyProtection="1">
      <alignment horizontal="center"/>
    </xf>
    <xf numFmtId="0" fontId="8" fillId="0" borderId="41" xfId="0" applyFont="1" applyFill="1" applyBorder="1" applyAlignment="1" applyProtection="1">
      <alignment horizontal="center"/>
    </xf>
    <xf numFmtId="49" fontId="2" fillId="2" borderId="0" xfId="0" applyNumberFormat="1" applyFont="1" applyFill="1" applyBorder="1" applyAlignment="1">
      <alignment horizontal="left"/>
    </xf>
    <xf numFmtId="0" fontId="0" fillId="2" borderId="0" xfId="0" applyFill="1" applyBorder="1" applyAlignment="1" applyProtection="1">
      <alignment horizontal="center"/>
    </xf>
    <xf numFmtId="0" fontId="18" fillId="2" borderId="0" xfId="0" applyFont="1" applyFill="1" applyBorder="1" applyAlignment="1" applyProtection="1">
      <alignment horizontal="left"/>
    </xf>
    <xf numFmtId="0" fontId="25" fillId="0" borderId="42" xfId="0" applyFont="1" applyFill="1" applyBorder="1" applyAlignment="1" applyProtection="1">
      <alignment horizontal="center" vertical="center" wrapText="1"/>
    </xf>
    <xf numFmtId="0" fontId="0" fillId="2" borderId="0" xfId="0" applyFill="1" applyAlignment="1">
      <alignment horizontal="center"/>
    </xf>
    <xf numFmtId="49" fontId="25" fillId="0" borderId="0" xfId="0" applyNumberFormat="1" applyFont="1" applyFill="1" applyBorder="1" applyAlignment="1" applyProtection="1">
      <alignment horizontal="center"/>
      <protection locked="0"/>
    </xf>
    <xf numFmtId="0" fontId="24" fillId="2" borderId="0" xfId="0" applyFont="1" applyFill="1" applyAlignment="1">
      <alignment horizontal="center"/>
    </xf>
    <xf numFmtId="0" fontId="4" fillId="0" borderId="12" xfId="0" applyFont="1" applyFill="1" applyBorder="1" applyAlignment="1">
      <alignment horizontal="center"/>
    </xf>
    <xf numFmtId="0" fontId="4" fillId="0" borderId="11" xfId="0" applyFont="1" applyFill="1" applyBorder="1" applyAlignment="1">
      <alignment horizontal="center"/>
    </xf>
    <xf numFmtId="0" fontId="4" fillId="0" borderId="21" xfId="0" applyFont="1" applyFill="1" applyBorder="1" applyAlignment="1">
      <alignment horizontal="center"/>
    </xf>
    <xf numFmtId="0" fontId="2" fillId="2" borderId="0" xfId="0" applyFont="1" applyFill="1" applyBorder="1" applyAlignment="1">
      <alignment horizontal="center"/>
    </xf>
    <xf numFmtId="0" fontId="44" fillId="0" borderId="0" xfId="0" applyFont="1" applyAlignment="1">
      <alignment horizontal="right"/>
    </xf>
    <xf numFmtId="0" fontId="43" fillId="0" borderId="0" xfId="0" applyFont="1" applyAlignment="1">
      <alignment horizontal="center"/>
    </xf>
    <xf numFmtId="0" fontId="45" fillId="0" borderId="0" xfId="0" applyFont="1"/>
    <xf numFmtId="0" fontId="45" fillId="0" borderId="0" xfId="0" applyFont="1" applyAlignment="1">
      <alignment horizontal="center"/>
    </xf>
    <xf numFmtId="0" fontId="46" fillId="0" borderId="0" xfId="0" applyFont="1" applyAlignment="1">
      <alignment horizontal="center"/>
    </xf>
    <xf numFmtId="0" fontId="2" fillId="2" borderId="0" xfId="0" applyFont="1"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left"/>
    </xf>
    <xf numFmtId="0" fontId="2" fillId="2" borderId="9" xfId="0" applyFont="1" applyFill="1" applyBorder="1" applyAlignment="1" applyProtection="1">
      <alignment horizontal="left"/>
    </xf>
    <xf numFmtId="0" fontId="8" fillId="2" borderId="7" xfId="0" applyFont="1" applyFill="1" applyBorder="1" applyAlignment="1" applyProtection="1">
      <alignment horizontal="left"/>
    </xf>
    <xf numFmtId="0" fontId="0" fillId="2" borderId="7" xfId="0" applyFill="1" applyBorder="1" applyProtection="1"/>
    <xf numFmtId="0" fontId="0" fillId="2" borderId="7" xfId="0" applyFill="1" applyBorder="1" applyAlignment="1" applyProtection="1">
      <alignment horizontal="center"/>
    </xf>
    <xf numFmtId="0" fontId="8" fillId="2" borderId="0" xfId="0" applyFont="1" applyFill="1" applyBorder="1" applyAlignment="1" applyProtection="1">
      <alignment horizontal="left"/>
    </xf>
    <xf numFmtId="0" fontId="9" fillId="2" borderId="0" xfId="0" applyFont="1" applyFill="1" applyBorder="1" applyAlignment="1" applyProtection="1">
      <alignment horizontal="left"/>
    </xf>
    <xf numFmtId="0" fontId="0" fillId="2" borderId="0" xfId="0" applyFill="1" applyBorder="1" applyAlignment="1" applyProtection="1">
      <alignment horizontal="center" vertical="center"/>
    </xf>
    <xf numFmtId="0" fontId="0" fillId="2" borderId="0" xfId="0" applyFill="1" applyProtection="1"/>
    <xf numFmtId="0" fontId="10" fillId="2" borderId="0" xfId="0" applyFont="1" applyFill="1" applyBorder="1" applyAlignment="1" applyProtection="1">
      <alignment horizontal="left"/>
    </xf>
    <xf numFmtId="164" fontId="2" fillId="2" borderId="0" xfId="0" applyNumberFormat="1" applyFont="1" applyFill="1" applyBorder="1" applyAlignment="1" applyProtection="1">
      <alignment horizontal="left"/>
    </xf>
    <xf numFmtId="0" fontId="0" fillId="2" borderId="0" xfId="0" applyFill="1" applyBorder="1" applyAlignment="1" applyProtection="1"/>
    <xf numFmtId="0" fontId="10" fillId="2" borderId="0" xfId="0" applyFont="1" applyFill="1" applyBorder="1" applyAlignment="1" applyProtection="1">
      <alignment horizontal="center"/>
    </xf>
    <xf numFmtId="165" fontId="2" fillId="2" borderId="0" xfId="0" applyNumberFormat="1" applyFont="1" applyFill="1" applyBorder="1" applyAlignment="1" applyProtection="1">
      <alignment horizontal="left"/>
    </xf>
    <xf numFmtId="0" fontId="18" fillId="2" borderId="10" xfId="0" applyFont="1" applyFill="1" applyBorder="1" applyAlignment="1" applyProtection="1">
      <alignment horizontal="left"/>
    </xf>
    <xf numFmtId="0" fontId="0" fillId="2" borderId="10" xfId="0" applyFill="1" applyBorder="1" applyAlignment="1" applyProtection="1">
      <alignment horizontal="left"/>
    </xf>
    <xf numFmtId="0" fontId="0" fillId="2" borderId="10" xfId="0" applyFill="1" applyBorder="1" applyAlignment="1" applyProtection="1">
      <alignment horizontal="center"/>
    </xf>
    <xf numFmtId="0" fontId="0" fillId="5" borderId="0" xfId="0" applyFill="1"/>
    <xf numFmtId="0" fontId="26" fillId="5" borderId="0" xfId="0" applyFont="1" applyFill="1" applyAlignment="1">
      <alignment horizontal="center"/>
    </xf>
    <xf numFmtId="0" fontId="4" fillId="5" borderId="0" xfId="0" applyFont="1" applyFill="1" applyAlignment="1">
      <alignment horizontal="center"/>
    </xf>
    <xf numFmtId="0" fontId="24" fillId="5" borderId="0" xfId="0" applyFont="1" applyFill="1"/>
    <xf numFmtId="0" fontId="4" fillId="5" borderId="0" xfId="0" applyFont="1" applyFill="1"/>
    <xf numFmtId="0" fontId="24" fillId="5" borderId="0" xfId="0" applyFont="1" applyFill="1" applyAlignment="1">
      <alignment horizontal="center"/>
    </xf>
    <xf numFmtId="0" fontId="45" fillId="5" borderId="0" xfId="0" applyFont="1" applyFill="1"/>
    <xf numFmtId="0" fontId="3" fillId="5" borderId="0" xfId="0" applyFont="1" applyFill="1" applyAlignment="1">
      <alignment horizontal="center"/>
    </xf>
    <xf numFmtId="0" fontId="34" fillId="5" borderId="0" xfId="0" applyFont="1" applyFill="1" applyAlignment="1">
      <alignment horizontal="left"/>
    </xf>
    <xf numFmtId="0" fontId="32" fillId="5" borderId="0" xfId="0" applyFont="1" applyFill="1" applyAlignment="1">
      <alignment horizontal="center"/>
    </xf>
    <xf numFmtId="0" fontId="35" fillId="5" borderId="0" xfId="0" applyFont="1" applyFill="1"/>
    <xf numFmtId="0" fontId="41" fillId="5" borderId="0" xfId="0" applyFont="1" applyFill="1"/>
    <xf numFmtId="0" fontId="29" fillId="5" borderId="0" xfId="0" applyFont="1" applyFill="1"/>
    <xf numFmtId="0" fontId="34" fillId="5" borderId="0" xfId="0" applyFont="1" applyFill="1"/>
    <xf numFmtId="0" fontId="32" fillId="5" borderId="0" xfId="0" applyFont="1" applyFill="1"/>
    <xf numFmtId="0" fontId="29" fillId="5" borderId="0" xfId="0" applyFont="1" applyFill="1" applyAlignment="1">
      <alignment horizontal="center"/>
    </xf>
    <xf numFmtId="0" fontId="43" fillId="5" borderId="0" xfId="0" applyFont="1" applyFill="1" applyAlignment="1">
      <alignment horizontal="left"/>
    </xf>
    <xf numFmtId="0" fontId="4" fillId="5" borderId="6" xfId="0" applyFont="1" applyFill="1" applyBorder="1" applyAlignment="1">
      <alignment horizontal="center"/>
    </xf>
    <xf numFmtId="0" fontId="4" fillId="5" borderId="7" xfId="0" applyFont="1" applyFill="1" applyBorder="1" applyAlignment="1">
      <alignment horizontal="center"/>
    </xf>
    <xf numFmtId="0" fontId="4" fillId="5" borderId="24" xfId="0" applyFont="1" applyFill="1" applyBorder="1" applyAlignment="1">
      <alignment horizontal="center"/>
    </xf>
    <xf numFmtId="0" fontId="24" fillId="5" borderId="6" xfId="0" applyFont="1" applyFill="1" applyBorder="1" applyAlignment="1">
      <alignment horizontal="center"/>
    </xf>
    <xf numFmtId="0" fontId="24" fillId="5" borderId="7" xfId="0" applyFont="1" applyFill="1" applyBorder="1" applyAlignment="1">
      <alignment horizontal="center"/>
    </xf>
    <xf numFmtId="0" fontId="24" fillId="5" borderId="24" xfId="0" applyFont="1" applyFill="1" applyBorder="1" applyAlignment="1">
      <alignment horizontal="center"/>
    </xf>
    <xf numFmtId="0" fontId="4" fillId="5" borderId="28" xfId="0" applyFont="1" applyFill="1" applyBorder="1" applyAlignment="1">
      <alignment horizontal="center" wrapText="1"/>
    </xf>
    <xf numFmtId="0" fontId="4" fillId="5" borderId="0" xfId="0" applyFont="1" applyFill="1" applyBorder="1" applyAlignment="1">
      <alignment horizontal="center"/>
    </xf>
    <xf numFmtId="0" fontId="45" fillId="5" borderId="0" xfId="0" applyFont="1" applyFill="1" applyAlignment="1">
      <alignment horizontal="left"/>
    </xf>
    <xf numFmtId="0" fontId="43" fillId="5" borderId="80" xfId="0" applyFont="1" applyFill="1" applyBorder="1" applyAlignment="1">
      <alignment horizontal="left"/>
    </xf>
    <xf numFmtId="0" fontId="4" fillId="5" borderId="81" xfId="0" applyFont="1" applyFill="1" applyBorder="1" applyAlignment="1">
      <alignment horizontal="center"/>
    </xf>
    <xf numFmtId="0" fontId="0" fillId="5" borderId="81" xfId="0" applyFill="1" applyBorder="1"/>
    <xf numFmtId="0" fontId="0" fillId="5" borderId="82" xfId="0" applyFill="1" applyBorder="1"/>
    <xf numFmtId="0" fontId="4" fillId="5" borderId="1" xfId="0" applyFont="1" applyFill="1" applyBorder="1" applyAlignment="1">
      <alignment horizontal="center"/>
    </xf>
    <xf numFmtId="0" fontId="0" fillId="5" borderId="0" xfId="0" applyFill="1" applyBorder="1"/>
    <xf numFmtId="0" fontId="0" fillId="5" borderId="25" xfId="0" applyFill="1" applyBorder="1"/>
    <xf numFmtId="0" fontId="24" fillId="5" borderId="1" xfId="0" applyFont="1" applyFill="1" applyBorder="1"/>
    <xf numFmtId="0" fontId="24" fillId="5" borderId="0" xfId="0" applyFont="1" applyFill="1" applyBorder="1" applyAlignment="1">
      <alignment horizontal="center"/>
    </xf>
    <xf numFmtId="0" fontId="24" fillId="5" borderId="0" xfId="0" applyFont="1" applyFill="1" applyBorder="1"/>
    <xf numFmtId="0" fontId="24" fillId="5" borderId="25" xfId="0" applyFont="1" applyFill="1" applyBorder="1"/>
    <xf numFmtId="0" fontId="26" fillId="5" borderId="0" xfId="0" applyFont="1" applyFill="1" applyAlignment="1">
      <alignment horizontal="right"/>
    </xf>
    <xf numFmtId="0" fontId="4" fillId="5" borderId="25" xfId="0" applyFont="1" applyFill="1" applyBorder="1" applyAlignment="1">
      <alignment horizontal="center"/>
    </xf>
    <xf numFmtId="0" fontId="0" fillId="5" borderId="1" xfId="0" applyFill="1" applyBorder="1"/>
    <xf numFmtId="0" fontId="24" fillId="5" borderId="1" xfId="0" applyFont="1" applyFill="1" applyBorder="1" applyAlignment="1">
      <alignment horizontal="center"/>
    </xf>
    <xf numFmtId="0" fontId="25" fillId="5" borderId="0" xfId="0" applyFont="1" applyFill="1" applyBorder="1" applyAlignment="1">
      <alignment horizontal="center" wrapText="1"/>
    </xf>
    <xf numFmtId="0" fontId="25" fillId="5" borderId="25" xfId="0" applyFont="1" applyFill="1" applyBorder="1" applyAlignment="1">
      <alignment horizontal="center" wrapText="1"/>
    </xf>
    <xf numFmtId="0" fontId="17" fillId="5" borderId="0" xfId="0" applyFont="1" applyFill="1" applyAlignment="1">
      <alignment wrapText="1"/>
    </xf>
    <xf numFmtId="0" fontId="4" fillId="5" borderId="29" xfId="0" applyFont="1" applyFill="1" applyBorder="1"/>
    <xf numFmtId="0" fontId="3" fillId="5" borderId="0" xfId="0" applyFont="1" applyFill="1" applyBorder="1" applyAlignment="1">
      <alignment horizontal="center" wrapText="1"/>
    </xf>
    <xf numFmtId="0" fontId="4" fillId="5" borderId="54" xfId="0" applyFont="1" applyFill="1" applyBorder="1" applyAlignment="1">
      <alignment horizontal="center"/>
    </xf>
    <xf numFmtId="0" fontId="4" fillId="5" borderId="45" xfId="0" applyFont="1" applyFill="1" applyBorder="1" applyAlignment="1">
      <alignment horizontal="center"/>
    </xf>
    <xf numFmtId="0" fontId="0" fillId="5" borderId="0" xfId="0" applyFill="1" applyAlignment="1">
      <alignment horizontal="center"/>
    </xf>
    <xf numFmtId="168" fontId="3" fillId="5" borderId="0" xfId="0" applyNumberFormat="1" applyFont="1" applyFill="1" applyAlignment="1">
      <alignment horizontal="center"/>
    </xf>
    <xf numFmtId="3" fontId="4" fillId="5" borderId="0" xfId="0" applyNumberFormat="1" applyFont="1" applyFill="1" applyAlignment="1">
      <alignment horizontal="center"/>
    </xf>
    <xf numFmtId="0" fontId="24" fillId="5" borderId="25" xfId="0" applyFont="1" applyFill="1" applyBorder="1" applyAlignment="1">
      <alignment horizontal="center"/>
    </xf>
    <xf numFmtId="0" fontId="4" fillId="5" borderId="29" xfId="0" applyFont="1" applyFill="1" applyBorder="1" applyAlignment="1">
      <alignment horizontal="center"/>
    </xf>
    <xf numFmtId="0" fontId="4" fillId="5" borderId="0" xfId="0" applyFont="1" applyFill="1" applyBorder="1" applyAlignment="1">
      <alignment horizontal="center" wrapText="1"/>
    </xf>
    <xf numFmtId="0" fontId="0" fillId="5" borderId="45" xfId="0" applyFill="1" applyBorder="1"/>
    <xf numFmtId="0" fontId="45" fillId="5" borderId="0" xfId="0" applyFont="1" applyFill="1" applyAlignment="1">
      <alignment horizontal="center"/>
    </xf>
    <xf numFmtId="0" fontId="3" fillId="5" borderId="1" xfId="0" applyFont="1" applyFill="1" applyBorder="1" applyAlignment="1">
      <alignment horizontal="center"/>
    </xf>
    <xf numFmtId="0" fontId="3" fillId="5" borderId="0" xfId="0" applyFont="1" applyFill="1" applyBorder="1" applyAlignment="1">
      <alignment horizontal="center"/>
    </xf>
    <xf numFmtId="0" fontId="3" fillId="5" borderId="25" xfId="0" applyFont="1" applyFill="1" applyBorder="1" applyAlignment="1">
      <alignment horizontal="center"/>
    </xf>
    <xf numFmtId="173" fontId="4" fillId="5" borderId="1" xfId="0" applyNumberFormat="1" applyFont="1" applyFill="1" applyBorder="1" applyAlignment="1">
      <alignment horizontal="center"/>
    </xf>
    <xf numFmtId="173" fontId="4" fillId="5" borderId="0" xfId="0" applyNumberFormat="1" applyFont="1" applyFill="1" applyBorder="1" applyAlignment="1">
      <alignment horizontal="center"/>
    </xf>
    <xf numFmtId="173" fontId="4" fillId="5" borderId="25" xfId="0" applyNumberFormat="1" applyFont="1" applyFill="1" applyBorder="1" applyAlignment="1">
      <alignment horizontal="center"/>
    </xf>
    <xf numFmtId="173" fontId="3" fillId="5" borderId="1" xfId="0" applyNumberFormat="1" applyFont="1" applyFill="1" applyBorder="1" applyAlignment="1">
      <alignment horizontal="center"/>
    </xf>
    <xf numFmtId="173" fontId="3" fillId="5" borderId="0" xfId="0" applyNumberFormat="1" applyFont="1" applyFill="1" applyBorder="1" applyAlignment="1">
      <alignment horizontal="center"/>
    </xf>
    <xf numFmtId="173" fontId="3" fillId="5" borderId="25" xfId="0" applyNumberFormat="1" applyFont="1" applyFill="1" applyBorder="1" applyAlignment="1">
      <alignment horizontal="center"/>
    </xf>
    <xf numFmtId="0" fontId="3" fillId="5" borderId="26" xfId="0" applyFont="1" applyFill="1" applyBorder="1" applyAlignment="1">
      <alignment horizontal="center"/>
    </xf>
    <xf numFmtId="0" fontId="3" fillId="5" borderId="2" xfId="0" applyFont="1" applyFill="1" applyBorder="1" applyAlignment="1">
      <alignment horizontal="center"/>
    </xf>
    <xf numFmtId="0" fontId="3" fillId="5" borderId="27" xfId="0" applyFont="1" applyFill="1" applyBorder="1" applyAlignment="1">
      <alignment horizontal="center"/>
    </xf>
    <xf numFmtId="14" fontId="4" fillId="5" borderId="0" xfId="0" applyNumberFormat="1" applyFont="1" applyFill="1" applyAlignment="1">
      <alignment horizontal="center"/>
    </xf>
    <xf numFmtId="15" fontId="4" fillId="5" borderId="0" xfId="0" applyNumberFormat="1" applyFont="1" applyFill="1" applyAlignment="1">
      <alignment horizontal="center"/>
    </xf>
    <xf numFmtId="0" fontId="40" fillId="5" borderId="0" xfId="0" applyFont="1" applyFill="1" applyAlignment="1">
      <alignment horizontal="right"/>
    </xf>
    <xf numFmtId="0" fontId="10" fillId="5" borderId="0" xfId="0" applyFont="1" applyFill="1"/>
    <xf numFmtId="0" fontId="41" fillId="5" borderId="25" xfId="0" applyFont="1" applyFill="1" applyBorder="1" applyAlignment="1">
      <alignment horizontal="center"/>
    </xf>
    <xf numFmtId="0" fontId="40" fillId="5" borderId="0" xfId="0" applyFont="1" applyFill="1"/>
    <xf numFmtId="0" fontId="4" fillId="5" borderId="29" xfId="0" applyNumberFormat="1" applyFont="1" applyFill="1" applyBorder="1" applyAlignment="1">
      <alignment horizontal="center"/>
    </xf>
    <xf numFmtId="0" fontId="4" fillId="5" borderId="1" xfId="0" applyNumberFormat="1" applyFont="1" applyFill="1" applyBorder="1" applyAlignment="1">
      <alignment horizontal="center"/>
    </xf>
    <xf numFmtId="0" fontId="44" fillId="5" borderId="0" xfId="0" applyFont="1" applyFill="1" applyAlignment="1">
      <alignment horizontal="right"/>
    </xf>
    <xf numFmtId="0" fontId="24" fillId="5" borderId="1" xfId="0" applyNumberFormat="1" applyFont="1" applyFill="1" applyBorder="1" applyAlignment="1">
      <alignment horizontal="center"/>
    </xf>
    <xf numFmtId="0" fontId="4" fillId="5" borderId="26" xfId="0" applyFont="1" applyFill="1" applyBorder="1" applyAlignment="1">
      <alignment horizontal="center"/>
    </xf>
    <xf numFmtId="0" fontId="4" fillId="5" borderId="2" xfId="0" applyFont="1" applyFill="1" applyBorder="1" applyAlignment="1">
      <alignment horizontal="center"/>
    </xf>
    <xf numFmtId="0" fontId="4" fillId="5" borderId="27" xfId="0" applyFont="1" applyFill="1" applyBorder="1" applyAlignment="1">
      <alignment horizontal="center"/>
    </xf>
    <xf numFmtId="0" fontId="24" fillId="5" borderId="7" xfId="0" applyNumberFormat="1" applyFont="1" applyFill="1" applyBorder="1" applyAlignment="1">
      <alignment horizontal="center"/>
    </xf>
    <xf numFmtId="0" fontId="4" fillId="5" borderId="30" xfId="0" applyFont="1" applyFill="1" applyBorder="1" applyAlignment="1">
      <alignment horizontal="center"/>
    </xf>
    <xf numFmtId="0" fontId="40" fillId="5" borderId="0" xfId="0" applyFont="1" applyFill="1" applyBorder="1" applyAlignment="1">
      <alignment horizontal="right"/>
    </xf>
    <xf numFmtId="0" fontId="43" fillId="5" borderId="0" xfId="0" applyFont="1" applyFill="1" applyAlignment="1">
      <alignment horizontal="center"/>
    </xf>
    <xf numFmtId="0" fontId="24" fillId="5" borderId="26" xfId="0" applyFont="1" applyFill="1" applyBorder="1" applyAlignment="1">
      <alignment horizontal="center"/>
    </xf>
    <xf numFmtId="0" fontId="24" fillId="5" borderId="2" xfId="0" applyFont="1" applyFill="1" applyBorder="1"/>
    <xf numFmtId="0" fontId="24" fillId="5" borderId="27" xfId="0" applyFont="1" applyFill="1" applyBorder="1"/>
    <xf numFmtId="0" fontId="24" fillId="5" borderId="0" xfId="0" applyNumberFormat="1" applyFont="1" applyFill="1" applyBorder="1" applyAlignment="1">
      <alignment horizontal="center"/>
    </xf>
    <xf numFmtId="0" fontId="26" fillId="5" borderId="0" xfId="0" applyFont="1" applyFill="1" applyAlignment="1">
      <alignment horizontal="left"/>
    </xf>
    <xf numFmtId="0" fontId="25" fillId="5" borderId="0" xfId="0" applyFont="1" applyFill="1" applyBorder="1" applyAlignment="1">
      <alignment horizontal="center"/>
    </xf>
    <xf numFmtId="0" fontId="25" fillId="5" borderId="25" xfId="0" applyFont="1" applyFill="1" applyBorder="1" applyAlignment="1">
      <alignment horizontal="center"/>
    </xf>
    <xf numFmtId="173" fontId="24" fillId="5" borderId="0" xfId="0" applyNumberFormat="1" applyFont="1" applyFill="1" applyBorder="1" applyAlignment="1">
      <alignment horizontal="center"/>
    </xf>
    <xf numFmtId="0" fontId="46" fillId="5" borderId="0" xfId="0" applyFont="1" applyFill="1" applyAlignment="1">
      <alignment horizontal="right"/>
    </xf>
    <xf numFmtId="173" fontId="25" fillId="5" borderId="0" xfId="0" applyNumberFormat="1" applyFont="1" applyFill="1" applyBorder="1" applyAlignment="1">
      <alignment horizontal="center"/>
    </xf>
    <xf numFmtId="0" fontId="8" fillId="5" borderId="7" xfId="0" applyFont="1" applyFill="1" applyBorder="1" applyAlignment="1" applyProtection="1">
      <alignment horizontal="left"/>
    </xf>
    <xf numFmtId="0" fontId="8" fillId="5" borderId="0" xfId="0" applyFont="1" applyFill="1" applyBorder="1" applyAlignment="1" applyProtection="1">
      <alignment horizontal="left"/>
    </xf>
    <xf numFmtId="0" fontId="9" fillId="5" borderId="0" xfId="0" applyFont="1" applyFill="1" applyBorder="1" applyAlignment="1" applyProtection="1">
      <alignment horizontal="left"/>
    </xf>
    <xf numFmtId="0" fontId="0" fillId="5" borderId="0" xfId="0" applyFill="1" applyBorder="1" applyAlignment="1" applyProtection="1">
      <alignment horizontal="left"/>
    </xf>
    <xf numFmtId="0" fontId="0" fillId="5" borderId="0" xfId="0" applyFill="1" applyBorder="1" applyProtection="1"/>
    <xf numFmtId="0" fontId="0" fillId="5" borderId="0" xfId="0" applyFill="1" applyBorder="1" applyAlignment="1" applyProtection="1"/>
    <xf numFmtId="0" fontId="18" fillId="5" borderId="10" xfId="0" applyFont="1" applyFill="1" applyBorder="1" applyAlignment="1" applyProtection="1">
      <alignment horizontal="left"/>
    </xf>
    <xf numFmtId="0" fontId="11" fillId="5" borderId="40" xfId="0" applyFont="1" applyFill="1" applyBorder="1" applyAlignment="1" applyProtection="1">
      <alignment horizontal="center"/>
    </xf>
    <xf numFmtId="169" fontId="3" fillId="5" borderId="11" xfId="0" applyNumberFormat="1" applyFont="1" applyFill="1" applyBorder="1" applyAlignment="1" applyProtection="1">
      <alignment horizontal="center"/>
      <protection locked="0"/>
    </xf>
    <xf numFmtId="169" fontId="3" fillId="5" borderId="12" xfId="0" applyNumberFormat="1" applyFont="1" applyFill="1" applyBorder="1" applyAlignment="1" applyProtection="1">
      <alignment horizontal="center"/>
      <protection locked="0"/>
    </xf>
    <xf numFmtId="169" fontId="3" fillId="5" borderId="13" xfId="0" applyNumberFormat="1" applyFont="1" applyFill="1" applyBorder="1" applyAlignment="1" applyProtection="1">
      <alignment horizontal="center"/>
      <protection locked="0"/>
    </xf>
    <xf numFmtId="0" fontId="3" fillId="5" borderId="11" xfId="0" applyNumberFormat="1" applyFont="1" applyFill="1" applyBorder="1" applyAlignment="1">
      <alignment horizontal="center"/>
    </xf>
    <xf numFmtId="0" fontId="3" fillId="5" borderId="12" xfId="0" applyNumberFormat="1" applyFont="1" applyFill="1" applyBorder="1" applyAlignment="1">
      <alignment horizontal="center"/>
    </xf>
    <xf numFmtId="0" fontId="3" fillId="5" borderId="21" xfId="0" applyNumberFormat="1" applyFont="1" applyFill="1" applyBorder="1" applyAlignment="1">
      <alignment horizontal="center"/>
    </xf>
    <xf numFmtId="2" fontId="1" fillId="5" borderId="0" xfId="0" applyNumberFormat="1" applyFont="1" applyFill="1" applyBorder="1" applyAlignment="1"/>
    <xf numFmtId="0" fontId="14" fillId="5" borderId="0" xfId="0" applyFont="1" applyFill="1" applyBorder="1" applyAlignment="1" applyProtection="1">
      <alignment horizontal="left"/>
    </xf>
    <xf numFmtId="0" fontId="5" fillId="5" borderId="0" xfId="0" applyFont="1" applyFill="1" applyBorder="1" applyAlignment="1" applyProtection="1">
      <alignment horizontal="justify" vertical="center" wrapText="1"/>
      <protection locked="0"/>
    </xf>
    <xf numFmtId="0" fontId="13" fillId="5" borderId="0" xfId="0" applyFont="1" applyFill="1" applyBorder="1" applyAlignment="1" applyProtection="1">
      <alignment horizontal="left"/>
      <protection locked="0"/>
    </xf>
    <xf numFmtId="0" fontId="4" fillId="5" borderId="2" xfId="0" applyFont="1" applyFill="1" applyBorder="1"/>
    <xf numFmtId="0" fontId="37" fillId="6" borderId="23" xfId="0" applyFont="1" applyFill="1" applyBorder="1" applyAlignment="1" applyProtection="1">
      <alignment horizontal="left"/>
    </xf>
    <xf numFmtId="0" fontId="0" fillId="5" borderId="83" xfId="0" applyFill="1" applyBorder="1"/>
    <xf numFmtId="0" fontId="24" fillId="5" borderId="83" xfId="0" applyFont="1" applyFill="1" applyBorder="1" applyAlignment="1">
      <alignment horizontal="center"/>
    </xf>
    <xf numFmtId="0" fontId="4" fillId="5" borderId="7" xfId="0" applyFont="1" applyFill="1" applyBorder="1"/>
    <xf numFmtId="0" fontId="0" fillId="5" borderId="0" xfId="0" applyFill="1" applyBorder="1" applyAlignment="1">
      <alignment horizontal="left"/>
    </xf>
    <xf numFmtId="0" fontId="4" fillId="5" borderId="0" xfId="0" applyFont="1" applyFill="1" applyBorder="1"/>
    <xf numFmtId="0" fontId="0" fillId="5" borderId="83" xfId="0" applyFill="1" applyBorder="1" applyAlignment="1">
      <alignment horizontal="left"/>
    </xf>
    <xf numFmtId="0" fontId="4" fillId="5" borderId="83" xfId="0" applyFont="1" applyFill="1" applyBorder="1" applyAlignment="1">
      <alignment horizontal="center"/>
    </xf>
    <xf numFmtId="0" fontId="26" fillId="5" borderId="0" xfId="0" applyFont="1" applyFill="1" applyAlignment="1">
      <alignment horizontal="left" vertical="center"/>
    </xf>
    <xf numFmtId="0" fontId="26" fillId="5" borderId="0" xfId="0" applyFont="1" applyFill="1" applyAlignment="1">
      <alignment horizontal="center" vertical="center"/>
    </xf>
    <xf numFmtId="0" fontId="29" fillId="5" borderId="0" xfId="0" applyFont="1" applyFill="1" applyAlignment="1">
      <alignment horizontal="left"/>
    </xf>
    <xf numFmtId="0" fontId="4" fillId="5" borderId="0" xfId="0" applyFont="1" applyFill="1" applyAlignment="1">
      <alignment horizontal="left"/>
    </xf>
    <xf numFmtId="0" fontId="24" fillId="5" borderId="0" xfId="0" applyFont="1" applyFill="1" applyAlignment="1">
      <alignment horizontal="center"/>
    </xf>
    <xf numFmtId="0" fontId="24" fillId="0" borderId="0" xfId="0" applyFont="1" applyAlignment="1">
      <alignment horizontal="center"/>
    </xf>
    <xf numFmtId="0" fontId="30" fillId="0" borderId="0" xfId="0" applyFont="1"/>
    <xf numFmtId="0" fontId="24" fillId="0" borderId="0" xfId="0" applyFont="1" applyAlignment="1">
      <alignment horizontal="center"/>
    </xf>
    <xf numFmtId="0" fontId="24" fillId="0" borderId="0" xfId="0" applyFont="1" applyAlignment="1">
      <alignment horizontal="center"/>
    </xf>
    <xf numFmtId="0" fontId="24" fillId="5" borderId="0" xfId="0" applyFont="1" applyFill="1" applyAlignment="1">
      <alignment horizontal="center"/>
    </xf>
    <xf numFmtId="0" fontId="24" fillId="0" borderId="0" xfId="0" applyNumberFormat="1" applyFont="1" applyAlignment="1">
      <alignment horizontal="center"/>
    </xf>
    <xf numFmtId="0" fontId="26" fillId="5" borderId="0" xfId="0" applyFont="1" applyFill="1" applyAlignment="1">
      <alignment horizontal="center"/>
    </xf>
    <xf numFmtId="0" fontId="24" fillId="5" borderId="0" xfId="0" applyNumberFormat="1" applyFont="1" applyFill="1" applyAlignment="1">
      <alignment horizontal="center"/>
    </xf>
    <xf numFmtId="1" fontId="24" fillId="5" borderId="0" xfId="0" applyNumberFormat="1" applyFont="1" applyFill="1" applyAlignment="1">
      <alignment horizontal="center"/>
    </xf>
    <xf numFmtId="0" fontId="27" fillId="0" borderId="49" xfId="0" applyFont="1" applyFill="1" applyBorder="1" applyAlignment="1" applyProtection="1">
      <alignment horizontal="center"/>
      <protection locked="0"/>
    </xf>
    <xf numFmtId="0" fontId="27" fillId="0" borderId="50" xfId="0" applyFont="1" applyFill="1" applyBorder="1" applyAlignment="1" applyProtection="1">
      <alignment horizontal="center"/>
      <protection locked="0"/>
    </xf>
    <xf numFmtId="0" fontId="27" fillId="0" borderId="53" xfId="0" applyFont="1" applyFill="1" applyBorder="1" applyAlignment="1" applyProtection="1">
      <alignment horizontal="center"/>
      <protection locked="0"/>
    </xf>
    <xf numFmtId="0" fontId="27" fillId="0" borderId="54" xfId="0" applyFont="1" applyFill="1" applyBorder="1" applyAlignment="1" applyProtection="1">
      <alignment horizontal="center"/>
      <protection locked="0"/>
    </xf>
    <xf numFmtId="0" fontId="27" fillId="0" borderId="0" xfId="0" applyFont="1" applyFill="1" applyBorder="1" applyAlignment="1" applyProtection="1">
      <alignment horizontal="center"/>
      <protection locked="0"/>
    </xf>
    <xf numFmtId="0" fontId="27" fillId="0" borderId="25" xfId="0" applyFont="1" applyFill="1" applyBorder="1" applyAlignment="1" applyProtection="1">
      <alignment horizontal="center"/>
      <protection locked="0"/>
    </xf>
    <xf numFmtId="0" fontId="27" fillId="0" borderId="55" xfId="0" applyFont="1" applyFill="1" applyBorder="1" applyAlignment="1" applyProtection="1">
      <alignment horizontal="center"/>
      <protection locked="0"/>
    </xf>
    <xf numFmtId="0" fontId="27" fillId="0" borderId="44" xfId="0" applyFont="1" applyFill="1" applyBorder="1" applyAlignment="1" applyProtection="1">
      <alignment horizontal="center"/>
      <protection locked="0"/>
    </xf>
    <xf numFmtId="0" fontId="27" fillId="0" borderId="56" xfId="0" applyFont="1" applyFill="1" applyBorder="1" applyAlignment="1" applyProtection="1">
      <alignment horizontal="center"/>
      <protection locked="0"/>
    </xf>
    <xf numFmtId="0" fontId="27" fillId="0" borderId="1" xfId="0" applyFont="1" applyBorder="1" applyAlignment="1" applyProtection="1">
      <alignment horizontal="left" wrapText="1"/>
      <protection locked="0"/>
    </xf>
    <xf numFmtId="0" fontId="27" fillId="0" borderId="0" xfId="0" applyFont="1" applyBorder="1" applyAlignment="1" applyProtection="1">
      <alignment horizontal="left" wrapText="1"/>
      <protection locked="0"/>
    </xf>
    <xf numFmtId="0" fontId="27" fillId="0" borderId="45" xfId="0" applyFont="1" applyBorder="1" applyAlignment="1" applyProtection="1">
      <alignment horizontal="left" wrapText="1"/>
      <protection locked="0"/>
    </xf>
    <xf numFmtId="0" fontId="27" fillId="0" borderId="46" xfId="0" applyFont="1" applyBorder="1" applyAlignment="1" applyProtection="1">
      <alignment horizontal="left" wrapText="1"/>
      <protection locked="0"/>
    </xf>
    <xf numFmtId="0" fontId="27" fillId="0" borderId="44" xfId="0" applyFont="1" applyBorder="1" applyAlignment="1" applyProtection="1">
      <alignment horizontal="left" wrapText="1"/>
      <protection locked="0"/>
    </xf>
    <xf numFmtId="0" fontId="27" fillId="0" borderId="43" xfId="0" applyFont="1" applyBorder="1" applyAlignment="1" applyProtection="1">
      <alignment horizontal="left" wrapText="1"/>
      <protection locked="0"/>
    </xf>
    <xf numFmtId="0" fontId="8" fillId="0" borderId="58" xfId="0" applyFont="1" applyFill="1" applyBorder="1" applyAlignment="1">
      <alignment horizontal="center"/>
    </xf>
    <xf numFmtId="0" fontId="8" fillId="0" borderId="59" xfId="0" applyFont="1" applyFill="1" applyBorder="1" applyAlignment="1">
      <alignment horizontal="center"/>
    </xf>
    <xf numFmtId="0" fontId="8" fillId="0" borderId="60" xfId="0" applyFont="1" applyFill="1" applyBorder="1" applyAlignment="1">
      <alignment horizontal="center"/>
    </xf>
    <xf numFmtId="0" fontId="8" fillId="0" borderId="55" xfId="0" applyFont="1" applyFill="1" applyBorder="1" applyAlignment="1">
      <alignment horizontal="center"/>
    </xf>
    <xf numFmtId="0" fontId="8" fillId="0" borderId="44" xfId="0" applyFont="1" applyFill="1" applyBorder="1" applyAlignment="1">
      <alignment horizontal="center"/>
    </xf>
    <xf numFmtId="0" fontId="8" fillId="0" borderId="43" xfId="0" applyFont="1" applyFill="1" applyBorder="1" applyAlignment="1">
      <alignment horizontal="center"/>
    </xf>
    <xf numFmtId="3" fontId="4" fillId="0" borderId="58" xfId="0" applyNumberFormat="1" applyFont="1" applyFill="1" applyBorder="1" applyAlignment="1" applyProtection="1">
      <alignment horizontal="center" wrapText="1"/>
      <protection locked="0"/>
    </xf>
    <xf numFmtId="3" fontId="4" fillId="0" borderId="59" xfId="0" applyNumberFormat="1" applyFont="1" applyFill="1" applyBorder="1" applyAlignment="1" applyProtection="1">
      <alignment horizontal="center" wrapText="1"/>
      <protection locked="0"/>
    </xf>
    <xf numFmtId="3" fontId="4" fillId="0" borderId="60" xfId="0" applyNumberFormat="1" applyFont="1" applyFill="1" applyBorder="1" applyAlignment="1" applyProtection="1">
      <alignment horizontal="center" wrapText="1"/>
      <protection locked="0"/>
    </xf>
    <xf numFmtId="3" fontId="4" fillId="0" borderId="55" xfId="0" applyNumberFormat="1" applyFont="1" applyFill="1" applyBorder="1" applyAlignment="1" applyProtection="1">
      <alignment horizontal="center" wrapText="1"/>
      <protection locked="0"/>
    </xf>
    <xf numFmtId="3" fontId="4" fillId="0" borderId="44" xfId="0" applyNumberFormat="1" applyFont="1" applyFill="1" applyBorder="1" applyAlignment="1" applyProtection="1">
      <alignment horizontal="center" wrapText="1"/>
      <protection locked="0"/>
    </xf>
    <xf numFmtId="3" fontId="4" fillId="0" borderId="43" xfId="0" applyNumberFormat="1" applyFont="1" applyFill="1" applyBorder="1" applyAlignment="1" applyProtection="1">
      <alignment horizontal="center" wrapText="1"/>
      <protection locked="0"/>
    </xf>
    <xf numFmtId="3" fontId="4" fillId="0" borderId="58" xfId="0" applyNumberFormat="1" applyFont="1" applyFill="1" applyBorder="1" applyAlignment="1" applyProtection="1">
      <alignment horizontal="center"/>
      <protection locked="0"/>
    </xf>
    <xf numFmtId="3" fontId="4" fillId="0" borderId="59" xfId="0" applyNumberFormat="1" applyFont="1" applyFill="1" applyBorder="1" applyAlignment="1" applyProtection="1">
      <alignment horizontal="center"/>
      <protection locked="0"/>
    </xf>
    <xf numFmtId="3" fontId="4" fillId="0" borderId="60" xfId="0" applyNumberFormat="1" applyFont="1" applyFill="1" applyBorder="1" applyAlignment="1" applyProtection="1">
      <alignment horizontal="center"/>
      <protection locked="0"/>
    </xf>
    <xf numFmtId="3" fontId="4" fillId="0" borderId="55" xfId="0" applyNumberFormat="1" applyFont="1" applyFill="1" applyBorder="1" applyAlignment="1" applyProtection="1">
      <alignment horizontal="center"/>
      <protection locked="0"/>
    </xf>
    <xf numFmtId="3" fontId="4" fillId="0" borderId="44" xfId="0" applyNumberFormat="1" applyFont="1" applyFill="1" applyBorder="1" applyAlignment="1" applyProtection="1">
      <alignment horizontal="center"/>
      <protection locked="0"/>
    </xf>
    <xf numFmtId="3" fontId="4" fillId="0" borderId="43" xfId="0" applyNumberFormat="1" applyFont="1" applyFill="1" applyBorder="1" applyAlignment="1" applyProtection="1">
      <alignment horizontal="center"/>
      <protection locked="0"/>
    </xf>
    <xf numFmtId="0" fontId="4" fillId="0" borderId="58" xfId="0" applyFont="1" applyFill="1" applyBorder="1" applyAlignment="1" applyProtection="1">
      <alignment horizontal="center" wrapText="1"/>
      <protection locked="0"/>
    </xf>
    <xf numFmtId="0" fontId="4" fillId="0" borderId="59" xfId="0" applyFont="1" applyFill="1" applyBorder="1" applyAlignment="1" applyProtection="1">
      <alignment horizontal="center" wrapText="1"/>
      <protection locked="0"/>
    </xf>
    <xf numFmtId="0" fontId="4" fillId="0" borderId="60" xfId="0" applyFont="1" applyFill="1" applyBorder="1" applyAlignment="1" applyProtection="1">
      <alignment horizontal="center" wrapText="1"/>
      <protection locked="0"/>
    </xf>
    <xf numFmtId="0" fontId="4" fillId="0" borderId="55" xfId="0" applyFont="1" applyFill="1" applyBorder="1" applyAlignment="1" applyProtection="1">
      <alignment horizontal="center" wrapText="1"/>
      <protection locked="0"/>
    </xf>
    <xf numFmtId="0" fontId="4" fillId="0" borderId="44" xfId="0" applyFont="1" applyFill="1" applyBorder="1" applyAlignment="1" applyProtection="1">
      <alignment horizontal="center" wrapText="1"/>
      <protection locked="0"/>
    </xf>
    <xf numFmtId="0" fontId="4" fillId="0" borderId="43" xfId="0" applyFont="1" applyFill="1" applyBorder="1" applyAlignment="1" applyProtection="1">
      <alignment horizontal="center" wrapText="1"/>
      <protection locked="0"/>
    </xf>
    <xf numFmtId="0" fontId="10" fillId="2" borderId="57" xfId="0" applyFont="1" applyFill="1" applyBorder="1" applyAlignment="1" applyProtection="1">
      <alignment horizontal="left" wrapText="1"/>
      <protection locked="0"/>
    </xf>
    <xf numFmtId="0" fontId="10" fillId="2" borderId="50" xfId="0" applyFont="1" applyFill="1" applyBorder="1" applyAlignment="1" applyProtection="1">
      <alignment horizontal="left" wrapText="1"/>
      <protection locked="0"/>
    </xf>
    <xf numFmtId="0" fontId="10" fillId="2" borderId="51" xfId="0" applyFont="1" applyFill="1" applyBorder="1" applyAlignment="1" applyProtection="1">
      <alignment horizontal="left" wrapText="1"/>
      <protection locked="0"/>
    </xf>
    <xf numFmtId="0" fontId="10" fillId="2" borderId="1" xfId="0" applyFont="1" applyFill="1" applyBorder="1" applyAlignment="1" applyProtection="1">
      <alignment horizontal="left" wrapText="1"/>
      <protection locked="0"/>
    </xf>
    <xf numFmtId="0" fontId="10" fillId="2" borderId="0" xfId="0" applyFont="1" applyFill="1" applyBorder="1" applyAlignment="1" applyProtection="1">
      <alignment horizontal="left" wrapText="1"/>
      <protection locked="0"/>
    </xf>
    <xf numFmtId="0" fontId="10" fillId="2" borderId="45" xfId="0" applyFont="1" applyFill="1" applyBorder="1" applyAlignment="1" applyProtection="1">
      <alignment horizontal="left" wrapText="1"/>
      <protection locked="0"/>
    </xf>
    <xf numFmtId="0" fontId="8" fillId="0" borderId="49" xfId="0" applyFont="1" applyFill="1" applyBorder="1" applyAlignment="1">
      <alignment horizontal="center"/>
    </xf>
    <xf numFmtId="0" fontId="8" fillId="0" borderId="50" xfId="0" applyFont="1" applyFill="1" applyBorder="1" applyAlignment="1">
      <alignment horizontal="center"/>
    </xf>
    <xf numFmtId="0" fontId="8" fillId="0" borderId="51" xfId="0" applyFont="1" applyFill="1" applyBorder="1" applyAlignment="1">
      <alignment horizontal="center"/>
    </xf>
    <xf numFmtId="0" fontId="8" fillId="0" borderId="52" xfId="0" applyFont="1" applyFill="1" applyBorder="1" applyAlignment="1">
      <alignment horizontal="center"/>
    </xf>
    <xf numFmtId="0" fontId="8" fillId="0" borderId="47" xfId="0" applyFont="1" applyFill="1" applyBorder="1" applyAlignment="1">
      <alignment horizontal="center"/>
    </xf>
    <xf numFmtId="0" fontId="8" fillId="0" borderId="48" xfId="0" applyFont="1" applyFill="1" applyBorder="1" applyAlignment="1">
      <alignment horizontal="center"/>
    </xf>
    <xf numFmtId="49" fontId="27" fillId="0" borderId="49" xfId="0" applyNumberFormat="1" applyFont="1" applyFill="1" applyBorder="1" applyAlignment="1" applyProtection="1">
      <alignment horizontal="center"/>
      <protection locked="0"/>
    </xf>
    <xf numFmtId="49" fontId="27" fillId="0" borderId="50" xfId="0" applyNumberFormat="1" applyFont="1" applyFill="1" applyBorder="1" applyAlignment="1" applyProtection="1">
      <alignment horizontal="center"/>
      <protection locked="0"/>
    </xf>
    <xf numFmtId="49" fontId="27" fillId="0" borderId="51" xfId="0" applyNumberFormat="1" applyFont="1" applyFill="1" applyBorder="1" applyAlignment="1" applyProtection="1">
      <alignment horizontal="center"/>
      <protection locked="0"/>
    </xf>
    <xf numFmtId="49" fontId="27" fillId="0" borderId="52" xfId="0" applyNumberFormat="1" applyFont="1" applyFill="1" applyBorder="1" applyAlignment="1" applyProtection="1">
      <alignment horizontal="center"/>
      <protection locked="0"/>
    </xf>
    <xf numFmtId="49" fontId="27" fillId="0" borderId="47" xfId="0" applyNumberFormat="1" applyFont="1" applyFill="1" applyBorder="1" applyAlignment="1" applyProtection="1">
      <alignment horizontal="center"/>
      <protection locked="0"/>
    </xf>
    <xf numFmtId="49" fontId="27" fillId="0" borderId="48" xfId="0" applyNumberFormat="1" applyFont="1" applyFill="1" applyBorder="1" applyAlignment="1" applyProtection="1">
      <alignment horizontal="center"/>
      <protection locked="0"/>
    </xf>
    <xf numFmtId="0" fontId="27" fillId="0" borderId="51" xfId="0" applyFont="1" applyFill="1" applyBorder="1" applyAlignment="1" applyProtection="1">
      <alignment horizontal="center"/>
      <protection locked="0"/>
    </xf>
    <xf numFmtId="0" fontId="27" fillId="0" borderId="45" xfId="0" applyFont="1" applyFill="1" applyBorder="1" applyAlignment="1" applyProtection="1">
      <alignment horizontal="center"/>
      <protection locked="0"/>
    </xf>
    <xf numFmtId="0" fontId="27" fillId="0" borderId="43" xfId="0" applyFont="1" applyFill="1" applyBorder="1" applyAlignment="1" applyProtection="1">
      <alignment horizontal="center"/>
      <protection locked="0"/>
    </xf>
    <xf numFmtId="49" fontId="27" fillId="0" borderId="49" xfId="0" applyNumberFormat="1" applyFont="1" applyFill="1" applyBorder="1" applyAlignment="1" applyProtection="1">
      <alignment horizontal="center"/>
    </xf>
    <xf numFmtId="49" fontId="27" fillId="0" borderId="50" xfId="0" applyNumberFormat="1" applyFont="1" applyFill="1" applyBorder="1" applyAlignment="1" applyProtection="1">
      <alignment horizontal="center"/>
    </xf>
    <xf numFmtId="49" fontId="27" fillId="0" borderId="51" xfId="0" applyNumberFormat="1" applyFont="1" applyFill="1" applyBorder="1" applyAlignment="1" applyProtection="1">
      <alignment horizontal="center"/>
    </xf>
    <xf numFmtId="49" fontId="27" fillId="0" borderId="52" xfId="0" applyNumberFormat="1" applyFont="1" applyFill="1" applyBorder="1" applyAlignment="1" applyProtection="1">
      <alignment horizontal="center"/>
    </xf>
    <xf numFmtId="49" fontId="27" fillId="0" borderId="47" xfId="0" applyNumberFormat="1" applyFont="1" applyFill="1" applyBorder="1" applyAlignment="1" applyProtection="1">
      <alignment horizontal="center"/>
    </xf>
    <xf numFmtId="49" fontId="27" fillId="0" borderId="48" xfId="0" applyNumberFormat="1" applyFont="1" applyFill="1" applyBorder="1" applyAlignment="1" applyProtection="1">
      <alignment horizontal="center"/>
    </xf>
    <xf numFmtId="3" fontId="4" fillId="0" borderId="58" xfId="0" applyNumberFormat="1" applyFont="1" applyFill="1" applyBorder="1" applyAlignment="1" applyProtection="1">
      <alignment horizontal="center" wrapText="1"/>
    </xf>
    <xf numFmtId="3" fontId="4" fillId="0" borderId="59" xfId="0" applyNumberFormat="1" applyFont="1" applyFill="1" applyBorder="1" applyAlignment="1" applyProtection="1">
      <alignment horizontal="center" wrapText="1"/>
    </xf>
    <xf numFmtId="3" fontId="4" fillId="0" borderId="60" xfId="0" applyNumberFormat="1" applyFont="1" applyFill="1" applyBorder="1" applyAlignment="1" applyProtection="1">
      <alignment horizontal="center" wrapText="1"/>
    </xf>
    <xf numFmtId="3" fontId="4" fillId="0" borderId="55" xfId="0" applyNumberFormat="1" applyFont="1" applyFill="1" applyBorder="1" applyAlignment="1" applyProtection="1">
      <alignment horizontal="center" wrapText="1"/>
    </xf>
    <xf numFmtId="3" fontId="4" fillId="0" borderId="44" xfId="0" applyNumberFormat="1" applyFont="1" applyFill="1" applyBorder="1" applyAlignment="1" applyProtection="1">
      <alignment horizontal="center" wrapText="1"/>
    </xf>
    <xf numFmtId="3" fontId="4" fillId="0" borderId="43" xfId="0" applyNumberFormat="1" applyFont="1" applyFill="1" applyBorder="1" applyAlignment="1" applyProtection="1">
      <alignment horizontal="center" wrapText="1"/>
    </xf>
    <xf numFmtId="0" fontId="4" fillId="0" borderId="58" xfId="0" applyFont="1" applyFill="1" applyBorder="1" applyAlignment="1" applyProtection="1">
      <alignment horizontal="center" wrapText="1"/>
    </xf>
    <xf numFmtId="0" fontId="4" fillId="0" borderId="59" xfId="0" applyFont="1" applyFill="1" applyBorder="1" applyAlignment="1" applyProtection="1">
      <alignment horizontal="center" wrapText="1"/>
    </xf>
    <xf numFmtId="0" fontId="4" fillId="0" borderId="60" xfId="0" applyFont="1" applyFill="1" applyBorder="1" applyAlignment="1" applyProtection="1">
      <alignment horizontal="center" wrapText="1"/>
    </xf>
    <xf numFmtId="0" fontId="4" fillId="0" borderId="55" xfId="0" applyFont="1" applyFill="1" applyBorder="1" applyAlignment="1" applyProtection="1">
      <alignment horizontal="center" wrapText="1"/>
    </xf>
    <xf numFmtId="0" fontId="4" fillId="0" borderId="44" xfId="0" applyFont="1" applyFill="1" applyBorder="1" applyAlignment="1" applyProtection="1">
      <alignment horizontal="center" wrapText="1"/>
    </xf>
    <xf numFmtId="0" fontId="4" fillId="0" borderId="43" xfId="0" applyFont="1" applyFill="1" applyBorder="1" applyAlignment="1" applyProtection="1">
      <alignment horizontal="center" wrapText="1"/>
    </xf>
    <xf numFmtId="164" fontId="2" fillId="2" borderId="8" xfId="0" applyNumberFormat="1" applyFont="1" applyFill="1" applyBorder="1" applyAlignment="1" applyProtection="1">
      <alignment horizontal="center"/>
      <protection locked="0"/>
    </xf>
    <xf numFmtId="0" fontId="1" fillId="2" borderId="57" xfId="0" applyFont="1" applyFill="1" applyBorder="1" applyAlignment="1" applyProtection="1">
      <alignment horizontal="left" wrapText="1"/>
      <protection locked="0"/>
    </xf>
    <xf numFmtId="0" fontId="4" fillId="2" borderId="2" xfId="0" applyFont="1" applyFill="1" applyBorder="1" applyAlignment="1">
      <alignment horizontal="center"/>
    </xf>
    <xf numFmtId="0" fontId="27" fillId="0" borderId="49" xfId="0" applyFont="1" applyFill="1" applyBorder="1" applyAlignment="1" applyProtection="1">
      <alignment horizontal="center"/>
    </xf>
    <xf numFmtId="0" fontId="27" fillId="0" borderId="50" xfId="0" applyFont="1" applyFill="1" applyBorder="1" applyAlignment="1" applyProtection="1">
      <alignment horizontal="center"/>
    </xf>
    <xf numFmtId="0" fontId="27" fillId="0" borderId="53" xfId="0" applyFont="1" applyFill="1" applyBorder="1" applyAlignment="1" applyProtection="1">
      <alignment horizontal="center"/>
    </xf>
    <xf numFmtId="0" fontId="27" fillId="0" borderId="54" xfId="0" applyFont="1" applyFill="1" applyBorder="1" applyAlignment="1" applyProtection="1">
      <alignment horizontal="center"/>
    </xf>
    <xf numFmtId="0" fontId="27" fillId="0" borderId="0" xfId="0" applyFont="1" applyFill="1" applyBorder="1" applyAlignment="1" applyProtection="1">
      <alignment horizontal="center"/>
    </xf>
    <xf numFmtId="0" fontId="27" fillId="0" borderId="25" xfId="0" applyFont="1" applyFill="1" applyBorder="1" applyAlignment="1" applyProtection="1">
      <alignment horizontal="center"/>
    </xf>
    <xf numFmtId="0" fontId="27" fillId="0" borderId="55" xfId="0" applyFont="1" applyFill="1" applyBorder="1" applyAlignment="1" applyProtection="1">
      <alignment horizontal="center"/>
    </xf>
    <xf numFmtId="0" fontId="27" fillId="0" borderId="44" xfId="0" applyFont="1" applyFill="1" applyBorder="1" applyAlignment="1" applyProtection="1">
      <alignment horizontal="center"/>
    </xf>
    <xf numFmtId="0" fontId="27" fillId="0" borderId="56" xfId="0" applyFont="1" applyFill="1" applyBorder="1" applyAlignment="1" applyProtection="1">
      <alignment horizontal="center"/>
    </xf>
    <xf numFmtId="0" fontId="2" fillId="2" borderId="0" xfId="0" applyFont="1" applyFill="1" applyBorder="1" applyAlignment="1">
      <alignment horizontal="center"/>
    </xf>
    <xf numFmtId="0" fontId="27" fillId="0" borderId="61" xfId="0" applyFont="1" applyBorder="1" applyAlignment="1">
      <alignment horizontal="center"/>
    </xf>
    <xf numFmtId="0" fontId="27" fillId="0" borderId="1" xfId="0" applyFont="1" applyBorder="1" applyAlignment="1" applyProtection="1">
      <alignment horizontal="left"/>
      <protection locked="0"/>
    </xf>
    <xf numFmtId="0" fontId="27" fillId="0" borderId="0" xfId="0" applyFont="1" applyBorder="1" applyAlignment="1" applyProtection="1">
      <alignment horizontal="left"/>
      <protection locked="0"/>
    </xf>
    <xf numFmtId="0" fontId="27" fillId="0" borderId="45" xfId="0" applyFont="1" applyBorder="1" applyAlignment="1" applyProtection="1">
      <alignment horizontal="left"/>
      <protection locked="0"/>
    </xf>
    <xf numFmtId="0" fontId="27" fillId="0" borderId="46" xfId="0" applyFont="1" applyBorder="1" applyAlignment="1" applyProtection="1">
      <alignment horizontal="left"/>
      <protection locked="0"/>
    </xf>
    <xf numFmtId="0" fontId="27" fillId="0" borderId="44" xfId="0" applyFont="1" applyBorder="1" applyAlignment="1" applyProtection="1">
      <alignment horizontal="left"/>
      <protection locked="0"/>
    </xf>
    <xf numFmtId="0" fontId="27" fillId="0" borderId="43" xfId="0" applyFont="1" applyBorder="1" applyAlignment="1" applyProtection="1">
      <alignment horizontal="left"/>
      <protection locked="0"/>
    </xf>
    <xf numFmtId="0" fontId="4" fillId="0" borderId="61" xfId="0" applyFont="1" applyBorder="1" applyAlignment="1">
      <alignment horizontal="center"/>
    </xf>
    <xf numFmtId="0" fontId="4" fillId="0" borderId="69" xfId="0" applyFont="1" applyBorder="1" applyAlignment="1">
      <alignment horizontal="center"/>
    </xf>
    <xf numFmtId="0" fontId="18" fillId="0" borderId="0" xfId="0" applyFont="1" applyFill="1" applyBorder="1" applyAlignment="1" applyProtection="1">
      <alignment horizontal="left"/>
      <protection locked="0"/>
    </xf>
    <xf numFmtId="0" fontId="3" fillId="2" borderId="0" xfId="0" applyFont="1" applyFill="1" applyBorder="1" applyAlignment="1" applyProtection="1">
      <alignment horizontal="center"/>
    </xf>
    <xf numFmtId="0" fontId="18" fillId="2" borderId="0" xfId="0" applyFont="1" applyFill="1" applyBorder="1" applyAlignment="1" applyProtection="1">
      <alignment horizontal="left"/>
    </xf>
    <xf numFmtId="0" fontId="18" fillId="2" borderId="0" xfId="0" applyFont="1" applyFill="1" applyBorder="1" applyAlignment="1" applyProtection="1">
      <alignment horizontal="left"/>
      <protection locked="0"/>
    </xf>
    <xf numFmtId="0" fontId="4" fillId="5" borderId="0" xfId="0" applyFont="1" applyFill="1" applyBorder="1" applyAlignment="1"/>
    <xf numFmtId="0" fontId="2" fillId="2" borderId="0" xfId="0" applyFont="1" applyFill="1" applyBorder="1" applyAlignment="1" applyProtection="1">
      <alignment horizontal="center"/>
    </xf>
    <xf numFmtId="0" fontId="27" fillId="0" borderId="6" xfId="0" applyFont="1" applyBorder="1" applyAlignment="1" applyProtection="1">
      <alignment horizontal="center" vertical="center" wrapText="1"/>
    </xf>
    <xf numFmtId="0" fontId="0" fillId="0" borderId="7" xfId="0" applyBorder="1" applyAlignment="1">
      <alignment horizontal="center" vertical="center" wrapText="1"/>
    </xf>
    <xf numFmtId="0" fontId="0" fillId="0" borderId="62"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0" fillId="0" borderId="43" xfId="0" applyBorder="1" applyAlignment="1">
      <alignment horizontal="center" vertical="center" wrapText="1"/>
    </xf>
    <xf numFmtId="0" fontId="27" fillId="0" borderId="63" xfId="0" applyFont="1" applyBorder="1" applyAlignment="1">
      <alignment horizontal="center"/>
    </xf>
    <xf numFmtId="0" fontId="27" fillId="0" borderId="64" xfId="0" applyFont="1" applyBorder="1" applyAlignment="1">
      <alignment horizontal="center"/>
    </xf>
    <xf numFmtId="0" fontId="18" fillId="4" borderId="65" xfId="0" applyFont="1" applyFill="1" applyBorder="1" applyAlignment="1">
      <alignment horizontal="center" wrapText="1"/>
    </xf>
    <xf numFmtId="0" fontId="0" fillId="4" borderId="66" xfId="0" applyFill="1" applyBorder="1" applyAlignment="1">
      <alignment horizontal="center" wrapText="1"/>
    </xf>
    <xf numFmtId="0" fontId="0" fillId="4" borderId="67" xfId="0" applyFill="1" applyBorder="1" applyAlignment="1">
      <alignment horizontal="center" wrapText="1"/>
    </xf>
    <xf numFmtId="0" fontId="0" fillId="4" borderId="68" xfId="0" applyFill="1" applyBorder="1" applyAlignment="1">
      <alignment horizontal="center" wrapText="1"/>
    </xf>
    <xf numFmtId="0" fontId="0" fillId="5" borderId="0" xfId="0" applyFill="1" applyBorder="1" applyAlignment="1"/>
    <xf numFmtId="0" fontId="12" fillId="2" borderId="74" xfId="0" applyFont="1" applyFill="1" applyBorder="1" applyAlignment="1" applyProtection="1">
      <alignment horizontal="left"/>
      <protection locked="0"/>
    </xf>
    <xf numFmtId="2" fontId="4" fillId="5" borderId="0" xfId="0" applyNumberFormat="1" applyFont="1" applyFill="1" applyBorder="1" applyAlignment="1">
      <alignment horizontal="center"/>
    </xf>
    <xf numFmtId="0" fontId="4" fillId="5" borderId="0" xfId="0" applyFont="1" applyFill="1" applyBorder="1" applyAlignment="1">
      <alignment horizontal="center"/>
    </xf>
    <xf numFmtId="167" fontId="4" fillId="0" borderId="12" xfId="0" applyNumberFormat="1" applyFont="1" applyFill="1" applyBorder="1" applyAlignment="1" applyProtection="1">
      <alignment horizontal="center"/>
    </xf>
    <xf numFmtId="167" fontId="4" fillId="0" borderId="31" xfId="0" applyNumberFormat="1" applyFont="1" applyFill="1" applyBorder="1" applyAlignment="1" applyProtection="1">
      <alignment horizontal="center"/>
    </xf>
    <xf numFmtId="0" fontId="14" fillId="2" borderId="0" xfId="0" applyFont="1" applyFill="1" applyBorder="1" applyAlignment="1" applyProtection="1">
      <alignment horizontal="justify" vertical="center" wrapText="1"/>
    </xf>
    <xf numFmtId="0" fontId="12" fillId="2" borderId="8"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0" fontId="5" fillId="2" borderId="0" xfId="0" applyFont="1" applyFill="1" applyBorder="1" applyAlignment="1" applyProtection="1">
      <alignment horizontal="center"/>
      <protection locked="0"/>
    </xf>
    <xf numFmtId="167" fontId="4" fillId="0" borderId="13" xfId="0" applyNumberFormat="1" applyFont="1" applyFill="1" applyBorder="1" applyAlignment="1" applyProtection="1">
      <alignment horizontal="center"/>
    </xf>
    <xf numFmtId="167" fontId="4" fillId="0" borderId="32" xfId="0" applyNumberFormat="1" applyFont="1" applyFill="1" applyBorder="1" applyAlignment="1" applyProtection="1">
      <alignment horizontal="center"/>
    </xf>
    <xf numFmtId="166" fontId="4" fillId="0" borderId="12" xfId="0" applyNumberFormat="1" applyFont="1" applyFill="1" applyBorder="1" applyAlignment="1" applyProtection="1">
      <alignment horizontal="center"/>
    </xf>
    <xf numFmtId="0" fontId="8" fillId="2" borderId="0" xfId="0" applyFont="1" applyFill="1" applyBorder="1" applyAlignment="1">
      <alignment horizontal="right"/>
    </xf>
    <xf numFmtId="0" fontId="8" fillId="2" borderId="25" xfId="0" applyFont="1" applyFill="1" applyBorder="1" applyAlignment="1">
      <alignment horizontal="right"/>
    </xf>
    <xf numFmtId="0" fontId="13" fillId="2" borderId="74" xfId="0" applyFont="1" applyFill="1" applyBorder="1" applyAlignment="1" applyProtection="1">
      <alignment horizontal="left"/>
      <protection locked="0"/>
    </xf>
    <xf numFmtId="166" fontId="4" fillId="0" borderId="13" xfId="0" applyNumberFormat="1" applyFont="1" applyFill="1" applyBorder="1" applyAlignment="1" applyProtection="1">
      <alignment horizontal="center"/>
    </xf>
    <xf numFmtId="0" fontId="24" fillId="0" borderId="70" xfId="0" applyFont="1" applyBorder="1" applyAlignment="1" applyProtection="1">
      <alignment horizontal="center" vertical="center"/>
    </xf>
    <xf numFmtId="0" fontId="39" fillId="3" borderId="0" xfId="0" applyFont="1" applyFill="1" applyBorder="1" applyAlignment="1" applyProtection="1">
      <alignment horizontal="right" vertical="center"/>
    </xf>
    <xf numFmtId="0" fontId="39" fillId="3" borderId="76" xfId="0" applyFont="1" applyFill="1" applyBorder="1" applyAlignment="1" applyProtection="1">
      <alignment horizontal="right" vertical="center"/>
    </xf>
    <xf numFmtId="0" fontId="39" fillId="3" borderId="0" xfId="0" applyFont="1" applyFill="1" applyBorder="1" applyAlignment="1" applyProtection="1">
      <alignment horizontal="right"/>
    </xf>
    <xf numFmtId="0" fontId="39" fillId="3" borderId="76" xfId="0" applyFont="1" applyFill="1" applyBorder="1" applyAlignment="1" applyProtection="1">
      <alignment horizontal="right"/>
    </xf>
    <xf numFmtId="0" fontId="4" fillId="0" borderId="77" xfId="0" applyFont="1" applyFill="1" applyBorder="1" applyAlignment="1" applyProtection="1">
      <alignment horizontal="center"/>
    </xf>
    <xf numFmtId="0" fontId="25" fillId="0" borderId="84" xfId="0" applyFont="1" applyFill="1" applyBorder="1" applyAlignment="1" applyProtection="1">
      <alignment horizontal="center" vertical="center" wrapText="1"/>
    </xf>
    <xf numFmtId="0" fontId="25" fillId="0" borderId="85" xfId="0" applyFont="1" applyFill="1" applyBorder="1" applyAlignment="1" applyProtection="1">
      <alignment horizontal="center" vertical="center" wrapText="1"/>
    </xf>
    <xf numFmtId="0" fontId="25" fillId="0" borderId="71" xfId="0" applyFont="1" applyFill="1" applyBorder="1" applyAlignment="1" applyProtection="1">
      <alignment horizontal="center" vertical="center" wrapText="1"/>
    </xf>
    <xf numFmtId="167" fontId="4" fillId="0" borderId="75" xfId="0" applyNumberFormat="1" applyFont="1" applyFill="1" applyBorder="1" applyAlignment="1" applyProtection="1">
      <alignment horizontal="center"/>
    </xf>
    <xf numFmtId="167" fontId="4" fillId="0" borderId="78" xfId="0" applyNumberFormat="1" applyFont="1" applyFill="1" applyBorder="1" applyAlignment="1" applyProtection="1">
      <alignment horizontal="center"/>
    </xf>
    <xf numFmtId="0" fontId="4" fillId="0" borderId="79" xfId="0" applyFont="1" applyFill="1" applyBorder="1" applyAlignment="1" applyProtection="1">
      <alignment horizontal="center"/>
    </xf>
    <xf numFmtId="166" fontId="4" fillId="0" borderId="75" xfId="0" applyNumberFormat="1" applyFont="1" applyFill="1" applyBorder="1" applyAlignment="1" applyProtection="1">
      <alignment horizontal="center"/>
    </xf>
    <xf numFmtId="0" fontId="18" fillId="2" borderId="74" xfId="0" applyFont="1" applyFill="1" applyBorder="1" applyAlignment="1" applyProtection="1">
      <alignment horizontal="left"/>
      <protection locked="0"/>
    </xf>
    <xf numFmtId="0" fontId="18" fillId="2" borderId="8" xfId="0" applyFont="1" applyFill="1" applyBorder="1" applyAlignment="1" applyProtection="1">
      <alignment horizontal="left"/>
      <protection locked="0"/>
    </xf>
    <xf numFmtId="0" fontId="7" fillId="2" borderId="0" xfId="0" applyFont="1" applyFill="1" applyBorder="1" applyAlignment="1" applyProtection="1">
      <alignment horizontal="left"/>
    </xf>
    <xf numFmtId="0" fontId="3" fillId="0" borderId="84" xfId="0" applyFont="1" applyFill="1" applyBorder="1" applyAlignment="1" applyProtection="1">
      <alignment horizontal="center" vertical="center" wrapText="1"/>
    </xf>
    <xf numFmtId="0" fontId="3" fillId="0" borderId="85" xfId="0" applyFont="1" applyFill="1" applyBorder="1" applyAlignment="1" applyProtection="1">
      <alignment horizontal="center" vertical="center" wrapText="1"/>
    </xf>
    <xf numFmtId="0" fontId="11" fillId="2" borderId="0" xfId="0" applyFont="1" applyFill="1" applyBorder="1" applyAlignment="1">
      <alignment horizontal="right"/>
    </xf>
    <xf numFmtId="0" fontId="9" fillId="2" borderId="0" xfId="0" applyFont="1" applyFill="1" applyBorder="1" applyAlignment="1">
      <alignment horizontal="center"/>
    </xf>
    <xf numFmtId="0" fontId="9" fillId="2" borderId="0" xfId="0" applyFont="1" applyFill="1" applyBorder="1" applyAlignment="1" applyProtection="1">
      <alignment horizontal="center"/>
    </xf>
    <xf numFmtId="0" fontId="2" fillId="2" borderId="8" xfId="0" applyFont="1" applyFill="1" applyBorder="1" applyAlignment="1" applyProtection="1">
      <alignment horizontal="left"/>
      <protection locked="0"/>
    </xf>
    <xf numFmtId="164" fontId="18" fillId="2" borderId="8" xfId="0" applyNumberFormat="1" applyFont="1" applyFill="1" applyBorder="1" applyAlignment="1" applyProtection="1">
      <alignment horizontal="left"/>
      <protection locked="0"/>
    </xf>
    <xf numFmtId="165" fontId="18" fillId="2" borderId="8" xfId="0" applyNumberFormat="1" applyFont="1" applyFill="1" applyBorder="1" applyAlignment="1" applyProtection="1">
      <alignment horizontal="left"/>
      <protection locked="0"/>
    </xf>
    <xf numFmtId="0" fontId="3" fillId="0" borderId="86" xfId="0" applyFont="1" applyFill="1" applyBorder="1" applyAlignment="1" applyProtection="1">
      <alignment horizontal="center" vertical="center" wrapText="1"/>
    </xf>
    <xf numFmtId="0" fontId="24" fillId="0" borderId="72" xfId="0" applyFont="1" applyBorder="1" applyAlignment="1" applyProtection="1">
      <alignment horizontal="center" vertical="center"/>
    </xf>
    <xf numFmtId="0" fontId="24" fillId="0" borderId="73" xfId="0" applyFont="1" applyBorder="1" applyAlignment="1" applyProtection="1">
      <alignment horizontal="center" vertical="center"/>
    </xf>
    <xf numFmtId="0" fontId="42" fillId="5" borderId="83" xfId="0" applyFont="1" applyFill="1" applyBorder="1" applyAlignment="1">
      <alignment horizontal="right"/>
    </xf>
    <xf numFmtId="0" fontId="11" fillId="5" borderId="83" xfId="0" applyFont="1" applyFill="1" applyBorder="1" applyAlignment="1">
      <alignment horizontal="center"/>
    </xf>
    <xf numFmtId="0" fontId="0" fillId="2" borderId="0" xfId="0" applyFill="1" applyBorder="1" applyAlignment="1">
      <alignment horizontal="justify" wrapText="1" readingOrder="1"/>
    </xf>
    <xf numFmtId="0" fontId="10" fillId="0" borderId="0" xfId="0" applyFont="1" applyAlignment="1">
      <alignment horizontal="center"/>
    </xf>
    <xf numFmtId="0" fontId="10" fillId="2" borderId="0" xfId="0" applyFont="1" applyFill="1" applyBorder="1" applyAlignment="1">
      <alignment horizontal="justify" wrapText="1" readingOrder="1"/>
    </xf>
    <xf numFmtId="0" fontId="0" fillId="2" borderId="0" xfId="0" applyFill="1" applyAlignment="1">
      <alignment horizontal="justify" wrapText="1" readingOrder="1"/>
    </xf>
    <xf numFmtId="49" fontId="2" fillId="2" borderId="0" xfId="0" applyNumberFormat="1" applyFont="1" applyFill="1" applyAlignment="1">
      <alignment horizontal="center" wrapText="1"/>
    </xf>
    <xf numFmtId="0" fontId="1" fillId="2" borderId="0" xfId="0" applyFont="1" applyFill="1" applyAlignment="1">
      <alignment horizontal="justify" wrapText="1" readingOrder="1"/>
    </xf>
    <xf numFmtId="0" fontId="10" fillId="2" borderId="0" xfId="0" applyFont="1" applyFill="1" applyAlignment="1">
      <alignment horizontal="justify" wrapText="1" readingOrder="1"/>
    </xf>
    <xf numFmtId="0" fontId="21" fillId="2" borderId="0" xfId="0" applyFont="1" applyFill="1" applyBorder="1" applyAlignment="1">
      <alignment horizontal="left"/>
    </xf>
    <xf numFmtId="0" fontId="0" fillId="2" borderId="0" xfId="0" applyFill="1" applyBorder="1" applyAlignment="1">
      <alignment horizontal="center"/>
    </xf>
    <xf numFmtId="0" fontId="21"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justify"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21" fillId="2" borderId="0" xfId="0" applyFont="1" applyFill="1" applyBorder="1" applyAlignment="1">
      <alignment horizontal="left" wrapText="1"/>
    </xf>
    <xf numFmtId="0" fontId="1" fillId="2" borderId="0" xfId="0" applyFont="1" applyFill="1" applyBorder="1" applyAlignment="1">
      <alignment horizontal="center"/>
    </xf>
    <xf numFmtId="0" fontId="0" fillId="2" borderId="0" xfId="0" applyFill="1" applyAlignment="1">
      <alignment horizontal="justify" wrapText="1"/>
    </xf>
    <xf numFmtId="0" fontId="0" fillId="2" borderId="0" xfId="0" applyFill="1" applyAlignment="1">
      <alignment horizontal="center"/>
    </xf>
    <xf numFmtId="0" fontId="21" fillId="2" borderId="0" xfId="0" applyFont="1" applyFill="1" applyAlignment="1">
      <alignment horizontal="center" wrapText="1"/>
    </xf>
    <xf numFmtId="0" fontId="0" fillId="0" borderId="0" xfId="0" applyAlignment="1">
      <alignment horizontal="justify" wrapText="1" readingOrder="1"/>
    </xf>
    <xf numFmtId="0" fontId="2" fillId="2" borderId="0" xfId="0" applyFont="1" applyFill="1" applyBorder="1" applyAlignment="1">
      <alignment horizontal="center" vertical="center"/>
    </xf>
    <xf numFmtId="0" fontId="10" fillId="0" borderId="0" xfId="0" applyFont="1" applyAlignment="1">
      <alignment horizontal="justify" wrapText="1" readingOrder="1"/>
    </xf>
    <xf numFmtId="0" fontId="0" fillId="0" borderId="0" xfId="0" applyAlignment="1"/>
  </cellXfs>
  <cellStyles count="1">
    <cellStyle name="Normal"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95250</xdr:rowOff>
    </xdr:from>
    <xdr:to>
      <xdr:col>7</xdr:col>
      <xdr:colOff>104775</xdr:colOff>
      <xdr:row>3</xdr:row>
      <xdr:rowOff>38100</xdr:rowOff>
    </xdr:to>
    <xdr:pic>
      <xdr:nvPicPr>
        <xdr:cNvPr id="3" name="Picture 2" descr="DEP left-rg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199072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pageSetUpPr fitToPage="1"/>
  </sheetPr>
  <dimension ref="A1:BM868"/>
  <sheetViews>
    <sheetView zoomScaleNormal="100" zoomScaleSheetLayoutView="75" workbookViewId="0">
      <selection activeCell="E8" sqref="E8:F8"/>
    </sheetView>
  </sheetViews>
  <sheetFormatPr defaultColWidth="0" defaultRowHeight="12.75" zeroHeight="1" x14ac:dyDescent="0.2"/>
  <cols>
    <col min="1" max="1" width="1.7109375" style="172" customWidth="1"/>
    <col min="2" max="6" width="4.7109375" style="172" customWidth="1"/>
    <col min="7" max="31" width="3.7109375" style="172" customWidth="1"/>
    <col min="32" max="36" width="3.7109375" style="176" customWidth="1"/>
    <col min="37" max="37" width="1.7109375" style="176" customWidth="1"/>
    <col min="38" max="39" width="17.42578125" style="10" hidden="1" customWidth="1"/>
    <col min="40" max="41" width="5.7109375" style="10" hidden="1" customWidth="1"/>
    <col min="42" max="49" width="5.85546875" style="10" hidden="1" customWidth="1"/>
    <col min="50" max="50" width="17.42578125" style="10" hidden="1" customWidth="1"/>
    <col min="51" max="51" width="42.85546875" style="18" hidden="1" customWidth="1"/>
    <col min="52" max="52" width="30.5703125" style="18" hidden="1" customWidth="1"/>
    <col min="53" max="53" width="15.7109375" style="12" hidden="1" customWidth="1"/>
    <col min="54" max="54" width="33" hidden="1" customWidth="1"/>
    <col min="55" max="55" width="10.5703125" hidden="1" customWidth="1"/>
    <col min="56" max="56" width="20.85546875" hidden="1" customWidth="1"/>
    <col min="57" max="57" width="12.42578125" hidden="1" customWidth="1"/>
    <col min="58" max="58" width="20.85546875" hidden="1" customWidth="1"/>
    <col min="59" max="59" width="17" hidden="1" customWidth="1"/>
    <col min="60" max="60" width="17.7109375" hidden="1" customWidth="1"/>
    <col min="61" max="62" width="9.5703125" style="12" hidden="1" customWidth="1"/>
    <col min="63" max="65" width="12.7109375" style="10" hidden="1" customWidth="1"/>
    <col min="66" max="16384" width="9.140625" hidden="1"/>
  </cols>
  <sheetData>
    <row r="1" spans="1:65" s="141" customFormat="1" ht="1.5" customHeight="1" x14ac:dyDescent="0.2">
      <c r="BK1" s="143"/>
      <c r="BL1" s="143"/>
      <c r="BM1" s="143"/>
    </row>
    <row r="2" spans="1:65" s="141" customFormat="1" ht="1.5" customHeight="1" x14ac:dyDescent="0.2">
      <c r="BK2" s="143"/>
      <c r="BL2" s="143"/>
      <c r="BM2" s="143"/>
    </row>
    <row r="3" spans="1:65" s="141" customFormat="1" ht="1.5" customHeight="1" x14ac:dyDescent="0.2">
      <c r="BK3" s="143"/>
      <c r="BL3" s="143"/>
      <c r="BM3" s="143"/>
    </row>
    <row r="4" spans="1:65" s="141" customFormat="1" ht="1.5" customHeight="1" x14ac:dyDescent="0.2">
      <c r="BK4" s="143"/>
      <c r="BL4" s="143"/>
      <c r="BM4" s="143"/>
    </row>
    <row r="5" spans="1:65" ht="13.5" customHeight="1" x14ac:dyDescent="0.2">
      <c r="A5" s="138"/>
      <c r="B5" s="413" t="s">
        <v>98</v>
      </c>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14"/>
    </row>
    <row r="6" spans="1:65" ht="6" customHeight="1" x14ac:dyDescent="0.2">
      <c r="A6" s="410"/>
      <c r="B6" s="410"/>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1"/>
      <c r="AL6" s="411"/>
      <c r="AM6" s="20"/>
      <c r="AN6" s="20"/>
      <c r="AO6" s="20"/>
      <c r="AP6" s="20"/>
      <c r="AQ6" s="20"/>
      <c r="AR6" s="20"/>
      <c r="AS6" s="20"/>
      <c r="AT6" s="20"/>
      <c r="AU6" s="20"/>
      <c r="AV6" s="20"/>
      <c r="AW6" s="20"/>
      <c r="AX6" s="20"/>
      <c r="AY6" s="408"/>
      <c r="AZ6" s="408"/>
      <c r="BA6" s="408"/>
      <c r="BB6" s="20"/>
      <c r="BC6" s="20"/>
      <c r="BD6" s="408"/>
      <c r="BE6" s="408"/>
      <c r="BF6" s="408"/>
      <c r="BG6" s="408"/>
      <c r="BH6" s="408"/>
      <c r="BI6" s="408"/>
      <c r="BJ6" s="21"/>
    </row>
    <row r="7" spans="1:65" x14ac:dyDescent="0.2">
      <c r="A7" s="139"/>
      <c r="B7" s="409" t="s">
        <v>1067</v>
      </c>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20"/>
      <c r="AL7" s="23"/>
      <c r="AM7" s="142"/>
      <c r="AN7" s="23"/>
      <c r="AO7" s="23"/>
      <c r="AP7" s="23"/>
      <c r="AQ7" s="23"/>
      <c r="AR7" s="23"/>
      <c r="AS7" s="23"/>
      <c r="AT7" s="23"/>
      <c r="AU7" s="23"/>
      <c r="AV7" s="23"/>
      <c r="AW7" s="23"/>
      <c r="AX7" s="23"/>
      <c r="AY7" s="20"/>
      <c r="AZ7" s="20"/>
      <c r="BA7" s="21"/>
      <c r="BB7" s="20"/>
      <c r="BC7" s="20"/>
      <c r="BD7" s="20"/>
      <c r="BE7" s="20"/>
      <c r="BF7" s="20"/>
      <c r="BG7" s="20"/>
      <c r="BH7" s="20"/>
      <c r="BI7" s="21"/>
      <c r="BJ7" s="21"/>
    </row>
    <row r="8" spans="1:65" s="16" customFormat="1" ht="13.5" customHeight="1" x14ac:dyDescent="0.2">
      <c r="A8" s="7"/>
      <c r="B8" s="19" t="s">
        <v>99</v>
      </c>
      <c r="C8" s="4"/>
      <c r="D8" s="4"/>
      <c r="E8" s="386"/>
      <c r="F8" s="386"/>
      <c r="G8" s="398"/>
      <c r="H8" s="398"/>
      <c r="I8" s="398"/>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14"/>
      <c r="AL8" s="24"/>
      <c r="AM8" s="24"/>
      <c r="AN8" s="24"/>
      <c r="AO8" s="24"/>
      <c r="AP8" s="24"/>
      <c r="AQ8" s="24"/>
      <c r="AR8" s="24"/>
      <c r="AS8" s="24"/>
      <c r="AT8" s="24"/>
      <c r="AU8" s="24"/>
      <c r="AV8" s="24"/>
      <c r="AW8" s="24"/>
      <c r="AX8" s="24"/>
      <c r="AY8" s="300" t="s">
        <v>861</v>
      </c>
      <c r="AZ8" s="300"/>
      <c r="BA8" s="12"/>
      <c r="BH8" s="16" t="str">
        <f>IF(Z16&lt;&gt;"",VALUE(Z16),"")</f>
        <v/>
      </c>
      <c r="BI8" s="22"/>
      <c r="BJ8" s="22"/>
      <c r="BK8" s="24"/>
      <c r="BL8" s="24"/>
      <c r="BM8" s="24"/>
    </row>
    <row r="9" spans="1:65" s="172" customFormat="1" ht="12" customHeight="1" thickBot="1" x14ac:dyDescent="0.25">
      <c r="A9" s="426"/>
      <c r="B9" s="388"/>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412"/>
      <c r="AL9" s="177"/>
      <c r="AM9" s="177"/>
      <c r="AN9" s="177"/>
      <c r="AO9" s="177"/>
      <c r="AP9" s="177"/>
      <c r="AQ9" s="177"/>
      <c r="AR9" s="177"/>
      <c r="AS9" s="177"/>
      <c r="AT9" s="177"/>
      <c r="AU9" s="177"/>
      <c r="AV9" s="177"/>
      <c r="AW9" s="177"/>
      <c r="AX9" s="177"/>
      <c r="AY9" s="176"/>
      <c r="AZ9" s="176"/>
      <c r="BA9" s="220"/>
      <c r="BI9" s="220"/>
      <c r="BJ9" s="220"/>
      <c r="BK9" s="177"/>
      <c r="BL9" s="177"/>
      <c r="BM9" s="177"/>
    </row>
    <row r="10" spans="1:65" s="172" customFormat="1" ht="15" customHeight="1" thickTop="1" thickBot="1" x14ac:dyDescent="0.25">
      <c r="A10" s="426"/>
      <c r="B10" s="414" t="s">
        <v>92</v>
      </c>
      <c r="C10" s="415"/>
      <c r="D10" s="415"/>
      <c r="E10" s="415"/>
      <c r="F10" s="416"/>
      <c r="G10" s="422"/>
      <c r="H10" s="423"/>
      <c r="I10" s="423"/>
      <c r="J10" s="423"/>
      <c r="K10" s="420" t="s">
        <v>83</v>
      </c>
      <c r="L10" s="420"/>
      <c r="M10" s="420"/>
      <c r="N10" s="420"/>
      <c r="O10" s="420"/>
      <c r="P10" s="420"/>
      <c r="Q10" s="420"/>
      <c r="R10" s="420"/>
      <c r="S10" s="420"/>
      <c r="T10" s="420"/>
      <c r="U10" s="420"/>
      <c r="V10" s="420" t="s">
        <v>84</v>
      </c>
      <c r="W10" s="420"/>
      <c r="X10" s="420"/>
      <c r="Y10" s="420"/>
      <c r="Z10" s="420"/>
      <c r="AA10" s="420"/>
      <c r="AB10" s="420"/>
      <c r="AC10" s="420"/>
      <c r="AD10" s="420"/>
      <c r="AE10" s="420"/>
      <c r="AF10" s="420"/>
      <c r="AG10" s="420"/>
      <c r="AH10" s="420"/>
      <c r="AI10" s="420"/>
      <c r="AJ10" s="421"/>
      <c r="AK10" s="412"/>
      <c r="AL10" s="187" t="s">
        <v>860</v>
      </c>
      <c r="AM10" s="187" t="s">
        <v>862</v>
      </c>
      <c r="AN10" s="305" t="s">
        <v>1155</v>
      </c>
      <c r="AO10" s="305"/>
      <c r="AP10" s="305"/>
      <c r="AQ10" s="305"/>
      <c r="AR10" s="305"/>
      <c r="AS10" s="305" t="s">
        <v>408</v>
      </c>
      <c r="AT10" s="305"/>
      <c r="AU10" s="305"/>
      <c r="AV10" s="305"/>
      <c r="AW10" s="305"/>
      <c r="AX10" s="173"/>
      <c r="AY10" s="294" t="s">
        <v>1126</v>
      </c>
      <c r="AZ10" s="294" t="s">
        <v>400</v>
      </c>
      <c r="BA10" s="295" t="s">
        <v>863</v>
      </c>
      <c r="BB10" s="173" t="s">
        <v>80</v>
      </c>
      <c r="BC10" s="173" t="s">
        <v>399</v>
      </c>
      <c r="BD10" s="184" t="s">
        <v>9</v>
      </c>
      <c r="BE10" s="184" t="s">
        <v>1059</v>
      </c>
      <c r="BF10" s="184" t="s">
        <v>1060</v>
      </c>
      <c r="BG10" s="184" t="s">
        <v>1061</v>
      </c>
      <c r="BH10" s="184" t="s">
        <v>1062</v>
      </c>
      <c r="BI10" s="173" t="s">
        <v>4</v>
      </c>
      <c r="BJ10" s="173" t="s">
        <v>367</v>
      </c>
      <c r="BK10" s="296" t="s">
        <v>229</v>
      </c>
      <c r="BL10" s="177"/>
      <c r="BM10" s="177"/>
    </row>
    <row r="11" spans="1:65" s="172" customFormat="1" ht="12" customHeight="1" thickBot="1" x14ac:dyDescent="0.25">
      <c r="A11" s="426"/>
      <c r="B11" s="417"/>
      <c r="C11" s="418"/>
      <c r="D11" s="418"/>
      <c r="E11" s="418"/>
      <c r="F11" s="419"/>
      <c r="G11" s="424"/>
      <c r="H11" s="425"/>
      <c r="I11" s="425"/>
      <c r="J11" s="425"/>
      <c r="K11" s="399" t="s">
        <v>93</v>
      </c>
      <c r="L11" s="399"/>
      <c r="M11" s="399"/>
      <c r="N11" s="399"/>
      <c r="O11" s="399" t="s">
        <v>94</v>
      </c>
      <c r="P11" s="399"/>
      <c r="Q11" s="399"/>
      <c r="R11" s="399"/>
      <c r="S11" s="399" t="s">
        <v>85</v>
      </c>
      <c r="T11" s="399"/>
      <c r="U11" s="399"/>
      <c r="V11" s="399" t="s">
        <v>95</v>
      </c>
      <c r="W11" s="399"/>
      <c r="X11" s="399"/>
      <c r="Y11" s="399"/>
      <c r="Z11" s="399" t="s">
        <v>96</v>
      </c>
      <c r="AA11" s="399"/>
      <c r="AB11" s="399"/>
      <c r="AC11" s="399"/>
      <c r="AD11" s="399" t="s">
        <v>97</v>
      </c>
      <c r="AE11" s="399"/>
      <c r="AF11" s="399"/>
      <c r="AG11" s="399"/>
      <c r="AH11" s="406" t="s">
        <v>85</v>
      </c>
      <c r="AI11" s="406"/>
      <c r="AJ11" s="407"/>
      <c r="AK11" s="412"/>
      <c r="AL11" s="177"/>
      <c r="AM11" s="177"/>
      <c r="AN11" s="181" t="s">
        <v>9</v>
      </c>
      <c r="AO11" s="181" t="s">
        <v>1059</v>
      </c>
      <c r="AP11" s="181" t="s">
        <v>1060</v>
      </c>
      <c r="AQ11" s="181" t="s">
        <v>1061</v>
      </c>
      <c r="AR11" s="181" t="s">
        <v>1062</v>
      </c>
      <c r="AS11" s="181" t="s">
        <v>9</v>
      </c>
      <c r="AT11" s="181" t="s">
        <v>1059</v>
      </c>
      <c r="AU11" s="181" t="s">
        <v>1060</v>
      </c>
      <c r="AV11" s="181" t="s">
        <v>1061</v>
      </c>
      <c r="AW11" s="181" t="s">
        <v>1062</v>
      </c>
      <c r="AX11" s="181" t="s">
        <v>4</v>
      </c>
      <c r="AY11" s="297" t="s">
        <v>297</v>
      </c>
      <c r="AZ11" s="297" t="s">
        <v>415</v>
      </c>
      <c r="BA11" s="174"/>
      <c r="BB11" s="175" t="s">
        <v>1029</v>
      </c>
      <c r="BC11" s="177">
        <v>1</v>
      </c>
      <c r="BD11" s="175" t="s">
        <v>1045</v>
      </c>
      <c r="BE11" s="175" t="s">
        <v>1045</v>
      </c>
      <c r="BF11" s="175" t="s">
        <v>1045</v>
      </c>
      <c r="BG11" s="175" t="s">
        <v>1045</v>
      </c>
      <c r="BH11" s="175" t="s">
        <v>1049</v>
      </c>
      <c r="BI11" s="177" t="s">
        <v>1124</v>
      </c>
      <c r="BJ11" s="174" t="s">
        <v>1122</v>
      </c>
      <c r="BK11" s="177"/>
      <c r="BL11" s="177"/>
      <c r="BM11" s="177"/>
    </row>
    <row r="12" spans="1:65" s="172" customFormat="1" ht="13.5" customHeight="1" x14ac:dyDescent="0.2">
      <c r="A12" s="426"/>
      <c r="B12" s="387" t="s">
        <v>1213</v>
      </c>
      <c r="C12" s="348"/>
      <c r="D12" s="348"/>
      <c r="E12" s="348"/>
      <c r="F12" s="349"/>
      <c r="G12" s="353" t="s">
        <v>86</v>
      </c>
      <c r="H12" s="354"/>
      <c r="I12" s="354"/>
      <c r="J12" s="355"/>
      <c r="K12" s="359"/>
      <c r="L12" s="360"/>
      <c r="M12" s="360"/>
      <c r="N12" s="361"/>
      <c r="O12" s="359"/>
      <c r="P12" s="360"/>
      <c r="Q12" s="360"/>
      <c r="R12" s="361"/>
      <c r="S12" s="308" t="s">
        <v>1089</v>
      </c>
      <c r="T12" s="309"/>
      <c r="U12" s="365"/>
      <c r="V12" s="368"/>
      <c r="W12" s="369"/>
      <c r="X12" s="369"/>
      <c r="Y12" s="370"/>
      <c r="Z12" s="368"/>
      <c r="AA12" s="369"/>
      <c r="AB12" s="369"/>
      <c r="AC12" s="370"/>
      <c r="AD12" s="368"/>
      <c r="AE12" s="369"/>
      <c r="AF12" s="369"/>
      <c r="AG12" s="370"/>
      <c r="AH12" s="389" t="s">
        <v>859</v>
      </c>
      <c r="AI12" s="390"/>
      <c r="AJ12" s="391"/>
      <c r="AK12" s="412"/>
      <c r="AL12" s="303"/>
      <c r="AM12" s="303"/>
      <c r="AN12" s="303">
        <f>IF(ISERR(FIND(".",K12)),0,LEN(MID(K12,FIND(".",K12)+1,15)))</f>
        <v>0</v>
      </c>
      <c r="AO12" s="303">
        <f>IF(ISERR(FIND(".",O12)),0,LEN(MID(O12,FIND(".",O12)+1,15)))</f>
        <v>0</v>
      </c>
      <c r="AP12" s="303">
        <f>IF(ISERR(FIND(".",V12)),0,LEN(MID(V12,FIND(".",V12)+1,15)))</f>
        <v>0</v>
      </c>
      <c r="AQ12" s="303">
        <f>IF(ISERR(FIND(".",Z12)),0,LEN(MID(Z12,FIND(".",Z12)+1,15)))</f>
        <v>0</v>
      </c>
      <c r="AR12" s="303">
        <f>IF(ISERR(FIND(".",AD12)),0,LEN(MID(AD12,FIND(".",AD12)+1,15)))</f>
        <v>0</v>
      </c>
      <c r="AS12" s="303" t="str">
        <f>IF(OR(K12="",K12="Report"),"E","")</f>
        <v>E</v>
      </c>
      <c r="AT12" s="303" t="str">
        <f>IF(OR(O12="",O12="Report"),"E","")</f>
        <v>E</v>
      </c>
      <c r="AU12" s="303" t="str">
        <f>IF(OR(V12="",V12="Report"),"E","")</f>
        <v>E</v>
      </c>
      <c r="AV12" s="303" t="str">
        <f>IF(OR(Z12="",Z12="Report"),"E","")</f>
        <v>E</v>
      </c>
      <c r="AW12" s="303" t="str">
        <f>IF(OR(AD12="",AD12="Report"),"E","")</f>
        <v>E</v>
      </c>
      <c r="AX12" s="306" t="str">
        <f>IF($B12&lt;&gt;"",INDEX($BI$11:$BJ$51, MATCH('Outfall 1 Daily'!$G$13,$BI$11:$BI$52,), MATCH("Symbol",$BI$10:$BJ$10,)),"")</f>
        <v>L</v>
      </c>
      <c r="AY12" s="297" t="s">
        <v>1227</v>
      </c>
      <c r="AZ12" s="297" t="s">
        <v>1228</v>
      </c>
      <c r="BA12" s="174"/>
      <c r="BB12" s="175" t="s">
        <v>1030</v>
      </c>
      <c r="BC12" s="177">
        <v>2</v>
      </c>
      <c r="BD12" s="175" t="s">
        <v>1046</v>
      </c>
      <c r="BE12" s="175" t="s">
        <v>1047</v>
      </c>
      <c r="BF12" s="175" t="s">
        <v>1046</v>
      </c>
      <c r="BG12" s="175" t="s">
        <v>1046</v>
      </c>
      <c r="BH12" s="175" t="s">
        <v>1052</v>
      </c>
      <c r="BI12" s="177" t="s">
        <v>1125</v>
      </c>
      <c r="BJ12" s="174" t="s">
        <v>1122</v>
      </c>
      <c r="BK12" s="177"/>
      <c r="BL12" s="177"/>
      <c r="BM12" s="177"/>
    </row>
    <row r="13" spans="1:65" s="172" customFormat="1" ht="13.5" customHeight="1" x14ac:dyDescent="0.2">
      <c r="A13" s="426"/>
      <c r="B13" s="350"/>
      <c r="C13" s="351"/>
      <c r="D13" s="351"/>
      <c r="E13" s="351"/>
      <c r="F13" s="352"/>
      <c r="G13" s="356"/>
      <c r="H13" s="357"/>
      <c r="I13" s="357"/>
      <c r="J13" s="358"/>
      <c r="K13" s="362"/>
      <c r="L13" s="363"/>
      <c r="M13" s="363"/>
      <c r="N13" s="364"/>
      <c r="O13" s="362"/>
      <c r="P13" s="363"/>
      <c r="Q13" s="363"/>
      <c r="R13" s="364"/>
      <c r="S13" s="311"/>
      <c r="T13" s="312"/>
      <c r="U13" s="366"/>
      <c r="V13" s="371"/>
      <c r="W13" s="372"/>
      <c r="X13" s="372"/>
      <c r="Y13" s="373"/>
      <c r="Z13" s="371"/>
      <c r="AA13" s="372"/>
      <c r="AB13" s="372"/>
      <c r="AC13" s="373"/>
      <c r="AD13" s="371"/>
      <c r="AE13" s="372"/>
      <c r="AF13" s="372"/>
      <c r="AG13" s="373"/>
      <c r="AH13" s="392"/>
      <c r="AI13" s="393"/>
      <c r="AJ13" s="394"/>
      <c r="AK13" s="412"/>
      <c r="AL13" s="303"/>
      <c r="AM13" s="303"/>
      <c r="AN13" s="303"/>
      <c r="AO13" s="303"/>
      <c r="AP13" s="303"/>
      <c r="AQ13" s="303"/>
      <c r="AR13" s="303"/>
      <c r="AS13" s="303"/>
      <c r="AT13" s="303"/>
      <c r="AU13" s="303"/>
      <c r="AV13" s="303"/>
      <c r="AW13" s="303"/>
      <c r="AX13" s="306"/>
      <c r="AY13" s="297" t="s">
        <v>102</v>
      </c>
      <c r="AZ13" s="297" t="s">
        <v>409</v>
      </c>
      <c r="BA13" s="174"/>
      <c r="BB13" s="175" t="s">
        <v>1043</v>
      </c>
      <c r="BC13" s="174" t="s">
        <v>384</v>
      </c>
      <c r="BD13" s="175" t="s">
        <v>1047</v>
      </c>
      <c r="BE13" s="175" t="s">
        <v>1049</v>
      </c>
      <c r="BF13" s="175" t="s">
        <v>1048</v>
      </c>
      <c r="BG13" s="175" t="s">
        <v>1047</v>
      </c>
      <c r="BH13" s="175" t="s">
        <v>1054</v>
      </c>
      <c r="BI13" s="177" t="s">
        <v>1063</v>
      </c>
      <c r="BJ13" s="174" t="s">
        <v>1122</v>
      </c>
      <c r="BK13" s="177"/>
      <c r="BL13" s="177"/>
      <c r="BM13" s="177"/>
    </row>
    <row r="14" spans="1:65" s="172" customFormat="1" ht="13.5" customHeight="1" x14ac:dyDescent="0.2">
      <c r="A14" s="426"/>
      <c r="B14" s="400" t="s">
        <v>1029</v>
      </c>
      <c r="C14" s="401"/>
      <c r="D14" s="401"/>
      <c r="E14" s="401"/>
      <c r="F14" s="402"/>
      <c r="G14" s="323" t="s">
        <v>87</v>
      </c>
      <c r="H14" s="324"/>
      <c r="I14" s="324"/>
      <c r="J14" s="325"/>
      <c r="K14" s="329"/>
      <c r="L14" s="330"/>
      <c r="M14" s="330"/>
      <c r="N14" s="331"/>
      <c r="O14" s="335"/>
      <c r="P14" s="336"/>
      <c r="Q14" s="336"/>
      <c r="R14" s="337"/>
      <c r="S14" s="311"/>
      <c r="T14" s="312"/>
      <c r="U14" s="366"/>
      <c r="V14" s="374" t="s">
        <v>859</v>
      </c>
      <c r="W14" s="375"/>
      <c r="X14" s="375"/>
      <c r="Y14" s="376"/>
      <c r="Z14" s="374" t="s">
        <v>859</v>
      </c>
      <c r="AA14" s="375"/>
      <c r="AB14" s="375"/>
      <c r="AC14" s="376"/>
      <c r="AD14" s="380" t="s">
        <v>859</v>
      </c>
      <c r="AE14" s="381"/>
      <c r="AF14" s="381"/>
      <c r="AG14" s="382"/>
      <c r="AH14" s="392"/>
      <c r="AI14" s="393"/>
      <c r="AJ14" s="394"/>
      <c r="AK14" s="412"/>
      <c r="AL14" s="303"/>
      <c r="AM14" s="303"/>
      <c r="AN14" s="303"/>
      <c r="AO14" s="303"/>
      <c r="AP14" s="303"/>
      <c r="AQ14" s="303"/>
      <c r="AR14" s="303"/>
      <c r="AS14" s="303"/>
      <c r="AT14" s="303"/>
      <c r="AU14" s="303"/>
      <c r="AV14" s="303"/>
      <c r="AW14" s="303"/>
      <c r="AX14" s="306"/>
      <c r="AY14" s="297" t="s">
        <v>101</v>
      </c>
      <c r="AZ14" s="297" t="s">
        <v>410</v>
      </c>
      <c r="BA14" s="174"/>
      <c r="BB14" s="175" t="s">
        <v>1025</v>
      </c>
      <c r="BC14" s="174" t="s">
        <v>385</v>
      </c>
      <c r="BD14" s="175" t="s">
        <v>1048</v>
      </c>
      <c r="BE14" s="175" t="s">
        <v>1058</v>
      </c>
      <c r="BF14" s="175" t="s">
        <v>1050</v>
      </c>
      <c r="BG14" s="175" t="s">
        <v>1049</v>
      </c>
      <c r="BH14" s="175" t="s">
        <v>1058</v>
      </c>
      <c r="BI14" s="177" t="s">
        <v>89</v>
      </c>
      <c r="BJ14" s="174"/>
      <c r="BK14" s="177"/>
      <c r="BL14" s="177"/>
      <c r="BM14" s="177"/>
    </row>
    <row r="15" spans="1:65" s="172" customFormat="1" ht="13.5" customHeight="1" thickBot="1" x14ac:dyDescent="0.25">
      <c r="A15" s="426"/>
      <c r="B15" s="403"/>
      <c r="C15" s="404"/>
      <c r="D15" s="404"/>
      <c r="E15" s="404"/>
      <c r="F15" s="405"/>
      <c r="G15" s="326"/>
      <c r="H15" s="327"/>
      <c r="I15" s="327"/>
      <c r="J15" s="328"/>
      <c r="K15" s="332"/>
      <c r="L15" s="333"/>
      <c r="M15" s="333"/>
      <c r="N15" s="334"/>
      <c r="O15" s="338"/>
      <c r="P15" s="339"/>
      <c r="Q15" s="339"/>
      <c r="R15" s="340"/>
      <c r="S15" s="314"/>
      <c r="T15" s="315"/>
      <c r="U15" s="367"/>
      <c r="V15" s="377"/>
      <c r="W15" s="378"/>
      <c r="X15" s="378"/>
      <c r="Y15" s="379"/>
      <c r="Z15" s="377"/>
      <c r="AA15" s="378"/>
      <c r="AB15" s="378"/>
      <c r="AC15" s="379"/>
      <c r="AD15" s="383"/>
      <c r="AE15" s="384"/>
      <c r="AF15" s="384"/>
      <c r="AG15" s="385"/>
      <c r="AH15" s="395"/>
      <c r="AI15" s="396"/>
      <c r="AJ15" s="397"/>
      <c r="AK15" s="412"/>
      <c r="AL15" s="303"/>
      <c r="AM15" s="303"/>
      <c r="AN15" s="303"/>
      <c r="AO15" s="303"/>
      <c r="AP15" s="303"/>
      <c r="AQ15" s="303"/>
      <c r="AR15" s="303"/>
      <c r="AS15" s="303"/>
      <c r="AT15" s="303"/>
      <c r="AU15" s="303"/>
      <c r="AV15" s="303"/>
      <c r="AW15" s="303"/>
      <c r="AX15" s="306"/>
      <c r="AY15" s="297" t="s">
        <v>103</v>
      </c>
      <c r="AZ15" s="297" t="s">
        <v>411</v>
      </c>
      <c r="BA15" s="174"/>
      <c r="BB15" s="175" t="s">
        <v>1026</v>
      </c>
      <c r="BC15" s="177">
        <v>0</v>
      </c>
      <c r="BD15" s="175" t="s">
        <v>1055</v>
      </c>
      <c r="BE15" s="175" t="s">
        <v>859</v>
      </c>
      <c r="BF15" s="175" t="s">
        <v>1053</v>
      </c>
      <c r="BG15" s="175" t="s">
        <v>1050</v>
      </c>
      <c r="BH15" s="175" t="s">
        <v>859</v>
      </c>
      <c r="BI15" s="177" t="s">
        <v>88</v>
      </c>
      <c r="BJ15" s="174"/>
      <c r="BK15" s="177"/>
      <c r="BL15" s="177"/>
      <c r="BM15" s="177"/>
    </row>
    <row r="16" spans="1:65" s="172" customFormat="1" ht="13.5" customHeight="1" x14ac:dyDescent="0.2">
      <c r="A16" s="426"/>
      <c r="B16" s="347"/>
      <c r="C16" s="348"/>
      <c r="D16" s="348"/>
      <c r="E16" s="348"/>
      <c r="F16" s="349"/>
      <c r="G16" s="353" t="s">
        <v>86</v>
      </c>
      <c r="H16" s="354"/>
      <c r="I16" s="354"/>
      <c r="J16" s="355"/>
      <c r="K16" s="359"/>
      <c r="L16" s="360"/>
      <c r="M16" s="360"/>
      <c r="N16" s="361"/>
      <c r="O16" s="359"/>
      <c r="P16" s="360"/>
      <c r="Q16" s="360"/>
      <c r="R16" s="361"/>
      <c r="S16" s="308"/>
      <c r="T16" s="309"/>
      <c r="U16" s="365"/>
      <c r="V16" s="359"/>
      <c r="W16" s="360"/>
      <c r="X16" s="360"/>
      <c r="Y16" s="361"/>
      <c r="Z16" s="359"/>
      <c r="AA16" s="360"/>
      <c r="AB16" s="360"/>
      <c r="AC16" s="361"/>
      <c r="AD16" s="359"/>
      <c r="AE16" s="360"/>
      <c r="AF16" s="360"/>
      <c r="AG16" s="361"/>
      <c r="AH16" s="308"/>
      <c r="AI16" s="309"/>
      <c r="AJ16" s="310"/>
      <c r="AK16" s="412"/>
      <c r="AL16" s="306" t="str">
        <f>IF($B16&lt;&gt;"",IF(INDEX($AY$11:$BA$447, MATCH($B16,$AY$11:$AY$447,), MATCH("Ch16DLmg/l",$AY$10:$BA$10,))&lt;&gt;0,INDEX($AY$11:$BA$447, MATCH($B16,$AY$11:$AY$447,), MATCH("Ch16DLmg/l",$AY$10:$BA$10,)),0),"")</f>
        <v/>
      </c>
      <c r="AM16" s="306" t="str">
        <f>IF(OR(AND(BK16&lt;&gt;"",BK16&lt;AL16),AND(BL16&lt;&gt;"",BL16&lt;AL16),AND(BM16&lt;&gt;"",BM16&lt;AL16)),"Y","")</f>
        <v/>
      </c>
      <c r="AN16" s="303">
        <f>IF(ISERR(FIND(".",K16)),0,LEN(MID(K16,FIND(".",K16)+1,15)))</f>
        <v>0</v>
      </c>
      <c r="AO16" s="303">
        <f>IF(ISERR(FIND(".",O16)),0,LEN(MID(O16,FIND(".",O16)+1,15)))</f>
        <v>0</v>
      </c>
      <c r="AP16" s="303">
        <f>IF(ISERR(FIND(".",V16)),0,LEN(MID(V16,FIND(".",V16)+1,15)))</f>
        <v>0</v>
      </c>
      <c r="AQ16" s="307">
        <f>IF(ISERR(FIND(".",Z16)),0,LEN(MID(Z16,FIND(".",Z16)+1,15)))</f>
        <v>0</v>
      </c>
      <c r="AR16" s="303">
        <f>IF(ISERR(FIND(".",AD16)),0,LEN(MID(AD16,FIND(".",AD16)+1,15)))</f>
        <v>0</v>
      </c>
      <c r="AS16" s="303" t="str">
        <f>IF(OR(K16="",K16="Report"),"E","")</f>
        <v>E</v>
      </c>
      <c r="AT16" s="303" t="str">
        <f>IF(OR(O16="",O16="Report"),"E","")</f>
        <v>E</v>
      </c>
      <c r="AU16" s="303" t="str">
        <f>IF(OR(V16="",V16="Report"),"E","")</f>
        <v>E</v>
      </c>
      <c r="AV16" s="303" t="str">
        <f>IF(OR(Z16="",Z16="Report"),"E","")</f>
        <v>E</v>
      </c>
      <c r="AW16" s="303" t="str">
        <f>IF(OR(AD16="",AD16="Report"),"E","")</f>
        <v>E</v>
      </c>
      <c r="AX16" s="306" t="str">
        <f>IF(OR(AND($B16&lt;&gt;"",$AH16&lt;&gt;""),AND($B16&lt;&gt;"",$S16&lt;&gt;"")),INDEX($BI$11:$BJ$54, MATCH('Outfall 1 Daily'!$I$13,$BI$11:$BI$54,), MATCH("Symbol",$BI$10:$BJ$10,)),"")</f>
        <v/>
      </c>
      <c r="AY16" s="297" t="s">
        <v>105</v>
      </c>
      <c r="AZ16" s="297" t="s">
        <v>412</v>
      </c>
      <c r="BA16" s="174"/>
      <c r="BB16" s="175" t="s">
        <v>1027</v>
      </c>
      <c r="BC16" s="174" t="s">
        <v>386</v>
      </c>
      <c r="BD16" s="175" t="s">
        <v>1057</v>
      </c>
      <c r="BE16" s="175"/>
      <c r="BF16" s="175" t="s">
        <v>1055</v>
      </c>
      <c r="BG16" s="175" t="s">
        <v>1051</v>
      </c>
      <c r="BH16" s="175"/>
      <c r="BI16" s="177" t="s">
        <v>1115</v>
      </c>
      <c r="BJ16" s="174"/>
      <c r="BK16" s="303" t="str">
        <f>IF(AND(V16&lt;&gt;"",V16&lt;&gt;"Report"),VALUE(V16),"")</f>
        <v/>
      </c>
      <c r="BL16" s="303" t="str">
        <f>IF(AND(Z16&lt;&gt;"",Z16&lt;&gt;"Report"),VALUE(Z16),"")</f>
        <v/>
      </c>
      <c r="BM16" s="303" t="str">
        <f>IF(AND(AD16&lt;&gt;"",AD16&lt;&gt;"Report"),VALUE(AD16),"")</f>
        <v/>
      </c>
    </row>
    <row r="17" spans="1:65" s="172" customFormat="1" ht="13.5" customHeight="1" x14ac:dyDescent="0.2">
      <c r="A17" s="426"/>
      <c r="B17" s="350"/>
      <c r="C17" s="351"/>
      <c r="D17" s="351"/>
      <c r="E17" s="351"/>
      <c r="F17" s="352"/>
      <c r="G17" s="356"/>
      <c r="H17" s="357"/>
      <c r="I17" s="357"/>
      <c r="J17" s="358"/>
      <c r="K17" s="362"/>
      <c r="L17" s="363"/>
      <c r="M17" s="363"/>
      <c r="N17" s="364"/>
      <c r="O17" s="362"/>
      <c r="P17" s="363"/>
      <c r="Q17" s="363"/>
      <c r="R17" s="364"/>
      <c r="S17" s="311"/>
      <c r="T17" s="312"/>
      <c r="U17" s="366"/>
      <c r="V17" s="362"/>
      <c r="W17" s="363"/>
      <c r="X17" s="363"/>
      <c r="Y17" s="364"/>
      <c r="Z17" s="362"/>
      <c r="AA17" s="363"/>
      <c r="AB17" s="363"/>
      <c r="AC17" s="364"/>
      <c r="AD17" s="362"/>
      <c r="AE17" s="363"/>
      <c r="AF17" s="363"/>
      <c r="AG17" s="364"/>
      <c r="AH17" s="311"/>
      <c r="AI17" s="312"/>
      <c r="AJ17" s="313"/>
      <c r="AK17" s="412"/>
      <c r="AL17" s="306"/>
      <c r="AM17" s="306"/>
      <c r="AN17" s="303"/>
      <c r="AO17" s="303"/>
      <c r="AP17" s="303"/>
      <c r="AQ17" s="307"/>
      <c r="AR17" s="303"/>
      <c r="AS17" s="303"/>
      <c r="AT17" s="303"/>
      <c r="AU17" s="303"/>
      <c r="AV17" s="303"/>
      <c r="AW17" s="303"/>
      <c r="AX17" s="306"/>
      <c r="AY17" s="297" t="s">
        <v>104</v>
      </c>
      <c r="AZ17" s="297" t="s">
        <v>413</v>
      </c>
      <c r="BA17" s="174"/>
      <c r="BB17" s="175" t="s">
        <v>1028</v>
      </c>
      <c r="BC17" s="174" t="s">
        <v>387</v>
      </c>
      <c r="BD17" s="175" t="s">
        <v>859</v>
      </c>
      <c r="BE17" s="175"/>
      <c r="BF17" s="175" t="s">
        <v>1056</v>
      </c>
      <c r="BG17" s="175" t="s">
        <v>1058</v>
      </c>
      <c r="BH17" s="175"/>
      <c r="BI17" s="177" t="s">
        <v>1089</v>
      </c>
      <c r="BJ17" s="174" t="s">
        <v>3</v>
      </c>
      <c r="BK17" s="303"/>
      <c r="BL17" s="303"/>
      <c r="BM17" s="303"/>
    </row>
    <row r="18" spans="1:65" s="172" customFormat="1" ht="13.5" customHeight="1" x14ac:dyDescent="0.2">
      <c r="A18" s="426"/>
      <c r="B18" s="317"/>
      <c r="C18" s="318"/>
      <c r="D18" s="318"/>
      <c r="E18" s="318"/>
      <c r="F18" s="319"/>
      <c r="G18" s="323" t="s">
        <v>87</v>
      </c>
      <c r="H18" s="324"/>
      <c r="I18" s="324"/>
      <c r="J18" s="325"/>
      <c r="K18" s="329"/>
      <c r="L18" s="330"/>
      <c r="M18" s="330"/>
      <c r="N18" s="331"/>
      <c r="O18" s="335"/>
      <c r="P18" s="336"/>
      <c r="Q18" s="336"/>
      <c r="R18" s="337"/>
      <c r="S18" s="311"/>
      <c r="T18" s="312"/>
      <c r="U18" s="366"/>
      <c r="V18" s="329"/>
      <c r="W18" s="330"/>
      <c r="X18" s="330"/>
      <c r="Y18" s="331"/>
      <c r="Z18" s="329"/>
      <c r="AA18" s="330"/>
      <c r="AB18" s="330"/>
      <c r="AC18" s="331"/>
      <c r="AD18" s="341"/>
      <c r="AE18" s="342"/>
      <c r="AF18" s="342"/>
      <c r="AG18" s="343"/>
      <c r="AH18" s="311"/>
      <c r="AI18" s="312"/>
      <c r="AJ18" s="313"/>
      <c r="AK18" s="412"/>
      <c r="AL18" s="306"/>
      <c r="AM18" s="306"/>
      <c r="AN18" s="303"/>
      <c r="AO18" s="303"/>
      <c r="AP18" s="303"/>
      <c r="AQ18" s="307"/>
      <c r="AR18" s="303"/>
      <c r="AS18" s="303"/>
      <c r="AT18" s="303"/>
      <c r="AU18" s="303"/>
      <c r="AV18" s="303"/>
      <c r="AW18" s="303"/>
      <c r="AX18" s="306"/>
      <c r="AY18" s="297" t="s">
        <v>106</v>
      </c>
      <c r="AZ18" s="297" t="s">
        <v>414</v>
      </c>
      <c r="BA18" s="174"/>
      <c r="BB18" s="175" t="s">
        <v>1031</v>
      </c>
      <c r="BC18" s="177">
        <v>6</v>
      </c>
      <c r="BF18" s="175" t="s">
        <v>859</v>
      </c>
      <c r="BG18" s="175" t="s">
        <v>859</v>
      </c>
      <c r="BI18" s="177" t="s">
        <v>82</v>
      </c>
      <c r="BJ18" s="174" t="s">
        <v>3</v>
      </c>
      <c r="BK18" s="177"/>
      <c r="BL18" s="177"/>
      <c r="BM18" s="177"/>
    </row>
    <row r="19" spans="1:65" s="172" customFormat="1" ht="13.5" customHeight="1" thickBot="1" x14ac:dyDescent="0.25">
      <c r="A19" s="426"/>
      <c r="B19" s="320"/>
      <c r="C19" s="321"/>
      <c r="D19" s="321"/>
      <c r="E19" s="321"/>
      <c r="F19" s="322"/>
      <c r="G19" s="326"/>
      <c r="H19" s="327"/>
      <c r="I19" s="327"/>
      <c r="J19" s="328"/>
      <c r="K19" s="332"/>
      <c r="L19" s="333"/>
      <c r="M19" s="333"/>
      <c r="N19" s="334"/>
      <c r="O19" s="338"/>
      <c r="P19" s="339"/>
      <c r="Q19" s="339"/>
      <c r="R19" s="340"/>
      <c r="S19" s="314"/>
      <c r="T19" s="315"/>
      <c r="U19" s="367"/>
      <c r="V19" s="332"/>
      <c r="W19" s="333"/>
      <c r="X19" s="333"/>
      <c r="Y19" s="334"/>
      <c r="Z19" s="332"/>
      <c r="AA19" s="333"/>
      <c r="AB19" s="333"/>
      <c r="AC19" s="334"/>
      <c r="AD19" s="344"/>
      <c r="AE19" s="345"/>
      <c r="AF19" s="345"/>
      <c r="AG19" s="346"/>
      <c r="AH19" s="314"/>
      <c r="AI19" s="315"/>
      <c r="AJ19" s="316"/>
      <c r="AK19" s="412"/>
      <c r="AL19" s="306"/>
      <c r="AM19" s="306"/>
      <c r="AN19" s="303"/>
      <c r="AO19" s="303"/>
      <c r="AP19" s="303"/>
      <c r="AQ19" s="307"/>
      <c r="AR19" s="303"/>
      <c r="AS19" s="303"/>
      <c r="AT19" s="303"/>
      <c r="AU19" s="303"/>
      <c r="AV19" s="303"/>
      <c r="AW19" s="303"/>
      <c r="AX19" s="306"/>
      <c r="AY19" s="297" t="s">
        <v>107</v>
      </c>
      <c r="AZ19" s="297" t="s">
        <v>419</v>
      </c>
      <c r="BA19" s="174"/>
      <c r="BB19" s="175" t="s">
        <v>1032</v>
      </c>
      <c r="BC19" s="174" t="s">
        <v>388</v>
      </c>
      <c r="BI19" s="177" t="s">
        <v>81</v>
      </c>
      <c r="BJ19" s="174" t="s">
        <v>3</v>
      </c>
      <c r="BK19" s="177"/>
      <c r="BL19" s="177"/>
      <c r="BM19" s="177"/>
    </row>
    <row r="20" spans="1:65" s="172" customFormat="1" ht="13.5" customHeight="1" x14ac:dyDescent="0.2">
      <c r="A20" s="426"/>
      <c r="B20" s="347"/>
      <c r="C20" s="348"/>
      <c r="D20" s="348"/>
      <c r="E20" s="348"/>
      <c r="F20" s="349"/>
      <c r="G20" s="353" t="s">
        <v>86</v>
      </c>
      <c r="H20" s="354"/>
      <c r="I20" s="354"/>
      <c r="J20" s="355"/>
      <c r="K20" s="359"/>
      <c r="L20" s="360"/>
      <c r="M20" s="360"/>
      <c r="N20" s="361"/>
      <c r="O20" s="359"/>
      <c r="P20" s="360"/>
      <c r="Q20" s="360"/>
      <c r="R20" s="361"/>
      <c r="S20" s="308"/>
      <c r="T20" s="309"/>
      <c r="U20" s="365"/>
      <c r="V20" s="359"/>
      <c r="W20" s="360"/>
      <c r="X20" s="360"/>
      <c r="Y20" s="361"/>
      <c r="Z20" s="359"/>
      <c r="AA20" s="360"/>
      <c r="AB20" s="360"/>
      <c r="AC20" s="361"/>
      <c r="AD20" s="359"/>
      <c r="AE20" s="360"/>
      <c r="AF20" s="360"/>
      <c r="AG20" s="361"/>
      <c r="AH20" s="308"/>
      <c r="AI20" s="309"/>
      <c r="AJ20" s="310"/>
      <c r="AK20" s="412"/>
      <c r="AL20" s="306" t="str">
        <f>IF($B20&lt;&gt;"",IF(INDEX($AY$11:$BA$447, MATCH($B20,$AY$11:$AY$447,), MATCH("Ch16DLmg/l",$AY$10:$BA$10,))&lt;&gt;0,INDEX($AY$11:$BA$447, MATCH($B20,$AY$11:$AY$447,), MATCH("Ch16DLmg/l",$AY$10:$BA$10,)),0),"")</f>
        <v/>
      </c>
      <c r="AM20" s="306" t="str">
        <f>IF(OR(AND(BK20&lt;&gt;"",BK20&lt;AL20),AND(BL20&lt;&gt;"",BL20&lt;AL20),AND(BM20&lt;&gt;"",BM20&lt;AL20)),"Y","")</f>
        <v/>
      </c>
      <c r="AN20" s="303">
        <f>IF(ISERR(FIND(".",K20)),0,LEN(MID(K20,FIND(".",K20)+1,15)))</f>
        <v>0</v>
      </c>
      <c r="AO20" s="303">
        <f>IF(ISERR(FIND(".",O20)),0,LEN(MID(O20,FIND(".",O20)+1,15)))</f>
        <v>0</v>
      </c>
      <c r="AP20" s="303">
        <f>IF(ISERR(FIND(".",V20)),0,LEN(MID(V20,FIND(".",V20)+1,15)))</f>
        <v>0</v>
      </c>
      <c r="AQ20" s="303">
        <f>IF(ISERR(FIND(".",Z20)),0,LEN(MID(Z20,FIND(".",Z20)+1,15)))</f>
        <v>0</v>
      </c>
      <c r="AR20" s="303">
        <f>IF(ISERR(FIND(".",AD20)),0,LEN(MID(AD20,FIND(".",AD20)+1,15)))</f>
        <v>0</v>
      </c>
      <c r="AS20" s="303" t="str">
        <f>IF(OR(K20="",K20="Report"),"E","")</f>
        <v>E</v>
      </c>
      <c r="AT20" s="303" t="str">
        <f>IF(OR(O20="",O20="Report"),"E","")</f>
        <v>E</v>
      </c>
      <c r="AU20" s="303" t="str">
        <f>IF(OR(V20="",V20="Report"),"E","")</f>
        <v>E</v>
      </c>
      <c r="AV20" s="303" t="str">
        <f>IF(OR(Z20="",Z20="Report"),"E","")</f>
        <v>E</v>
      </c>
      <c r="AW20" s="303" t="str">
        <f>IF(OR(AD20="",AD20="Report"),"E","")</f>
        <v>E</v>
      </c>
      <c r="AX20" s="306" t="str">
        <f>IF(OR(AND($B20&lt;&gt;"",$AH20&lt;&gt;""),AND($B20&lt;&gt;"",$S20&lt;&gt;"")),INDEX($BI$11:$BJ$54, MATCH('Outfall 1 Daily'!K$13,$BI$11:$BI$54,), MATCH("Symbol",$BI$10:$BJ$10,)),"")</f>
        <v/>
      </c>
      <c r="AY20" s="297" t="s">
        <v>108</v>
      </c>
      <c r="AZ20" s="297" t="s">
        <v>416</v>
      </c>
      <c r="BA20" s="174"/>
      <c r="BB20" s="175" t="s">
        <v>1033</v>
      </c>
      <c r="BC20" s="174" t="s">
        <v>389</v>
      </c>
      <c r="BI20" s="177" t="s">
        <v>1111</v>
      </c>
      <c r="BJ20" s="174" t="s">
        <v>3</v>
      </c>
      <c r="BK20" s="303" t="str">
        <f>IF(AND(V20&lt;&gt;"",V20&lt;&gt;"Report"),VALUE(V20),"")</f>
        <v/>
      </c>
      <c r="BL20" s="303" t="str">
        <f>IF(AND(Z20&lt;&gt;"",Z20&lt;&gt;"Report"),VALUE(Z20),"")</f>
        <v/>
      </c>
      <c r="BM20" s="303" t="str">
        <f>IF(AND(AD20&lt;&gt;"",AD20&lt;&gt;"Report"),VALUE(AD20),"")</f>
        <v/>
      </c>
    </row>
    <row r="21" spans="1:65" s="172" customFormat="1" ht="13.5" customHeight="1" x14ac:dyDescent="0.2">
      <c r="A21" s="426"/>
      <c r="B21" s="350"/>
      <c r="C21" s="351"/>
      <c r="D21" s="351"/>
      <c r="E21" s="351"/>
      <c r="F21" s="352"/>
      <c r="G21" s="356"/>
      <c r="H21" s="357"/>
      <c r="I21" s="357"/>
      <c r="J21" s="358"/>
      <c r="K21" s="362"/>
      <c r="L21" s="363"/>
      <c r="M21" s="363"/>
      <c r="N21" s="364"/>
      <c r="O21" s="362"/>
      <c r="P21" s="363"/>
      <c r="Q21" s="363"/>
      <c r="R21" s="364"/>
      <c r="S21" s="311"/>
      <c r="T21" s="312"/>
      <c r="U21" s="366"/>
      <c r="V21" s="362"/>
      <c r="W21" s="363"/>
      <c r="X21" s="363"/>
      <c r="Y21" s="364"/>
      <c r="Z21" s="362"/>
      <c r="AA21" s="363"/>
      <c r="AB21" s="363"/>
      <c r="AC21" s="364"/>
      <c r="AD21" s="362"/>
      <c r="AE21" s="363"/>
      <c r="AF21" s="363"/>
      <c r="AG21" s="364"/>
      <c r="AH21" s="311"/>
      <c r="AI21" s="312"/>
      <c r="AJ21" s="313"/>
      <c r="AK21" s="412"/>
      <c r="AL21" s="306"/>
      <c r="AM21" s="306"/>
      <c r="AN21" s="303"/>
      <c r="AO21" s="303"/>
      <c r="AP21" s="303"/>
      <c r="AQ21" s="303"/>
      <c r="AR21" s="303"/>
      <c r="AS21" s="303"/>
      <c r="AT21" s="303"/>
      <c r="AU21" s="303"/>
      <c r="AV21" s="303"/>
      <c r="AW21" s="303"/>
      <c r="AX21" s="306"/>
      <c r="AY21" s="297" t="s">
        <v>109</v>
      </c>
      <c r="AZ21" s="297" t="s">
        <v>417</v>
      </c>
      <c r="BA21" s="174"/>
      <c r="BB21" s="175" t="s">
        <v>1034</v>
      </c>
      <c r="BC21" s="174" t="s">
        <v>390</v>
      </c>
      <c r="BI21" s="177" t="s">
        <v>90</v>
      </c>
      <c r="BJ21" s="174" t="s">
        <v>3</v>
      </c>
      <c r="BK21" s="303"/>
      <c r="BL21" s="303"/>
      <c r="BM21" s="303"/>
    </row>
    <row r="22" spans="1:65" s="172" customFormat="1" ht="13.5" customHeight="1" x14ac:dyDescent="0.2">
      <c r="A22" s="426"/>
      <c r="B22" s="317"/>
      <c r="C22" s="318"/>
      <c r="D22" s="318"/>
      <c r="E22" s="318"/>
      <c r="F22" s="319"/>
      <c r="G22" s="323" t="s">
        <v>87</v>
      </c>
      <c r="H22" s="324"/>
      <c r="I22" s="324"/>
      <c r="J22" s="325"/>
      <c r="K22" s="329"/>
      <c r="L22" s="330"/>
      <c r="M22" s="330"/>
      <c r="N22" s="331"/>
      <c r="O22" s="335"/>
      <c r="P22" s="336"/>
      <c r="Q22" s="336"/>
      <c r="R22" s="337"/>
      <c r="S22" s="311"/>
      <c r="T22" s="312"/>
      <c r="U22" s="366"/>
      <c r="V22" s="329"/>
      <c r="W22" s="330"/>
      <c r="X22" s="330"/>
      <c r="Y22" s="331"/>
      <c r="Z22" s="329"/>
      <c r="AA22" s="330"/>
      <c r="AB22" s="330"/>
      <c r="AC22" s="331"/>
      <c r="AD22" s="341"/>
      <c r="AE22" s="342"/>
      <c r="AF22" s="342"/>
      <c r="AG22" s="343"/>
      <c r="AH22" s="311"/>
      <c r="AI22" s="312"/>
      <c r="AJ22" s="313"/>
      <c r="AK22" s="412"/>
      <c r="AL22" s="306"/>
      <c r="AM22" s="306"/>
      <c r="AN22" s="303"/>
      <c r="AO22" s="303"/>
      <c r="AP22" s="303"/>
      <c r="AQ22" s="303"/>
      <c r="AR22" s="303"/>
      <c r="AS22" s="303"/>
      <c r="AT22" s="303"/>
      <c r="AU22" s="303"/>
      <c r="AV22" s="303"/>
      <c r="AW22" s="303"/>
      <c r="AX22" s="306"/>
      <c r="AY22" s="297" t="s">
        <v>363</v>
      </c>
      <c r="AZ22" s="297" t="s">
        <v>420</v>
      </c>
      <c r="BA22" s="174"/>
      <c r="BB22" s="175" t="s">
        <v>1035</v>
      </c>
      <c r="BC22" s="174" t="s">
        <v>391</v>
      </c>
      <c r="BI22" s="177" t="s">
        <v>5</v>
      </c>
      <c r="BJ22" s="177" t="s">
        <v>3</v>
      </c>
      <c r="BK22" s="177"/>
      <c r="BL22" s="177"/>
      <c r="BM22" s="177"/>
    </row>
    <row r="23" spans="1:65" s="172" customFormat="1" ht="13.5" customHeight="1" thickBot="1" x14ac:dyDescent="0.25">
      <c r="A23" s="426"/>
      <c r="B23" s="320"/>
      <c r="C23" s="321"/>
      <c r="D23" s="321"/>
      <c r="E23" s="321"/>
      <c r="F23" s="322"/>
      <c r="G23" s="326"/>
      <c r="H23" s="327"/>
      <c r="I23" s="327"/>
      <c r="J23" s="328"/>
      <c r="K23" s="332"/>
      <c r="L23" s="333"/>
      <c r="M23" s="333"/>
      <c r="N23" s="334"/>
      <c r="O23" s="338"/>
      <c r="P23" s="339"/>
      <c r="Q23" s="339"/>
      <c r="R23" s="340"/>
      <c r="S23" s="314"/>
      <c r="T23" s="315"/>
      <c r="U23" s="367"/>
      <c r="V23" s="332"/>
      <c r="W23" s="333"/>
      <c r="X23" s="333"/>
      <c r="Y23" s="334"/>
      <c r="Z23" s="332"/>
      <c r="AA23" s="333"/>
      <c r="AB23" s="333"/>
      <c r="AC23" s="334"/>
      <c r="AD23" s="344"/>
      <c r="AE23" s="345"/>
      <c r="AF23" s="345"/>
      <c r="AG23" s="346"/>
      <c r="AH23" s="314"/>
      <c r="AI23" s="315"/>
      <c r="AJ23" s="316"/>
      <c r="AK23" s="412"/>
      <c r="AL23" s="306"/>
      <c r="AM23" s="306"/>
      <c r="AN23" s="303"/>
      <c r="AO23" s="303"/>
      <c r="AP23" s="303"/>
      <c r="AQ23" s="303"/>
      <c r="AR23" s="303"/>
      <c r="AS23" s="303"/>
      <c r="AT23" s="303"/>
      <c r="AU23" s="303"/>
      <c r="AV23" s="303"/>
      <c r="AW23" s="303"/>
      <c r="AX23" s="306"/>
      <c r="AY23" s="297" t="s">
        <v>361</v>
      </c>
      <c r="AZ23" s="297" t="s">
        <v>421</v>
      </c>
      <c r="BA23" s="174"/>
      <c r="BB23" s="175" t="s">
        <v>1036</v>
      </c>
      <c r="BC23" s="174" t="s">
        <v>392</v>
      </c>
      <c r="BI23" s="177" t="s">
        <v>91</v>
      </c>
      <c r="BJ23" s="174" t="s">
        <v>3</v>
      </c>
      <c r="BK23" s="177"/>
      <c r="BL23" s="177"/>
      <c r="BM23" s="177"/>
    </row>
    <row r="24" spans="1:65" s="172" customFormat="1" ht="13.5" customHeight="1" x14ac:dyDescent="0.2">
      <c r="A24" s="426"/>
      <c r="B24" s="347"/>
      <c r="C24" s="348"/>
      <c r="D24" s="348"/>
      <c r="E24" s="348"/>
      <c r="F24" s="349"/>
      <c r="G24" s="353" t="s">
        <v>86</v>
      </c>
      <c r="H24" s="354"/>
      <c r="I24" s="354"/>
      <c r="J24" s="355"/>
      <c r="K24" s="359"/>
      <c r="L24" s="360"/>
      <c r="M24" s="360"/>
      <c r="N24" s="361"/>
      <c r="O24" s="359"/>
      <c r="P24" s="360"/>
      <c r="Q24" s="360"/>
      <c r="R24" s="361"/>
      <c r="S24" s="308"/>
      <c r="T24" s="309"/>
      <c r="U24" s="365"/>
      <c r="V24" s="359"/>
      <c r="W24" s="360"/>
      <c r="X24" s="360"/>
      <c r="Y24" s="361"/>
      <c r="Z24" s="359"/>
      <c r="AA24" s="360"/>
      <c r="AB24" s="360"/>
      <c r="AC24" s="361"/>
      <c r="AD24" s="359"/>
      <c r="AE24" s="360"/>
      <c r="AF24" s="360"/>
      <c r="AG24" s="361"/>
      <c r="AH24" s="308"/>
      <c r="AI24" s="309"/>
      <c r="AJ24" s="310"/>
      <c r="AK24" s="412"/>
      <c r="AL24" s="306" t="str">
        <f>IF($B24&lt;&gt;"",IF(INDEX($AY$11:$BA$447, MATCH($B24,$AY$11:$AY$447,), MATCH("Ch16DLmg/l",$AY$10:$BA$10,))&lt;&gt;0,INDEX($AY$11:$BA$447, MATCH($B24,$AY$11:$AY$447,), MATCH("Ch16DLmg/l",$AY$10:$BA$10,)),0),"")</f>
        <v/>
      </c>
      <c r="AM24" s="306" t="str">
        <f>IF(OR(AND(BK24&lt;&gt;"",BK24&lt;AL24),AND(BL24&lt;&gt;"",BL24&lt;AL24),AND(BM24&lt;&gt;"",BM24&lt;AL24)),"Y","")</f>
        <v/>
      </c>
      <c r="AN24" s="303">
        <f>IF(ISERR(FIND(".",K24)),0,LEN(MID(K24,FIND(".",K24)+1,15)))</f>
        <v>0</v>
      </c>
      <c r="AO24" s="303">
        <f>IF(ISERR(FIND(".",O24)),0,LEN(MID(O24,FIND(".",O24)+1,15)))</f>
        <v>0</v>
      </c>
      <c r="AP24" s="303">
        <f>IF(ISERR(FIND(".",V24)),0,LEN(MID(V24,FIND(".",V24)+1,15)))</f>
        <v>0</v>
      </c>
      <c r="AQ24" s="303">
        <f>IF(ISERR(FIND(".",Z24)),0,LEN(MID(Z24,FIND(".",Z24)+1,15)))</f>
        <v>0</v>
      </c>
      <c r="AR24" s="303">
        <f>IF(ISERR(FIND(".",AD24)),0,LEN(MID(AD24,FIND(".",AD24)+1,15)))</f>
        <v>0</v>
      </c>
      <c r="AS24" s="303" t="str">
        <f>IF(OR(K24="",K24="Report"),"E","")</f>
        <v>E</v>
      </c>
      <c r="AT24" s="303" t="str">
        <f>IF(OR(O24="",O24="Report"),"E","")</f>
        <v>E</v>
      </c>
      <c r="AU24" s="303" t="str">
        <f>IF(OR(V24="",V24="Report"),"E","")</f>
        <v>E</v>
      </c>
      <c r="AV24" s="303" t="str">
        <f>IF(OR(Z24="",Z24="Report"),"E","")</f>
        <v>E</v>
      </c>
      <c r="AW24" s="303" t="str">
        <f>IF(OR(AD24="",AD24="Report"),"E","")</f>
        <v>E</v>
      </c>
      <c r="AX24" s="306" t="str">
        <f>IF(OR(AND($B24&lt;&gt;"",$AH24&lt;&gt;""),AND($B24&lt;&gt;"",$S24&lt;&gt;"")),INDEX($BI$11:$BJ$54, MATCH('Outfall 1 Daily'!M$13,$BI$11:$BI$54,), MATCH("Symbol",$BI$10:$BJ$10,)),"")</f>
        <v/>
      </c>
      <c r="AY24" s="297" t="s">
        <v>964</v>
      </c>
      <c r="AZ24" s="297" t="s">
        <v>418</v>
      </c>
      <c r="BA24" s="174"/>
      <c r="BB24" s="175" t="s">
        <v>1037</v>
      </c>
      <c r="BC24" s="174" t="s">
        <v>393</v>
      </c>
      <c r="BI24" s="177" t="s">
        <v>1099</v>
      </c>
      <c r="BJ24" s="174" t="s">
        <v>3</v>
      </c>
      <c r="BK24" s="303" t="str">
        <f>IF(AND(V24&lt;&gt;"",V24&lt;&gt;"Report"),VALUE(V24),"")</f>
        <v/>
      </c>
      <c r="BL24" s="303" t="str">
        <f>IF(AND(Z24&lt;&gt;"",Z24&lt;&gt;"Report"),VALUE(Z24),"")</f>
        <v/>
      </c>
      <c r="BM24" s="303" t="str">
        <f>IF(AND(AD24&lt;&gt;"",AD24&lt;&gt;"Report"),VALUE(AD24),"")</f>
        <v/>
      </c>
    </row>
    <row r="25" spans="1:65" s="172" customFormat="1" ht="13.5" customHeight="1" x14ac:dyDescent="0.2">
      <c r="A25" s="426"/>
      <c r="B25" s="350"/>
      <c r="C25" s="351"/>
      <c r="D25" s="351"/>
      <c r="E25" s="351"/>
      <c r="F25" s="352"/>
      <c r="G25" s="356"/>
      <c r="H25" s="357"/>
      <c r="I25" s="357"/>
      <c r="J25" s="358"/>
      <c r="K25" s="362"/>
      <c r="L25" s="363"/>
      <c r="M25" s="363"/>
      <c r="N25" s="364"/>
      <c r="O25" s="362"/>
      <c r="P25" s="363"/>
      <c r="Q25" s="363"/>
      <c r="R25" s="364"/>
      <c r="S25" s="311"/>
      <c r="T25" s="312"/>
      <c r="U25" s="366"/>
      <c r="V25" s="362"/>
      <c r="W25" s="363"/>
      <c r="X25" s="363"/>
      <c r="Y25" s="364"/>
      <c r="Z25" s="362"/>
      <c r="AA25" s="363"/>
      <c r="AB25" s="363"/>
      <c r="AC25" s="364"/>
      <c r="AD25" s="362"/>
      <c r="AE25" s="363"/>
      <c r="AF25" s="363"/>
      <c r="AG25" s="364"/>
      <c r="AH25" s="311"/>
      <c r="AI25" s="312"/>
      <c r="AJ25" s="313"/>
      <c r="AK25" s="412"/>
      <c r="AL25" s="306"/>
      <c r="AM25" s="306"/>
      <c r="AN25" s="303"/>
      <c r="AO25" s="303"/>
      <c r="AP25" s="303"/>
      <c r="AQ25" s="303"/>
      <c r="AR25" s="303"/>
      <c r="AS25" s="303"/>
      <c r="AT25" s="303"/>
      <c r="AU25" s="303"/>
      <c r="AV25" s="303"/>
      <c r="AW25" s="303"/>
      <c r="AX25" s="306"/>
      <c r="AY25" s="297" t="s">
        <v>362</v>
      </c>
      <c r="AZ25" s="297" t="s">
        <v>422</v>
      </c>
      <c r="BA25" s="174"/>
      <c r="BB25" s="175" t="s">
        <v>1038</v>
      </c>
      <c r="BC25" s="174" t="s">
        <v>394</v>
      </c>
      <c r="BI25" s="177" t="s">
        <v>1098</v>
      </c>
      <c r="BJ25" s="174" t="s">
        <v>3</v>
      </c>
      <c r="BK25" s="303"/>
      <c r="BL25" s="303"/>
      <c r="BM25" s="303"/>
    </row>
    <row r="26" spans="1:65" s="172" customFormat="1" ht="13.5" customHeight="1" x14ac:dyDescent="0.2">
      <c r="A26" s="426"/>
      <c r="B26" s="317"/>
      <c r="C26" s="318"/>
      <c r="D26" s="318"/>
      <c r="E26" s="318"/>
      <c r="F26" s="319"/>
      <c r="G26" s="323" t="s">
        <v>87</v>
      </c>
      <c r="H26" s="324"/>
      <c r="I26" s="324"/>
      <c r="J26" s="325"/>
      <c r="K26" s="329"/>
      <c r="L26" s="330"/>
      <c r="M26" s="330"/>
      <c r="N26" s="331"/>
      <c r="O26" s="335"/>
      <c r="P26" s="336"/>
      <c r="Q26" s="336"/>
      <c r="R26" s="337"/>
      <c r="S26" s="311"/>
      <c r="T26" s="312"/>
      <c r="U26" s="366"/>
      <c r="V26" s="329"/>
      <c r="W26" s="330"/>
      <c r="X26" s="330"/>
      <c r="Y26" s="331"/>
      <c r="Z26" s="329"/>
      <c r="AA26" s="330"/>
      <c r="AB26" s="330"/>
      <c r="AC26" s="331"/>
      <c r="AD26" s="341"/>
      <c r="AE26" s="342"/>
      <c r="AF26" s="342"/>
      <c r="AG26" s="343"/>
      <c r="AH26" s="311"/>
      <c r="AI26" s="312"/>
      <c r="AJ26" s="313"/>
      <c r="AK26" s="412"/>
      <c r="AL26" s="306"/>
      <c r="AM26" s="306"/>
      <c r="AN26" s="303"/>
      <c r="AO26" s="303"/>
      <c r="AP26" s="303"/>
      <c r="AQ26" s="303"/>
      <c r="AR26" s="303"/>
      <c r="AS26" s="303"/>
      <c r="AT26" s="303"/>
      <c r="AU26" s="303"/>
      <c r="AV26" s="303"/>
      <c r="AW26" s="303"/>
      <c r="AX26" s="306"/>
      <c r="AY26" s="297" t="s">
        <v>110</v>
      </c>
      <c r="AZ26" s="297" t="s">
        <v>423</v>
      </c>
      <c r="BA26" s="174"/>
      <c r="BB26" s="175" t="s">
        <v>1039</v>
      </c>
      <c r="BC26" s="174" t="s">
        <v>395</v>
      </c>
      <c r="BI26" s="177" t="s">
        <v>1066</v>
      </c>
      <c r="BJ26" s="174" t="s">
        <v>3</v>
      </c>
      <c r="BK26" s="177"/>
      <c r="BL26" s="177"/>
      <c r="BM26" s="177"/>
    </row>
    <row r="27" spans="1:65" s="172" customFormat="1" ht="13.5" customHeight="1" thickBot="1" x14ac:dyDescent="0.25">
      <c r="A27" s="426"/>
      <c r="B27" s="320"/>
      <c r="C27" s="321"/>
      <c r="D27" s="321"/>
      <c r="E27" s="321"/>
      <c r="F27" s="322"/>
      <c r="G27" s="326"/>
      <c r="H27" s="327"/>
      <c r="I27" s="327"/>
      <c r="J27" s="328"/>
      <c r="K27" s="332"/>
      <c r="L27" s="333"/>
      <c r="M27" s="333"/>
      <c r="N27" s="334"/>
      <c r="O27" s="338"/>
      <c r="P27" s="339"/>
      <c r="Q27" s="339"/>
      <c r="R27" s="340"/>
      <c r="S27" s="314"/>
      <c r="T27" s="315"/>
      <c r="U27" s="367"/>
      <c r="V27" s="332"/>
      <c r="W27" s="333"/>
      <c r="X27" s="333"/>
      <c r="Y27" s="334"/>
      <c r="Z27" s="332"/>
      <c r="AA27" s="333"/>
      <c r="AB27" s="333"/>
      <c r="AC27" s="334"/>
      <c r="AD27" s="344"/>
      <c r="AE27" s="345"/>
      <c r="AF27" s="345"/>
      <c r="AG27" s="346"/>
      <c r="AH27" s="314"/>
      <c r="AI27" s="315"/>
      <c r="AJ27" s="316"/>
      <c r="AK27" s="412"/>
      <c r="AL27" s="306"/>
      <c r="AM27" s="306"/>
      <c r="AN27" s="303"/>
      <c r="AO27" s="303"/>
      <c r="AP27" s="303"/>
      <c r="AQ27" s="303"/>
      <c r="AR27" s="303"/>
      <c r="AS27" s="303"/>
      <c r="AT27" s="303"/>
      <c r="AU27" s="303"/>
      <c r="AV27" s="303"/>
      <c r="AW27" s="303"/>
      <c r="AX27" s="306"/>
      <c r="AY27" s="297" t="s">
        <v>111</v>
      </c>
      <c r="AZ27" s="297" t="s">
        <v>424</v>
      </c>
      <c r="BA27" s="174">
        <v>3.0000000000000001E-5</v>
      </c>
      <c r="BB27" s="175" t="s">
        <v>1040</v>
      </c>
      <c r="BC27" s="174" t="s">
        <v>396</v>
      </c>
      <c r="BI27" s="177" t="s">
        <v>1100</v>
      </c>
      <c r="BJ27" s="174" t="s">
        <v>3</v>
      </c>
      <c r="BK27" s="177"/>
      <c r="BL27" s="177"/>
      <c r="BM27" s="177"/>
    </row>
    <row r="28" spans="1:65" s="172" customFormat="1" ht="13.5" customHeight="1" x14ac:dyDescent="0.2">
      <c r="A28" s="426"/>
      <c r="B28" s="347"/>
      <c r="C28" s="348"/>
      <c r="D28" s="348"/>
      <c r="E28" s="348"/>
      <c r="F28" s="349"/>
      <c r="G28" s="353" t="s">
        <v>86</v>
      </c>
      <c r="H28" s="354"/>
      <c r="I28" s="354"/>
      <c r="J28" s="355"/>
      <c r="K28" s="359"/>
      <c r="L28" s="360"/>
      <c r="M28" s="360"/>
      <c r="N28" s="361"/>
      <c r="O28" s="359"/>
      <c r="P28" s="360"/>
      <c r="Q28" s="360"/>
      <c r="R28" s="361"/>
      <c r="S28" s="308"/>
      <c r="T28" s="309"/>
      <c r="U28" s="365"/>
      <c r="V28" s="359"/>
      <c r="W28" s="360"/>
      <c r="X28" s="360"/>
      <c r="Y28" s="361"/>
      <c r="Z28" s="359"/>
      <c r="AA28" s="360"/>
      <c r="AB28" s="360"/>
      <c r="AC28" s="361"/>
      <c r="AD28" s="359"/>
      <c r="AE28" s="360"/>
      <c r="AF28" s="360"/>
      <c r="AG28" s="361"/>
      <c r="AH28" s="308"/>
      <c r="AI28" s="309"/>
      <c r="AJ28" s="310"/>
      <c r="AK28" s="412"/>
      <c r="AL28" s="306" t="str">
        <f>IF($B28&lt;&gt;"",IF(INDEX($AY$11:$BA$447, MATCH($B28,$AY$11:$AY$447,), MATCH("Ch16DLmg/l",$AY$10:$BA$10,))&lt;&gt;0,INDEX($AY$11:$BA$447, MATCH($B28,$AY$11:$AY$447,), MATCH("Ch16DLmg/l",$AY$10:$BA$10,)),0),"")</f>
        <v/>
      </c>
      <c r="AM28" s="306" t="str">
        <f>IF(OR(AND(BK28&lt;&gt;"",BK28&lt;AL28),AND(BL28&lt;&gt;"",BL28&lt;AL28),AND(BM28&lt;&gt;"",BM28&lt;AL28)),"Y","")</f>
        <v/>
      </c>
      <c r="AN28" s="303">
        <f>IF(ISERR(FIND(".",K28)),0,LEN(MID(K28,FIND(".",K28)+1,15)))</f>
        <v>0</v>
      </c>
      <c r="AO28" s="303">
        <f>IF(ISERR(FIND(".",O28)),0,LEN(MID(O28,FIND(".",O28)+1,15)))</f>
        <v>0</v>
      </c>
      <c r="AP28" s="303">
        <f>IF(ISERR(FIND(".",V28)),0,LEN(MID(V28,FIND(".",V28)+1,15)))</f>
        <v>0</v>
      </c>
      <c r="AQ28" s="303">
        <f>IF(ISERR(FIND(".",Z28)),0,LEN(MID(Z28,FIND(".",Z28)+1,15)))</f>
        <v>0</v>
      </c>
      <c r="AR28" s="303">
        <f>IF(ISERR(FIND(".",AD28)),0,LEN(MID(AD28,FIND(".",AD28)+1,15)))</f>
        <v>0</v>
      </c>
      <c r="AS28" s="303" t="str">
        <f>IF(OR(K28="",K28="Report"),"E","")</f>
        <v>E</v>
      </c>
      <c r="AT28" s="303" t="str">
        <f>IF(OR(O28="",O28="Report"),"E","")</f>
        <v>E</v>
      </c>
      <c r="AU28" s="303" t="str">
        <f>IF(OR(V28="",V28="Report"),"E","")</f>
        <v>E</v>
      </c>
      <c r="AV28" s="303" t="str">
        <f>IF(OR(Z28="",Z28="Report"),"E","")</f>
        <v>E</v>
      </c>
      <c r="AW28" s="303" t="str">
        <f>IF(OR(AD28="",AD28="Report"),"E","")</f>
        <v>E</v>
      </c>
      <c r="AX28" s="306" t="str">
        <f>IF(OR(AND($B28&lt;&gt;"",$AH28&lt;&gt;""),AND($B28&lt;&gt;"",$S28&lt;&gt;"")),INDEX($BI$11:$BJ$54, MATCH('Outfall 1 Daily'!O$13,$BI$11:$BI$54,), MATCH("Symbol",$BI$10:$BJ$10,)),"")</f>
        <v/>
      </c>
      <c r="AY28" s="297" t="s">
        <v>112</v>
      </c>
      <c r="AZ28" s="297" t="s">
        <v>425</v>
      </c>
      <c r="BA28" s="174">
        <v>3.0000000000000001E-5</v>
      </c>
      <c r="BB28" s="175" t="s">
        <v>1041</v>
      </c>
      <c r="BC28" s="174" t="s">
        <v>397</v>
      </c>
      <c r="BI28" s="220" t="s">
        <v>859</v>
      </c>
      <c r="BJ28" s="220"/>
      <c r="BK28" s="303" t="str">
        <f>IF(AND(V28&lt;&gt;"",V28&lt;&gt;"Report"),VALUE(V28),"")</f>
        <v/>
      </c>
      <c r="BL28" s="303" t="str">
        <f>IF(AND(Z28&lt;&gt;"",Z28&lt;&gt;"Report"),VALUE(Z28),"")</f>
        <v/>
      </c>
      <c r="BM28" s="303" t="str">
        <f>IF(AND(AD28&lt;&gt;"",AD28&lt;&gt;"Report"),VALUE(AD28),"")</f>
        <v/>
      </c>
    </row>
    <row r="29" spans="1:65" s="172" customFormat="1" ht="13.5" customHeight="1" x14ac:dyDescent="0.2">
      <c r="A29" s="426"/>
      <c r="B29" s="350"/>
      <c r="C29" s="351"/>
      <c r="D29" s="351"/>
      <c r="E29" s="351"/>
      <c r="F29" s="352"/>
      <c r="G29" s="356"/>
      <c r="H29" s="357"/>
      <c r="I29" s="357"/>
      <c r="J29" s="358"/>
      <c r="K29" s="362"/>
      <c r="L29" s="363"/>
      <c r="M29" s="363"/>
      <c r="N29" s="364"/>
      <c r="O29" s="362"/>
      <c r="P29" s="363"/>
      <c r="Q29" s="363"/>
      <c r="R29" s="364"/>
      <c r="S29" s="311"/>
      <c r="T29" s="312"/>
      <c r="U29" s="366"/>
      <c r="V29" s="362"/>
      <c r="W29" s="363"/>
      <c r="X29" s="363"/>
      <c r="Y29" s="364"/>
      <c r="Z29" s="362"/>
      <c r="AA29" s="363"/>
      <c r="AB29" s="363"/>
      <c r="AC29" s="364"/>
      <c r="AD29" s="362"/>
      <c r="AE29" s="363"/>
      <c r="AF29" s="363"/>
      <c r="AG29" s="364"/>
      <c r="AH29" s="311"/>
      <c r="AI29" s="312"/>
      <c r="AJ29" s="313"/>
      <c r="AK29" s="412"/>
      <c r="AL29" s="306"/>
      <c r="AM29" s="306"/>
      <c r="AN29" s="303"/>
      <c r="AO29" s="303"/>
      <c r="AP29" s="303"/>
      <c r="AQ29" s="303"/>
      <c r="AR29" s="303"/>
      <c r="AS29" s="303"/>
      <c r="AT29" s="303"/>
      <c r="AU29" s="303"/>
      <c r="AV29" s="303"/>
      <c r="AW29" s="303"/>
      <c r="AX29" s="306"/>
      <c r="AY29" s="297" t="s">
        <v>113</v>
      </c>
      <c r="AZ29" s="297" t="s">
        <v>426</v>
      </c>
      <c r="BA29" s="174"/>
      <c r="BB29" s="175" t="s">
        <v>1042</v>
      </c>
      <c r="BC29" s="174" t="s">
        <v>384</v>
      </c>
      <c r="BI29" s="177" t="s">
        <v>1090</v>
      </c>
      <c r="BJ29" s="174" t="s">
        <v>1122</v>
      </c>
      <c r="BK29" s="303"/>
      <c r="BL29" s="303"/>
      <c r="BM29" s="303"/>
    </row>
    <row r="30" spans="1:65" s="172" customFormat="1" ht="13.5" customHeight="1" x14ac:dyDescent="0.2">
      <c r="A30" s="426"/>
      <c r="B30" s="317"/>
      <c r="C30" s="318"/>
      <c r="D30" s="318"/>
      <c r="E30" s="318"/>
      <c r="F30" s="319"/>
      <c r="G30" s="323" t="s">
        <v>87</v>
      </c>
      <c r="H30" s="324"/>
      <c r="I30" s="324"/>
      <c r="J30" s="325"/>
      <c r="K30" s="329"/>
      <c r="L30" s="330"/>
      <c r="M30" s="330"/>
      <c r="N30" s="331"/>
      <c r="O30" s="335"/>
      <c r="P30" s="336"/>
      <c r="Q30" s="336"/>
      <c r="R30" s="337"/>
      <c r="S30" s="311"/>
      <c r="T30" s="312"/>
      <c r="U30" s="366"/>
      <c r="V30" s="329"/>
      <c r="W30" s="330"/>
      <c r="X30" s="330"/>
      <c r="Y30" s="331"/>
      <c r="Z30" s="329"/>
      <c r="AA30" s="330"/>
      <c r="AB30" s="330"/>
      <c r="AC30" s="331"/>
      <c r="AD30" s="341"/>
      <c r="AE30" s="342"/>
      <c r="AF30" s="342"/>
      <c r="AG30" s="343"/>
      <c r="AH30" s="311"/>
      <c r="AI30" s="312"/>
      <c r="AJ30" s="313"/>
      <c r="AK30" s="412"/>
      <c r="AL30" s="306"/>
      <c r="AM30" s="306"/>
      <c r="AN30" s="303"/>
      <c r="AO30" s="303"/>
      <c r="AP30" s="303"/>
      <c r="AQ30" s="303"/>
      <c r="AR30" s="303"/>
      <c r="AS30" s="303"/>
      <c r="AT30" s="303"/>
      <c r="AU30" s="303"/>
      <c r="AV30" s="303"/>
      <c r="AW30" s="303"/>
      <c r="AX30" s="306"/>
      <c r="AY30" s="297" t="s">
        <v>114</v>
      </c>
      <c r="AZ30" s="297" t="s">
        <v>427</v>
      </c>
      <c r="BA30" s="174">
        <v>2.0000000000000002E-5</v>
      </c>
      <c r="BB30" s="175" t="s">
        <v>1044</v>
      </c>
      <c r="BC30" s="174" t="s">
        <v>398</v>
      </c>
      <c r="BI30" s="177" t="s">
        <v>1094</v>
      </c>
      <c r="BJ30" s="174" t="s">
        <v>1123</v>
      </c>
      <c r="BK30" s="177"/>
      <c r="BL30" s="177"/>
      <c r="BM30" s="177"/>
    </row>
    <row r="31" spans="1:65" s="172" customFormat="1" ht="13.5" customHeight="1" thickBot="1" x14ac:dyDescent="0.25">
      <c r="A31" s="426"/>
      <c r="B31" s="320"/>
      <c r="C31" s="321"/>
      <c r="D31" s="321"/>
      <c r="E31" s="321"/>
      <c r="F31" s="322"/>
      <c r="G31" s="326"/>
      <c r="H31" s="327"/>
      <c r="I31" s="327"/>
      <c r="J31" s="328"/>
      <c r="K31" s="332"/>
      <c r="L31" s="333"/>
      <c r="M31" s="333"/>
      <c r="N31" s="334"/>
      <c r="O31" s="338"/>
      <c r="P31" s="339"/>
      <c r="Q31" s="339"/>
      <c r="R31" s="340"/>
      <c r="S31" s="314"/>
      <c r="T31" s="315"/>
      <c r="U31" s="367"/>
      <c r="V31" s="332"/>
      <c r="W31" s="333"/>
      <c r="X31" s="333"/>
      <c r="Y31" s="334"/>
      <c r="Z31" s="332"/>
      <c r="AA31" s="333"/>
      <c r="AB31" s="333"/>
      <c r="AC31" s="334"/>
      <c r="AD31" s="344"/>
      <c r="AE31" s="345"/>
      <c r="AF31" s="345"/>
      <c r="AG31" s="346"/>
      <c r="AH31" s="314"/>
      <c r="AI31" s="315"/>
      <c r="AJ31" s="316"/>
      <c r="AK31" s="412"/>
      <c r="AL31" s="306"/>
      <c r="AM31" s="306"/>
      <c r="AN31" s="303"/>
      <c r="AO31" s="303"/>
      <c r="AP31" s="303"/>
      <c r="AQ31" s="303"/>
      <c r="AR31" s="303"/>
      <c r="AS31" s="303"/>
      <c r="AT31" s="303"/>
      <c r="AU31" s="303"/>
      <c r="AV31" s="303"/>
      <c r="AW31" s="303"/>
      <c r="AX31" s="306"/>
      <c r="AY31" s="297" t="s">
        <v>115</v>
      </c>
      <c r="AZ31" s="297" t="s">
        <v>428</v>
      </c>
      <c r="BA31" s="174"/>
      <c r="BI31" s="177" t="s">
        <v>1095</v>
      </c>
      <c r="BJ31" s="174" t="s">
        <v>368</v>
      </c>
      <c r="BK31" s="177"/>
      <c r="BL31" s="177"/>
      <c r="BM31" s="177"/>
    </row>
    <row r="32" spans="1:65" s="172" customFormat="1" ht="13.5" customHeight="1" x14ac:dyDescent="0.2">
      <c r="A32" s="426"/>
      <c r="B32" s="347"/>
      <c r="C32" s="348"/>
      <c r="D32" s="348"/>
      <c r="E32" s="348"/>
      <c r="F32" s="349"/>
      <c r="G32" s="353" t="s">
        <v>86</v>
      </c>
      <c r="H32" s="354"/>
      <c r="I32" s="354"/>
      <c r="J32" s="355"/>
      <c r="K32" s="359"/>
      <c r="L32" s="360"/>
      <c r="M32" s="360"/>
      <c r="N32" s="361"/>
      <c r="O32" s="359"/>
      <c r="P32" s="360"/>
      <c r="Q32" s="360"/>
      <c r="R32" s="361"/>
      <c r="S32" s="308"/>
      <c r="T32" s="309"/>
      <c r="U32" s="365"/>
      <c r="V32" s="359"/>
      <c r="W32" s="360"/>
      <c r="X32" s="360"/>
      <c r="Y32" s="361"/>
      <c r="Z32" s="359"/>
      <c r="AA32" s="360"/>
      <c r="AB32" s="360"/>
      <c r="AC32" s="361"/>
      <c r="AD32" s="359"/>
      <c r="AE32" s="360"/>
      <c r="AF32" s="360"/>
      <c r="AG32" s="361"/>
      <c r="AH32" s="308"/>
      <c r="AI32" s="309"/>
      <c r="AJ32" s="310"/>
      <c r="AK32" s="412"/>
      <c r="AL32" s="306" t="str">
        <f>IF($B32&lt;&gt;"",IF(INDEX($AY$11:$BA$447, MATCH($B32,$AY$11:$AY$447,), MATCH("Ch16DLmg/l",$AY$10:$BA$10,))&lt;&gt;0,INDEX($AY$11:$BA$447, MATCH($B32,$AY$11:$AY$447,), MATCH("Ch16DLmg/l",$AY$10:$BA$10,)),0),"")</f>
        <v/>
      </c>
      <c r="AM32" s="306" t="str">
        <f>IF(OR(AND(BK32&lt;&gt;"",BK32&lt;AL32),AND(BL32&lt;&gt;"",BL32&lt;AL32),AND(BM32&lt;&gt;"",BM32&lt;AL32)),"Y","")</f>
        <v/>
      </c>
      <c r="AN32" s="303">
        <f>IF(ISERR(FIND(".",K32)),0,LEN(MID(K32,FIND(".",K32)+1,15)))</f>
        <v>0</v>
      </c>
      <c r="AO32" s="303">
        <f>IF(ISERR(FIND(".",O32)),0,LEN(MID(O32,FIND(".",O32)+1,15)))</f>
        <v>0</v>
      </c>
      <c r="AP32" s="303">
        <f>IF(ISERR(FIND(".",V32)),0,LEN(MID(V32,FIND(".",V32)+1,15)))</f>
        <v>0</v>
      </c>
      <c r="AQ32" s="303">
        <f>IF(ISERR(FIND(".",Z32)),0,LEN(MID(Z32,FIND(".",Z32)+1,15)))</f>
        <v>0</v>
      </c>
      <c r="AR32" s="303">
        <f>IF(ISERR(FIND(".",AD32)),0,LEN(MID(AD32,FIND(".",AD32)+1,15)))</f>
        <v>0</v>
      </c>
      <c r="AS32" s="303" t="str">
        <f>IF(OR(K32="",K32="Report"),"E","")</f>
        <v>E</v>
      </c>
      <c r="AT32" s="303" t="str">
        <f>IF(OR(O32="",O32="Report"),"E","")</f>
        <v>E</v>
      </c>
      <c r="AU32" s="303" t="str">
        <f>IF(OR(V32="",V32="Report"),"E","")</f>
        <v>E</v>
      </c>
      <c r="AV32" s="303" t="str">
        <f>IF(OR(Z32="",Z32="Report"),"E","")</f>
        <v>E</v>
      </c>
      <c r="AW32" s="303" t="str">
        <f>IF(OR(AD32="",AD32="Report"),"E","")</f>
        <v>E</v>
      </c>
      <c r="AX32" s="306" t="str">
        <f>IF(OR(AND($B32&lt;&gt;"",$AH32&lt;&gt;""),AND($B32&lt;&gt;"",$S32&lt;&gt;"")),INDEX($BI$11:$BJ$54, MATCH('Outfall 1 Daily'!Q$13,$BI$11:$BI$54,), MATCH("Symbol",$BI$10:$BJ$10,)),"")</f>
        <v/>
      </c>
      <c r="AY32" s="297" t="s">
        <v>116</v>
      </c>
      <c r="AZ32" s="297" t="s">
        <v>429</v>
      </c>
      <c r="BA32" s="174"/>
      <c r="BI32" s="177" t="s">
        <v>1096</v>
      </c>
      <c r="BJ32" s="174" t="s">
        <v>368</v>
      </c>
      <c r="BK32" s="303" t="str">
        <f>IF(AND(V32&lt;&gt;"",V32&lt;&gt;"Report"),VALUE(V32),"")</f>
        <v/>
      </c>
      <c r="BL32" s="303" t="str">
        <f>IF(AND(Z32&lt;&gt;"",Z32&lt;&gt;"Report"),VALUE(Z32),"")</f>
        <v/>
      </c>
      <c r="BM32" s="303" t="str">
        <f>IF(AND(AD32&lt;&gt;"",AD32&lt;&gt;"Report"),VALUE(AD32),"")</f>
        <v/>
      </c>
    </row>
    <row r="33" spans="1:65" s="172" customFormat="1" ht="13.5" customHeight="1" x14ac:dyDescent="0.2">
      <c r="A33" s="426"/>
      <c r="B33" s="350"/>
      <c r="C33" s="351"/>
      <c r="D33" s="351"/>
      <c r="E33" s="351"/>
      <c r="F33" s="352"/>
      <c r="G33" s="356"/>
      <c r="H33" s="357"/>
      <c r="I33" s="357"/>
      <c r="J33" s="358"/>
      <c r="K33" s="362"/>
      <c r="L33" s="363"/>
      <c r="M33" s="363"/>
      <c r="N33" s="364"/>
      <c r="O33" s="362"/>
      <c r="P33" s="363"/>
      <c r="Q33" s="363"/>
      <c r="R33" s="364"/>
      <c r="S33" s="311"/>
      <c r="T33" s="312"/>
      <c r="U33" s="366"/>
      <c r="V33" s="362"/>
      <c r="W33" s="363"/>
      <c r="X33" s="363"/>
      <c r="Y33" s="364"/>
      <c r="Z33" s="362"/>
      <c r="AA33" s="363"/>
      <c r="AB33" s="363"/>
      <c r="AC33" s="364"/>
      <c r="AD33" s="362"/>
      <c r="AE33" s="363"/>
      <c r="AF33" s="363"/>
      <c r="AG33" s="364"/>
      <c r="AH33" s="311"/>
      <c r="AI33" s="312"/>
      <c r="AJ33" s="313"/>
      <c r="AK33" s="412"/>
      <c r="AL33" s="306"/>
      <c r="AM33" s="306"/>
      <c r="AN33" s="303"/>
      <c r="AO33" s="303"/>
      <c r="AP33" s="303"/>
      <c r="AQ33" s="303"/>
      <c r="AR33" s="303"/>
      <c r="AS33" s="303"/>
      <c r="AT33" s="303"/>
      <c r="AU33" s="303"/>
      <c r="AV33" s="303"/>
      <c r="AW33" s="303"/>
      <c r="AX33" s="306"/>
      <c r="AY33" s="297" t="s">
        <v>117</v>
      </c>
      <c r="AZ33" s="297" t="s">
        <v>430</v>
      </c>
      <c r="BA33" s="174"/>
      <c r="BI33" s="177" t="s">
        <v>1097</v>
      </c>
      <c r="BJ33" s="174" t="s">
        <v>368</v>
      </c>
      <c r="BK33" s="303"/>
      <c r="BL33" s="303"/>
      <c r="BM33" s="303"/>
    </row>
    <row r="34" spans="1:65" s="172" customFormat="1" ht="13.5" customHeight="1" x14ac:dyDescent="0.2">
      <c r="A34" s="426"/>
      <c r="B34" s="317"/>
      <c r="C34" s="318"/>
      <c r="D34" s="318"/>
      <c r="E34" s="318"/>
      <c r="F34" s="319"/>
      <c r="G34" s="323" t="s">
        <v>87</v>
      </c>
      <c r="H34" s="324"/>
      <c r="I34" s="324"/>
      <c r="J34" s="325"/>
      <c r="K34" s="329"/>
      <c r="L34" s="330"/>
      <c r="M34" s="330"/>
      <c r="N34" s="331"/>
      <c r="O34" s="335"/>
      <c r="P34" s="336"/>
      <c r="Q34" s="336"/>
      <c r="R34" s="337"/>
      <c r="S34" s="311"/>
      <c r="T34" s="312"/>
      <c r="U34" s="366"/>
      <c r="V34" s="329"/>
      <c r="W34" s="330"/>
      <c r="X34" s="330"/>
      <c r="Y34" s="331"/>
      <c r="Z34" s="329"/>
      <c r="AA34" s="330"/>
      <c r="AB34" s="330"/>
      <c r="AC34" s="331"/>
      <c r="AD34" s="341"/>
      <c r="AE34" s="342"/>
      <c r="AF34" s="342"/>
      <c r="AG34" s="343"/>
      <c r="AH34" s="311"/>
      <c r="AI34" s="312"/>
      <c r="AJ34" s="313"/>
      <c r="AK34" s="412"/>
      <c r="AL34" s="306"/>
      <c r="AM34" s="306"/>
      <c r="AN34" s="303"/>
      <c r="AO34" s="303"/>
      <c r="AP34" s="303"/>
      <c r="AQ34" s="303"/>
      <c r="AR34" s="303"/>
      <c r="AS34" s="303"/>
      <c r="AT34" s="303"/>
      <c r="AU34" s="303"/>
      <c r="AV34" s="303"/>
      <c r="AW34" s="303"/>
      <c r="AX34" s="306"/>
      <c r="AY34" s="297" t="s">
        <v>118</v>
      </c>
      <c r="AZ34" s="297" t="s">
        <v>431</v>
      </c>
      <c r="BA34" s="174">
        <v>6.9999999999999994E-5</v>
      </c>
      <c r="BI34" s="177" t="s">
        <v>1064</v>
      </c>
      <c r="BJ34" s="174" t="s">
        <v>369</v>
      </c>
      <c r="BK34" s="177"/>
      <c r="BL34" s="177"/>
      <c r="BM34" s="177"/>
    </row>
    <row r="35" spans="1:65" s="172" customFormat="1" ht="13.5" customHeight="1" thickBot="1" x14ac:dyDescent="0.25">
      <c r="B35" s="320"/>
      <c r="C35" s="321"/>
      <c r="D35" s="321"/>
      <c r="E35" s="321"/>
      <c r="F35" s="322"/>
      <c r="G35" s="326"/>
      <c r="H35" s="327"/>
      <c r="I35" s="327"/>
      <c r="J35" s="328"/>
      <c r="K35" s="332"/>
      <c r="L35" s="333"/>
      <c r="M35" s="333"/>
      <c r="N35" s="334"/>
      <c r="O35" s="338"/>
      <c r="P35" s="339"/>
      <c r="Q35" s="339"/>
      <c r="R35" s="340"/>
      <c r="S35" s="314"/>
      <c r="T35" s="315"/>
      <c r="U35" s="367"/>
      <c r="V35" s="332"/>
      <c r="W35" s="333"/>
      <c r="X35" s="333"/>
      <c r="Y35" s="334"/>
      <c r="Z35" s="332"/>
      <c r="AA35" s="333"/>
      <c r="AB35" s="333"/>
      <c r="AC35" s="334"/>
      <c r="AD35" s="344"/>
      <c r="AE35" s="345"/>
      <c r="AF35" s="345"/>
      <c r="AG35" s="346"/>
      <c r="AH35" s="314"/>
      <c r="AI35" s="315"/>
      <c r="AJ35" s="316"/>
      <c r="AK35" s="176"/>
      <c r="AL35" s="306"/>
      <c r="AM35" s="306"/>
      <c r="AN35" s="303"/>
      <c r="AO35" s="303"/>
      <c r="AP35" s="303"/>
      <c r="AQ35" s="303"/>
      <c r="AR35" s="303"/>
      <c r="AS35" s="303"/>
      <c r="AT35" s="303"/>
      <c r="AU35" s="303"/>
      <c r="AV35" s="303"/>
      <c r="AW35" s="303"/>
      <c r="AX35" s="306"/>
      <c r="AY35" s="297" t="s">
        <v>119</v>
      </c>
      <c r="AZ35" s="297" t="s">
        <v>432</v>
      </c>
      <c r="BA35" s="174">
        <v>1.2999999999999999E-4</v>
      </c>
      <c r="BI35" s="177" t="s">
        <v>1109</v>
      </c>
      <c r="BJ35" s="174" t="s">
        <v>368</v>
      </c>
      <c r="BK35" s="177"/>
      <c r="BL35" s="177"/>
      <c r="BM35" s="177"/>
    </row>
    <row r="36" spans="1:65" s="172" customFormat="1" ht="13.5" customHeight="1" x14ac:dyDescent="0.2">
      <c r="B36" s="347"/>
      <c r="C36" s="348"/>
      <c r="D36" s="348"/>
      <c r="E36" s="348"/>
      <c r="F36" s="349"/>
      <c r="G36" s="353" t="s">
        <v>86</v>
      </c>
      <c r="H36" s="354"/>
      <c r="I36" s="354"/>
      <c r="J36" s="355"/>
      <c r="K36" s="359"/>
      <c r="L36" s="360"/>
      <c r="M36" s="360"/>
      <c r="N36" s="361"/>
      <c r="O36" s="359"/>
      <c r="P36" s="360"/>
      <c r="Q36" s="360"/>
      <c r="R36" s="361"/>
      <c r="S36" s="308"/>
      <c r="T36" s="309"/>
      <c r="U36" s="365"/>
      <c r="V36" s="359"/>
      <c r="W36" s="360"/>
      <c r="X36" s="360"/>
      <c r="Y36" s="361"/>
      <c r="Z36" s="359"/>
      <c r="AA36" s="360"/>
      <c r="AB36" s="360"/>
      <c r="AC36" s="361"/>
      <c r="AD36" s="359"/>
      <c r="AE36" s="360"/>
      <c r="AF36" s="360"/>
      <c r="AG36" s="361"/>
      <c r="AH36" s="308"/>
      <c r="AI36" s="309"/>
      <c r="AJ36" s="310"/>
      <c r="AK36" s="176"/>
      <c r="AL36" s="306" t="str">
        <f>IF($B36&lt;&gt;"",IF(INDEX($AY$11:$BA$447, MATCH($B36,$AY$11:$AY$447,), MATCH("Ch16DLmg/l",$AY$10:$BA$10,))&lt;&gt;0,INDEX($AY$11:$BA$447, MATCH($B36,$AY$11:$AY$447,), MATCH("Ch16DLmg/l",$AY$10:$BA$10,)),0),"")</f>
        <v/>
      </c>
      <c r="AM36" s="306" t="str">
        <f>IF(OR(AND(BK36&lt;&gt;"",BK36&lt;AL36),AND(BL36&lt;&gt;"",BL36&lt;AL36),AND(BM36&lt;&gt;"",BM36&lt;AL36)),"Y","")</f>
        <v/>
      </c>
      <c r="AN36" s="303">
        <f>IF(ISERR(FIND(".",K36)),0,LEN(MID(K36,FIND(".",K36)+1,15)))</f>
        <v>0</v>
      </c>
      <c r="AO36" s="303">
        <f>IF(ISERR(FIND(".",O36)),0,LEN(MID(O36,FIND(".",O36)+1,15)))</f>
        <v>0</v>
      </c>
      <c r="AP36" s="303">
        <f>IF(ISERR(FIND(".",V36)),0,LEN(MID(V36,FIND(".",V36)+1,15)))</f>
        <v>0</v>
      </c>
      <c r="AQ36" s="303">
        <f>IF(ISERR(FIND(".",Z36)),0,LEN(MID(Z36,FIND(".",Z36)+1,15)))</f>
        <v>0</v>
      </c>
      <c r="AR36" s="303">
        <f>IF(ISERR(FIND(".",AD36)),0,LEN(MID(AD36,FIND(".",AD36)+1,15)))</f>
        <v>0</v>
      </c>
      <c r="AS36" s="303" t="str">
        <f>IF(OR(K36="",K36="Report"),"E","")</f>
        <v>E</v>
      </c>
      <c r="AT36" s="303" t="str">
        <f>IF(OR(O36="",O36="Report"),"E","")</f>
        <v>E</v>
      </c>
      <c r="AU36" s="303" t="str">
        <f>IF(OR(V36="",V36="Report"),"E","")</f>
        <v>E</v>
      </c>
      <c r="AV36" s="303" t="str">
        <f>IF(OR(Z36="",Z36="Report"),"E","")</f>
        <v>E</v>
      </c>
      <c r="AW36" s="303" t="str">
        <f>IF(OR(AD36="",AD36="Report"),"E","")</f>
        <v>E</v>
      </c>
      <c r="AX36" s="306" t="str">
        <f>IF(OR(AND($B36&lt;&gt;"",$AH36&lt;&gt;""),AND($B36&lt;&gt;"",$S36&lt;&gt;"")),INDEX($BI$11:$BJ$54, MATCH('Outfall 1 Daily'!S$13,$BI$11:$BI$54,), MATCH("Symbol",$BI$10:$BJ$10,)),"")</f>
        <v/>
      </c>
      <c r="AY36" s="297" t="s">
        <v>120</v>
      </c>
      <c r="AZ36" s="297" t="s">
        <v>433</v>
      </c>
      <c r="BA36" s="174"/>
      <c r="BI36" s="177" t="s">
        <v>1107</v>
      </c>
      <c r="BJ36" s="174" t="s">
        <v>368</v>
      </c>
      <c r="BK36" s="303" t="str">
        <f>IF(AND(V36&lt;&gt;"",V36&lt;&gt;"Report"),VALUE(V36),"")</f>
        <v/>
      </c>
      <c r="BL36" s="303" t="str">
        <f>IF(AND(Z36&lt;&gt;"",Z36&lt;&gt;"Report"),VALUE(Z36),"")</f>
        <v/>
      </c>
      <c r="BM36" s="303" t="str">
        <f>IF(AND(AD36&lt;&gt;"",AD36&lt;&gt;"Report"),VALUE(AD36),"")</f>
        <v/>
      </c>
    </row>
    <row r="37" spans="1:65" s="172" customFormat="1" ht="13.5" customHeight="1" x14ac:dyDescent="0.2">
      <c r="B37" s="350"/>
      <c r="C37" s="351"/>
      <c r="D37" s="351"/>
      <c r="E37" s="351"/>
      <c r="F37" s="352"/>
      <c r="G37" s="356"/>
      <c r="H37" s="357"/>
      <c r="I37" s="357"/>
      <c r="J37" s="358"/>
      <c r="K37" s="362"/>
      <c r="L37" s="363"/>
      <c r="M37" s="363"/>
      <c r="N37" s="364"/>
      <c r="O37" s="362"/>
      <c r="P37" s="363"/>
      <c r="Q37" s="363"/>
      <c r="R37" s="364"/>
      <c r="S37" s="311"/>
      <c r="T37" s="312"/>
      <c r="U37" s="366"/>
      <c r="V37" s="362"/>
      <c r="W37" s="363"/>
      <c r="X37" s="363"/>
      <c r="Y37" s="364"/>
      <c r="Z37" s="362"/>
      <c r="AA37" s="363"/>
      <c r="AB37" s="363"/>
      <c r="AC37" s="364"/>
      <c r="AD37" s="362"/>
      <c r="AE37" s="363"/>
      <c r="AF37" s="363"/>
      <c r="AG37" s="364"/>
      <c r="AH37" s="311"/>
      <c r="AI37" s="312"/>
      <c r="AJ37" s="313"/>
      <c r="AK37" s="176"/>
      <c r="AL37" s="306"/>
      <c r="AM37" s="306"/>
      <c r="AN37" s="303"/>
      <c r="AO37" s="303"/>
      <c r="AP37" s="303"/>
      <c r="AQ37" s="303"/>
      <c r="AR37" s="303"/>
      <c r="AS37" s="303"/>
      <c r="AT37" s="303"/>
      <c r="AU37" s="303"/>
      <c r="AV37" s="303"/>
      <c r="AW37" s="303"/>
      <c r="AX37" s="306"/>
      <c r="AY37" s="297" t="s">
        <v>1225</v>
      </c>
      <c r="AZ37" s="297" t="s">
        <v>1226</v>
      </c>
      <c r="BA37" s="174"/>
      <c r="BI37" s="174" t="s">
        <v>10</v>
      </c>
      <c r="BJ37" s="174" t="s">
        <v>368</v>
      </c>
      <c r="BK37" s="303"/>
      <c r="BL37" s="303"/>
      <c r="BM37" s="303"/>
    </row>
    <row r="38" spans="1:65" s="172" customFormat="1" ht="13.5" customHeight="1" x14ac:dyDescent="0.2">
      <c r="B38" s="317"/>
      <c r="C38" s="318"/>
      <c r="D38" s="318"/>
      <c r="E38" s="318"/>
      <c r="F38" s="319"/>
      <c r="G38" s="323" t="s">
        <v>87</v>
      </c>
      <c r="H38" s="324"/>
      <c r="I38" s="324"/>
      <c r="J38" s="325"/>
      <c r="K38" s="329"/>
      <c r="L38" s="330"/>
      <c r="M38" s="330"/>
      <c r="N38" s="331"/>
      <c r="O38" s="335"/>
      <c r="P38" s="336"/>
      <c r="Q38" s="336"/>
      <c r="R38" s="337"/>
      <c r="S38" s="311"/>
      <c r="T38" s="312"/>
      <c r="U38" s="366"/>
      <c r="V38" s="329"/>
      <c r="W38" s="330"/>
      <c r="X38" s="330"/>
      <c r="Y38" s="331"/>
      <c r="Z38" s="329"/>
      <c r="AA38" s="330"/>
      <c r="AB38" s="330"/>
      <c r="AC38" s="331"/>
      <c r="AD38" s="341"/>
      <c r="AE38" s="342"/>
      <c r="AF38" s="342"/>
      <c r="AG38" s="343"/>
      <c r="AH38" s="311"/>
      <c r="AI38" s="312"/>
      <c r="AJ38" s="313"/>
      <c r="AK38" s="176"/>
      <c r="AL38" s="306"/>
      <c r="AM38" s="306"/>
      <c r="AN38" s="303"/>
      <c r="AO38" s="303"/>
      <c r="AP38" s="303"/>
      <c r="AQ38" s="303"/>
      <c r="AR38" s="303"/>
      <c r="AS38" s="303"/>
      <c r="AT38" s="303"/>
      <c r="AU38" s="303"/>
      <c r="AV38" s="303"/>
      <c r="AW38" s="303"/>
      <c r="AX38" s="306"/>
      <c r="AY38" s="297" t="s">
        <v>121</v>
      </c>
      <c r="AZ38" s="297" t="s">
        <v>434</v>
      </c>
      <c r="BA38" s="174">
        <v>5.0000000000000002E-5</v>
      </c>
      <c r="BI38" s="174" t="s">
        <v>1232</v>
      </c>
      <c r="BJ38" s="174" t="s">
        <v>368</v>
      </c>
      <c r="BK38" s="177"/>
      <c r="BL38" s="177"/>
      <c r="BM38" s="177"/>
    </row>
    <row r="39" spans="1:65" s="172" customFormat="1" ht="13.5" customHeight="1" thickBot="1" x14ac:dyDescent="0.25">
      <c r="B39" s="320"/>
      <c r="C39" s="321"/>
      <c r="D39" s="321"/>
      <c r="E39" s="321"/>
      <c r="F39" s="322"/>
      <c r="G39" s="326"/>
      <c r="H39" s="327"/>
      <c r="I39" s="327"/>
      <c r="J39" s="328"/>
      <c r="K39" s="332"/>
      <c r="L39" s="333"/>
      <c r="M39" s="333"/>
      <c r="N39" s="334"/>
      <c r="O39" s="338"/>
      <c r="P39" s="339"/>
      <c r="Q39" s="339"/>
      <c r="R39" s="340"/>
      <c r="S39" s="314"/>
      <c r="T39" s="315"/>
      <c r="U39" s="367"/>
      <c r="V39" s="332"/>
      <c r="W39" s="333"/>
      <c r="X39" s="333"/>
      <c r="Y39" s="334"/>
      <c r="Z39" s="332"/>
      <c r="AA39" s="333"/>
      <c r="AB39" s="333"/>
      <c r="AC39" s="334"/>
      <c r="AD39" s="344"/>
      <c r="AE39" s="345"/>
      <c r="AF39" s="345"/>
      <c r="AG39" s="346"/>
      <c r="AH39" s="314"/>
      <c r="AI39" s="315"/>
      <c r="AJ39" s="316"/>
      <c r="AK39" s="176"/>
      <c r="AL39" s="306"/>
      <c r="AM39" s="306"/>
      <c r="AN39" s="303"/>
      <c r="AO39" s="303"/>
      <c r="AP39" s="303"/>
      <c r="AQ39" s="303"/>
      <c r="AR39" s="303"/>
      <c r="AS39" s="303"/>
      <c r="AT39" s="303"/>
      <c r="AU39" s="303"/>
      <c r="AV39" s="303"/>
      <c r="AW39" s="303"/>
      <c r="AX39" s="306"/>
      <c r="AY39" s="297" t="s">
        <v>122</v>
      </c>
      <c r="AZ39" s="297" t="s">
        <v>435</v>
      </c>
      <c r="BA39" s="174"/>
      <c r="BI39" s="298" t="s">
        <v>1216</v>
      </c>
      <c r="BJ39" s="174" t="s">
        <v>368</v>
      </c>
      <c r="BK39" s="177"/>
      <c r="BL39" s="177"/>
      <c r="BM39" s="177"/>
    </row>
    <row r="40" spans="1:65" s="172" customFormat="1" ht="13.5" customHeight="1" x14ac:dyDescent="0.2">
      <c r="B40" s="347"/>
      <c r="C40" s="348"/>
      <c r="D40" s="348"/>
      <c r="E40" s="348"/>
      <c r="F40" s="349"/>
      <c r="G40" s="353" t="s">
        <v>86</v>
      </c>
      <c r="H40" s="354"/>
      <c r="I40" s="354"/>
      <c r="J40" s="355"/>
      <c r="K40" s="359"/>
      <c r="L40" s="360"/>
      <c r="M40" s="360"/>
      <c r="N40" s="361"/>
      <c r="O40" s="359"/>
      <c r="P40" s="360"/>
      <c r="Q40" s="360"/>
      <c r="R40" s="361"/>
      <c r="S40" s="308"/>
      <c r="T40" s="309"/>
      <c r="U40" s="365"/>
      <c r="V40" s="359"/>
      <c r="W40" s="360"/>
      <c r="X40" s="360"/>
      <c r="Y40" s="361"/>
      <c r="Z40" s="359"/>
      <c r="AA40" s="360"/>
      <c r="AB40" s="360"/>
      <c r="AC40" s="361"/>
      <c r="AD40" s="359"/>
      <c r="AE40" s="360"/>
      <c r="AF40" s="360"/>
      <c r="AG40" s="361"/>
      <c r="AH40" s="308"/>
      <c r="AI40" s="309"/>
      <c r="AJ40" s="310"/>
      <c r="AK40" s="176"/>
      <c r="AL40" s="306" t="str">
        <f>IF($B40&lt;&gt;"",IF(INDEX($AY$11:$BA$447, MATCH($B40,$AY$11:$AY$447,), MATCH("Ch16DLmg/l",$AY$10:$BA$10,))&lt;&gt;0,INDEX($AY$11:$BA$447, MATCH($B40,$AY$11:$AY$447,), MATCH("Ch16DLmg/l",$AY$10:$BA$10,)),0),"")</f>
        <v/>
      </c>
      <c r="AM40" s="306" t="str">
        <f>IF(OR(AND(BK40&lt;&gt;"",BK40&lt;AL40),AND(BL40&lt;&gt;"",BL40&lt;AL40),AND(BM40&lt;&gt;"",BM40&lt;AL40)),"Y","")</f>
        <v/>
      </c>
      <c r="AN40" s="303">
        <f>IF(ISERR(FIND(".",K40)),0,LEN(MID(K40,FIND(".",K40)+1,15)))</f>
        <v>0</v>
      </c>
      <c r="AO40" s="303">
        <f>IF(ISERR(FIND(".",O40)),0,LEN(MID(O40,FIND(".",O40)+1,15)))</f>
        <v>0</v>
      </c>
      <c r="AP40" s="303">
        <f>IF(ISERR(FIND(".",V40)),0,LEN(MID(V40,FIND(".",V40)+1,15)))</f>
        <v>0</v>
      </c>
      <c r="AQ40" s="303">
        <f>IF(ISERR(FIND(".",Z40)),0,LEN(MID(Z40,FIND(".",Z40)+1,15)))</f>
        <v>0</v>
      </c>
      <c r="AR40" s="303">
        <f>IF(ISERR(FIND(".",AD40)),0,LEN(MID(AD40,FIND(".",AD40)+1,15)))</f>
        <v>0</v>
      </c>
      <c r="AS40" s="303" t="str">
        <f>IF(OR(K40="",K40="Report"),"E","")</f>
        <v>E</v>
      </c>
      <c r="AT40" s="303" t="str">
        <f>IF(OR(O40="",O40="Report"),"E","")</f>
        <v>E</v>
      </c>
      <c r="AU40" s="303" t="str">
        <f>IF(OR(V40="",V40="Report"),"E","")</f>
        <v>E</v>
      </c>
      <c r="AV40" s="303" t="str">
        <f>IF(OR(Z40="",Z40="Report"),"E","")</f>
        <v>E</v>
      </c>
      <c r="AW40" s="303" t="str">
        <f>IF(OR(AD40="",AD40="Report"),"E","")</f>
        <v>E</v>
      </c>
      <c r="AX40" s="306" t="str">
        <f>IF(OR(AND($B40&lt;&gt;"",$AH40&lt;&gt;""),AND($B40&lt;&gt;"",$S40&lt;&gt;"")),INDEX($BI$11:$BJ$54, MATCH('Outfall 1 Daily'!U$13,$BI$11:$BI$54,), MATCH("Symbol",$BI$10:$BJ$10,)),"")</f>
        <v/>
      </c>
      <c r="AY40" s="297" t="s">
        <v>1223</v>
      </c>
      <c r="AZ40" s="297" t="s">
        <v>1224</v>
      </c>
      <c r="BA40" s="174"/>
      <c r="BI40" s="174" t="s">
        <v>1233</v>
      </c>
      <c r="BJ40" s="174" t="s">
        <v>368</v>
      </c>
      <c r="BK40" s="303" t="str">
        <f>IF(AND(V40&lt;&gt;"",V40&lt;&gt;"Report"),VALUE(V40),"")</f>
        <v/>
      </c>
      <c r="BL40" s="303" t="str">
        <f>IF(AND(Z40&lt;&gt;"",Z40&lt;&gt;"Report"),VALUE(Z40),"")</f>
        <v/>
      </c>
      <c r="BM40" s="303" t="str">
        <f>IF(AND(AD40&lt;&gt;"",AD40&lt;&gt;"Report"),VALUE(AD40),"")</f>
        <v/>
      </c>
    </row>
    <row r="41" spans="1:65" s="172" customFormat="1" ht="13.5" customHeight="1" x14ac:dyDescent="0.2">
      <c r="B41" s="350"/>
      <c r="C41" s="351"/>
      <c r="D41" s="351"/>
      <c r="E41" s="351"/>
      <c r="F41" s="352"/>
      <c r="G41" s="356"/>
      <c r="H41" s="357"/>
      <c r="I41" s="357"/>
      <c r="J41" s="358"/>
      <c r="K41" s="362"/>
      <c r="L41" s="363"/>
      <c r="M41" s="363"/>
      <c r="N41" s="364"/>
      <c r="O41" s="362"/>
      <c r="P41" s="363"/>
      <c r="Q41" s="363"/>
      <c r="R41" s="364"/>
      <c r="S41" s="311"/>
      <c r="T41" s="312"/>
      <c r="U41" s="366"/>
      <c r="V41" s="362"/>
      <c r="W41" s="363"/>
      <c r="X41" s="363"/>
      <c r="Y41" s="364"/>
      <c r="Z41" s="362"/>
      <c r="AA41" s="363"/>
      <c r="AB41" s="363"/>
      <c r="AC41" s="364"/>
      <c r="AD41" s="362"/>
      <c r="AE41" s="363"/>
      <c r="AF41" s="363"/>
      <c r="AG41" s="364"/>
      <c r="AH41" s="311"/>
      <c r="AI41" s="312"/>
      <c r="AJ41" s="313"/>
      <c r="AK41" s="176"/>
      <c r="AL41" s="306"/>
      <c r="AM41" s="306"/>
      <c r="AN41" s="303"/>
      <c r="AO41" s="303"/>
      <c r="AP41" s="303"/>
      <c r="AQ41" s="303"/>
      <c r="AR41" s="303"/>
      <c r="AS41" s="303"/>
      <c r="AT41" s="303"/>
      <c r="AU41" s="303"/>
      <c r="AV41" s="303"/>
      <c r="AW41" s="303"/>
      <c r="AX41" s="306"/>
      <c r="AY41" s="297" t="s">
        <v>123</v>
      </c>
      <c r="AZ41" s="297" t="s">
        <v>436</v>
      </c>
      <c r="BA41" s="174"/>
      <c r="BI41" s="177" t="s">
        <v>1065</v>
      </c>
      <c r="BJ41" s="174" t="s">
        <v>368</v>
      </c>
      <c r="BK41" s="303"/>
      <c r="BL41" s="303"/>
      <c r="BM41" s="303"/>
    </row>
    <row r="42" spans="1:65" s="172" customFormat="1" ht="13.5" customHeight="1" x14ac:dyDescent="0.2">
      <c r="B42" s="317"/>
      <c r="C42" s="318"/>
      <c r="D42" s="318"/>
      <c r="E42" s="318"/>
      <c r="F42" s="319"/>
      <c r="G42" s="323" t="s">
        <v>87</v>
      </c>
      <c r="H42" s="324"/>
      <c r="I42" s="324"/>
      <c r="J42" s="325"/>
      <c r="K42" s="329"/>
      <c r="L42" s="330"/>
      <c r="M42" s="330"/>
      <c r="N42" s="331"/>
      <c r="O42" s="335"/>
      <c r="P42" s="336"/>
      <c r="Q42" s="336"/>
      <c r="R42" s="337"/>
      <c r="S42" s="311"/>
      <c r="T42" s="312"/>
      <c r="U42" s="366"/>
      <c r="V42" s="329"/>
      <c r="W42" s="330"/>
      <c r="X42" s="330"/>
      <c r="Y42" s="331"/>
      <c r="Z42" s="329"/>
      <c r="AA42" s="330"/>
      <c r="AB42" s="330"/>
      <c r="AC42" s="331"/>
      <c r="AD42" s="341"/>
      <c r="AE42" s="342"/>
      <c r="AF42" s="342"/>
      <c r="AG42" s="343"/>
      <c r="AH42" s="311"/>
      <c r="AI42" s="312"/>
      <c r="AJ42" s="313"/>
      <c r="AK42" s="176"/>
      <c r="AL42" s="306"/>
      <c r="AM42" s="306"/>
      <c r="AN42" s="303"/>
      <c r="AO42" s="303"/>
      <c r="AP42" s="303"/>
      <c r="AQ42" s="303"/>
      <c r="AR42" s="303"/>
      <c r="AS42" s="303"/>
      <c r="AT42" s="303"/>
      <c r="AU42" s="303"/>
      <c r="AV42" s="303"/>
      <c r="AW42" s="303"/>
      <c r="AX42" s="306"/>
      <c r="AY42" s="297" t="s">
        <v>124</v>
      </c>
      <c r="AZ42" s="297" t="s">
        <v>437</v>
      </c>
      <c r="BA42" s="174">
        <v>1.4999999999999999E-4</v>
      </c>
      <c r="BI42" s="177" t="s">
        <v>1112</v>
      </c>
      <c r="BJ42" s="174" t="s">
        <v>368</v>
      </c>
      <c r="BK42" s="177"/>
      <c r="BL42" s="177"/>
      <c r="BM42" s="177"/>
    </row>
    <row r="43" spans="1:65" s="172" customFormat="1" ht="13.5" customHeight="1" thickBot="1" x14ac:dyDescent="0.25">
      <c r="B43" s="320"/>
      <c r="C43" s="321"/>
      <c r="D43" s="321"/>
      <c r="E43" s="321"/>
      <c r="F43" s="322"/>
      <c r="G43" s="326"/>
      <c r="H43" s="327"/>
      <c r="I43" s="327"/>
      <c r="J43" s="328"/>
      <c r="K43" s="332"/>
      <c r="L43" s="333"/>
      <c r="M43" s="333"/>
      <c r="N43" s="334"/>
      <c r="O43" s="338"/>
      <c r="P43" s="339"/>
      <c r="Q43" s="339"/>
      <c r="R43" s="340"/>
      <c r="S43" s="314"/>
      <c r="T43" s="315"/>
      <c r="U43" s="367"/>
      <c r="V43" s="332"/>
      <c r="W43" s="333"/>
      <c r="X43" s="333"/>
      <c r="Y43" s="334"/>
      <c r="Z43" s="332"/>
      <c r="AA43" s="333"/>
      <c r="AB43" s="333"/>
      <c r="AC43" s="334"/>
      <c r="AD43" s="344"/>
      <c r="AE43" s="345"/>
      <c r="AF43" s="345"/>
      <c r="AG43" s="346"/>
      <c r="AH43" s="314"/>
      <c r="AI43" s="315"/>
      <c r="AJ43" s="316"/>
      <c r="AK43" s="176"/>
      <c r="AL43" s="306"/>
      <c r="AM43" s="306"/>
      <c r="AN43" s="303"/>
      <c r="AO43" s="303"/>
      <c r="AP43" s="303"/>
      <c r="AQ43" s="303"/>
      <c r="AR43" s="303"/>
      <c r="AS43" s="303"/>
      <c r="AT43" s="303"/>
      <c r="AU43" s="303"/>
      <c r="AV43" s="303"/>
      <c r="AW43" s="303"/>
      <c r="AX43" s="306"/>
      <c r="AY43" s="297" t="s">
        <v>125</v>
      </c>
      <c r="AZ43" s="297" t="s">
        <v>438</v>
      </c>
      <c r="BA43" s="174">
        <v>3.0000000000000001E-5</v>
      </c>
      <c r="BI43" s="177" t="s">
        <v>1105</v>
      </c>
      <c r="BJ43" s="174" t="s">
        <v>368</v>
      </c>
      <c r="BK43" s="177"/>
      <c r="BL43" s="177"/>
      <c r="BM43" s="177"/>
    </row>
    <row r="44" spans="1:65" s="172" customFormat="1" ht="13.5" customHeight="1" x14ac:dyDescent="0.2">
      <c r="B44" s="347"/>
      <c r="C44" s="348"/>
      <c r="D44" s="348"/>
      <c r="E44" s="348"/>
      <c r="F44" s="349"/>
      <c r="G44" s="353" t="s">
        <v>86</v>
      </c>
      <c r="H44" s="354"/>
      <c r="I44" s="354"/>
      <c r="J44" s="355"/>
      <c r="K44" s="359"/>
      <c r="L44" s="360"/>
      <c r="M44" s="360"/>
      <c r="N44" s="361"/>
      <c r="O44" s="359"/>
      <c r="P44" s="360"/>
      <c r="Q44" s="360"/>
      <c r="R44" s="361"/>
      <c r="S44" s="308"/>
      <c r="T44" s="309"/>
      <c r="U44" s="365"/>
      <c r="V44" s="359"/>
      <c r="W44" s="360"/>
      <c r="X44" s="360"/>
      <c r="Y44" s="361"/>
      <c r="Z44" s="359"/>
      <c r="AA44" s="360"/>
      <c r="AB44" s="360"/>
      <c r="AC44" s="361"/>
      <c r="AD44" s="359"/>
      <c r="AE44" s="360"/>
      <c r="AF44" s="360"/>
      <c r="AG44" s="361"/>
      <c r="AH44" s="308"/>
      <c r="AI44" s="309"/>
      <c r="AJ44" s="310"/>
      <c r="AK44" s="176"/>
      <c r="AL44" s="306" t="str">
        <f>IF($B44&lt;&gt;"",IF(INDEX($AY$11:$BA$447, MATCH($B44,$AY$11:$AY$447,), MATCH("Ch16DLmg/l",$AY$10:$BA$10,))&lt;&gt;0,INDEX($AY$11:$BA$447, MATCH($B44,$AY$11:$AY$447,), MATCH("Ch16DLmg/l",$AY$10:$BA$10,)),0),"")</f>
        <v/>
      </c>
      <c r="AM44" s="306" t="str">
        <f>IF(OR(AND(BK44&lt;&gt;"",BK44&lt;AL44),AND(BL44&lt;&gt;"",BL44&lt;AL44),AND(BM44&lt;&gt;"",BM44&lt;AL44)),"Y","")</f>
        <v/>
      </c>
      <c r="AN44" s="303">
        <f>IF(ISERR(FIND(".",K44)),0,LEN(MID(K44,FIND(".",K44)+1,15)))</f>
        <v>0</v>
      </c>
      <c r="AO44" s="303">
        <f>IF(ISERR(FIND(".",O44)),0,LEN(MID(O44,FIND(".",O44)+1,15)))</f>
        <v>0</v>
      </c>
      <c r="AP44" s="303">
        <f>IF(ISERR(FIND(".",V44)),0,LEN(MID(V44,FIND(".",V44)+1,15)))</f>
        <v>0</v>
      </c>
      <c r="AQ44" s="303">
        <f>IF(ISERR(FIND(".",Z44)),0,LEN(MID(Z44,FIND(".",Z44)+1,15)))</f>
        <v>0</v>
      </c>
      <c r="AR44" s="303">
        <f>IF(ISERR(FIND(".",AD44)),0,LEN(MID(AD44,FIND(".",AD44)+1,15)))</f>
        <v>0</v>
      </c>
      <c r="AS44" s="303" t="str">
        <f>IF(OR(K44="",K44="Report"),"E","")</f>
        <v>E</v>
      </c>
      <c r="AT44" s="303" t="str">
        <f>IF(OR(O44="",O44="Report"),"E","")</f>
        <v>E</v>
      </c>
      <c r="AU44" s="303" t="str">
        <f>IF(OR(V44="",V44="Report"),"E","")</f>
        <v>E</v>
      </c>
      <c r="AV44" s="303" t="str">
        <f>IF(OR(Z44="",Z44="Report"),"E","")</f>
        <v>E</v>
      </c>
      <c r="AW44" s="303" t="str">
        <f>IF(OR(AD44="",AD44="Report"),"E","")</f>
        <v>E</v>
      </c>
      <c r="AX44" s="306" t="str">
        <f>IF(OR(AND($B44&lt;&gt;"",$AH44&lt;&gt;""),AND($B44&lt;&gt;"",$S44&lt;&gt;"")),INDEX($BI$11:$BJ$54, MATCH('Outfall 1 Daily'!W$13,$BI$11:$BI$54,), MATCH("Symbol",$BI$10:$BJ$10,)),"")</f>
        <v/>
      </c>
      <c r="AY44" s="297" t="s">
        <v>126</v>
      </c>
      <c r="AZ44" s="297" t="s">
        <v>439</v>
      </c>
      <c r="BA44" s="174">
        <v>4.0000000000000003E-5</v>
      </c>
      <c r="BI44" s="177" t="s">
        <v>1116</v>
      </c>
      <c r="BJ44" s="174" t="s">
        <v>368</v>
      </c>
      <c r="BK44" s="303" t="str">
        <f>IF(AND(V44&lt;&gt;"",V44&lt;&gt;"Report"),VALUE(V44),"")</f>
        <v/>
      </c>
      <c r="BL44" s="303" t="str">
        <f>IF(AND(Z44&lt;&gt;"",Z44&lt;&gt;"Report"),VALUE(Z44),"")</f>
        <v/>
      </c>
      <c r="BM44" s="303" t="str">
        <f>IF(AND(AD44&lt;&gt;"",AD44&lt;&gt;"Report"),VALUE(AD44),"")</f>
        <v/>
      </c>
    </row>
    <row r="45" spans="1:65" s="172" customFormat="1" ht="13.5" customHeight="1" x14ac:dyDescent="0.2">
      <c r="B45" s="350"/>
      <c r="C45" s="351"/>
      <c r="D45" s="351"/>
      <c r="E45" s="351"/>
      <c r="F45" s="352"/>
      <c r="G45" s="356"/>
      <c r="H45" s="357"/>
      <c r="I45" s="357"/>
      <c r="J45" s="358"/>
      <c r="K45" s="362"/>
      <c r="L45" s="363"/>
      <c r="M45" s="363"/>
      <c r="N45" s="364"/>
      <c r="O45" s="362"/>
      <c r="P45" s="363"/>
      <c r="Q45" s="363"/>
      <c r="R45" s="364"/>
      <c r="S45" s="311"/>
      <c r="T45" s="312"/>
      <c r="U45" s="366"/>
      <c r="V45" s="362"/>
      <c r="W45" s="363"/>
      <c r="X45" s="363"/>
      <c r="Y45" s="364"/>
      <c r="Z45" s="362"/>
      <c r="AA45" s="363"/>
      <c r="AB45" s="363"/>
      <c r="AC45" s="364"/>
      <c r="AD45" s="362"/>
      <c r="AE45" s="363"/>
      <c r="AF45" s="363"/>
      <c r="AG45" s="364"/>
      <c r="AH45" s="311"/>
      <c r="AI45" s="312"/>
      <c r="AJ45" s="313"/>
      <c r="AK45" s="176"/>
      <c r="AL45" s="306"/>
      <c r="AM45" s="306"/>
      <c r="AN45" s="303"/>
      <c r="AO45" s="303"/>
      <c r="AP45" s="303"/>
      <c r="AQ45" s="303"/>
      <c r="AR45" s="303"/>
      <c r="AS45" s="303"/>
      <c r="AT45" s="303"/>
      <c r="AU45" s="303"/>
      <c r="AV45" s="303"/>
      <c r="AW45" s="303"/>
      <c r="AX45" s="306"/>
      <c r="AY45" s="297" t="s">
        <v>127</v>
      </c>
      <c r="AZ45" s="297" t="s">
        <v>440</v>
      </c>
      <c r="BA45" s="174">
        <v>0.01</v>
      </c>
      <c r="BI45" s="177" t="s">
        <v>1066</v>
      </c>
      <c r="BJ45" s="174" t="s">
        <v>368</v>
      </c>
      <c r="BK45" s="303"/>
      <c r="BL45" s="303"/>
      <c r="BM45" s="303"/>
    </row>
    <row r="46" spans="1:65" s="172" customFormat="1" ht="13.5" customHeight="1" x14ac:dyDescent="0.2">
      <c r="B46" s="317"/>
      <c r="C46" s="318"/>
      <c r="D46" s="318"/>
      <c r="E46" s="318"/>
      <c r="F46" s="319"/>
      <c r="G46" s="323" t="s">
        <v>87</v>
      </c>
      <c r="H46" s="324"/>
      <c r="I46" s="324"/>
      <c r="J46" s="325"/>
      <c r="K46" s="329"/>
      <c r="L46" s="330"/>
      <c r="M46" s="330"/>
      <c r="N46" s="331"/>
      <c r="O46" s="335"/>
      <c r="P46" s="336"/>
      <c r="Q46" s="336"/>
      <c r="R46" s="337"/>
      <c r="S46" s="311"/>
      <c r="T46" s="312"/>
      <c r="U46" s="366"/>
      <c r="V46" s="329"/>
      <c r="W46" s="330"/>
      <c r="X46" s="330"/>
      <c r="Y46" s="331"/>
      <c r="Z46" s="329"/>
      <c r="AA46" s="330"/>
      <c r="AB46" s="330"/>
      <c r="AC46" s="331"/>
      <c r="AD46" s="341"/>
      <c r="AE46" s="342"/>
      <c r="AF46" s="342"/>
      <c r="AG46" s="343"/>
      <c r="AH46" s="311"/>
      <c r="AI46" s="312"/>
      <c r="AJ46" s="313"/>
      <c r="AK46" s="176"/>
      <c r="AL46" s="306"/>
      <c r="AM46" s="306"/>
      <c r="AN46" s="303"/>
      <c r="AO46" s="303"/>
      <c r="AP46" s="303"/>
      <c r="AQ46" s="303"/>
      <c r="AR46" s="303"/>
      <c r="AS46" s="303"/>
      <c r="AT46" s="303"/>
      <c r="AU46" s="303"/>
      <c r="AV46" s="303"/>
      <c r="AW46" s="303"/>
      <c r="AX46" s="306"/>
      <c r="AY46" s="297" t="s">
        <v>128</v>
      </c>
      <c r="AZ46" s="297" t="s">
        <v>441</v>
      </c>
      <c r="BA46" s="174"/>
      <c r="BI46" s="177" t="s">
        <v>1101</v>
      </c>
      <c r="BJ46" s="174" t="s">
        <v>368</v>
      </c>
      <c r="BK46" s="177"/>
      <c r="BL46" s="177"/>
      <c r="BM46" s="177"/>
    </row>
    <row r="47" spans="1:65" s="172" customFormat="1" ht="13.5" customHeight="1" thickBot="1" x14ac:dyDescent="0.25">
      <c r="B47" s="320"/>
      <c r="C47" s="321"/>
      <c r="D47" s="321"/>
      <c r="E47" s="321"/>
      <c r="F47" s="322"/>
      <c r="G47" s="326"/>
      <c r="H47" s="327"/>
      <c r="I47" s="327"/>
      <c r="J47" s="328"/>
      <c r="K47" s="332"/>
      <c r="L47" s="333"/>
      <c r="M47" s="333"/>
      <c r="N47" s="334"/>
      <c r="O47" s="338"/>
      <c r="P47" s="339"/>
      <c r="Q47" s="339"/>
      <c r="R47" s="340"/>
      <c r="S47" s="314"/>
      <c r="T47" s="315"/>
      <c r="U47" s="367"/>
      <c r="V47" s="332"/>
      <c r="W47" s="333"/>
      <c r="X47" s="333"/>
      <c r="Y47" s="334"/>
      <c r="Z47" s="332"/>
      <c r="AA47" s="333"/>
      <c r="AB47" s="333"/>
      <c r="AC47" s="334"/>
      <c r="AD47" s="344"/>
      <c r="AE47" s="345"/>
      <c r="AF47" s="345"/>
      <c r="AG47" s="346"/>
      <c r="AH47" s="314"/>
      <c r="AI47" s="315"/>
      <c r="AJ47" s="316"/>
      <c r="AK47" s="176"/>
      <c r="AL47" s="306"/>
      <c r="AM47" s="306"/>
      <c r="AN47" s="303"/>
      <c r="AO47" s="303"/>
      <c r="AP47" s="303"/>
      <c r="AQ47" s="303"/>
      <c r="AR47" s="303"/>
      <c r="AS47" s="303"/>
      <c r="AT47" s="303"/>
      <c r="AU47" s="303"/>
      <c r="AV47" s="303"/>
      <c r="AW47" s="303"/>
      <c r="AX47" s="306"/>
      <c r="AY47" s="297" t="s">
        <v>129</v>
      </c>
      <c r="AZ47" s="297" t="s">
        <v>442</v>
      </c>
      <c r="BA47" s="174">
        <v>3.2000000000000003E-4</v>
      </c>
      <c r="BI47" s="177" t="s">
        <v>1102</v>
      </c>
      <c r="BJ47" s="174" t="s">
        <v>368</v>
      </c>
      <c r="BK47" s="177"/>
      <c r="BL47" s="177"/>
      <c r="BM47" s="177"/>
    </row>
    <row r="48" spans="1:65" s="172" customFormat="1" ht="13.5" customHeight="1" x14ac:dyDescent="0.2">
      <c r="B48" s="347"/>
      <c r="C48" s="348"/>
      <c r="D48" s="348"/>
      <c r="E48" s="348"/>
      <c r="F48" s="349"/>
      <c r="G48" s="353" t="s">
        <v>86</v>
      </c>
      <c r="H48" s="354"/>
      <c r="I48" s="354"/>
      <c r="J48" s="355"/>
      <c r="K48" s="359"/>
      <c r="L48" s="360"/>
      <c r="M48" s="360"/>
      <c r="N48" s="361"/>
      <c r="O48" s="359"/>
      <c r="P48" s="360"/>
      <c r="Q48" s="360"/>
      <c r="R48" s="361"/>
      <c r="S48" s="308"/>
      <c r="T48" s="309"/>
      <c r="U48" s="365"/>
      <c r="V48" s="359"/>
      <c r="W48" s="360"/>
      <c r="X48" s="360"/>
      <c r="Y48" s="361"/>
      <c r="Z48" s="359"/>
      <c r="AA48" s="360"/>
      <c r="AB48" s="360"/>
      <c r="AC48" s="361"/>
      <c r="AD48" s="359"/>
      <c r="AE48" s="360"/>
      <c r="AF48" s="360"/>
      <c r="AG48" s="361"/>
      <c r="AH48" s="308"/>
      <c r="AI48" s="309"/>
      <c r="AJ48" s="310"/>
      <c r="AK48" s="176"/>
      <c r="AL48" s="306" t="str">
        <f>IF($B48&lt;&gt;"",IF(INDEX($AY$11:$BA$447, MATCH($B48,$AY$11:$AY$447,), MATCH("Ch16DLmg/l",$AY$10:$BA$10,))&lt;&gt;0,INDEX($AY$11:$BA$447, MATCH($B48,$AY$11:$AY$447,), MATCH("Ch16DLmg/l",$AY$10:$BA$10,)),0),"")</f>
        <v/>
      </c>
      <c r="AM48" s="306" t="str">
        <f>IF(OR(AND(BK48&lt;&gt;"",BK48&lt;AL48),AND(BL48&lt;&gt;"",BL48&lt;AL48),AND(BM48&lt;&gt;"",BM48&lt;AL48)),"Y","")</f>
        <v/>
      </c>
      <c r="AN48" s="303">
        <f>IF(ISERR(FIND(".",K48)),0,LEN(MID(K48,FIND(".",K48)+1,15)))</f>
        <v>0</v>
      </c>
      <c r="AO48" s="303">
        <f>IF(ISERR(FIND(".",O48)),0,LEN(MID(O48,FIND(".",O48)+1,15)))</f>
        <v>0</v>
      </c>
      <c r="AP48" s="303">
        <f>IF(ISERR(FIND(".",V48)),0,LEN(MID(V48,FIND(".",V48)+1,15)))</f>
        <v>0</v>
      </c>
      <c r="AQ48" s="303">
        <f>IF(ISERR(FIND(".",Z48)),0,LEN(MID(Z48,FIND(".",Z48)+1,15)))</f>
        <v>0</v>
      </c>
      <c r="AR48" s="303">
        <f>IF(ISERR(FIND(".",AD48)),0,LEN(MID(AD48,FIND(".",AD48)+1,15)))</f>
        <v>0</v>
      </c>
      <c r="AS48" s="303" t="str">
        <f>IF(OR(K48="",K48="Report"),"E","")</f>
        <v>E</v>
      </c>
      <c r="AT48" s="303" t="str">
        <f>IF(OR(O48="",O48="Report"),"E","")</f>
        <v>E</v>
      </c>
      <c r="AU48" s="303" t="str">
        <f>IF(OR(V48="",V48="Report"),"E","")</f>
        <v>E</v>
      </c>
      <c r="AV48" s="303" t="str">
        <f>IF(OR(Z48="",Z48="Report"),"E","")</f>
        <v>E</v>
      </c>
      <c r="AW48" s="303" t="str">
        <f>IF(OR(AD48="",AD48="Report"),"E","")</f>
        <v>E</v>
      </c>
      <c r="AX48" s="306" t="str">
        <f>IF(OR(AND($B48&lt;&gt;"",$AH48&lt;&gt;""),AND($B48&lt;&gt;"",$S48&lt;&gt;"")),INDEX($BI$11:$BJ$54, MATCH('Outfall 1 Daily'!Y$13,$BI$11:$BI$54,), MATCH("Symbol",$BI$10:$BJ$10,)),"")</f>
        <v/>
      </c>
      <c r="AY48" s="297" t="s">
        <v>130</v>
      </c>
      <c r="AZ48" s="297" t="s">
        <v>443</v>
      </c>
      <c r="BA48" s="174">
        <v>2.0000000000000001E-4</v>
      </c>
      <c r="BI48" s="177" t="s">
        <v>1104</v>
      </c>
      <c r="BJ48" s="174" t="s">
        <v>368</v>
      </c>
      <c r="BK48" s="303" t="str">
        <f>IF(AND(V48&lt;&gt;"",V48&lt;&gt;"Report"),VALUE(V48),"")</f>
        <v/>
      </c>
      <c r="BL48" s="303" t="str">
        <f>IF(AND(Z48&lt;&gt;"",Z48&lt;&gt;"Report"),VALUE(Z48),"")</f>
        <v/>
      </c>
      <c r="BM48" s="303" t="str">
        <f>IF(AND(AD48&lt;&gt;"",AD48&lt;&gt;"Report"),VALUE(AD48),"")</f>
        <v/>
      </c>
    </row>
    <row r="49" spans="2:65" s="172" customFormat="1" ht="13.5" customHeight="1" x14ac:dyDescent="0.2">
      <c r="B49" s="350"/>
      <c r="C49" s="351"/>
      <c r="D49" s="351"/>
      <c r="E49" s="351"/>
      <c r="F49" s="352"/>
      <c r="G49" s="356"/>
      <c r="H49" s="357"/>
      <c r="I49" s="357"/>
      <c r="J49" s="358"/>
      <c r="K49" s="362"/>
      <c r="L49" s="363"/>
      <c r="M49" s="363"/>
      <c r="N49" s="364"/>
      <c r="O49" s="362"/>
      <c r="P49" s="363"/>
      <c r="Q49" s="363"/>
      <c r="R49" s="364"/>
      <c r="S49" s="311"/>
      <c r="T49" s="312"/>
      <c r="U49" s="366"/>
      <c r="V49" s="362"/>
      <c r="W49" s="363"/>
      <c r="X49" s="363"/>
      <c r="Y49" s="364"/>
      <c r="Z49" s="362"/>
      <c r="AA49" s="363"/>
      <c r="AB49" s="363"/>
      <c r="AC49" s="364"/>
      <c r="AD49" s="362"/>
      <c r="AE49" s="363"/>
      <c r="AF49" s="363"/>
      <c r="AG49" s="364"/>
      <c r="AH49" s="311"/>
      <c r="AI49" s="312"/>
      <c r="AJ49" s="313"/>
      <c r="AK49" s="176"/>
      <c r="AL49" s="306"/>
      <c r="AM49" s="306"/>
      <c r="AN49" s="303"/>
      <c r="AO49" s="303"/>
      <c r="AP49" s="303"/>
      <c r="AQ49" s="303"/>
      <c r="AR49" s="303"/>
      <c r="AS49" s="303"/>
      <c r="AT49" s="303"/>
      <c r="AU49" s="303"/>
      <c r="AV49" s="303"/>
      <c r="AW49" s="303"/>
      <c r="AX49" s="306"/>
      <c r="AY49" s="297" t="s">
        <v>131</v>
      </c>
      <c r="AZ49" s="297" t="s">
        <v>444</v>
      </c>
      <c r="BA49" s="174">
        <v>2.4000000000000001E-4</v>
      </c>
      <c r="BI49" s="177" t="s">
        <v>1117</v>
      </c>
      <c r="BJ49" s="174" t="s">
        <v>368</v>
      </c>
      <c r="BK49" s="303"/>
      <c r="BL49" s="303"/>
      <c r="BM49" s="303"/>
    </row>
    <row r="50" spans="2:65" s="172" customFormat="1" ht="13.5" customHeight="1" x14ac:dyDescent="0.2">
      <c r="B50" s="317"/>
      <c r="C50" s="318"/>
      <c r="D50" s="318"/>
      <c r="E50" s="318"/>
      <c r="F50" s="319"/>
      <c r="G50" s="323" t="s">
        <v>87</v>
      </c>
      <c r="H50" s="324"/>
      <c r="I50" s="324"/>
      <c r="J50" s="325"/>
      <c r="K50" s="329"/>
      <c r="L50" s="330"/>
      <c r="M50" s="330"/>
      <c r="N50" s="331"/>
      <c r="O50" s="335"/>
      <c r="P50" s="336"/>
      <c r="Q50" s="336"/>
      <c r="R50" s="337"/>
      <c r="S50" s="311"/>
      <c r="T50" s="312"/>
      <c r="U50" s="366"/>
      <c r="V50" s="329"/>
      <c r="W50" s="330"/>
      <c r="X50" s="330"/>
      <c r="Y50" s="331"/>
      <c r="Z50" s="329"/>
      <c r="AA50" s="330"/>
      <c r="AB50" s="330"/>
      <c r="AC50" s="331"/>
      <c r="AD50" s="341"/>
      <c r="AE50" s="342"/>
      <c r="AF50" s="342"/>
      <c r="AG50" s="343"/>
      <c r="AH50" s="311"/>
      <c r="AI50" s="312"/>
      <c r="AJ50" s="313"/>
      <c r="AK50" s="176"/>
      <c r="AL50" s="306"/>
      <c r="AM50" s="306"/>
      <c r="AN50" s="303"/>
      <c r="AO50" s="303"/>
      <c r="AP50" s="303"/>
      <c r="AQ50" s="303"/>
      <c r="AR50" s="303"/>
      <c r="AS50" s="303"/>
      <c r="AT50" s="303"/>
      <c r="AU50" s="303"/>
      <c r="AV50" s="303"/>
      <c r="AW50" s="303"/>
      <c r="AX50" s="306"/>
      <c r="AY50" s="297" t="s">
        <v>132</v>
      </c>
      <c r="AZ50" s="297" t="s">
        <v>445</v>
      </c>
      <c r="BA50" s="174"/>
      <c r="BI50" s="177" t="s">
        <v>1108</v>
      </c>
      <c r="BJ50" s="174" t="s">
        <v>368</v>
      </c>
      <c r="BK50" s="177"/>
      <c r="BL50" s="177"/>
      <c r="BM50" s="177"/>
    </row>
    <row r="51" spans="2:65" s="172" customFormat="1" ht="13.5" customHeight="1" thickBot="1" x14ac:dyDescent="0.25">
      <c r="B51" s="320"/>
      <c r="C51" s="321"/>
      <c r="D51" s="321"/>
      <c r="E51" s="321"/>
      <c r="F51" s="322"/>
      <c r="G51" s="326"/>
      <c r="H51" s="327"/>
      <c r="I51" s="327"/>
      <c r="J51" s="328"/>
      <c r="K51" s="332"/>
      <c r="L51" s="333"/>
      <c r="M51" s="333"/>
      <c r="N51" s="334"/>
      <c r="O51" s="338"/>
      <c r="P51" s="339"/>
      <c r="Q51" s="339"/>
      <c r="R51" s="340"/>
      <c r="S51" s="314"/>
      <c r="T51" s="315"/>
      <c r="U51" s="367"/>
      <c r="V51" s="332"/>
      <c r="W51" s="333"/>
      <c r="X51" s="333"/>
      <c r="Y51" s="334"/>
      <c r="Z51" s="332"/>
      <c r="AA51" s="333"/>
      <c r="AB51" s="333"/>
      <c r="AC51" s="334"/>
      <c r="AD51" s="344"/>
      <c r="AE51" s="345"/>
      <c r="AF51" s="345"/>
      <c r="AG51" s="346"/>
      <c r="AH51" s="314"/>
      <c r="AI51" s="315"/>
      <c r="AJ51" s="316"/>
      <c r="AK51" s="176"/>
      <c r="AL51" s="306"/>
      <c r="AM51" s="306"/>
      <c r="AN51" s="303"/>
      <c r="AO51" s="303"/>
      <c r="AP51" s="303"/>
      <c r="AQ51" s="303"/>
      <c r="AR51" s="303"/>
      <c r="AS51" s="303"/>
      <c r="AT51" s="303"/>
      <c r="AU51" s="303"/>
      <c r="AV51" s="303"/>
      <c r="AW51" s="303"/>
      <c r="AX51" s="306"/>
      <c r="AY51" s="297" t="s">
        <v>133</v>
      </c>
      <c r="AZ51" s="297" t="s">
        <v>446</v>
      </c>
      <c r="BA51" s="174"/>
      <c r="BI51" s="177" t="s">
        <v>1110</v>
      </c>
      <c r="BJ51" s="177" t="s">
        <v>368</v>
      </c>
      <c r="BK51" s="177"/>
      <c r="BL51" s="177"/>
      <c r="BM51" s="177"/>
    </row>
    <row r="52" spans="2:65" s="172" customFormat="1" ht="13.5" customHeight="1" x14ac:dyDescent="0.2">
      <c r="B52" s="347"/>
      <c r="C52" s="348"/>
      <c r="D52" s="348"/>
      <c r="E52" s="348"/>
      <c r="F52" s="349"/>
      <c r="G52" s="353" t="s">
        <v>86</v>
      </c>
      <c r="H52" s="354"/>
      <c r="I52" s="354"/>
      <c r="J52" s="355"/>
      <c r="K52" s="359"/>
      <c r="L52" s="360"/>
      <c r="M52" s="360"/>
      <c r="N52" s="361"/>
      <c r="O52" s="359"/>
      <c r="P52" s="360"/>
      <c r="Q52" s="360"/>
      <c r="R52" s="361"/>
      <c r="S52" s="308"/>
      <c r="T52" s="309"/>
      <c r="U52" s="365"/>
      <c r="V52" s="359"/>
      <c r="W52" s="360"/>
      <c r="X52" s="360"/>
      <c r="Y52" s="361"/>
      <c r="Z52" s="359"/>
      <c r="AA52" s="360"/>
      <c r="AB52" s="360"/>
      <c r="AC52" s="361"/>
      <c r="AD52" s="359"/>
      <c r="AE52" s="360"/>
      <c r="AF52" s="360"/>
      <c r="AG52" s="361"/>
      <c r="AH52" s="308"/>
      <c r="AI52" s="309"/>
      <c r="AJ52" s="310"/>
      <c r="AK52" s="176"/>
      <c r="AL52" s="306" t="str">
        <f>IF($B52&lt;&gt;"",IF(INDEX($AY$11:$BA$447, MATCH($B52,$AY$11:$AY$447,), MATCH("Ch16DLmg/l",$AY$10:$BA$10,))&lt;&gt;0,INDEX($AY$11:$BA$447, MATCH($B52,$AY$11:$AY$447,), MATCH("Ch16DLmg/l",$AY$10:$BA$10,)),0),"")</f>
        <v/>
      </c>
      <c r="AM52" s="306" t="str">
        <f>IF(OR(AND(BK52&lt;&gt;"",BK52&lt;AL52),AND(BL52&lt;&gt;"",BL52&lt;AL52),AND(BM52&lt;&gt;"",BM52&lt;AL52)),"Y","")</f>
        <v/>
      </c>
      <c r="AN52" s="303">
        <f>IF(ISERR(FIND(".",K52)),0,LEN(MID(K52,FIND(".",K52)+1,15)))</f>
        <v>0</v>
      </c>
      <c r="AO52" s="303">
        <f>IF(ISERR(FIND(".",O52)),0,LEN(MID(O52,FIND(".",O52)+1,15)))</f>
        <v>0</v>
      </c>
      <c r="AP52" s="303">
        <f>IF(ISERR(FIND(".",V52)),0,LEN(MID(V52,FIND(".",V52)+1,15)))</f>
        <v>0</v>
      </c>
      <c r="AQ52" s="303">
        <f>IF(ISERR(FIND(".",Z52)),0,LEN(MID(Z52,FIND(".",Z52)+1,15)))</f>
        <v>0</v>
      </c>
      <c r="AR52" s="303">
        <f>IF(ISERR(FIND(".",AD52)),0,LEN(MID(AD52,FIND(".",AD52)+1,15)))</f>
        <v>0</v>
      </c>
      <c r="AS52" s="303" t="str">
        <f>IF(OR(K52="",K52="Report"),"E","")</f>
        <v>E</v>
      </c>
      <c r="AT52" s="303" t="str">
        <f>IF(OR(O52="",O52="Report"),"E","")</f>
        <v>E</v>
      </c>
      <c r="AU52" s="303" t="str">
        <f>IF(OR(V52="",V52="Report"),"E","")</f>
        <v>E</v>
      </c>
      <c r="AV52" s="303" t="str">
        <f>IF(OR(Z52="",Z52="Report"),"E","")</f>
        <v>E</v>
      </c>
      <c r="AW52" s="303" t="str">
        <f>IF(OR(AD52="",AD52="Report"),"E","")</f>
        <v>E</v>
      </c>
      <c r="AX52" s="306" t="str">
        <f>IF(OR(AND($B52&lt;&gt;"",$AH52&lt;&gt;""),AND($B52&lt;&gt;"",$S52&lt;&gt;"")),INDEX($BI$11:$BJ$54, MATCH('Outfall 1 Daily'!AA$13,$BI$11:$BI$54,), MATCH("Symbol",$BI$10:$BJ$10,)),"")</f>
        <v/>
      </c>
      <c r="AY52" s="297" t="s">
        <v>134</v>
      </c>
      <c r="AZ52" s="297" t="s">
        <v>447</v>
      </c>
      <c r="BA52" s="174"/>
      <c r="BI52" s="177" t="s">
        <v>659</v>
      </c>
      <c r="BJ52" s="174" t="s">
        <v>368</v>
      </c>
      <c r="BK52" s="303" t="str">
        <f>IF(AND(V52&lt;&gt;"",V52&lt;&gt;"Report"),VALUE(V52),"")</f>
        <v/>
      </c>
      <c r="BL52" s="303" t="str">
        <f>IF(AND(Z52&lt;&gt;"",Z52&lt;&gt;"Report"),VALUE(Z52),"")</f>
        <v/>
      </c>
      <c r="BM52" s="303" t="str">
        <f>IF(AND(AD52&lt;&gt;"",AD52&lt;&gt;"Report"),VALUE(AD52),"")</f>
        <v/>
      </c>
    </row>
    <row r="53" spans="2:65" s="172" customFormat="1" ht="13.5" customHeight="1" x14ac:dyDescent="0.2">
      <c r="B53" s="350"/>
      <c r="C53" s="351"/>
      <c r="D53" s="351"/>
      <c r="E53" s="351"/>
      <c r="F53" s="352"/>
      <c r="G53" s="356"/>
      <c r="H53" s="357"/>
      <c r="I53" s="357"/>
      <c r="J53" s="358"/>
      <c r="K53" s="362"/>
      <c r="L53" s="363"/>
      <c r="M53" s="363"/>
      <c r="N53" s="364"/>
      <c r="O53" s="362"/>
      <c r="P53" s="363"/>
      <c r="Q53" s="363"/>
      <c r="R53" s="364"/>
      <c r="S53" s="311"/>
      <c r="T53" s="312"/>
      <c r="U53" s="366"/>
      <c r="V53" s="362"/>
      <c r="W53" s="363"/>
      <c r="X53" s="363"/>
      <c r="Y53" s="364"/>
      <c r="Z53" s="362"/>
      <c r="AA53" s="363"/>
      <c r="AB53" s="363"/>
      <c r="AC53" s="364"/>
      <c r="AD53" s="362"/>
      <c r="AE53" s="363"/>
      <c r="AF53" s="363"/>
      <c r="AG53" s="364"/>
      <c r="AH53" s="311"/>
      <c r="AI53" s="312"/>
      <c r="AJ53" s="313"/>
      <c r="AK53" s="176"/>
      <c r="AL53" s="306"/>
      <c r="AM53" s="306"/>
      <c r="AN53" s="303"/>
      <c r="AO53" s="303"/>
      <c r="AP53" s="303"/>
      <c r="AQ53" s="303"/>
      <c r="AR53" s="303"/>
      <c r="AS53" s="303"/>
      <c r="AT53" s="303"/>
      <c r="AU53" s="303"/>
      <c r="AV53" s="303"/>
      <c r="AW53" s="303"/>
      <c r="AX53" s="306"/>
      <c r="AY53" s="297" t="s">
        <v>135</v>
      </c>
      <c r="AZ53" s="297" t="s">
        <v>448</v>
      </c>
      <c r="BA53" s="174"/>
      <c r="BI53" s="177" t="s">
        <v>859</v>
      </c>
      <c r="BJ53" s="220"/>
      <c r="BK53" s="303"/>
      <c r="BL53" s="303"/>
      <c r="BM53" s="303"/>
    </row>
    <row r="54" spans="2:65" s="172" customFormat="1" ht="13.5" customHeight="1" x14ac:dyDescent="0.2">
      <c r="B54" s="317"/>
      <c r="C54" s="318"/>
      <c r="D54" s="318"/>
      <c r="E54" s="318"/>
      <c r="F54" s="319"/>
      <c r="G54" s="323" t="s">
        <v>87</v>
      </c>
      <c r="H54" s="324"/>
      <c r="I54" s="324"/>
      <c r="J54" s="325"/>
      <c r="K54" s="329"/>
      <c r="L54" s="330"/>
      <c r="M54" s="330"/>
      <c r="N54" s="331"/>
      <c r="O54" s="335"/>
      <c r="P54" s="336"/>
      <c r="Q54" s="336"/>
      <c r="R54" s="337"/>
      <c r="S54" s="311"/>
      <c r="T54" s="312"/>
      <c r="U54" s="366"/>
      <c r="V54" s="329"/>
      <c r="W54" s="330"/>
      <c r="X54" s="330"/>
      <c r="Y54" s="331"/>
      <c r="Z54" s="329"/>
      <c r="AA54" s="330"/>
      <c r="AB54" s="330"/>
      <c r="AC54" s="331"/>
      <c r="AD54" s="341"/>
      <c r="AE54" s="342"/>
      <c r="AF54" s="342"/>
      <c r="AG54" s="343"/>
      <c r="AH54" s="311"/>
      <c r="AI54" s="312"/>
      <c r="AJ54" s="313"/>
      <c r="AK54" s="176"/>
      <c r="AL54" s="306"/>
      <c r="AM54" s="306"/>
      <c r="AN54" s="303"/>
      <c r="AO54" s="303"/>
      <c r="AP54" s="303"/>
      <c r="AQ54" s="303"/>
      <c r="AR54" s="303"/>
      <c r="AS54" s="303"/>
      <c r="AT54" s="303"/>
      <c r="AU54" s="303"/>
      <c r="AV54" s="303"/>
      <c r="AW54" s="303"/>
      <c r="AX54" s="306"/>
      <c r="AY54" s="297" t="s">
        <v>136</v>
      </c>
      <c r="AZ54" s="297" t="s">
        <v>449</v>
      </c>
      <c r="BA54" s="174">
        <v>1.9999999999999999E-6</v>
      </c>
      <c r="BI54" s="220"/>
      <c r="BJ54" s="220"/>
      <c r="BK54" s="177"/>
      <c r="BL54" s="177"/>
      <c r="BM54" s="177"/>
    </row>
    <row r="55" spans="2:65" s="172" customFormat="1" ht="13.5" customHeight="1" thickBot="1" x14ac:dyDescent="0.25">
      <c r="B55" s="320"/>
      <c r="C55" s="321"/>
      <c r="D55" s="321"/>
      <c r="E55" s="321"/>
      <c r="F55" s="322"/>
      <c r="G55" s="326"/>
      <c r="H55" s="327"/>
      <c r="I55" s="327"/>
      <c r="J55" s="328"/>
      <c r="K55" s="332"/>
      <c r="L55" s="333"/>
      <c r="M55" s="333"/>
      <c r="N55" s="334"/>
      <c r="O55" s="338"/>
      <c r="P55" s="339"/>
      <c r="Q55" s="339"/>
      <c r="R55" s="340"/>
      <c r="S55" s="314"/>
      <c r="T55" s="315"/>
      <c r="U55" s="367"/>
      <c r="V55" s="332"/>
      <c r="W55" s="333"/>
      <c r="X55" s="333"/>
      <c r="Y55" s="334"/>
      <c r="Z55" s="332"/>
      <c r="AA55" s="333"/>
      <c r="AB55" s="333"/>
      <c r="AC55" s="334"/>
      <c r="AD55" s="344"/>
      <c r="AE55" s="345"/>
      <c r="AF55" s="345"/>
      <c r="AG55" s="346"/>
      <c r="AH55" s="314"/>
      <c r="AI55" s="315"/>
      <c r="AJ55" s="316"/>
      <c r="AK55" s="176"/>
      <c r="AL55" s="306"/>
      <c r="AM55" s="306"/>
      <c r="AN55" s="303"/>
      <c r="AO55" s="303"/>
      <c r="AP55" s="303"/>
      <c r="AQ55" s="303"/>
      <c r="AR55" s="303"/>
      <c r="AS55" s="303"/>
      <c r="AT55" s="303"/>
      <c r="AU55" s="303"/>
      <c r="AV55" s="303"/>
      <c r="AW55" s="303"/>
      <c r="AX55" s="306"/>
      <c r="AY55" s="297" t="s">
        <v>137</v>
      </c>
      <c r="AZ55" s="297" t="s">
        <v>450</v>
      </c>
      <c r="BA55" s="174"/>
      <c r="BI55" s="220"/>
      <c r="BJ55" s="220"/>
      <c r="BK55" s="177"/>
      <c r="BL55" s="177"/>
      <c r="BM55" s="177"/>
    </row>
    <row r="56" spans="2:65" ht="13.5" customHeight="1" x14ac:dyDescent="0.2">
      <c r="B56" s="347"/>
      <c r="C56" s="348"/>
      <c r="D56" s="348"/>
      <c r="E56" s="348"/>
      <c r="F56" s="349"/>
      <c r="G56" s="353" t="s">
        <v>86</v>
      </c>
      <c r="H56" s="354"/>
      <c r="I56" s="354"/>
      <c r="J56" s="355"/>
      <c r="K56" s="359"/>
      <c r="L56" s="360"/>
      <c r="M56" s="360"/>
      <c r="N56" s="361"/>
      <c r="O56" s="359"/>
      <c r="P56" s="360"/>
      <c r="Q56" s="360"/>
      <c r="R56" s="361"/>
      <c r="S56" s="308"/>
      <c r="T56" s="309"/>
      <c r="U56" s="365"/>
      <c r="V56" s="359"/>
      <c r="W56" s="360"/>
      <c r="X56" s="360"/>
      <c r="Y56" s="361"/>
      <c r="Z56" s="359"/>
      <c r="AA56" s="360"/>
      <c r="AB56" s="360"/>
      <c r="AC56" s="361"/>
      <c r="AD56" s="359"/>
      <c r="AE56" s="360"/>
      <c r="AF56" s="360"/>
      <c r="AG56" s="361"/>
      <c r="AH56" s="308"/>
      <c r="AI56" s="309"/>
      <c r="AJ56" s="310"/>
      <c r="AK56" s="1"/>
      <c r="AL56" s="306" t="str">
        <f>IF($B56&lt;&gt;"",IF(INDEX($AY$11:$BA$447, MATCH($B56,$AY$11:$AY$447,), MATCH("Ch16DLmg/l",$AY$10:$BA$10,))&lt;&gt;0,INDEX($AY$11:$BA$447, MATCH($B56,$AY$11:$AY$447,), MATCH("Ch16DLmg/l",$AY$10:$BA$10,)),0),"")</f>
        <v/>
      </c>
      <c r="AM56" s="304" t="str">
        <f>IF(OR(AND(BK56&lt;&gt;"",BK56&lt;AL56),AND(BL56&lt;&gt;"",BL56&lt;AL56),AND(BM56&lt;&gt;"",BM56&lt;AL56)),"Y","")</f>
        <v/>
      </c>
      <c r="AN56" s="302">
        <f>IF(ISERR(FIND(".",K56)),0,LEN(MID(K56,FIND(".",K56)+1,15)))</f>
        <v>0</v>
      </c>
      <c r="AO56" s="302">
        <f>IF(ISERR(FIND(".",O56)),0,LEN(MID(O56,FIND(".",O56)+1,15)))</f>
        <v>0</v>
      </c>
      <c r="AP56" s="302">
        <f>IF(ISERR(FIND(".",V56)),0,LEN(MID(V56,FIND(".",V56)+1,15)))</f>
        <v>0</v>
      </c>
      <c r="AQ56" s="302">
        <f>IF(ISERR(FIND(".",Z56)),0,LEN(MID(Z56,FIND(".",Z56)+1,15)))</f>
        <v>0</v>
      </c>
      <c r="AR56" s="302">
        <f>IF(ISERR(FIND(".",AD56)),0,LEN(MID(AD56,FIND(".",AD56)+1,15)))</f>
        <v>0</v>
      </c>
      <c r="AS56" s="302" t="str">
        <f>IF(OR(K56="",K56="Report"),"E","")</f>
        <v>E</v>
      </c>
      <c r="AT56" s="302" t="str">
        <f>IF(OR(O56="",O56="Report"),"E","")</f>
        <v>E</v>
      </c>
      <c r="AU56" s="302" t="str">
        <f>IF(OR(V56="",V56="Report"),"E","")</f>
        <v>E</v>
      </c>
      <c r="AV56" s="302" t="str">
        <f>IF(OR(Z56="",Z56="Report"),"E","")</f>
        <v>E</v>
      </c>
      <c r="AW56" s="302" t="str">
        <f>IF(OR(AD56="",AD56="Report"),"E","")</f>
        <v>E</v>
      </c>
      <c r="AX56" s="304" t="str">
        <f>IF(OR(AND($B56&lt;&gt;"",$AH56&lt;&gt;""),AND($B56&lt;&gt;"",$S56&lt;&gt;"")),INDEX($BI$11:$BJ$54, MATCH('Outfall 1 Daily'!AC$13,$BI$11:$BI$54,), MATCH("Symbol",$BI$10:$BJ$10,)),"")</f>
        <v/>
      </c>
      <c r="AY56" s="297" t="s">
        <v>138</v>
      </c>
      <c r="AZ56" s="297" t="s">
        <v>451</v>
      </c>
      <c r="BA56" s="174"/>
      <c r="BI56" s="220"/>
      <c r="BJ56" s="220"/>
      <c r="BK56" s="302" t="str">
        <f>IF(AND(V56&lt;&gt;"",V56&lt;&gt;"Report"),VALUE(V56),"")</f>
        <v/>
      </c>
      <c r="BL56" s="302" t="str">
        <f>IF(AND(Z56&lt;&gt;"",Z56&lt;&gt;"Report"),VALUE(Z56),"")</f>
        <v/>
      </c>
      <c r="BM56" s="302" t="str">
        <f>IF(AND(AD56&lt;&gt;"",AD56&lt;&gt;"Report"),VALUE(AD56),"")</f>
        <v/>
      </c>
    </row>
    <row r="57" spans="2:65" ht="13.5" customHeight="1" x14ac:dyDescent="0.2">
      <c r="B57" s="350"/>
      <c r="C57" s="351"/>
      <c r="D57" s="351"/>
      <c r="E57" s="351"/>
      <c r="F57" s="352"/>
      <c r="G57" s="356"/>
      <c r="H57" s="357"/>
      <c r="I57" s="357"/>
      <c r="J57" s="358"/>
      <c r="K57" s="362"/>
      <c r="L57" s="363"/>
      <c r="M57" s="363"/>
      <c r="N57" s="364"/>
      <c r="O57" s="362"/>
      <c r="P57" s="363"/>
      <c r="Q57" s="363"/>
      <c r="R57" s="364"/>
      <c r="S57" s="311"/>
      <c r="T57" s="312"/>
      <c r="U57" s="366"/>
      <c r="V57" s="362"/>
      <c r="W57" s="363"/>
      <c r="X57" s="363"/>
      <c r="Y57" s="364"/>
      <c r="Z57" s="362"/>
      <c r="AA57" s="363"/>
      <c r="AB57" s="363"/>
      <c r="AC57" s="364"/>
      <c r="AD57" s="362"/>
      <c r="AE57" s="363"/>
      <c r="AF57" s="363"/>
      <c r="AG57" s="364"/>
      <c r="AH57" s="311"/>
      <c r="AI57" s="312"/>
      <c r="AJ57" s="313"/>
      <c r="AL57" s="306"/>
      <c r="AM57" s="304"/>
      <c r="AN57" s="302"/>
      <c r="AO57" s="302"/>
      <c r="AP57" s="302"/>
      <c r="AQ57" s="302"/>
      <c r="AR57" s="302"/>
      <c r="AS57" s="302"/>
      <c r="AT57" s="302"/>
      <c r="AU57" s="302"/>
      <c r="AV57" s="302"/>
      <c r="AW57" s="302"/>
      <c r="AX57" s="304"/>
      <c r="AY57" s="297" t="s">
        <v>139</v>
      </c>
      <c r="AZ57" s="297" t="s">
        <v>452</v>
      </c>
      <c r="BA57" s="174">
        <v>5.8E-4</v>
      </c>
      <c r="BI57" s="220"/>
      <c r="BJ57" s="220"/>
      <c r="BK57" s="302"/>
      <c r="BL57" s="302"/>
      <c r="BM57" s="302"/>
    </row>
    <row r="58" spans="2:65" ht="13.5" customHeight="1" x14ac:dyDescent="0.2">
      <c r="B58" s="317"/>
      <c r="C58" s="318"/>
      <c r="D58" s="318"/>
      <c r="E58" s="318"/>
      <c r="F58" s="319"/>
      <c r="G58" s="323" t="s">
        <v>87</v>
      </c>
      <c r="H58" s="324"/>
      <c r="I58" s="324"/>
      <c r="J58" s="325"/>
      <c r="K58" s="329"/>
      <c r="L58" s="330"/>
      <c r="M58" s="330"/>
      <c r="N58" s="331"/>
      <c r="O58" s="335"/>
      <c r="P58" s="336"/>
      <c r="Q58" s="336"/>
      <c r="R58" s="337"/>
      <c r="S58" s="311"/>
      <c r="T58" s="312"/>
      <c r="U58" s="366"/>
      <c r="V58" s="329"/>
      <c r="W58" s="330"/>
      <c r="X58" s="330"/>
      <c r="Y58" s="331"/>
      <c r="Z58" s="329"/>
      <c r="AA58" s="330"/>
      <c r="AB58" s="330"/>
      <c r="AC58" s="331"/>
      <c r="AD58" s="341"/>
      <c r="AE58" s="342"/>
      <c r="AF58" s="342"/>
      <c r="AG58" s="343"/>
      <c r="AH58" s="311"/>
      <c r="AI58" s="312"/>
      <c r="AJ58" s="313"/>
      <c r="AL58" s="306"/>
      <c r="AM58" s="304"/>
      <c r="AN58" s="302"/>
      <c r="AO58" s="302"/>
      <c r="AP58" s="302"/>
      <c r="AQ58" s="302"/>
      <c r="AR58" s="302"/>
      <c r="AS58" s="302"/>
      <c r="AT58" s="302"/>
      <c r="AU58" s="302"/>
      <c r="AV58" s="302"/>
      <c r="AW58" s="302"/>
      <c r="AX58" s="304"/>
      <c r="AY58" s="297" t="s">
        <v>140</v>
      </c>
      <c r="AZ58" s="297" t="s">
        <v>453</v>
      </c>
      <c r="BA58" s="174">
        <v>3.8999999999999999E-4</v>
      </c>
      <c r="BI58" s="220"/>
    </row>
    <row r="59" spans="2:65" ht="13.5" customHeight="1" thickBot="1" x14ac:dyDescent="0.25">
      <c r="B59" s="320"/>
      <c r="C59" s="321"/>
      <c r="D59" s="321"/>
      <c r="E59" s="321"/>
      <c r="F59" s="322"/>
      <c r="G59" s="326"/>
      <c r="H59" s="327"/>
      <c r="I59" s="327"/>
      <c r="J59" s="328"/>
      <c r="K59" s="332"/>
      <c r="L59" s="333"/>
      <c r="M59" s="333"/>
      <c r="N59" s="334"/>
      <c r="O59" s="338"/>
      <c r="P59" s="339"/>
      <c r="Q59" s="339"/>
      <c r="R59" s="340"/>
      <c r="S59" s="314"/>
      <c r="T59" s="315"/>
      <c r="U59" s="367"/>
      <c r="V59" s="332"/>
      <c r="W59" s="333"/>
      <c r="X59" s="333"/>
      <c r="Y59" s="334"/>
      <c r="Z59" s="332"/>
      <c r="AA59" s="333"/>
      <c r="AB59" s="333"/>
      <c r="AC59" s="334"/>
      <c r="AD59" s="344"/>
      <c r="AE59" s="345"/>
      <c r="AF59" s="345"/>
      <c r="AG59" s="346"/>
      <c r="AH59" s="314"/>
      <c r="AI59" s="315"/>
      <c r="AJ59" s="316"/>
      <c r="AL59" s="306"/>
      <c r="AM59" s="304"/>
      <c r="AN59" s="302"/>
      <c r="AO59" s="302"/>
      <c r="AP59" s="302"/>
      <c r="AQ59" s="302"/>
      <c r="AR59" s="302"/>
      <c r="AS59" s="302"/>
      <c r="AT59" s="302"/>
      <c r="AU59" s="302"/>
      <c r="AV59" s="302"/>
      <c r="AW59" s="302"/>
      <c r="AX59" s="304"/>
      <c r="AY59" s="297" t="s">
        <v>141</v>
      </c>
      <c r="AZ59" s="297" t="s">
        <v>454</v>
      </c>
      <c r="BA59" s="174"/>
    </row>
    <row r="60" spans="2:65" ht="13.5" customHeight="1" x14ac:dyDescent="0.2">
      <c r="B60" s="347"/>
      <c r="C60" s="348"/>
      <c r="D60" s="348"/>
      <c r="E60" s="348"/>
      <c r="F60" s="349"/>
      <c r="G60" s="353" t="s">
        <v>86</v>
      </c>
      <c r="H60" s="354"/>
      <c r="I60" s="354"/>
      <c r="J60" s="355"/>
      <c r="K60" s="359"/>
      <c r="L60" s="360"/>
      <c r="M60" s="360"/>
      <c r="N60" s="361"/>
      <c r="O60" s="359"/>
      <c r="P60" s="360"/>
      <c r="Q60" s="360"/>
      <c r="R60" s="361"/>
      <c r="S60" s="308"/>
      <c r="T60" s="309"/>
      <c r="U60" s="365"/>
      <c r="V60" s="359"/>
      <c r="W60" s="360"/>
      <c r="X60" s="360"/>
      <c r="Y60" s="361"/>
      <c r="Z60" s="359"/>
      <c r="AA60" s="360"/>
      <c r="AB60" s="360"/>
      <c r="AC60" s="361"/>
      <c r="AD60" s="359"/>
      <c r="AE60" s="360"/>
      <c r="AF60" s="360"/>
      <c r="AG60" s="361"/>
      <c r="AH60" s="308"/>
      <c r="AI60" s="309"/>
      <c r="AJ60" s="310"/>
      <c r="AL60" s="306" t="str">
        <f>IF($B60&lt;&gt;"",IF(INDEX($AY$11:$BA$447, MATCH($B60,$AY$11:$AY$447,), MATCH("Ch16DLmg/l",$AY$10:$BA$10,))&lt;&gt;0,INDEX($AY$11:$BA$447, MATCH($B60,$AY$11:$AY$447,), MATCH("Ch16DLmg/l",$AY$10:$BA$10,)),0),"")</f>
        <v/>
      </c>
      <c r="AM60" s="304" t="str">
        <f>IF(OR(AND(BK60&lt;&gt;"",BK60&lt;AL60),AND(BL60&lt;&gt;"",BL60&lt;AL60),AND(BM60&lt;&gt;"",BM60&lt;AL60)),"Y","")</f>
        <v/>
      </c>
      <c r="AN60" s="302">
        <f>IF(ISERR(FIND(".",K60)),0,LEN(MID(K60,FIND(".",K60)+1,15)))</f>
        <v>0</v>
      </c>
      <c r="AO60" s="302">
        <f>IF(ISERR(FIND(".",O60)),0,LEN(MID(O60,FIND(".",O60)+1,15)))</f>
        <v>0</v>
      </c>
      <c r="AP60" s="302">
        <f>IF(ISERR(FIND(".",V60)),0,LEN(MID(V60,FIND(".",V60)+1,15)))</f>
        <v>0</v>
      </c>
      <c r="AQ60" s="302">
        <f>IF(ISERR(FIND(".",Z60)),0,LEN(MID(Z60,FIND(".",Z60)+1,15)))</f>
        <v>0</v>
      </c>
      <c r="AR60" s="302">
        <f>IF(ISERR(FIND(".",AD60)),0,LEN(MID(AD60,FIND(".",AD60)+1,15)))</f>
        <v>0</v>
      </c>
      <c r="AS60" s="302" t="str">
        <f>IF(OR(K60="",K60="Report"),"E","")</f>
        <v>E</v>
      </c>
      <c r="AT60" s="302" t="str">
        <f>IF(OR(O60="",O60="Report"),"E","")</f>
        <v>E</v>
      </c>
      <c r="AU60" s="302" t="str">
        <f>IF(OR(V60="",V60="Report"),"E","")</f>
        <v>E</v>
      </c>
      <c r="AV60" s="302" t="str">
        <f>IF(OR(Z60="",Z60="Report"),"E","")</f>
        <v>E</v>
      </c>
      <c r="AW60" s="302" t="str">
        <f>IF(OR(AD60="",AD60="Report"),"E","")</f>
        <v>E</v>
      </c>
      <c r="AX60" s="304" t="str">
        <f>IF(OR(AND($B60&lt;&gt;"",$AH60&lt;&gt;""),AND($B60&lt;&gt;"",$S60&lt;&gt;"")),INDEX($BI$11:$BJ$54, MATCH('Outfall 1 Daily'!AE$13,$BI$11:$BI$54,), MATCH("Symbol",$BI$10:$BJ$10,)),"")</f>
        <v/>
      </c>
      <c r="AY60" s="297" t="s">
        <v>142</v>
      </c>
      <c r="AZ60" s="297" t="s">
        <v>455</v>
      </c>
      <c r="BA60" s="174">
        <v>3.2000000000000003E-4</v>
      </c>
      <c r="BK60" s="302" t="str">
        <f>IF(AND(V60&lt;&gt;"",V60&lt;&gt;"Report"),VALUE(V60),"")</f>
        <v/>
      </c>
      <c r="BL60" s="302" t="str">
        <f>IF(AND(Z60&lt;&gt;"",Z60&lt;&gt;"Report"),VALUE(Z60),"")</f>
        <v/>
      </c>
      <c r="BM60" s="302" t="str">
        <f>IF(AND(AD60&lt;&gt;"",AD60&lt;&gt;"Report"),VALUE(AD60),"")</f>
        <v/>
      </c>
    </row>
    <row r="61" spans="2:65" ht="13.5" customHeight="1" x14ac:dyDescent="0.2">
      <c r="B61" s="350"/>
      <c r="C61" s="351"/>
      <c r="D61" s="351"/>
      <c r="E61" s="351"/>
      <c r="F61" s="352"/>
      <c r="G61" s="356"/>
      <c r="H61" s="357"/>
      <c r="I61" s="357"/>
      <c r="J61" s="358"/>
      <c r="K61" s="362"/>
      <c r="L61" s="363"/>
      <c r="M61" s="363"/>
      <c r="N61" s="364"/>
      <c r="O61" s="362"/>
      <c r="P61" s="363"/>
      <c r="Q61" s="363"/>
      <c r="R61" s="364"/>
      <c r="S61" s="311"/>
      <c r="T61" s="312"/>
      <c r="U61" s="366"/>
      <c r="V61" s="362"/>
      <c r="W61" s="363"/>
      <c r="X61" s="363"/>
      <c r="Y61" s="364"/>
      <c r="Z61" s="362"/>
      <c r="AA61" s="363"/>
      <c r="AB61" s="363"/>
      <c r="AC61" s="364"/>
      <c r="AD61" s="362"/>
      <c r="AE61" s="363"/>
      <c r="AF61" s="363"/>
      <c r="AG61" s="364"/>
      <c r="AH61" s="311"/>
      <c r="AI61" s="312"/>
      <c r="AJ61" s="313"/>
      <c r="AL61" s="306"/>
      <c r="AM61" s="304"/>
      <c r="AN61" s="302"/>
      <c r="AO61" s="302"/>
      <c r="AP61" s="302"/>
      <c r="AQ61" s="302"/>
      <c r="AR61" s="302"/>
      <c r="AS61" s="302"/>
      <c r="AT61" s="302"/>
      <c r="AU61" s="302"/>
      <c r="AV61" s="302"/>
      <c r="AW61" s="302"/>
      <c r="AX61" s="304"/>
      <c r="AY61" s="297" t="s">
        <v>143</v>
      </c>
      <c r="AZ61" s="297" t="s">
        <v>456</v>
      </c>
      <c r="BA61" s="174">
        <v>1.2999999999999999E-2</v>
      </c>
      <c r="BK61" s="302"/>
      <c r="BL61" s="302"/>
      <c r="BM61" s="302"/>
    </row>
    <row r="62" spans="2:65" ht="13.5" customHeight="1" x14ac:dyDescent="0.2">
      <c r="B62" s="317"/>
      <c r="C62" s="318"/>
      <c r="D62" s="318"/>
      <c r="E62" s="318"/>
      <c r="F62" s="319"/>
      <c r="G62" s="323" t="s">
        <v>87</v>
      </c>
      <c r="H62" s="324"/>
      <c r="I62" s="324"/>
      <c r="J62" s="325"/>
      <c r="K62" s="329"/>
      <c r="L62" s="330"/>
      <c r="M62" s="330"/>
      <c r="N62" s="331"/>
      <c r="O62" s="335"/>
      <c r="P62" s="336"/>
      <c r="Q62" s="336"/>
      <c r="R62" s="337"/>
      <c r="S62" s="311"/>
      <c r="T62" s="312"/>
      <c r="U62" s="366"/>
      <c r="V62" s="329"/>
      <c r="W62" s="330"/>
      <c r="X62" s="330"/>
      <c r="Y62" s="331"/>
      <c r="Z62" s="329"/>
      <c r="AA62" s="330"/>
      <c r="AB62" s="330"/>
      <c r="AC62" s="331"/>
      <c r="AD62" s="341"/>
      <c r="AE62" s="342"/>
      <c r="AF62" s="342"/>
      <c r="AG62" s="343"/>
      <c r="AH62" s="311"/>
      <c r="AI62" s="312"/>
      <c r="AJ62" s="313"/>
      <c r="AL62" s="306"/>
      <c r="AM62" s="304"/>
      <c r="AN62" s="302"/>
      <c r="AO62" s="302"/>
      <c r="AP62" s="302"/>
      <c r="AQ62" s="302"/>
      <c r="AR62" s="302"/>
      <c r="AS62" s="302"/>
      <c r="AT62" s="302"/>
      <c r="AU62" s="302"/>
      <c r="AV62" s="302"/>
      <c r="AW62" s="302"/>
      <c r="AX62" s="304"/>
      <c r="AY62" s="297" t="s">
        <v>144</v>
      </c>
      <c r="AZ62" s="297" t="s">
        <v>457</v>
      </c>
      <c r="BA62" s="174">
        <v>2.0000000000000002E-5</v>
      </c>
    </row>
    <row r="63" spans="2:65" ht="13.5" customHeight="1" thickBot="1" x14ac:dyDescent="0.25">
      <c r="B63" s="320"/>
      <c r="C63" s="321"/>
      <c r="D63" s="321"/>
      <c r="E63" s="321"/>
      <c r="F63" s="322"/>
      <c r="G63" s="326"/>
      <c r="H63" s="327"/>
      <c r="I63" s="327"/>
      <c r="J63" s="328"/>
      <c r="K63" s="332"/>
      <c r="L63" s="333"/>
      <c r="M63" s="333"/>
      <c r="N63" s="334"/>
      <c r="O63" s="338"/>
      <c r="P63" s="339"/>
      <c r="Q63" s="339"/>
      <c r="R63" s="340"/>
      <c r="S63" s="314"/>
      <c r="T63" s="315"/>
      <c r="U63" s="367"/>
      <c r="V63" s="332"/>
      <c r="W63" s="333"/>
      <c r="X63" s="333"/>
      <c r="Y63" s="334"/>
      <c r="Z63" s="332"/>
      <c r="AA63" s="333"/>
      <c r="AB63" s="333"/>
      <c r="AC63" s="334"/>
      <c r="AD63" s="344"/>
      <c r="AE63" s="345"/>
      <c r="AF63" s="345"/>
      <c r="AG63" s="346"/>
      <c r="AH63" s="314"/>
      <c r="AI63" s="315"/>
      <c r="AJ63" s="316"/>
      <c r="AL63" s="306"/>
      <c r="AM63" s="304"/>
      <c r="AN63" s="302"/>
      <c r="AO63" s="302"/>
      <c r="AP63" s="302"/>
      <c r="AQ63" s="302"/>
      <c r="AR63" s="302"/>
      <c r="AS63" s="302"/>
      <c r="AT63" s="302"/>
      <c r="AU63" s="302"/>
      <c r="AV63" s="302"/>
      <c r="AW63" s="302"/>
      <c r="AX63" s="304"/>
      <c r="AY63" s="297" t="s">
        <v>145</v>
      </c>
      <c r="AZ63" s="297" t="s">
        <v>458</v>
      </c>
      <c r="BA63" s="174">
        <v>1.0000000000000001E-5</v>
      </c>
    </row>
    <row r="64" spans="2:65" ht="13.5" customHeight="1" x14ac:dyDescent="0.2">
      <c r="B64" s="347"/>
      <c r="C64" s="348"/>
      <c r="D64" s="348"/>
      <c r="E64" s="348"/>
      <c r="F64" s="349"/>
      <c r="G64" s="353" t="s">
        <v>86</v>
      </c>
      <c r="H64" s="354"/>
      <c r="I64" s="354"/>
      <c r="J64" s="355"/>
      <c r="K64" s="359"/>
      <c r="L64" s="360"/>
      <c r="M64" s="360"/>
      <c r="N64" s="361"/>
      <c r="O64" s="359"/>
      <c r="P64" s="360"/>
      <c r="Q64" s="360"/>
      <c r="R64" s="361"/>
      <c r="S64" s="308"/>
      <c r="T64" s="309"/>
      <c r="U64" s="365"/>
      <c r="V64" s="359"/>
      <c r="W64" s="360"/>
      <c r="X64" s="360"/>
      <c r="Y64" s="361"/>
      <c r="Z64" s="359"/>
      <c r="AA64" s="360"/>
      <c r="AB64" s="360"/>
      <c r="AC64" s="361"/>
      <c r="AD64" s="359"/>
      <c r="AE64" s="360"/>
      <c r="AF64" s="360"/>
      <c r="AG64" s="361"/>
      <c r="AH64" s="308"/>
      <c r="AI64" s="309"/>
      <c r="AJ64" s="310"/>
      <c r="AL64" s="306" t="str">
        <f>IF($B64&lt;&gt;"",IF(INDEX($AY$11:$BA$447, MATCH($B64,$AY$11:$AY$447,), MATCH("Ch16DLmg/l",$AY$10:$BA$10,))&lt;&gt;0,INDEX($AY$11:$BA$447, MATCH($B64,$AY$11:$AY$447,), MATCH("Ch16DLmg/l",$AY$10:$BA$10,)),0),"")</f>
        <v/>
      </c>
      <c r="AM64" s="304" t="str">
        <f>IF(OR(AND(BK64&lt;&gt;"",BK64&lt;AL64),AND(BL64&lt;&gt;"",BL64&lt;AL64),AND(BM64&lt;&gt;"",BM64&lt;AL64)),"Y","")</f>
        <v/>
      </c>
      <c r="AN64" s="302">
        <f>IF(ISERR(FIND(".",K64)),0,LEN(MID(K64,FIND(".",K64)+1,15)))</f>
        <v>0</v>
      </c>
      <c r="AO64" s="302">
        <f>IF(ISERR(FIND(".",O64)),0,LEN(MID(O64,FIND(".",O64)+1,15)))</f>
        <v>0</v>
      </c>
      <c r="AP64" s="302">
        <f>IF(ISERR(FIND(".",V64)),0,LEN(MID(V64,FIND(".",V64)+1,15)))</f>
        <v>0</v>
      </c>
      <c r="AQ64" s="302">
        <f>IF(ISERR(FIND(".",Z64)),0,LEN(MID(Z64,FIND(".",Z64)+1,15)))</f>
        <v>0</v>
      </c>
      <c r="AR64" s="302">
        <f>IF(ISERR(FIND(".",AD64)),0,LEN(MID(AD64,FIND(".",AD64)+1,15)))</f>
        <v>0</v>
      </c>
      <c r="AS64" s="302" t="str">
        <f>IF(OR(K64="",K64="Report"),"E","")</f>
        <v>E</v>
      </c>
      <c r="AT64" s="302" t="str">
        <f>IF(OR(O64="",O64="Report"),"E","")</f>
        <v>E</v>
      </c>
      <c r="AU64" s="302" t="str">
        <f>IF(OR(V64="",V64="Report"),"E","")</f>
        <v>E</v>
      </c>
      <c r="AV64" s="302" t="str">
        <f>IF(OR(Z64="",Z64="Report"),"E","")</f>
        <v>E</v>
      </c>
      <c r="AW64" s="302" t="str">
        <f>IF(OR(AD64="",AD64="Report"),"E","")</f>
        <v>E</v>
      </c>
      <c r="AX64" s="304" t="str">
        <f>IF(OR(AND($B64&lt;&gt;"",$AH64&lt;&gt;""),AND($B64&lt;&gt;"",$S64&lt;&gt;"")),INDEX($BI$11:$BJ$54, MATCH('Outfall 1 Daily'!AG$13,$BI$11:$BI$54,), MATCH("Symbol",$BI$10:$BJ$10,)),"")</f>
        <v/>
      </c>
      <c r="AY64" s="297" t="s">
        <v>146</v>
      </c>
      <c r="AZ64" s="297" t="s">
        <v>459</v>
      </c>
      <c r="BA64" s="174"/>
      <c r="BK64" s="302" t="str">
        <f>IF(AND(V64&lt;&gt;"",V64&lt;&gt;"Report"),VALUE(V64),"")</f>
        <v/>
      </c>
      <c r="BL64" s="302" t="str">
        <f>IF(AND(Z64&lt;&gt;"",Z64&lt;&gt;"Report"),VALUE(Z64),"")</f>
        <v/>
      </c>
      <c r="BM64" s="302" t="str">
        <f>IF(AND(AD64&lt;&gt;"",AD64&lt;&gt;"Report"),VALUE(AD64),"")</f>
        <v/>
      </c>
    </row>
    <row r="65" spans="2:65" ht="13.5" customHeight="1" x14ac:dyDescent="0.2">
      <c r="B65" s="350"/>
      <c r="C65" s="351"/>
      <c r="D65" s="351"/>
      <c r="E65" s="351"/>
      <c r="F65" s="352"/>
      <c r="G65" s="356"/>
      <c r="H65" s="357"/>
      <c r="I65" s="357"/>
      <c r="J65" s="358"/>
      <c r="K65" s="362"/>
      <c r="L65" s="363"/>
      <c r="M65" s="363"/>
      <c r="N65" s="364"/>
      <c r="O65" s="362"/>
      <c r="P65" s="363"/>
      <c r="Q65" s="363"/>
      <c r="R65" s="364"/>
      <c r="S65" s="311"/>
      <c r="T65" s="312"/>
      <c r="U65" s="366"/>
      <c r="V65" s="362"/>
      <c r="W65" s="363"/>
      <c r="X65" s="363"/>
      <c r="Y65" s="364"/>
      <c r="Z65" s="362"/>
      <c r="AA65" s="363"/>
      <c r="AB65" s="363"/>
      <c r="AC65" s="364"/>
      <c r="AD65" s="362"/>
      <c r="AE65" s="363"/>
      <c r="AF65" s="363"/>
      <c r="AG65" s="364"/>
      <c r="AH65" s="311"/>
      <c r="AI65" s="312"/>
      <c r="AJ65" s="313"/>
      <c r="AL65" s="306"/>
      <c r="AM65" s="304"/>
      <c r="AN65" s="302"/>
      <c r="AO65" s="302"/>
      <c r="AP65" s="302"/>
      <c r="AQ65" s="302"/>
      <c r="AR65" s="302"/>
      <c r="AS65" s="302"/>
      <c r="AT65" s="302"/>
      <c r="AU65" s="302"/>
      <c r="AV65" s="302"/>
      <c r="AW65" s="302"/>
      <c r="AX65" s="304"/>
      <c r="AY65" s="297" t="s">
        <v>147</v>
      </c>
      <c r="AZ65" s="297" t="s">
        <v>460</v>
      </c>
      <c r="BA65" s="174"/>
      <c r="BK65" s="302"/>
      <c r="BL65" s="302"/>
      <c r="BM65" s="302"/>
    </row>
    <row r="66" spans="2:65" ht="13.5" customHeight="1" x14ac:dyDescent="0.2">
      <c r="B66" s="317"/>
      <c r="C66" s="318"/>
      <c r="D66" s="318"/>
      <c r="E66" s="318"/>
      <c r="F66" s="319"/>
      <c r="G66" s="323" t="s">
        <v>87</v>
      </c>
      <c r="H66" s="324"/>
      <c r="I66" s="324"/>
      <c r="J66" s="325"/>
      <c r="K66" s="329"/>
      <c r="L66" s="330"/>
      <c r="M66" s="330"/>
      <c r="N66" s="331"/>
      <c r="O66" s="335"/>
      <c r="P66" s="336"/>
      <c r="Q66" s="336"/>
      <c r="R66" s="337"/>
      <c r="S66" s="311"/>
      <c r="T66" s="312"/>
      <c r="U66" s="366"/>
      <c r="V66" s="329"/>
      <c r="W66" s="330"/>
      <c r="X66" s="330"/>
      <c r="Y66" s="331"/>
      <c r="Z66" s="329"/>
      <c r="AA66" s="330"/>
      <c r="AB66" s="330"/>
      <c r="AC66" s="331"/>
      <c r="AD66" s="341"/>
      <c r="AE66" s="342"/>
      <c r="AF66" s="342"/>
      <c r="AG66" s="343"/>
      <c r="AH66" s="311"/>
      <c r="AI66" s="312"/>
      <c r="AJ66" s="313"/>
      <c r="AL66" s="306"/>
      <c r="AM66" s="304"/>
      <c r="AN66" s="302"/>
      <c r="AO66" s="302"/>
      <c r="AP66" s="302"/>
      <c r="AQ66" s="302"/>
      <c r="AR66" s="302"/>
      <c r="AS66" s="302"/>
      <c r="AT66" s="302"/>
      <c r="AU66" s="302"/>
      <c r="AV66" s="302"/>
      <c r="AW66" s="302"/>
      <c r="AX66" s="304"/>
      <c r="AY66" s="297" t="s">
        <v>148</v>
      </c>
      <c r="AZ66" s="297" t="s">
        <v>461</v>
      </c>
      <c r="BA66" s="174">
        <v>1.2999999999999999E-4</v>
      </c>
    </row>
    <row r="67" spans="2:65" ht="13.5" customHeight="1" thickBot="1" x14ac:dyDescent="0.25">
      <c r="B67" s="320"/>
      <c r="C67" s="321"/>
      <c r="D67" s="321"/>
      <c r="E67" s="321"/>
      <c r="F67" s="322"/>
      <c r="G67" s="326"/>
      <c r="H67" s="327"/>
      <c r="I67" s="327"/>
      <c r="J67" s="328"/>
      <c r="K67" s="332"/>
      <c r="L67" s="333"/>
      <c r="M67" s="333"/>
      <c r="N67" s="334"/>
      <c r="O67" s="338"/>
      <c r="P67" s="339"/>
      <c r="Q67" s="339"/>
      <c r="R67" s="340"/>
      <c r="S67" s="314"/>
      <c r="T67" s="315"/>
      <c r="U67" s="367"/>
      <c r="V67" s="332"/>
      <c r="W67" s="333"/>
      <c r="X67" s="333"/>
      <c r="Y67" s="334"/>
      <c r="Z67" s="332"/>
      <c r="AA67" s="333"/>
      <c r="AB67" s="333"/>
      <c r="AC67" s="334"/>
      <c r="AD67" s="344"/>
      <c r="AE67" s="345"/>
      <c r="AF67" s="345"/>
      <c r="AG67" s="346"/>
      <c r="AH67" s="314"/>
      <c r="AI67" s="315"/>
      <c r="AJ67" s="316"/>
      <c r="AL67" s="306"/>
      <c r="AM67" s="304"/>
      <c r="AN67" s="302"/>
      <c r="AO67" s="302"/>
      <c r="AP67" s="302"/>
      <c r="AQ67" s="302"/>
      <c r="AR67" s="302"/>
      <c r="AS67" s="302"/>
      <c r="AT67" s="302"/>
      <c r="AU67" s="302"/>
      <c r="AV67" s="302"/>
      <c r="AW67" s="302"/>
      <c r="AX67" s="304"/>
      <c r="AY67" s="297" t="s">
        <v>149</v>
      </c>
      <c r="AZ67" s="297" t="s">
        <v>462</v>
      </c>
      <c r="BA67" s="174">
        <v>9.3999999999999997E-4</v>
      </c>
    </row>
    <row r="68" spans="2:65" ht="13.5" customHeight="1" x14ac:dyDescent="0.2">
      <c r="B68" s="347"/>
      <c r="C68" s="348"/>
      <c r="D68" s="348"/>
      <c r="E68" s="348"/>
      <c r="F68" s="349"/>
      <c r="G68" s="353" t="s">
        <v>86</v>
      </c>
      <c r="H68" s="354"/>
      <c r="I68" s="354"/>
      <c r="J68" s="355"/>
      <c r="K68" s="359"/>
      <c r="L68" s="360"/>
      <c r="M68" s="360"/>
      <c r="N68" s="361"/>
      <c r="O68" s="359"/>
      <c r="P68" s="360"/>
      <c r="Q68" s="360"/>
      <c r="R68" s="361"/>
      <c r="S68" s="308"/>
      <c r="T68" s="309"/>
      <c r="U68" s="365"/>
      <c r="V68" s="359"/>
      <c r="W68" s="360"/>
      <c r="X68" s="360"/>
      <c r="Y68" s="361"/>
      <c r="Z68" s="359"/>
      <c r="AA68" s="360"/>
      <c r="AB68" s="360"/>
      <c r="AC68" s="361"/>
      <c r="AD68" s="359"/>
      <c r="AE68" s="360"/>
      <c r="AF68" s="360"/>
      <c r="AG68" s="361"/>
      <c r="AH68" s="308"/>
      <c r="AI68" s="309"/>
      <c r="AJ68" s="310"/>
      <c r="AL68" s="306" t="str">
        <f>IF($B68&lt;&gt;"",IF(INDEX($AY$11:$BA$447, MATCH($B68,$AY$11:$AY$447,), MATCH("Ch16DLmg/l",$AY$10:$BA$10,))&lt;&gt;0,INDEX($AY$11:$BA$447, MATCH($B68,$AY$11:$AY$447,), MATCH("Ch16DLmg/l",$AY$10:$BA$10,)),0),"")</f>
        <v/>
      </c>
      <c r="AM68" s="304" t="str">
        <f>IF(OR(AND(BK68&lt;&gt;"",BK68&lt;AL68),AND(BL68&lt;&gt;"",BL68&lt;AL68),AND(BM68&lt;&gt;"",BM68&lt;AL68)),"Y","")</f>
        <v/>
      </c>
      <c r="AN68" s="302">
        <f>IF(ISERR(FIND(".",K68)),0,LEN(MID(K68,FIND(".",K68)+1,15)))</f>
        <v>0</v>
      </c>
      <c r="AO68" s="302">
        <f>IF(ISERR(FIND(".",O68)),0,LEN(MID(O68,FIND(".",O68)+1,15)))</f>
        <v>0</v>
      </c>
      <c r="AP68" s="302">
        <f>IF(ISERR(FIND(".",V68)),0,LEN(MID(V68,FIND(".",V68)+1,15)))</f>
        <v>0</v>
      </c>
      <c r="AQ68" s="302">
        <f>IF(ISERR(FIND(".",Z68)),0,LEN(MID(Z68,FIND(".",Z68)+1,15)))</f>
        <v>0</v>
      </c>
      <c r="AR68" s="302">
        <f>IF(ISERR(FIND(".",AD68)),0,LEN(MID(AD68,FIND(".",AD68)+1,15)))</f>
        <v>0</v>
      </c>
      <c r="AS68" s="302" t="str">
        <f>IF(OR(K68="",K68="Report"),"E","")</f>
        <v>E</v>
      </c>
      <c r="AT68" s="302" t="str">
        <f>IF(OR(O68="",O68="Report"),"E","")</f>
        <v>E</v>
      </c>
      <c r="AU68" s="302" t="str">
        <f>IF(OR(V68="",V68="Report"),"E","")</f>
        <v>E</v>
      </c>
      <c r="AV68" s="302" t="str">
        <f>IF(OR(Z68="",Z68="Report"),"E","")</f>
        <v>E</v>
      </c>
      <c r="AW68" s="302" t="str">
        <f>IF(OR(AD68="",AD68="Report"),"E","")</f>
        <v>E</v>
      </c>
      <c r="AX68" s="304" t="str">
        <f>IF(OR(AND($B68&lt;&gt;"",$AH68&lt;&gt;""),AND($B68&lt;&gt;"",$S68&lt;&gt;"")),INDEX($BI$11:$BJ$54, MATCH('Outfall 1 Daily'!AI$13,$BI$11:$BI$54,), MATCH("Symbol",$BI$10:$BJ$10,)),"")</f>
        <v/>
      </c>
      <c r="AY68" s="297" t="s">
        <v>150</v>
      </c>
      <c r="AZ68" s="297" t="s">
        <v>463</v>
      </c>
      <c r="BA68" s="174">
        <v>3.1E-4</v>
      </c>
      <c r="BK68" s="302" t="str">
        <f>IF(AND(V68&lt;&gt;"",V68&lt;&gt;"Report"),VALUE(V68),"")</f>
        <v/>
      </c>
      <c r="BL68" s="302" t="str">
        <f>IF(AND(Z68&lt;&gt;"",Z68&lt;&gt;"Report"),VALUE(Z68),"")</f>
        <v/>
      </c>
      <c r="BM68" s="302" t="str">
        <f>IF(AND(AD68&lt;&gt;"",AD68&lt;&gt;"Report"),VALUE(AD68),"")</f>
        <v/>
      </c>
    </row>
    <row r="69" spans="2:65" ht="13.5" customHeight="1" x14ac:dyDescent="0.2">
      <c r="B69" s="350"/>
      <c r="C69" s="351"/>
      <c r="D69" s="351"/>
      <c r="E69" s="351"/>
      <c r="F69" s="352"/>
      <c r="G69" s="356"/>
      <c r="H69" s="357"/>
      <c r="I69" s="357"/>
      <c r="J69" s="358"/>
      <c r="K69" s="362"/>
      <c r="L69" s="363"/>
      <c r="M69" s="363"/>
      <c r="N69" s="364"/>
      <c r="O69" s="362"/>
      <c r="P69" s="363"/>
      <c r="Q69" s="363"/>
      <c r="R69" s="364"/>
      <c r="S69" s="311"/>
      <c r="T69" s="312"/>
      <c r="U69" s="366"/>
      <c r="V69" s="362"/>
      <c r="W69" s="363"/>
      <c r="X69" s="363"/>
      <c r="Y69" s="364"/>
      <c r="Z69" s="362"/>
      <c r="AA69" s="363"/>
      <c r="AB69" s="363"/>
      <c r="AC69" s="364"/>
      <c r="AD69" s="362"/>
      <c r="AE69" s="363"/>
      <c r="AF69" s="363"/>
      <c r="AG69" s="364"/>
      <c r="AH69" s="311"/>
      <c r="AI69" s="312"/>
      <c r="AJ69" s="313"/>
      <c r="AL69" s="306"/>
      <c r="AM69" s="304"/>
      <c r="AN69" s="302"/>
      <c r="AO69" s="302"/>
      <c r="AP69" s="302"/>
      <c r="AQ69" s="302"/>
      <c r="AR69" s="302"/>
      <c r="AS69" s="302"/>
      <c r="AT69" s="302"/>
      <c r="AU69" s="302"/>
      <c r="AV69" s="302"/>
      <c r="AW69" s="302"/>
      <c r="AX69" s="304"/>
      <c r="AY69" s="297" t="s">
        <v>151</v>
      </c>
      <c r="AZ69" s="297" t="s">
        <v>464</v>
      </c>
      <c r="BA69" s="174"/>
      <c r="BK69" s="302"/>
      <c r="BL69" s="302"/>
      <c r="BM69" s="302"/>
    </row>
    <row r="70" spans="2:65" ht="13.5" customHeight="1" x14ac:dyDescent="0.2">
      <c r="B70" s="317"/>
      <c r="C70" s="318"/>
      <c r="D70" s="318"/>
      <c r="E70" s="318"/>
      <c r="F70" s="319"/>
      <c r="G70" s="323" t="s">
        <v>87</v>
      </c>
      <c r="H70" s="324"/>
      <c r="I70" s="324"/>
      <c r="J70" s="325"/>
      <c r="K70" s="329"/>
      <c r="L70" s="330"/>
      <c r="M70" s="330"/>
      <c r="N70" s="331"/>
      <c r="O70" s="335"/>
      <c r="P70" s="336"/>
      <c r="Q70" s="336"/>
      <c r="R70" s="337"/>
      <c r="S70" s="311"/>
      <c r="T70" s="312"/>
      <c r="U70" s="366"/>
      <c r="V70" s="329"/>
      <c r="W70" s="330"/>
      <c r="X70" s="330"/>
      <c r="Y70" s="331"/>
      <c r="Z70" s="329"/>
      <c r="AA70" s="330"/>
      <c r="AB70" s="330"/>
      <c r="AC70" s="331"/>
      <c r="AD70" s="341"/>
      <c r="AE70" s="342"/>
      <c r="AF70" s="342"/>
      <c r="AG70" s="343"/>
      <c r="AH70" s="311"/>
      <c r="AI70" s="312"/>
      <c r="AJ70" s="313"/>
      <c r="AL70" s="306"/>
      <c r="AM70" s="304"/>
      <c r="AN70" s="302"/>
      <c r="AO70" s="302"/>
      <c r="AP70" s="302"/>
      <c r="AQ70" s="302"/>
      <c r="AR70" s="302"/>
      <c r="AS70" s="302"/>
      <c r="AT70" s="302"/>
      <c r="AU70" s="302"/>
      <c r="AV70" s="302"/>
      <c r="AW70" s="302"/>
      <c r="AX70" s="304"/>
      <c r="AY70" s="297" t="s">
        <v>152</v>
      </c>
      <c r="AZ70" s="297" t="s">
        <v>465</v>
      </c>
      <c r="BA70" s="174"/>
    </row>
    <row r="71" spans="2:65" ht="13.5" customHeight="1" thickBot="1" x14ac:dyDescent="0.25">
      <c r="B71" s="320"/>
      <c r="C71" s="321"/>
      <c r="D71" s="321"/>
      <c r="E71" s="321"/>
      <c r="F71" s="322"/>
      <c r="G71" s="326"/>
      <c r="H71" s="327"/>
      <c r="I71" s="327"/>
      <c r="J71" s="328"/>
      <c r="K71" s="332"/>
      <c r="L71" s="333"/>
      <c r="M71" s="333"/>
      <c r="N71" s="334"/>
      <c r="O71" s="338"/>
      <c r="P71" s="339"/>
      <c r="Q71" s="339"/>
      <c r="R71" s="340"/>
      <c r="S71" s="314"/>
      <c r="T71" s="315"/>
      <c r="U71" s="367"/>
      <c r="V71" s="332"/>
      <c r="W71" s="333"/>
      <c r="X71" s="333"/>
      <c r="Y71" s="334"/>
      <c r="Z71" s="332"/>
      <c r="AA71" s="333"/>
      <c r="AB71" s="333"/>
      <c r="AC71" s="334"/>
      <c r="AD71" s="344"/>
      <c r="AE71" s="345"/>
      <c r="AF71" s="345"/>
      <c r="AG71" s="346"/>
      <c r="AH71" s="314"/>
      <c r="AI71" s="315"/>
      <c r="AJ71" s="316"/>
      <c r="AL71" s="306"/>
      <c r="AM71" s="304"/>
      <c r="AN71" s="302"/>
      <c r="AO71" s="302"/>
      <c r="AP71" s="302"/>
      <c r="AQ71" s="302"/>
      <c r="AR71" s="302"/>
      <c r="AS71" s="302"/>
      <c r="AT71" s="302"/>
      <c r="AU71" s="302"/>
      <c r="AV71" s="302"/>
      <c r="AW71" s="302"/>
      <c r="AX71" s="304"/>
      <c r="AY71" s="297" t="s">
        <v>153</v>
      </c>
      <c r="AZ71" s="297" t="s">
        <v>466</v>
      </c>
      <c r="BA71" s="174"/>
    </row>
    <row r="72" spans="2:65" ht="13.5" customHeight="1" x14ac:dyDescent="0.2">
      <c r="B72" s="347"/>
      <c r="C72" s="348"/>
      <c r="D72" s="348"/>
      <c r="E72" s="348"/>
      <c r="F72" s="349"/>
      <c r="G72" s="353" t="s">
        <v>86</v>
      </c>
      <c r="H72" s="354"/>
      <c r="I72" s="354"/>
      <c r="J72" s="355"/>
      <c r="K72" s="359"/>
      <c r="L72" s="360"/>
      <c r="M72" s="360"/>
      <c r="N72" s="361"/>
      <c r="O72" s="359"/>
      <c r="P72" s="360"/>
      <c r="Q72" s="360"/>
      <c r="R72" s="361"/>
      <c r="S72" s="308"/>
      <c r="T72" s="309"/>
      <c r="U72" s="365"/>
      <c r="V72" s="359"/>
      <c r="W72" s="360"/>
      <c r="X72" s="360"/>
      <c r="Y72" s="361"/>
      <c r="Z72" s="359"/>
      <c r="AA72" s="360"/>
      <c r="AB72" s="360"/>
      <c r="AC72" s="361"/>
      <c r="AD72" s="359"/>
      <c r="AE72" s="360"/>
      <c r="AF72" s="360"/>
      <c r="AG72" s="361"/>
      <c r="AH72" s="308"/>
      <c r="AI72" s="309"/>
      <c r="AJ72" s="310"/>
      <c r="AL72" s="306" t="str">
        <f>IF($B72&lt;&gt;"",IF(INDEX($AY$11:$BA$447, MATCH($B72,$AY$11:$AY$447,), MATCH("Ch16DLmg/l",$AY$10:$BA$10,))&lt;&gt;0,INDEX($AY$11:$BA$447, MATCH($B72,$AY$11:$AY$447,), MATCH("Ch16DLmg/l",$AY$10:$BA$10,)),0),"")</f>
        <v/>
      </c>
      <c r="AM72" s="304" t="str">
        <f>IF(OR(AND(BK72&lt;&gt;"",BK72&lt;AL72),AND(BL72&lt;&gt;"",BL72&lt;AL72),AND(BM72&lt;&gt;"",BM72&lt;AL72)),"Y","")</f>
        <v/>
      </c>
      <c r="AN72" s="302">
        <f>IF(ISERR(FIND(".",K72)),0,LEN(MID(K72,FIND(".",K72)+1,15)))</f>
        <v>0</v>
      </c>
      <c r="AO72" s="302">
        <f>IF(ISERR(FIND(".",O72)),0,LEN(MID(O72,FIND(".",O72)+1,15)))</f>
        <v>0</v>
      </c>
      <c r="AP72" s="302">
        <f>IF(ISERR(FIND(".",V72)),0,LEN(MID(V72,FIND(".",V72)+1,15)))</f>
        <v>0</v>
      </c>
      <c r="AQ72" s="302">
        <f>IF(ISERR(FIND(".",Z72)),0,LEN(MID(Z72,FIND(".",Z72)+1,15)))</f>
        <v>0</v>
      </c>
      <c r="AR72" s="302">
        <f>IF(ISERR(FIND(".",AD72)),0,LEN(MID(AD72,FIND(".",AD72)+1,15)))</f>
        <v>0</v>
      </c>
      <c r="AS72" s="302" t="str">
        <f>IF(OR(K72="",K72="Report"),"E","")</f>
        <v>E</v>
      </c>
      <c r="AT72" s="302" t="str">
        <f>IF(OR(O72="",O72="Report"),"E","")</f>
        <v>E</v>
      </c>
      <c r="AU72" s="302" t="str">
        <f>IF(OR(V72="",V72="Report"),"E","")</f>
        <v>E</v>
      </c>
      <c r="AV72" s="302" t="str">
        <f>IF(OR(Z72="",Z72="Report"),"E","")</f>
        <v>E</v>
      </c>
      <c r="AW72" s="302" t="str">
        <f>IF(OR(AD72="",AD72="Report"),"E","")</f>
        <v>E</v>
      </c>
      <c r="AX72" s="304" t="str">
        <f>IF(OR(AND($B72&lt;&gt;"",$AH72&lt;&gt;""),AND($B72&lt;&gt;"",$S72&lt;&gt;"")),INDEX($BI$11:$BJ$54, MATCH('Outfall 1 Daily'!AK$13,$BI$11:$BI$54,), MATCH("Symbol",$BI$10:$BJ$10,)),"")</f>
        <v/>
      </c>
      <c r="AY72" s="297" t="s">
        <v>154</v>
      </c>
      <c r="AZ72" s="297" t="s">
        <v>467</v>
      </c>
      <c r="BA72" s="174"/>
      <c r="BK72" s="302" t="str">
        <f>IF(AND(V72&lt;&gt;"",V72&lt;&gt;"Report"),VALUE(V72),"")</f>
        <v/>
      </c>
      <c r="BL72" s="302" t="str">
        <f>IF(AND(Z72&lt;&gt;"",Z72&lt;&gt;"Report"),VALUE(Z72),"")</f>
        <v/>
      </c>
      <c r="BM72" s="302" t="str">
        <f>IF(AND(AD72&lt;&gt;"",AD72&lt;&gt;"Report"),VALUE(AD72),"")</f>
        <v/>
      </c>
    </row>
    <row r="73" spans="2:65" ht="13.5" customHeight="1" x14ac:dyDescent="0.2">
      <c r="B73" s="350"/>
      <c r="C73" s="351"/>
      <c r="D73" s="351"/>
      <c r="E73" s="351"/>
      <c r="F73" s="352"/>
      <c r="G73" s="356"/>
      <c r="H73" s="357"/>
      <c r="I73" s="357"/>
      <c r="J73" s="358"/>
      <c r="K73" s="362"/>
      <c r="L73" s="363"/>
      <c r="M73" s="363"/>
      <c r="N73" s="364"/>
      <c r="O73" s="362"/>
      <c r="P73" s="363"/>
      <c r="Q73" s="363"/>
      <c r="R73" s="364"/>
      <c r="S73" s="311"/>
      <c r="T73" s="312"/>
      <c r="U73" s="366"/>
      <c r="V73" s="362"/>
      <c r="W73" s="363"/>
      <c r="X73" s="363"/>
      <c r="Y73" s="364"/>
      <c r="Z73" s="362"/>
      <c r="AA73" s="363"/>
      <c r="AB73" s="363"/>
      <c r="AC73" s="364"/>
      <c r="AD73" s="362"/>
      <c r="AE73" s="363"/>
      <c r="AF73" s="363"/>
      <c r="AG73" s="364"/>
      <c r="AH73" s="311"/>
      <c r="AI73" s="312"/>
      <c r="AJ73" s="313"/>
      <c r="AL73" s="306"/>
      <c r="AM73" s="304"/>
      <c r="AN73" s="302"/>
      <c r="AO73" s="302"/>
      <c r="AP73" s="302"/>
      <c r="AQ73" s="302"/>
      <c r="AR73" s="302"/>
      <c r="AS73" s="302"/>
      <c r="AT73" s="302"/>
      <c r="AU73" s="302"/>
      <c r="AV73" s="302"/>
      <c r="AW73" s="302"/>
      <c r="AX73" s="304"/>
      <c r="AY73" s="297" t="s">
        <v>155</v>
      </c>
      <c r="AZ73" s="297" t="s">
        <v>468</v>
      </c>
      <c r="BA73" s="174"/>
      <c r="BK73" s="302"/>
      <c r="BL73" s="302"/>
      <c r="BM73" s="302"/>
    </row>
    <row r="74" spans="2:65" ht="13.5" customHeight="1" x14ac:dyDescent="0.2">
      <c r="B74" s="317"/>
      <c r="C74" s="318"/>
      <c r="D74" s="318"/>
      <c r="E74" s="318"/>
      <c r="F74" s="319"/>
      <c r="G74" s="323" t="s">
        <v>87</v>
      </c>
      <c r="H74" s="324"/>
      <c r="I74" s="324"/>
      <c r="J74" s="325"/>
      <c r="K74" s="329"/>
      <c r="L74" s="330"/>
      <c r="M74" s="330"/>
      <c r="N74" s="331"/>
      <c r="O74" s="335"/>
      <c r="P74" s="336"/>
      <c r="Q74" s="336"/>
      <c r="R74" s="337"/>
      <c r="S74" s="311"/>
      <c r="T74" s="312"/>
      <c r="U74" s="366"/>
      <c r="V74" s="329"/>
      <c r="W74" s="330"/>
      <c r="X74" s="330"/>
      <c r="Y74" s="331"/>
      <c r="Z74" s="329"/>
      <c r="AA74" s="330"/>
      <c r="AB74" s="330"/>
      <c r="AC74" s="331"/>
      <c r="AD74" s="341"/>
      <c r="AE74" s="342"/>
      <c r="AF74" s="342"/>
      <c r="AG74" s="343"/>
      <c r="AH74" s="311"/>
      <c r="AI74" s="312"/>
      <c r="AJ74" s="313"/>
      <c r="AL74" s="306"/>
      <c r="AM74" s="304"/>
      <c r="AN74" s="302"/>
      <c r="AO74" s="302"/>
      <c r="AP74" s="302"/>
      <c r="AQ74" s="302"/>
      <c r="AR74" s="302"/>
      <c r="AS74" s="302"/>
      <c r="AT74" s="302"/>
      <c r="AU74" s="302"/>
      <c r="AV74" s="302"/>
      <c r="AW74" s="302"/>
      <c r="AX74" s="304"/>
      <c r="AY74" s="297" t="s">
        <v>156</v>
      </c>
      <c r="AZ74" s="297" t="s">
        <v>469</v>
      </c>
      <c r="BA74" s="174">
        <v>4.4999999999999999E-4</v>
      </c>
    </row>
    <row r="75" spans="2:65" ht="13.5" customHeight="1" thickBot="1" x14ac:dyDescent="0.25">
      <c r="B75" s="320"/>
      <c r="C75" s="321"/>
      <c r="D75" s="321"/>
      <c r="E75" s="321"/>
      <c r="F75" s="322"/>
      <c r="G75" s="326"/>
      <c r="H75" s="327"/>
      <c r="I75" s="327"/>
      <c r="J75" s="328"/>
      <c r="K75" s="332"/>
      <c r="L75" s="333"/>
      <c r="M75" s="333"/>
      <c r="N75" s="334"/>
      <c r="O75" s="338"/>
      <c r="P75" s="339"/>
      <c r="Q75" s="339"/>
      <c r="R75" s="340"/>
      <c r="S75" s="314"/>
      <c r="T75" s="315"/>
      <c r="U75" s="367"/>
      <c r="V75" s="332"/>
      <c r="W75" s="333"/>
      <c r="X75" s="333"/>
      <c r="Y75" s="334"/>
      <c r="Z75" s="332"/>
      <c r="AA75" s="333"/>
      <c r="AB75" s="333"/>
      <c r="AC75" s="334"/>
      <c r="AD75" s="344"/>
      <c r="AE75" s="345"/>
      <c r="AF75" s="345"/>
      <c r="AG75" s="346"/>
      <c r="AH75" s="314"/>
      <c r="AI75" s="315"/>
      <c r="AJ75" s="316"/>
      <c r="AL75" s="306"/>
      <c r="AM75" s="304"/>
      <c r="AN75" s="302"/>
      <c r="AO75" s="302"/>
      <c r="AP75" s="302"/>
      <c r="AQ75" s="302"/>
      <c r="AR75" s="302"/>
      <c r="AS75" s="302"/>
      <c r="AT75" s="302"/>
      <c r="AU75" s="302"/>
      <c r="AV75" s="302"/>
      <c r="AW75" s="302"/>
      <c r="AX75" s="304"/>
      <c r="AY75" s="297" t="s">
        <v>157</v>
      </c>
      <c r="AZ75" s="297" t="s">
        <v>470</v>
      </c>
      <c r="BA75" s="174">
        <v>1.2999999999999999E-4</v>
      </c>
    </row>
    <row r="76" spans="2:65" ht="13.5" customHeight="1" x14ac:dyDescent="0.2">
      <c r="B76" s="347"/>
      <c r="C76" s="348"/>
      <c r="D76" s="348"/>
      <c r="E76" s="348"/>
      <c r="F76" s="349"/>
      <c r="G76" s="353" t="s">
        <v>86</v>
      </c>
      <c r="H76" s="354"/>
      <c r="I76" s="354"/>
      <c r="J76" s="355"/>
      <c r="K76" s="359"/>
      <c r="L76" s="360"/>
      <c r="M76" s="360"/>
      <c r="N76" s="361"/>
      <c r="O76" s="359"/>
      <c r="P76" s="360"/>
      <c r="Q76" s="360"/>
      <c r="R76" s="361"/>
      <c r="S76" s="308"/>
      <c r="T76" s="309"/>
      <c r="U76" s="365"/>
      <c r="V76" s="359"/>
      <c r="W76" s="360"/>
      <c r="X76" s="360"/>
      <c r="Y76" s="361"/>
      <c r="Z76" s="359"/>
      <c r="AA76" s="360"/>
      <c r="AB76" s="360"/>
      <c r="AC76" s="361"/>
      <c r="AD76" s="359"/>
      <c r="AE76" s="360"/>
      <c r="AF76" s="360"/>
      <c r="AG76" s="361"/>
      <c r="AH76" s="308"/>
      <c r="AI76" s="309"/>
      <c r="AJ76" s="310"/>
      <c r="AL76" s="306" t="str">
        <f>IF($B76&lt;&gt;"",IF(INDEX($AY$11:$BA$447, MATCH($B76,$AY$11:$AY$447,), MATCH("Ch16DLmg/l",$AY$10:$BA$10,))&lt;&gt;0,INDEX($AY$11:$BA$447, MATCH($B76,$AY$11:$AY$447,), MATCH("Ch16DLmg/l",$AY$10:$BA$10,)),0),"")</f>
        <v/>
      </c>
      <c r="AM76" s="304" t="str">
        <f>IF(OR(AND(BK76&lt;&gt;"",BK76&lt;AL76),AND(BL76&lt;&gt;"",BL76&lt;AL76),AND(BM76&lt;&gt;"",BM76&lt;AL76)),"Y","")</f>
        <v/>
      </c>
      <c r="AN76" s="302">
        <f>IF(ISERR(FIND(".",K76)),0,LEN(MID(K76,FIND(".",K76)+1,15)))</f>
        <v>0</v>
      </c>
      <c r="AO76" s="302">
        <f>IF(ISERR(FIND(".",O76)),0,LEN(MID(O76,FIND(".",O76)+1,15)))</f>
        <v>0</v>
      </c>
      <c r="AP76" s="302">
        <f>IF(ISERR(FIND(".",V76)),0,LEN(MID(V76,FIND(".",V76)+1,15)))</f>
        <v>0</v>
      </c>
      <c r="AQ76" s="302">
        <f>IF(ISERR(FIND(".",Z76)),0,LEN(MID(Z76,FIND(".",Z76)+1,15)))</f>
        <v>0</v>
      </c>
      <c r="AR76" s="302">
        <f>IF(ISERR(FIND(".",AD76)),0,LEN(MID(AD76,FIND(".",AD76)+1,15)))</f>
        <v>0</v>
      </c>
      <c r="AS76" s="302" t="str">
        <f>IF(OR(K76="",K76="Report"),"E","")</f>
        <v>E</v>
      </c>
      <c r="AT76" s="302" t="str">
        <f>IF(OR(O76="",O76="Report"),"E","")</f>
        <v>E</v>
      </c>
      <c r="AU76" s="302" t="str">
        <f>IF(OR(V76="",V76="Report"),"E","")</f>
        <v>E</v>
      </c>
      <c r="AV76" s="302" t="str">
        <f>IF(OR(Z76="",Z76="Report"),"E","")</f>
        <v>E</v>
      </c>
      <c r="AW76" s="302" t="str">
        <f>IF(OR(AD76="",AD76="Report"),"E","")</f>
        <v>E</v>
      </c>
      <c r="AX76" s="304" t="str">
        <f>IF(OR(AND($B76&lt;&gt;"",$AH76&lt;&gt;""),AND($B76&lt;&gt;"",$S76&lt;&gt;"")),INDEX($BI$11:$BJ$54, MATCH('Outfall 1 Daily'!AM$13,$BI$11:$BI$54,), MATCH("Symbol",$BI$10:$BJ$10,)),"")</f>
        <v/>
      </c>
      <c r="AY76" s="6" t="s">
        <v>158</v>
      </c>
      <c r="AZ76" s="6" t="s">
        <v>471</v>
      </c>
      <c r="BA76" s="5"/>
      <c r="BK76" s="302" t="str">
        <f>IF(AND(V76&lt;&gt;"",V76&lt;&gt;"Report"),VALUE(V76),"")</f>
        <v/>
      </c>
      <c r="BL76" s="302" t="str">
        <f>IF(AND(Z76&lt;&gt;"",Z76&lt;&gt;"Report"),VALUE(Z76),"")</f>
        <v/>
      </c>
      <c r="BM76" s="302" t="str">
        <f>IF(AND(AD76&lt;&gt;"",AD76&lt;&gt;"Report"),VALUE(AD76),"")</f>
        <v/>
      </c>
    </row>
    <row r="77" spans="2:65" ht="13.5" customHeight="1" x14ac:dyDescent="0.2">
      <c r="B77" s="350"/>
      <c r="C77" s="351"/>
      <c r="D77" s="351"/>
      <c r="E77" s="351"/>
      <c r="F77" s="352"/>
      <c r="G77" s="356"/>
      <c r="H77" s="357"/>
      <c r="I77" s="357"/>
      <c r="J77" s="358"/>
      <c r="K77" s="362"/>
      <c r="L77" s="363"/>
      <c r="M77" s="363"/>
      <c r="N77" s="364"/>
      <c r="O77" s="362"/>
      <c r="P77" s="363"/>
      <c r="Q77" s="363"/>
      <c r="R77" s="364"/>
      <c r="S77" s="311"/>
      <c r="T77" s="312"/>
      <c r="U77" s="366"/>
      <c r="V77" s="362"/>
      <c r="W77" s="363"/>
      <c r="X77" s="363"/>
      <c r="Y77" s="364"/>
      <c r="Z77" s="362"/>
      <c r="AA77" s="363"/>
      <c r="AB77" s="363"/>
      <c r="AC77" s="364"/>
      <c r="AD77" s="362"/>
      <c r="AE77" s="363"/>
      <c r="AF77" s="363"/>
      <c r="AG77" s="364"/>
      <c r="AH77" s="311"/>
      <c r="AI77" s="312"/>
      <c r="AJ77" s="313"/>
      <c r="AL77" s="306"/>
      <c r="AM77" s="304"/>
      <c r="AN77" s="302"/>
      <c r="AO77" s="302"/>
      <c r="AP77" s="302"/>
      <c r="AQ77" s="302"/>
      <c r="AR77" s="302"/>
      <c r="AS77" s="302"/>
      <c r="AT77" s="302"/>
      <c r="AU77" s="302"/>
      <c r="AV77" s="302"/>
      <c r="AW77" s="302"/>
      <c r="AX77" s="304"/>
      <c r="AY77" s="6" t="s">
        <v>159</v>
      </c>
      <c r="AZ77" s="6" t="s">
        <v>472</v>
      </c>
      <c r="BA77" s="5"/>
      <c r="BK77" s="302"/>
      <c r="BL77" s="302"/>
      <c r="BM77" s="302"/>
    </row>
    <row r="78" spans="2:65" ht="13.5" customHeight="1" x14ac:dyDescent="0.2">
      <c r="B78" s="317"/>
      <c r="C78" s="318"/>
      <c r="D78" s="318"/>
      <c r="E78" s="318"/>
      <c r="F78" s="319"/>
      <c r="G78" s="323" t="s">
        <v>87</v>
      </c>
      <c r="H78" s="324"/>
      <c r="I78" s="324"/>
      <c r="J78" s="325"/>
      <c r="K78" s="329"/>
      <c r="L78" s="330"/>
      <c r="M78" s="330"/>
      <c r="N78" s="331"/>
      <c r="O78" s="335"/>
      <c r="P78" s="336"/>
      <c r="Q78" s="336"/>
      <c r="R78" s="337"/>
      <c r="S78" s="311"/>
      <c r="T78" s="312"/>
      <c r="U78" s="366"/>
      <c r="V78" s="329"/>
      <c r="W78" s="330"/>
      <c r="X78" s="330"/>
      <c r="Y78" s="331"/>
      <c r="Z78" s="329"/>
      <c r="AA78" s="330"/>
      <c r="AB78" s="330"/>
      <c r="AC78" s="331"/>
      <c r="AD78" s="341"/>
      <c r="AE78" s="342"/>
      <c r="AF78" s="342"/>
      <c r="AG78" s="343"/>
      <c r="AH78" s="311"/>
      <c r="AI78" s="312"/>
      <c r="AJ78" s="313"/>
      <c r="AL78" s="306"/>
      <c r="AM78" s="304"/>
      <c r="AN78" s="302"/>
      <c r="AO78" s="302"/>
      <c r="AP78" s="302"/>
      <c r="AQ78" s="302"/>
      <c r="AR78" s="302"/>
      <c r="AS78" s="302"/>
      <c r="AT78" s="302"/>
      <c r="AU78" s="302"/>
      <c r="AV78" s="302"/>
      <c r="AW78" s="302"/>
      <c r="AX78" s="304"/>
      <c r="AY78" s="6" t="s">
        <v>160</v>
      </c>
      <c r="AZ78" s="6" t="s">
        <v>473</v>
      </c>
      <c r="BA78" s="5"/>
    </row>
    <row r="79" spans="2:65" ht="13.5" customHeight="1" thickBot="1" x14ac:dyDescent="0.25">
      <c r="B79" s="320"/>
      <c r="C79" s="321"/>
      <c r="D79" s="321"/>
      <c r="E79" s="321"/>
      <c r="F79" s="322"/>
      <c r="G79" s="326"/>
      <c r="H79" s="327"/>
      <c r="I79" s="327"/>
      <c r="J79" s="328"/>
      <c r="K79" s="332"/>
      <c r="L79" s="333"/>
      <c r="M79" s="333"/>
      <c r="N79" s="334"/>
      <c r="O79" s="338"/>
      <c r="P79" s="339"/>
      <c r="Q79" s="339"/>
      <c r="R79" s="340"/>
      <c r="S79" s="314"/>
      <c r="T79" s="315"/>
      <c r="U79" s="367"/>
      <c r="V79" s="332"/>
      <c r="W79" s="333"/>
      <c r="X79" s="333"/>
      <c r="Y79" s="334"/>
      <c r="Z79" s="332"/>
      <c r="AA79" s="333"/>
      <c r="AB79" s="333"/>
      <c r="AC79" s="334"/>
      <c r="AD79" s="344"/>
      <c r="AE79" s="345"/>
      <c r="AF79" s="345"/>
      <c r="AG79" s="346"/>
      <c r="AH79" s="314"/>
      <c r="AI79" s="315"/>
      <c r="AJ79" s="316"/>
      <c r="AL79" s="306"/>
      <c r="AM79" s="304"/>
      <c r="AN79" s="302"/>
      <c r="AO79" s="302"/>
      <c r="AP79" s="302"/>
      <c r="AQ79" s="302"/>
      <c r="AR79" s="302"/>
      <c r="AS79" s="302"/>
      <c r="AT79" s="302"/>
      <c r="AU79" s="302"/>
      <c r="AV79" s="302"/>
      <c r="AW79" s="302"/>
      <c r="AX79" s="304"/>
      <c r="AY79" s="6" t="s">
        <v>161</v>
      </c>
      <c r="AZ79" s="6" t="s">
        <v>474</v>
      </c>
      <c r="BA79" s="5"/>
    </row>
    <row r="80" spans="2:65" ht="13.5" customHeight="1" x14ac:dyDescent="0.2">
      <c r="B80" s="347"/>
      <c r="C80" s="348"/>
      <c r="D80" s="348"/>
      <c r="E80" s="348"/>
      <c r="F80" s="349"/>
      <c r="G80" s="353" t="s">
        <v>86</v>
      </c>
      <c r="H80" s="354"/>
      <c r="I80" s="354"/>
      <c r="J80" s="355"/>
      <c r="K80" s="359"/>
      <c r="L80" s="360"/>
      <c r="M80" s="360"/>
      <c r="N80" s="361"/>
      <c r="O80" s="359"/>
      <c r="P80" s="360"/>
      <c r="Q80" s="360"/>
      <c r="R80" s="361"/>
      <c r="S80" s="308"/>
      <c r="T80" s="309"/>
      <c r="U80" s="365"/>
      <c r="V80" s="359"/>
      <c r="W80" s="360"/>
      <c r="X80" s="360"/>
      <c r="Y80" s="361"/>
      <c r="Z80" s="359"/>
      <c r="AA80" s="360"/>
      <c r="AB80" s="360"/>
      <c r="AC80" s="361"/>
      <c r="AD80" s="359"/>
      <c r="AE80" s="360"/>
      <c r="AF80" s="360"/>
      <c r="AG80" s="361"/>
      <c r="AH80" s="308"/>
      <c r="AI80" s="309"/>
      <c r="AJ80" s="310"/>
      <c r="AL80" s="306" t="str">
        <f>IF($B80&lt;&gt;"",IF(INDEX($AY$11:$BA$447, MATCH($B80,$AY$11:$AY$447,), MATCH("Ch16DLmg/l",$AY$10:$BA$10,))&lt;&gt;0,INDEX($AY$11:$BA$447, MATCH($B80,$AY$11:$AY$447,), MATCH("Ch16DLmg/l",$AY$10:$BA$10,)),0),"")</f>
        <v/>
      </c>
      <c r="AM80" s="304" t="str">
        <f>IF(OR(AND(BK80&lt;&gt;"",BK80&lt;AL80),AND(BL80&lt;&gt;"",BL80&lt;AL80),AND(BM80&lt;&gt;"",BM80&lt;AL80)),"Y","")</f>
        <v/>
      </c>
      <c r="AN80" s="302">
        <f>IF(ISERR(FIND(".",K80)),0,LEN(MID(K80,FIND(".",K80)+1,15)))</f>
        <v>0</v>
      </c>
      <c r="AO80" s="302">
        <f>IF(ISERR(FIND(".",O80)),0,LEN(MID(O80,FIND(".",O80)+1,15)))</f>
        <v>0</v>
      </c>
      <c r="AP80" s="302">
        <f>IF(ISERR(FIND(".",V80)),0,LEN(MID(V80,FIND(".",V80)+1,15)))</f>
        <v>0</v>
      </c>
      <c r="AQ80" s="302">
        <f>IF(ISERR(FIND(".",Z80)),0,LEN(MID(Z80,FIND(".",Z80)+1,15)))</f>
        <v>0</v>
      </c>
      <c r="AR80" s="302">
        <f>IF(ISERR(FIND(".",AD80)),0,LEN(MID(AD80,FIND(".",AD80)+1,15)))</f>
        <v>0</v>
      </c>
      <c r="AS80" s="302" t="str">
        <f>IF(OR(K80="",K80="Report"),"E","")</f>
        <v>E</v>
      </c>
      <c r="AT80" s="302" t="str">
        <f>IF(OR(O80="",O80="Report"),"E","")</f>
        <v>E</v>
      </c>
      <c r="AU80" s="302" t="str">
        <f>IF(OR(V80="",V80="Report"),"E","")</f>
        <v>E</v>
      </c>
      <c r="AV80" s="302" t="str">
        <f>IF(OR(Z80="",Z80="Report"),"E","")</f>
        <v>E</v>
      </c>
      <c r="AW80" s="302" t="str">
        <f>IF(OR(AD80="",AD80="Report"),"E","")</f>
        <v>E</v>
      </c>
      <c r="AX80" s="304" t="str">
        <f>IF(OR(AND($B80&lt;&gt;"",$AH80&lt;&gt;""),AND($B80&lt;&gt;"",$S80&lt;&gt;"")),INDEX($BI$11:$BJ$54, MATCH('Outfall 1 Daily'!AO$13,$BI$11:$BI$54,), MATCH("Symbol",$BI$10:$BJ$10,)),"")</f>
        <v/>
      </c>
      <c r="AY80" s="6" t="s">
        <v>162</v>
      </c>
      <c r="AZ80" s="6" t="s">
        <v>475</v>
      </c>
      <c r="BA80" s="5">
        <v>1.8E-5</v>
      </c>
      <c r="BK80" s="302" t="str">
        <f>IF(AND(V80&lt;&gt;"",V80&lt;&gt;"Report"),VALUE(V80),"")</f>
        <v/>
      </c>
      <c r="BL80" s="302" t="str">
        <f>IF(AND(Z80&lt;&gt;"",Z80&lt;&gt;"Report"),VALUE(Z80),"")</f>
        <v/>
      </c>
      <c r="BM80" s="302" t="str">
        <f>IF(AND(AD80&lt;&gt;"",AD80&lt;&gt;"Report"),VALUE(AD80),"")</f>
        <v/>
      </c>
    </row>
    <row r="81" spans="2:65" ht="13.5" customHeight="1" x14ac:dyDescent="0.2">
      <c r="B81" s="350"/>
      <c r="C81" s="351"/>
      <c r="D81" s="351"/>
      <c r="E81" s="351"/>
      <c r="F81" s="352"/>
      <c r="G81" s="356"/>
      <c r="H81" s="357"/>
      <c r="I81" s="357"/>
      <c r="J81" s="358"/>
      <c r="K81" s="362"/>
      <c r="L81" s="363"/>
      <c r="M81" s="363"/>
      <c r="N81" s="364"/>
      <c r="O81" s="362"/>
      <c r="P81" s="363"/>
      <c r="Q81" s="363"/>
      <c r="R81" s="364"/>
      <c r="S81" s="311"/>
      <c r="T81" s="312"/>
      <c r="U81" s="366"/>
      <c r="V81" s="362"/>
      <c r="W81" s="363"/>
      <c r="X81" s="363"/>
      <c r="Y81" s="364"/>
      <c r="Z81" s="362"/>
      <c r="AA81" s="363"/>
      <c r="AB81" s="363"/>
      <c r="AC81" s="364"/>
      <c r="AD81" s="362"/>
      <c r="AE81" s="363"/>
      <c r="AF81" s="363"/>
      <c r="AG81" s="364"/>
      <c r="AH81" s="311"/>
      <c r="AI81" s="312"/>
      <c r="AJ81" s="313"/>
      <c r="AL81" s="306"/>
      <c r="AM81" s="304"/>
      <c r="AN81" s="302"/>
      <c r="AO81" s="302"/>
      <c r="AP81" s="302"/>
      <c r="AQ81" s="302"/>
      <c r="AR81" s="302"/>
      <c r="AS81" s="302"/>
      <c r="AT81" s="302"/>
      <c r="AU81" s="302"/>
      <c r="AV81" s="302"/>
      <c r="AW81" s="302"/>
      <c r="AX81" s="304"/>
      <c r="AY81" s="6" t="s">
        <v>163</v>
      </c>
      <c r="AZ81" s="6" t="s">
        <v>476</v>
      </c>
      <c r="BA81" s="5"/>
      <c r="BK81" s="302"/>
      <c r="BL81" s="302"/>
      <c r="BM81" s="302"/>
    </row>
    <row r="82" spans="2:65" ht="13.5" customHeight="1" x14ac:dyDescent="0.2">
      <c r="B82" s="317"/>
      <c r="C82" s="318"/>
      <c r="D82" s="318"/>
      <c r="E82" s="318"/>
      <c r="F82" s="319"/>
      <c r="G82" s="323" t="s">
        <v>87</v>
      </c>
      <c r="H82" s="324"/>
      <c r="I82" s="324"/>
      <c r="J82" s="325"/>
      <c r="K82" s="329"/>
      <c r="L82" s="330"/>
      <c r="M82" s="330"/>
      <c r="N82" s="331"/>
      <c r="O82" s="335"/>
      <c r="P82" s="336"/>
      <c r="Q82" s="336"/>
      <c r="R82" s="337"/>
      <c r="S82" s="311"/>
      <c r="T82" s="312"/>
      <c r="U82" s="366"/>
      <c r="V82" s="329"/>
      <c r="W82" s="330"/>
      <c r="X82" s="330"/>
      <c r="Y82" s="331"/>
      <c r="Z82" s="329"/>
      <c r="AA82" s="330"/>
      <c r="AB82" s="330"/>
      <c r="AC82" s="331"/>
      <c r="AD82" s="341"/>
      <c r="AE82" s="342"/>
      <c r="AF82" s="342"/>
      <c r="AG82" s="343"/>
      <c r="AH82" s="311"/>
      <c r="AI82" s="312"/>
      <c r="AJ82" s="313"/>
      <c r="AL82" s="306"/>
      <c r="AM82" s="304"/>
      <c r="AN82" s="302"/>
      <c r="AO82" s="302"/>
      <c r="AP82" s="302"/>
      <c r="AQ82" s="302"/>
      <c r="AR82" s="302"/>
      <c r="AS82" s="302"/>
      <c r="AT82" s="302"/>
      <c r="AU82" s="302"/>
      <c r="AV82" s="302"/>
      <c r="AW82" s="302"/>
      <c r="AX82" s="304"/>
      <c r="AY82" s="6" t="s">
        <v>164</v>
      </c>
      <c r="AZ82" s="6" t="s">
        <v>477</v>
      </c>
      <c r="BA82" s="5">
        <v>1.1E-5</v>
      </c>
    </row>
    <row r="83" spans="2:65" ht="13.5" customHeight="1" thickBot="1" x14ac:dyDescent="0.25">
      <c r="B83" s="320"/>
      <c r="C83" s="321"/>
      <c r="D83" s="321"/>
      <c r="E83" s="321"/>
      <c r="F83" s="322"/>
      <c r="G83" s="326"/>
      <c r="H83" s="327"/>
      <c r="I83" s="327"/>
      <c r="J83" s="328"/>
      <c r="K83" s="332"/>
      <c r="L83" s="333"/>
      <c r="M83" s="333"/>
      <c r="N83" s="334"/>
      <c r="O83" s="338"/>
      <c r="P83" s="339"/>
      <c r="Q83" s="339"/>
      <c r="R83" s="340"/>
      <c r="S83" s="314"/>
      <c r="T83" s="315"/>
      <c r="U83" s="367"/>
      <c r="V83" s="332"/>
      <c r="W83" s="333"/>
      <c r="X83" s="333"/>
      <c r="Y83" s="334"/>
      <c r="Z83" s="332"/>
      <c r="AA83" s="333"/>
      <c r="AB83" s="333"/>
      <c r="AC83" s="334"/>
      <c r="AD83" s="344"/>
      <c r="AE83" s="345"/>
      <c r="AF83" s="345"/>
      <c r="AG83" s="346"/>
      <c r="AH83" s="314"/>
      <c r="AI83" s="315"/>
      <c r="AJ83" s="316"/>
      <c r="AL83" s="306"/>
      <c r="AM83" s="304"/>
      <c r="AN83" s="302"/>
      <c r="AO83" s="302"/>
      <c r="AP83" s="302"/>
      <c r="AQ83" s="302"/>
      <c r="AR83" s="302"/>
      <c r="AS83" s="302"/>
      <c r="AT83" s="302"/>
      <c r="AU83" s="302"/>
      <c r="AV83" s="302"/>
      <c r="AW83" s="302"/>
      <c r="AX83" s="304"/>
      <c r="AY83" s="6" t="s">
        <v>165</v>
      </c>
      <c r="AZ83" s="6" t="s">
        <v>478</v>
      </c>
      <c r="BA83" s="5">
        <v>3.9999999999999998E-6</v>
      </c>
    </row>
    <row r="84" spans="2:65" ht="13.5" customHeight="1" x14ac:dyDescent="0.2">
      <c r="B84" s="347"/>
      <c r="C84" s="348"/>
      <c r="D84" s="348"/>
      <c r="E84" s="348"/>
      <c r="F84" s="349"/>
      <c r="G84" s="353" t="s">
        <v>86</v>
      </c>
      <c r="H84" s="354"/>
      <c r="I84" s="354"/>
      <c r="J84" s="355"/>
      <c r="K84" s="359"/>
      <c r="L84" s="360"/>
      <c r="M84" s="360"/>
      <c r="N84" s="361"/>
      <c r="O84" s="359"/>
      <c r="P84" s="360"/>
      <c r="Q84" s="360"/>
      <c r="R84" s="361"/>
      <c r="S84" s="308"/>
      <c r="T84" s="309"/>
      <c r="U84" s="365"/>
      <c r="V84" s="359"/>
      <c r="W84" s="360"/>
      <c r="X84" s="360"/>
      <c r="Y84" s="361"/>
      <c r="Z84" s="359"/>
      <c r="AA84" s="360"/>
      <c r="AB84" s="360"/>
      <c r="AC84" s="361"/>
      <c r="AD84" s="359"/>
      <c r="AE84" s="360"/>
      <c r="AF84" s="360"/>
      <c r="AG84" s="361"/>
      <c r="AH84" s="308"/>
      <c r="AI84" s="309"/>
      <c r="AJ84" s="310"/>
      <c r="AL84" s="306" t="str">
        <f>IF($B84&lt;&gt;"",IF(INDEX($AY$11:$BA$447, MATCH($B84,$AY$11:$AY$447,), MATCH("Ch16DLmg/l",$AY$10:$BA$10,))&lt;&gt;0,INDEX($AY$11:$BA$447, MATCH($B84,$AY$11:$AY$447,), MATCH("Ch16DLmg/l",$AY$10:$BA$10,)),0),"")</f>
        <v/>
      </c>
      <c r="AM84" s="304" t="str">
        <f>IF(OR(AND(BK84&lt;&gt;"",BK84&lt;AL84),AND(BL84&lt;&gt;"",BL84&lt;AL84),AND(BM84&lt;&gt;"",BM84&lt;AL84)),"Y","")</f>
        <v/>
      </c>
      <c r="AN84" s="302">
        <f>IF(ISERR(FIND(".",K84)),0,LEN(MID(K84,FIND(".",K84)+1,15)))</f>
        <v>0</v>
      </c>
      <c r="AO84" s="302">
        <f>IF(ISERR(FIND(".",O84)),0,LEN(MID(O84,FIND(".",O84)+1,15)))</f>
        <v>0</v>
      </c>
      <c r="AP84" s="302">
        <f>IF(ISERR(FIND(".",V84)),0,LEN(MID(V84,FIND(".",V84)+1,15)))</f>
        <v>0</v>
      </c>
      <c r="AQ84" s="302">
        <f>IF(ISERR(FIND(".",Z84)),0,LEN(MID(Z84,FIND(".",Z84)+1,15)))</f>
        <v>0</v>
      </c>
      <c r="AR84" s="302">
        <f>IF(ISERR(FIND(".",AD84)),0,LEN(MID(AD84,FIND(".",AD84)+1,15)))</f>
        <v>0</v>
      </c>
      <c r="AS84" s="302" t="str">
        <f>IF(OR(K84="",K84="Report"),"E","")</f>
        <v>E</v>
      </c>
      <c r="AT84" s="302" t="str">
        <f>IF(OR(O84="",O84="Report"),"E","")</f>
        <v>E</v>
      </c>
      <c r="AU84" s="302" t="str">
        <f>IF(OR(V84="",V84="Report"),"E","")</f>
        <v>E</v>
      </c>
      <c r="AV84" s="302" t="str">
        <f>IF(OR(Z84="",Z84="Report"),"E","")</f>
        <v>E</v>
      </c>
      <c r="AW84" s="302" t="str">
        <f>IF(OR(AD84="",AD84="Report"),"E","")</f>
        <v>E</v>
      </c>
      <c r="AX84" s="304" t="str">
        <f>IF(OR(AND($B84&lt;&gt;"",$AH84&lt;&gt;""),AND($B84&lt;&gt;"",$S84&lt;&gt;"")),INDEX($BI$11:$BJ$54, MATCH('Outfall 1 Daily'!AQ$13,$BI$11:$BI$54,), MATCH("Symbol",$BI$10:$BJ$10,)),"")</f>
        <v/>
      </c>
      <c r="AY84" s="6" t="s">
        <v>166</v>
      </c>
      <c r="AZ84" s="6" t="s">
        <v>479</v>
      </c>
      <c r="BA84" s="5">
        <v>1.2E-5</v>
      </c>
      <c r="BK84" s="302" t="str">
        <f>IF(AND(V84&lt;&gt;"",V84&lt;&gt;"Report"),VALUE(V84),"")</f>
        <v/>
      </c>
      <c r="BL84" s="302" t="str">
        <f>IF(AND(Z84&lt;&gt;"",Z84&lt;&gt;"Report"),VALUE(Z84),"")</f>
        <v/>
      </c>
      <c r="BM84" s="302" t="str">
        <f>IF(AND(AD84&lt;&gt;"",AD84&lt;&gt;"Report"),VALUE(AD84),"")</f>
        <v/>
      </c>
    </row>
    <row r="85" spans="2:65" ht="13.5" customHeight="1" x14ac:dyDescent="0.2">
      <c r="B85" s="350"/>
      <c r="C85" s="351"/>
      <c r="D85" s="351"/>
      <c r="E85" s="351"/>
      <c r="F85" s="352"/>
      <c r="G85" s="356"/>
      <c r="H85" s="357"/>
      <c r="I85" s="357"/>
      <c r="J85" s="358"/>
      <c r="K85" s="362"/>
      <c r="L85" s="363"/>
      <c r="M85" s="363"/>
      <c r="N85" s="364"/>
      <c r="O85" s="362"/>
      <c r="P85" s="363"/>
      <c r="Q85" s="363"/>
      <c r="R85" s="364"/>
      <c r="S85" s="311"/>
      <c r="T85" s="312"/>
      <c r="U85" s="366"/>
      <c r="V85" s="362"/>
      <c r="W85" s="363"/>
      <c r="X85" s="363"/>
      <c r="Y85" s="364"/>
      <c r="Z85" s="362"/>
      <c r="AA85" s="363"/>
      <c r="AB85" s="363"/>
      <c r="AC85" s="364"/>
      <c r="AD85" s="362"/>
      <c r="AE85" s="363"/>
      <c r="AF85" s="363"/>
      <c r="AG85" s="364"/>
      <c r="AH85" s="311"/>
      <c r="AI85" s="312"/>
      <c r="AJ85" s="313"/>
      <c r="AL85" s="306"/>
      <c r="AM85" s="304"/>
      <c r="AN85" s="302"/>
      <c r="AO85" s="302"/>
      <c r="AP85" s="302"/>
      <c r="AQ85" s="302"/>
      <c r="AR85" s="302"/>
      <c r="AS85" s="302"/>
      <c r="AT85" s="302"/>
      <c r="AU85" s="302"/>
      <c r="AV85" s="302"/>
      <c r="AW85" s="302"/>
      <c r="AX85" s="304"/>
      <c r="AY85" s="6" t="s">
        <v>167</v>
      </c>
      <c r="AZ85" s="6" t="s">
        <v>480</v>
      </c>
      <c r="BA85" s="5"/>
      <c r="BK85" s="302"/>
      <c r="BL85" s="302"/>
      <c r="BM85" s="302"/>
    </row>
    <row r="86" spans="2:65" ht="13.5" customHeight="1" x14ac:dyDescent="0.2">
      <c r="B86" s="317"/>
      <c r="C86" s="318"/>
      <c r="D86" s="318"/>
      <c r="E86" s="318"/>
      <c r="F86" s="319"/>
      <c r="G86" s="323" t="s">
        <v>87</v>
      </c>
      <c r="H86" s="324"/>
      <c r="I86" s="324"/>
      <c r="J86" s="325"/>
      <c r="K86" s="329"/>
      <c r="L86" s="330"/>
      <c r="M86" s="330"/>
      <c r="N86" s="331"/>
      <c r="O86" s="335"/>
      <c r="P86" s="336"/>
      <c r="Q86" s="336"/>
      <c r="R86" s="337"/>
      <c r="S86" s="311"/>
      <c r="T86" s="312"/>
      <c r="U86" s="366"/>
      <c r="V86" s="329"/>
      <c r="W86" s="330"/>
      <c r="X86" s="330"/>
      <c r="Y86" s="331"/>
      <c r="Z86" s="329"/>
      <c r="AA86" s="330"/>
      <c r="AB86" s="330"/>
      <c r="AC86" s="331"/>
      <c r="AD86" s="341"/>
      <c r="AE86" s="342"/>
      <c r="AF86" s="342"/>
      <c r="AG86" s="343"/>
      <c r="AH86" s="311"/>
      <c r="AI86" s="312"/>
      <c r="AJ86" s="313"/>
      <c r="AL86" s="306"/>
      <c r="AM86" s="304"/>
      <c r="AN86" s="302"/>
      <c r="AO86" s="302"/>
      <c r="AP86" s="302"/>
      <c r="AQ86" s="302"/>
      <c r="AR86" s="302"/>
      <c r="AS86" s="302"/>
      <c r="AT86" s="302"/>
      <c r="AU86" s="302"/>
      <c r="AV86" s="302"/>
      <c r="AW86" s="302"/>
      <c r="AX86" s="304"/>
      <c r="AY86" s="6" t="s">
        <v>168</v>
      </c>
      <c r="AZ86" s="6" t="s">
        <v>481</v>
      </c>
      <c r="BA86" s="5">
        <v>1.6E-2</v>
      </c>
    </row>
    <row r="87" spans="2:65" ht="13.5" customHeight="1" thickBot="1" x14ac:dyDescent="0.25">
      <c r="B87" s="320"/>
      <c r="C87" s="321"/>
      <c r="D87" s="321"/>
      <c r="E87" s="321"/>
      <c r="F87" s="322"/>
      <c r="G87" s="326"/>
      <c r="H87" s="327"/>
      <c r="I87" s="327"/>
      <c r="J87" s="328"/>
      <c r="K87" s="332"/>
      <c r="L87" s="333"/>
      <c r="M87" s="333"/>
      <c r="N87" s="334"/>
      <c r="O87" s="338"/>
      <c r="P87" s="339"/>
      <c r="Q87" s="339"/>
      <c r="R87" s="340"/>
      <c r="S87" s="314"/>
      <c r="T87" s="315"/>
      <c r="U87" s="367"/>
      <c r="V87" s="332"/>
      <c r="W87" s="333"/>
      <c r="X87" s="333"/>
      <c r="Y87" s="334"/>
      <c r="Z87" s="332"/>
      <c r="AA87" s="333"/>
      <c r="AB87" s="333"/>
      <c r="AC87" s="334"/>
      <c r="AD87" s="344"/>
      <c r="AE87" s="345"/>
      <c r="AF87" s="345"/>
      <c r="AG87" s="346"/>
      <c r="AH87" s="314"/>
      <c r="AI87" s="315"/>
      <c r="AJ87" s="316"/>
      <c r="AL87" s="306"/>
      <c r="AM87" s="304"/>
      <c r="AN87" s="302"/>
      <c r="AO87" s="302"/>
      <c r="AP87" s="302"/>
      <c r="AQ87" s="302"/>
      <c r="AR87" s="302"/>
      <c r="AS87" s="302"/>
      <c r="AT87" s="302"/>
      <c r="AU87" s="302"/>
      <c r="AV87" s="302"/>
      <c r="AW87" s="302"/>
      <c r="AX87" s="304"/>
      <c r="AY87" s="6" t="s">
        <v>169</v>
      </c>
      <c r="AZ87" s="6" t="s">
        <v>482</v>
      </c>
      <c r="BA87" s="5">
        <v>1.9E-3</v>
      </c>
    </row>
    <row r="88" spans="2:65" ht="13.5" customHeight="1" x14ac:dyDescent="0.2">
      <c r="B88" s="347"/>
      <c r="C88" s="348"/>
      <c r="D88" s="348"/>
      <c r="E88" s="348"/>
      <c r="F88" s="349"/>
      <c r="G88" s="353" t="s">
        <v>86</v>
      </c>
      <c r="H88" s="354"/>
      <c r="I88" s="354"/>
      <c r="J88" s="355"/>
      <c r="K88" s="359"/>
      <c r="L88" s="360"/>
      <c r="M88" s="360"/>
      <c r="N88" s="361"/>
      <c r="O88" s="359"/>
      <c r="P88" s="360"/>
      <c r="Q88" s="360"/>
      <c r="R88" s="361"/>
      <c r="S88" s="308"/>
      <c r="T88" s="309"/>
      <c r="U88" s="365"/>
      <c r="V88" s="359"/>
      <c r="W88" s="360"/>
      <c r="X88" s="360"/>
      <c r="Y88" s="361"/>
      <c r="Z88" s="359"/>
      <c r="AA88" s="360"/>
      <c r="AB88" s="360"/>
      <c r="AC88" s="361"/>
      <c r="AD88" s="359"/>
      <c r="AE88" s="360"/>
      <c r="AF88" s="360"/>
      <c r="AG88" s="361"/>
      <c r="AH88" s="308"/>
      <c r="AI88" s="309"/>
      <c r="AJ88" s="310"/>
      <c r="AL88" s="306" t="str">
        <f>IF($B88&lt;&gt;"",IF(INDEX($AY$11:$BA$447, MATCH($B88,$AY$11:$AY$447,), MATCH("Ch16DLmg/l",$AY$10:$BA$10,))&lt;&gt;0,INDEX($AY$11:$BA$447, MATCH($B88,$AY$11:$AY$447,), MATCH("Ch16DLmg/l",$AY$10:$BA$10,)),0),"")</f>
        <v/>
      </c>
      <c r="AM88" s="304" t="str">
        <f>IF(OR(AND(BK88&lt;&gt;"",BK88&lt;AL88),AND(BL88&lt;&gt;"",BL88&lt;AL88),AND(BM88&lt;&gt;"",BM88&lt;AL88)),"Y","")</f>
        <v/>
      </c>
      <c r="AN88" s="302">
        <f>IF(ISERR(FIND(".",K88)),0,LEN(MID(K88,FIND(".",K88)+1,15)))</f>
        <v>0</v>
      </c>
      <c r="AO88" s="302">
        <f>IF(ISERR(FIND(".",O88)),0,LEN(MID(O88,FIND(".",O88)+1,15)))</f>
        <v>0</v>
      </c>
      <c r="AP88" s="302">
        <f>IF(ISERR(FIND(".",V88)),0,LEN(MID(V88,FIND(".",V88)+1,15)))</f>
        <v>0</v>
      </c>
      <c r="AQ88" s="302">
        <f>IF(ISERR(FIND(".",Z88)),0,LEN(MID(Z88,FIND(".",Z88)+1,15)))</f>
        <v>0</v>
      </c>
      <c r="AR88" s="302">
        <f>IF(ISERR(FIND(".",AD88)),0,LEN(MID(AD88,FIND(".",AD88)+1,15)))</f>
        <v>0</v>
      </c>
      <c r="AS88" s="302" t="str">
        <f>IF(OR(K88="",K88="Report"),"E","")</f>
        <v>E</v>
      </c>
      <c r="AT88" s="302" t="str">
        <f>IF(OR(O88="",O88="Report"),"E","")</f>
        <v>E</v>
      </c>
      <c r="AU88" s="302" t="str">
        <f>IF(OR(V88="",V88="Report"),"E","")</f>
        <v>E</v>
      </c>
      <c r="AV88" s="302" t="str">
        <f>IF(OR(Z88="",Z88="Report"),"E","")</f>
        <v>E</v>
      </c>
      <c r="AW88" s="302" t="str">
        <f>IF(OR(AD88="",AD88="Report"),"E","")</f>
        <v>E</v>
      </c>
      <c r="AX88" s="304" t="str">
        <f>IF(OR(AND($B88&lt;&gt;"",$AH88&lt;&gt;""),AND($B88&lt;&gt;"",$S88&lt;&gt;"")),INDEX($BI$11:$BJ$54, MATCH('Outfall 1 Daily'!AS$13,$BI$11:$BI$54,), MATCH("Symbol",$BI$10:$BJ$10,)),"")</f>
        <v/>
      </c>
      <c r="AY88" s="6" t="s">
        <v>170</v>
      </c>
      <c r="AZ88" s="6" t="s">
        <v>483</v>
      </c>
      <c r="BA88" s="5"/>
      <c r="BK88" s="302" t="str">
        <f>IF(AND(V88&lt;&gt;"",V88&lt;&gt;"Report"),VALUE(V88),"")</f>
        <v/>
      </c>
      <c r="BL88" s="302" t="str">
        <f>IF(AND(Z88&lt;&gt;"",Z88&lt;&gt;"Report"),VALUE(Z88),"")</f>
        <v/>
      </c>
      <c r="BM88" s="302" t="str">
        <f>IF(AND(AD88&lt;&gt;"",AD88&lt;&gt;"Report"),VALUE(AD88),"")</f>
        <v/>
      </c>
    </row>
    <row r="89" spans="2:65" ht="13.5" customHeight="1" x14ac:dyDescent="0.2">
      <c r="B89" s="350"/>
      <c r="C89" s="351"/>
      <c r="D89" s="351"/>
      <c r="E89" s="351"/>
      <c r="F89" s="352"/>
      <c r="G89" s="356"/>
      <c r="H89" s="357"/>
      <c r="I89" s="357"/>
      <c r="J89" s="358"/>
      <c r="K89" s="362"/>
      <c r="L89" s="363"/>
      <c r="M89" s="363"/>
      <c r="N89" s="364"/>
      <c r="O89" s="362"/>
      <c r="P89" s="363"/>
      <c r="Q89" s="363"/>
      <c r="R89" s="364"/>
      <c r="S89" s="311"/>
      <c r="T89" s="312"/>
      <c r="U89" s="366"/>
      <c r="V89" s="362"/>
      <c r="W89" s="363"/>
      <c r="X89" s="363"/>
      <c r="Y89" s="364"/>
      <c r="Z89" s="362"/>
      <c r="AA89" s="363"/>
      <c r="AB89" s="363"/>
      <c r="AC89" s="364"/>
      <c r="AD89" s="362"/>
      <c r="AE89" s="363"/>
      <c r="AF89" s="363"/>
      <c r="AG89" s="364"/>
      <c r="AH89" s="311"/>
      <c r="AI89" s="312"/>
      <c r="AJ89" s="313"/>
      <c r="AL89" s="306"/>
      <c r="AM89" s="304"/>
      <c r="AN89" s="302"/>
      <c r="AO89" s="302"/>
      <c r="AP89" s="302"/>
      <c r="AQ89" s="302"/>
      <c r="AR89" s="302"/>
      <c r="AS89" s="302"/>
      <c r="AT89" s="302"/>
      <c r="AU89" s="302"/>
      <c r="AV89" s="302"/>
      <c r="AW89" s="302"/>
      <c r="AX89" s="304"/>
      <c r="AY89" s="6" t="s">
        <v>171</v>
      </c>
      <c r="AZ89" s="6" t="s">
        <v>484</v>
      </c>
      <c r="BA89" s="5">
        <v>3.8999999999999998E-3</v>
      </c>
      <c r="BK89" s="302"/>
      <c r="BL89" s="302"/>
      <c r="BM89" s="302"/>
    </row>
    <row r="90" spans="2:65" ht="13.5" customHeight="1" x14ac:dyDescent="0.2">
      <c r="B90" s="317"/>
      <c r="C90" s="318"/>
      <c r="D90" s="318"/>
      <c r="E90" s="318"/>
      <c r="F90" s="319"/>
      <c r="G90" s="323" t="s">
        <v>87</v>
      </c>
      <c r="H90" s="324"/>
      <c r="I90" s="324"/>
      <c r="J90" s="325"/>
      <c r="K90" s="329"/>
      <c r="L90" s="330"/>
      <c r="M90" s="330"/>
      <c r="N90" s="331"/>
      <c r="O90" s="335"/>
      <c r="P90" s="336"/>
      <c r="Q90" s="336"/>
      <c r="R90" s="337"/>
      <c r="S90" s="311"/>
      <c r="T90" s="312"/>
      <c r="U90" s="366"/>
      <c r="V90" s="329"/>
      <c r="W90" s="330"/>
      <c r="X90" s="330"/>
      <c r="Y90" s="331"/>
      <c r="Z90" s="329"/>
      <c r="AA90" s="330"/>
      <c r="AB90" s="330"/>
      <c r="AC90" s="331"/>
      <c r="AD90" s="341"/>
      <c r="AE90" s="342"/>
      <c r="AF90" s="342"/>
      <c r="AG90" s="343"/>
      <c r="AH90" s="311"/>
      <c r="AI90" s="312"/>
      <c r="AJ90" s="313"/>
      <c r="AL90" s="306"/>
      <c r="AM90" s="304"/>
      <c r="AN90" s="302"/>
      <c r="AO90" s="302"/>
      <c r="AP90" s="302"/>
      <c r="AQ90" s="302"/>
      <c r="AR90" s="302"/>
      <c r="AS90" s="302"/>
      <c r="AT90" s="302"/>
      <c r="AU90" s="302"/>
      <c r="AV90" s="302"/>
      <c r="AW90" s="302"/>
      <c r="AX90" s="304"/>
      <c r="AY90" s="6" t="s">
        <v>172</v>
      </c>
      <c r="AZ90" s="6" t="s">
        <v>485</v>
      </c>
      <c r="BA90" s="5"/>
    </row>
    <row r="91" spans="2:65" ht="13.5" customHeight="1" thickBot="1" x14ac:dyDescent="0.25">
      <c r="B91" s="320"/>
      <c r="C91" s="321"/>
      <c r="D91" s="321"/>
      <c r="E91" s="321"/>
      <c r="F91" s="322"/>
      <c r="G91" s="326"/>
      <c r="H91" s="327"/>
      <c r="I91" s="327"/>
      <c r="J91" s="328"/>
      <c r="K91" s="332"/>
      <c r="L91" s="333"/>
      <c r="M91" s="333"/>
      <c r="N91" s="334"/>
      <c r="O91" s="338"/>
      <c r="P91" s="339"/>
      <c r="Q91" s="339"/>
      <c r="R91" s="340"/>
      <c r="S91" s="314"/>
      <c r="T91" s="315"/>
      <c r="U91" s="367"/>
      <c r="V91" s="332"/>
      <c r="W91" s="333"/>
      <c r="X91" s="333"/>
      <c r="Y91" s="334"/>
      <c r="Z91" s="332"/>
      <c r="AA91" s="333"/>
      <c r="AB91" s="333"/>
      <c r="AC91" s="334"/>
      <c r="AD91" s="344"/>
      <c r="AE91" s="345"/>
      <c r="AF91" s="345"/>
      <c r="AG91" s="346"/>
      <c r="AH91" s="314"/>
      <c r="AI91" s="315"/>
      <c r="AJ91" s="316"/>
      <c r="AL91" s="306"/>
      <c r="AM91" s="304"/>
      <c r="AN91" s="302"/>
      <c r="AO91" s="302"/>
      <c r="AP91" s="302"/>
      <c r="AQ91" s="302"/>
      <c r="AR91" s="302"/>
      <c r="AS91" s="302"/>
      <c r="AT91" s="302"/>
      <c r="AU91" s="302"/>
      <c r="AV91" s="302"/>
      <c r="AW91" s="302"/>
      <c r="AX91" s="304"/>
      <c r="AY91" s="6" t="s">
        <v>173</v>
      </c>
      <c r="AZ91" s="6" t="s">
        <v>486</v>
      </c>
      <c r="BA91" s="5"/>
    </row>
    <row r="92" spans="2:65" ht="13.5" customHeight="1" x14ac:dyDescent="0.2">
      <c r="B92" s="347"/>
      <c r="C92" s="348"/>
      <c r="D92" s="348"/>
      <c r="E92" s="348"/>
      <c r="F92" s="349"/>
      <c r="G92" s="353" t="s">
        <v>86</v>
      </c>
      <c r="H92" s="354"/>
      <c r="I92" s="354"/>
      <c r="J92" s="355"/>
      <c r="K92" s="359"/>
      <c r="L92" s="360"/>
      <c r="M92" s="360"/>
      <c r="N92" s="361"/>
      <c r="O92" s="359"/>
      <c r="P92" s="360"/>
      <c r="Q92" s="360"/>
      <c r="R92" s="361"/>
      <c r="S92" s="308"/>
      <c r="T92" s="309"/>
      <c r="U92" s="365"/>
      <c r="V92" s="359"/>
      <c r="W92" s="360"/>
      <c r="X92" s="360"/>
      <c r="Y92" s="361"/>
      <c r="Z92" s="359"/>
      <c r="AA92" s="360"/>
      <c r="AB92" s="360"/>
      <c r="AC92" s="361"/>
      <c r="AD92" s="359"/>
      <c r="AE92" s="360"/>
      <c r="AF92" s="360"/>
      <c r="AG92" s="361"/>
      <c r="AH92" s="308"/>
      <c r="AI92" s="309"/>
      <c r="AJ92" s="310"/>
      <c r="AL92" s="306" t="str">
        <f>IF($B92&lt;&gt;"",IF(INDEX($AY$11:$BA$447, MATCH($B92,$AY$11:$AY$447,), MATCH("Ch16DLmg/l",$AY$10:$BA$10,))&lt;&gt;0,INDEX($AY$11:$BA$447, MATCH($B92,$AY$11:$AY$447,), MATCH("Ch16DLmg/l",$AY$10:$BA$10,)),0),"")</f>
        <v/>
      </c>
      <c r="AM92" s="304" t="str">
        <f>IF(OR(AND(BK92&lt;&gt;"",BK92&lt;AL92),AND(BL92&lt;&gt;"",BL92&lt;AL92),AND(BM92&lt;&gt;"",BM92&lt;AL92)),"Y","")</f>
        <v/>
      </c>
      <c r="AN92" s="302">
        <f>IF(ISERR(FIND(".",K92)),0,LEN(MID(K92,FIND(".",K92)+1,15)))</f>
        <v>0</v>
      </c>
      <c r="AO92" s="302">
        <f>IF(ISERR(FIND(".",O92)),0,LEN(MID(O92,FIND(".",O92)+1,15)))</f>
        <v>0</v>
      </c>
      <c r="AP92" s="302">
        <f>IF(ISERR(FIND(".",V92)),0,LEN(MID(V92,FIND(".",V92)+1,15)))</f>
        <v>0</v>
      </c>
      <c r="AQ92" s="302">
        <f>IF(ISERR(FIND(".",Z92)),0,LEN(MID(Z92,FIND(".",Z92)+1,15)))</f>
        <v>0</v>
      </c>
      <c r="AR92" s="302">
        <f>IF(ISERR(FIND(".",AD92)),0,LEN(MID(AD92,FIND(".",AD92)+1,15)))</f>
        <v>0</v>
      </c>
      <c r="AS92" s="302" t="str">
        <f>IF(OR(K92="",K92="Report"),"E","")</f>
        <v>E</v>
      </c>
      <c r="AT92" s="302" t="str">
        <f>IF(OR(O92="",O92="Report"),"E","")</f>
        <v>E</v>
      </c>
      <c r="AU92" s="302" t="str">
        <f>IF(OR(V92="",V92="Report"),"E","")</f>
        <v>E</v>
      </c>
      <c r="AV92" s="302" t="str">
        <f>IF(OR(Z92="",Z92="Report"),"E","")</f>
        <v>E</v>
      </c>
      <c r="AW92" s="302" t="str">
        <f>IF(OR(AD92="",AD92="Report"),"E","")</f>
        <v>E</v>
      </c>
      <c r="AX92" s="304" t="str">
        <f>IF(OR(AND($B92&lt;&gt;"",$AH92&lt;&gt;""),AND($B92&lt;&gt;"",$S92&lt;&gt;"")),INDEX($BI$11:$BJ$54, MATCH('Outfall 1 Daily'!AU$13,$BI$11:$BI$54,), MATCH("Symbol",$BI$10:$BJ$10,)),"")</f>
        <v/>
      </c>
      <c r="AY92" s="6" t="s">
        <v>174</v>
      </c>
      <c r="AZ92" s="6" t="s">
        <v>487</v>
      </c>
      <c r="BA92" s="5">
        <v>6.9999999999999999E-4</v>
      </c>
      <c r="BK92" s="302" t="str">
        <f>IF(AND(V92&lt;&gt;"",V92&lt;&gt;"Report"),VALUE(V92),"")</f>
        <v/>
      </c>
      <c r="BL92" s="302" t="str">
        <f>IF(AND(Z92&lt;&gt;"",Z92&lt;&gt;"Report"),VALUE(Z92),"")</f>
        <v/>
      </c>
      <c r="BM92" s="302" t="str">
        <f>IF(AND(AD92&lt;&gt;"",AD92&lt;&gt;"Report"),VALUE(AD92),"")</f>
        <v/>
      </c>
    </row>
    <row r="93" spans="2:65" ht="13.5" customHeight="1" x14ac:dyDescent="0.2">
      <c r="B93" s="350"/>
      <c r="C93" s="351"/>
      <c r="D93" s="351"/>
      <c r="E93" s="351"/>
      <c r="F93" s="352"/>
      <c r="G93" s="356"/>
      <c r="H93" s="357"/>
      <c r="I93" s="357"/>
      <c r="J93" s="358"/>
      <c r="K93" s="362"/>
      <c r="L93" s="363"/>
      <c r="M93" s="363"/>
      <c r="N93" s="364"/>
      <c r="O93" s="362"/>
      <c r="P93" s="363"/>
      <c r="Q93" s="363"/>
      <c r="R93" s="364"/>
      <c r="S93" s="311"/>
      <c r="T93" s="312"/>
      <c r="U93" s="366"/>
      <c r="V93" s="362"/>
      <c r="W93" s="363"/>
      <c r="X93" s="363"/>
      <c r="Y93" s="364"/>
      <c r="Z93" s="362"/>
      <c r="AA93" s="363"/>
      <c r="AB93" s="363"/>
      <c r="AC93" s="364"/>
      <c r="AD93" s="362"/>
      <c r="AE93" s="363"/>
      <c r="AF93" s="363"/>
      <c r="AG93" s="364"/>
      <c r="AH93" s="311"/>
      <c r="AI93" s="312"/>
      <c r="AJ93" s="313"/>
      <c r="AL93" s="306"/>
      <c r="AM93" s="304"/>
      <c r="AN93" s="302"/>
      <c r="AO93" s="302"/>
      <c r="AP93" s="302"/>
      <c r="AQ93" s="302"/>
      <c r="AR93" s="302"/>
      <c r="AS93" s="302"/>
      <c r="AT93" s="302"/>
      <c r="AU93" s="302"/>
      <c r="AV93" s="302"/>
      <c r="AW93" s="302"/>
      <c r="AX93" s="304"/>
      <c r="AY93" s="6" t="s">
        <v>175</v>
      </c>
      <c r="AZ93" s="6" t="s">
        <v>488</v>
      </c>
      <c r="BA93" s="5"/>
      <c r="BK93" s="302"/>
      <c r="BL93" s="302"/>
      <c r="BM93" s="302"/>
    </row>
    <row r="94" spans="2:65" ht="13.5" customHeight="1" x14ac:dyDescent="0.2">
      <c r="B94" s="317"/>
      <c r="C94" s="318"/>
      <c r="D94" s="318"/>
      <c r="E94" s="318"/>
      <c r="F94" s="319"/>
      <c r="G94" s="323" t="s">
        <v>87</v>
      </c>
      <c r="H94" s="324"/>
      <c r="I94" s="324"/>
      <c r="J94" s="325"/>
      <c r="K94" s="329"/>
      <c r="L94" s="330"/>
      <c r="M94" s="330"/>
      <c r="N94" s="331"/>
      <c r="O94" s="335"/>
      <c r="P94" s="336"/>
      <c r="Q94" s="336"/>
      <c r="R94" s="337"/>
      <c r="S94" s="311"/>
      <c r="T94" s="312"/>
      <c r="U94" s="366"/>
      <c r="V94" s="329"/>
      <c r="W94" s="330"/>
      <c r="X94" s="330"/>
      <c r="Y94" s="331"/>
      <c r="Z94" s="329"/>
      <c r="AA94" s="330"/>
      <c r="AB94" s="330"/>
      <c r="AC94" s="331"/>
      <c r="AD94" s="341"/>
      <c r="AE94" s="342"/>
      <c r="AF94" s="342"/>
      <c r="AG94" s="343"/>
      <c r="AH94" s="311"/>
      <c r="AI94" s="312"/>
      <c r="AJ94" s="313"/>
      <c r="AL94" s="306"/>
      <c r="AM94" s="304"/>
      <c r="AN94" s="302"/>
      <c r="AO94" s="302"/>
      <c r="AP94" s="302"/>
      <c r="AQ94" s="302"/>
      <c r="AR94" s="302"/>
      <c r="AS94" s="302"/>
      <c r="AT94" s="302"/>
      <c r="AU94" s="302"/>
      <c r="AV94" s="302"/>
      <c r="AW94" s="302"/>
      <c r="AX94" s="304"/>
      <c r="AY94" s="6" t="s">
        <v>176</v>
      </c>
      <c r="AZ94" s="6" t="s">
        <v>489</v>
      </c>
      <c r="BA94" s="5"/>
    </row>
    <row r="95" spans="2:65" ht="13.5" customHeight="1" thickBot="1" x14ac:dyDescent="0.25">
      <c r="B95" s="320"/>
      <c r="C95" s="321"/>
      <c r="D95" s="321"/>
      <c r="E95" s="321"/>
      <c r="F95" s="322"/>
      <c r="G95" s="326"/>
      <c r="H95" s="327"/>
      <c r="I95" s="327"/>
      <c r="J95" s="328"/>
      <c r="K95" s="332"/>
      <c r="L95" s="333"/>
      <c r="M95" s="333"/>
      <c r="N95" s="334"/>
      <c r="O95" s="338"/>
      <c r="P95" s="339"/>
      <c r="Q95" s="339"/>
      <c r="R95" s="340"/>
      <c r="S95" s="314"/>
      <c r="T95" s="315"/>
      <c r="U95" s="367"/>
      <c r="V95" s="332"/>
      <c r="W95" s="333"/>
      <c r="X95" s="333"/>
      <c r="Y95" s="334"/>
      <c r="Z95" s="332"/>
      <c r="AA95" s="333"/>
      <c r="AB95" s="333"/>
      <c r="AC95" s="334"/>
      <c r="AD95" s="344"/>
      <c r="AE95" s="345"/>
      <c r="AF95" s="345"/>
      <c r="AG95" s="346"/>
      <c r="AH95" s="314"/>
      <c r="AI95" s="315"/>
      <c r="AJ95" s="316"/>
      <c r="AL95" s="306"/>
      <c r="AM95" s="304"/>
      <c r="AN95" s="302"/>
      <c r="AO95" s="302"/>
      <c r="AP95" s="302"/>
      <c r="AQ95" s="302"/>
      <c r="AR95" s="302"/>
      <c r="AS95" s="302"/>
      <c r="AT95" s="302"/>
      <c r="AU95" s="302"/>
      <c r="AV95" s="302"/>
      <c r="AW95" s="302"/>
      <c r="AX95" s="304"/>
      <c r="AY95" s="6" t="s">
        <v>177</v>
      </c>
      <c r="AZ95" s="6" t="s">
        <v>490</v>
      </c>
      <c r="BA95" s="5">
        <v>1.8E-3</v>
      </c>
    </row>
    <row r="96" spans="2:65" ht="13.5" customHeight="1" x14ac:dyDescent="0.2">
      <c r="B96" s="347"/>
      <c r="C96" s="348"/>
      <c r="D96" s="348"/>
      <c r="E96" s="348"/>
      <c r="F96" s="349"/>
      <c r="G96" s="353" t="s">
        <v>86</v>
      </c>
      <c r="H96" s="354"/>
      <c r="I96" s="354"/>
      <c r="J96" s="355"/>
      <c r="K96" s="359"/>
      <c r="L96" s="360"/>
      <c r="M96" s="360"/>
      <c r="N96" s="361"/>
      <c r="O96" s="359"/>
      <c r="P96" s="360"/>
      <c r="Q96" s="360"/>
      <c r="R96" s="361"/>
      <c r="S96" s="308"/>
      <c r="T96" s="309"/>
      <c r="U96" s="365"/>
      <c r="V96" s="359"/>
      <c r="W96" s="360"/>
      <c r="X96" s="360"/>
      <c r="Y96" s="361"/>
      <c r="Z96" s="359"/>
      <c r="AA96" s="360"/>
      <c r="AB96" s="360"/>
      <c r="AC96" s="361"/>
      <c r="AD96" s="359"/>
      <c r="AE96" s="360"/>
      <c r="AF96" s="360"/>
      <c r="AG96" s="361"/>
      <c r="AH96" s="308"/>
      <c r="AI96" s="309"/>
      <c r="AJ96" s="310"/>
      <c r="AL96" s="306" t="str">
        <f>IF($B96&lt;&gt;"",IF(INDEX($AY$11:$BA$447, MATCH($B96,$AY$11:$AY$447,), MATCH("Ch16DLmg/l",$AY$10:$BA$10,))&lt;&gt;0,INDEX($AY$11:$BA$447, MATCH($B96,$AY$11:$AY$447,), MATCH("Ch16DLmg/l",$AY$10:$BA$10,)),0),"")</f>
        <v/>
      </c>
      <c r="AM96" s="304" t="str">
        <f>IF(OR(AND(BK96&lt;&gt;"",BK96&lt;AL96),AND(BL96&lt;&gt;"",BL96&lt;AL96),AND(BM96&lt;&gt;"",BM96&lt;AL96)),"Y","")</f>
        <v/>
      </c>
      <c r="AN96" s="302">
        <f>IF(ISERR(FIND(".",K96)),0,LEN(MID(K96,FIND(".",K96)+1,15)))</f>
        <v>0</v>
      </c>
      <c r="AO96" s="302">
        <f>IF(ISERR(FIND(".",O96)),0,LEN(MID(O96,FIND(".",O96)+1,15)))</f>
        <v>0</v>
      </c>
      <c r="AP96" s="302">
        <f>IF(ISERR(FIND(".",V96)),0,LEN(MID(V96,FIND(".",V96)+1,15)))</f>
        <v>0</v>
      </c>
      <c r="AQ96" s="302">
        <f>IF(ISERR(FIND(".",Z96)),0,LEN(MID(Z96,FIND(".",Z96)+1,15)))</f>
        <v>0</v>
      </c>
      <c r="AR96" s="302">
        <f>IF(ISERR(FIND(".",AD96)),0,LEN(MID(AD96,FIND(".",AD96)+1,15)))</f>
        <v>0</v>
      </c>
      <c r="AS96" s="302" t="str">
        <f>IF(OR(K96="",K96="Report"),"E","")</f>
        <v>E</v>
      </c>
      <c r="AT96" s="302" t="str">
        <f>IF(OR(O96="",O96="Report"),"E","")</f>
        <v>E</v>
      </c>
      <c r="AU96" s="302" t="str">
        <f>IF(OR(V96="",V96="Report"),"E","")</f>
        <v>E</v>
      </c>
      <c r="AV96" s="302" t="str">
        <f>IF(OR(Z96="",Z96="Report"),"E","")</f>
        <v>E</v>
      </c>
      <c r="AW96" s="302" t="str">
        <f>IF(OR(AD96="",AD96="Report"),"E","")</f>
        <v>E</v>
      </c>
      <c r="AX96" s="304" t="str">
        <f>IF(OR(AND($B96&lt;&gt;"",$AH96&lt;&gt;""),AND($B96&lt;&gt;"",$S96&lt;&gt;"")),INDEX($BI$11:$BJ$54, MATCH('Outfall 1 Daily'!AW$13,$BI$11:$BI$54,), MATCH("Symbol",$BI$10:$BJ$10,)),"")</f>
        <v/>
      </c>
      <c r="AY96" s="6" t="s">
        <v>178</v>
      </c>
      <c r="AZ96" s="6" t="s">
        <v>491</v>
      </c>
      <c r="BA96" s="5">
        <v>2.3E-3</v>
      </c>
      <c r="BK96" s="302" t="str">
        <f>IF(AND(V96&lt;&gt;"",V96&lt;&gt;"Report"),VALUE(V96),"")</f>
        <v/>
      </c>
      <c r="BL96" s="302" t="str">
        <f>IF(AND(Z96&lt;&gt;"",Z96&lt;&gt;"Report"),VALUE(Z96),"")</f>
        <v/>
      </c>
      <c r="BM96" s="302" t="str">
        <f>IF(AND(AD96&lt;&gt;"",AD96&lt;&gt;"Report"),VALUE(AD96),"")</f>
        <v/>
      </c>
    </row>
    <row r="97" spans="2:65" ht="13.5" customHeight="1" x14ac:dyDescent="0.2">
      <c r="B97" s="350"/>
      <c r="C97" s="351"/>
      <c r="D97" s="351"/>
      <c r="E97" s="351"/>
      <c r="F97" s="352"/>
      <c r="G97" s="356"/>
      <c r="H97" s="357"/>
      <c r="I97" s="357"/>
      <c r="J97" s="358"/>
      <c r="K97" s="362"/>
      <c r="L97" s="363"/>
      <c r="M97" s="363"/>
      <c r="N97" s="364"/>
      <c r="O97" s="362"/>
      <c r="P97" s="363"/>
      <c r="Q97" s="363"/>
      <c r="R97" s="364"/>
      <c r="S97" s="311"/>
      <c r="T97" s="312"/>
      <c r="U97" s="366"/>
      <c r="V97" s="362"/>
      <c r="W97" s="363"/>
      <c r="X97" s="363"/>
      <c r="Y97" s="364"/>
      <c r="Z97" s="362"/>
      <c r="AA97" s="363"/>
      <c r="AB97" s="363"/>
      <c r="AC97" s="364"/>
      <c r="AD97" s="362"/>
      <c r="AE97" s="363"/>
      <c r="AF97" s="363"/>
      <c r="AG97" s="364"/>
      <c r="AH97" s="311"/>
      <c r="AI97" s="312"/>
      <c r="AJ97" s="313"/>
      <c r="AL97" s="306"/>
      <c r="AM97" s="304"/>
      <c r="AN97" s="302"/>
      <c r="AO97" s="302"/>
      <c r="AP97" s="302"/>
      <c r="AQ97" s="302"/>
      <c r="AR97" s="302"/>
      <c r="AS97" s="302"/>
      <c r="AT97" s="302"/>
      <c r="AU97" s="302"/>
      <c r="AV97" s="302"/>
      <c r="AW97" s="302"/>
      <c r="AX97" s="304"/>
      <c r="AY97" s="6" t="s">
        <v>179</v>
      </c>
      <c r="AZ97" s="6" t="s">
        <v>492</v>
      </c>
      <c r="BA97" s="5"/>
      <c r="BK97" s="302"/>
      <c r="BL97" s="302"/>
      <c r="BM97" s="302"/>
    </row>
    <row r="98" spans="2:65" ht="13.5" customHeight="1" x14ac:dyDescent="0.2">
      <c r="B98" s="317"/>
      <c r="C98" s="318"/>
      <c r="D98" s="318"/>
      <c r="E98" s="318"/>
      <c r="F98" s="319"/>
      <c r="G98" s="323" t="s">
        <v>87</v>
      </c>
      <c r="H98" s="324"/>
      <c r="I98" s="324"/>
      <c r="J98" s="325"/>
      <c r="K98" s="329"/>
      <c r="L98" s="330"/>
      <c r="M98" s="330"/>
      <c r="N98" s="331"/>
      <c r="O98" s="335"/>
      <c r="P98" s="336"/>
      <c r="Q98" s="336"/>
      <c r="R98" s="337"/>
      <c r="S98" s="311"/>
      <c r="T98" s="312"/>
      <c r="U98" s="366"/>
      <c r="V98" s="329"/>
      <c r="W98" s="330"/>
      <c r="X98" s="330"/>
      <c r="Y98" s="331"/>
      <c r="Z98" s="329"/>
      <c r="AA98" s="330"/>
      <c r="AB98" s="330"/>
      <c r="AC98" s="331"/>
      <c r="AD98" s="341"/>
      <c r="AE98" s="342"/>
      <c r="AF98" s="342"/>
      <c r="AG98" s="343"/>
      <c r="AH98" s="311"/>
      <c r="AI98" s="312"/>
      <c r="AJ98" s="313"/>
      <c r="AL98" s="306"/>
      <c r="AM98" s="304"/>
      <c r="AN98" s="302"/>
      <c r="AO98" s="302"/>
      <c r="AP98" s="302"/>
      <c r="AQ98" s="302"/>
      <c r="AR98" s="302"/>
      <c r="AS98" s="302"/>
      <c r="AT98" s="302"/>
      <c r="AU98" s="302"/>
      <c r="AV98" s="302"/>
      <c r="AW98" s="302"/>
      <c r="AX98" s="304"/>
      <c r="AY98" s="6" t="s">
        <v>180</v>
      </c>
      <c r="AZ98" s="6" t="s">
        <v>493</v>
      </c>
      <c r="BA98" s="5"/>
    </row>
    <row r="99" spans="2:65" ht="13.5" customHeight="1" thickBot="1" x14ac:dyDescent="0.25">
      <c r="B99" s="320"/>
      <c r="C99" s="321"/>
      <c r="D99" s="321"/>
      <c r="E99" s="321"/>
      <c r="F99" s="322"/>
      <c r="G99" s="326"/>
      <c r="H99" s="327"/>
      <c r="I99" s="327"/>
      <c r="J99" s="328"/>
      <c r="K99" s="332"/>
      <c r="L99" s="333"/>
      <c r="M99" s="333"/>
      <c r="N99" s="334"/>
      <c r="O99" s="338"/>
      <c r="P99" s="339"/>
      <c r="Q99" s="339"/>
      <c r="R99" s="340"/>
      <c r="S99" s="314"/>
      <c r="T99" s="315"/>
      <c r="U99" s="367"/>
      <c r="V99" s="332"/>
      <c r="W99" s="333"/>
      <c r="X99" s="333"/>
      <c r="Y99" s="334"/>
      <c r="Z99" s="332"/>
      <c r="AA99" s="333"/>
      <c r="AB99" s="333"/>
      <c r="AC99" s="334"/>
      <c r="AD99" s="344"/>
      <c r="AE99" s="345"/>
      <c r="AF99" s="345"/>
      <c r="AG99" s="346"/>
      <c r="AH99" s="314"/>
      <c r="AI99" s="315"/>
      <c r="AJ99" s="316"/>
      <c r="AL99" s="306"/>
      <c r="AM99" s="304"/>
      <c r="AN99" s="302"/>
      <c r="AO99" s="302"/>
      <c r="AP99" s="302"/>
      <c r="AQ99" s="302"/>
      <c r="AR99" s="302"/>
      <c r="AS99" s="302"/>
      <c r="AT99" s="302"/>
      <c r="AU99" s="302"/>
      <c r="AV99" s="302"/>
      <c r="AW99" s="302"/>
      <c r="AX99" s="304"/>
      <c r="AY99" s="6" t="s">
        <v>181</v>
      </c>
      <c r="AZ99" s="6" t="s">
        <v>494</v>
      </c>
      <c r="BA99" s="5"/>
    </row>
    <row r="100" spans="2:65" ht="13.5" customHeight="1" x14ac:dyDescent="0.2">
      <c r="B100" s="347"/>
      <c r="C100" s="348"/>
      <c r="D100" s="348"/>
      <c r="E100" s="348"/>
      <c r="F100" s="349"/>
      <c r="G100" s="353" t="s">
        <v>86</v>
      </c>
      <c r="H100" s="354"/>
      <c r="I100" s="354"/>
      <c r="J100" s="355"/>
      <c r="K100" s="359"/>
      <c r="L100" s="360"/>
      <c r="M100" s="360"/>
      <c r="N100" s="361"/>
      <c r="O100" s="359"/>
      <c r="P100" s="360"/>
      <c r="Q100" s="360"/>
      <c r="R100" s="361"/>
      <c r="S100" s="308"/>
      <c r="T100" s="309"/>
      <c r="U100" s="365"/>
      <c r="V100" s="359"/>
      <c r="W100" s="360"/>
      <c r="X100" s="360"/>
      <c r="Y100" s="361"/>
      <c r="Z100" s="359"/>
      <c r="AA100" s="360"/>
      <c r="AB100" s="360"/>
      <c r="AC100" s="361"/>
      <c r="AD100" s="359"/>
      <c r="AE100" s="360"/>
      <c r="AF100" s="360"/>
      <c r="AG100" s="361"/>
      <c r="AH100" s="308"/>
      <c r="AI100" s="309"/>
      <c r="AJ100" s="310"/>
      <c r="AL100" s="306" t="str">
        <f>IF($B100&lt;&gt;"",IF(INDEX($AY$11:$BA$447, MATCH($B100,$AY$11:$AY$447,), MATCH("Ch16DLmg/l",$AY$10:$BA$10,))&lt;&gt;0,INDEX($AY$11:$BA$447, MATCH($B100,$AY$11:$AY$447,), MATCH("Ch16DLmg/l",$AY$10:$BA$10,)),0),"")</f>
        <v/>
      </c>
      <c r="AM100" s="304" t="str">
        <f>IF(OR(AND(BK100&lt;&gt;"",BK100&lt;AL100),AND(BL100&lt;&gt;"",BL100&lt;AL100),AND(BM100&lt;&gt;"",BM100&lt;AL100)),"Y","")</f>
        <v/>
      </c>
      <c r="AN100" s="302">
        <f>IF(ISERR(FIND(".",K100)),0,LEN(MID(K100,FIND(".",K100)+1,15)))</f>
        <v>0</v>
      </c>
      <c r="AO100" s="302">
        <f>IF(ISERR(FIND(".",O100)),0,LEN(MID(O100,FIND(".",O100)+1,15)))</f>
        <v>0</v>
      </c>
      <c r="AP100" s="302">
        <f>IF(ISERR(FIND(".",V100)),0,LEN(MID(V100,FIND(".",V100)+1,15)))</f>
        <v>0</v>
      </c>
      <c r="AQ100" s="302">
        <f>IF(ISERR(FIND(".",Z100)),0,LEN(MID(Z100,FIND(".",Z100)+1,15)))</f>
        <v>0</v>
      </c>
      <c r="AR100" s="302">
        <f>IF(ISERR(FIND(".",AD100)),0,LEN(MID(AD100,FIND(".",AD100)+1,15)))</f>
        <v>0</v>
      </c>
      <c r="AS100" s="302" t="str">
        <f>IF(OR(K100="",K100="Report"),"E","")</f>
        <v>E</v>
      </c>
      <c r="AT100" s="302" t="str">
        <f>IF(OR(O100="",O100="Report"),"E","")</f>
        <v>E</v>
      </c>
      <c r="AU100" s="302" t="str">
        <f>IF(OR(V100="",V100="Report"),"E","")</f>
        <v>E</v>
      </c>
      <c r="AV100" s="302" t="str">
        <f>IF(OR(Z100="",Z100="Report"),"E","")</f>
        <v>E</v>
      </c>
      <c r="AW100" s="302" t="str">
        <f>IF(OR(AD100="",AD100="Report"),"E","")</f>
        <v>E</v>
      </c>
      <c r="AX100" s="304" t="str">
        <f>IF(OR(AND($B100&lt;&gt;"",$AH100&lt;&gt;""),AND($B100&lt;&gt;"",$S100&lt;&gt;"")),INDEX($BI$11:$BJ$54, MATCH('Outfall 1 Daily'!AY$13,$BI$11:$BI$54,), MATCH("Symbol",$BI$10:$BJ$10,)),"")</f>
        <v/>
      </c>
      <c r="AY100" s="6" t="s">
        <v>182</v>
      </c>
      <c r="AZ100" s="6" t="s">
        <v>495</v>
      </c>
      <c r="BA100" s="5"/>
      <c r="BK100" s="302" t="str">
        <f>IF(AND(V100&lt;&gt;"",V100&lt;&gt;"Report"),VALUE(V100),"")</f>
        <v/>
      </c>
      <c r="BL100" s="302" t="str">
        <f>IF(AND(Z100&lt;&gt;"",Z100&lt;&gt;"Report"),VALUE(Z100),"")</f>
        <v/>
      </c>
      <c r="BM100" s="302" t="str">
        <f>IF(AND(AD100&lt;&gt;"",AD100&lt;&gt;"Report"),VALUE(AD100),"")</f>
        <v/>
      </c>
    </row>
    <row r="101" spans="2:65" ht="13.5" customHeight="1" x14ac:dyDescent="0.2">
      <c r="B101" s="350"/>
      <c r="C101" s="351"/>
      <c r="D101" s="351"/>
      <c r="E101" s="351"/>
      <c r="F101" s="352"/>
      <c r="G101" s="356"/>
      <c r="H101" s="357"/>
      <c r="I101" s="357"/>
      <c r="J101" s="358"/>
      <c r="K101" s="362"/>
      <c r="L101" s="363"/>
      <c r="M101" s="363"/>
      <c r="N101" s="364"/>
      <c r="O101" s="362"/>
      <c r="P101" s="363"/>
      <c r="Q101" s="363"/>
      <c r="R101" s="364"/>
      <c r="S101" s="311"/>
      <c r="T101" s="312"/>
      <c r="U101" s="366"/>
      <c r="V101" s="362"/>
      <c r="W101" s="363"/>
      <c r="X101" s="363"/>
      <c r="Y101" s="364"/>
      <c r="Z101" s="362"/>
      <c r="AA101" s="363"/>
      <c r="AB101" s="363"/>
      <c r="AC101" s="364"/>
      <c r="AD101" s="362"/>
      <c r="AE101" s="363"/>
      <c r="AF101" s="363"/>
      <c r="AG101" s="364"/>
      <c r="AH101" s="311"/>
      <c r="AI101" s="312"/>
      <c r="AJ101" s="313"/>
      <c r="AL101" s="306"/>
      <c r="AM101" s="304"/>
      <c r="AN101" s="302"/>
      <c r="AO101" s="302"/>
      <c r="AP101" s="302"/>
      <c r="AQ101" s="302"/>
      <c r="AR101" s="302"/>
      <c r="AS101" s="302"/>
      <c r="AT101" s="302"/>
      <c r="AU101" s="302"/>
      <c r="AV101" s="302"/>
      <c r="AW101" s="302"/>
      <c r="AX101" s="304"/>
      <c r="AY101" s="6" t="s">
        <v>183</v>
      </c>
      <c r="AZ101" s="6" t="s">
        <v>496</v>
      </c>
      <c r="BA101" s="5"/>
      <c r="BK101" s="302"/>
      <c r="BL101" s="302"/>
      <c r="BM101" s="302"/>
    </row>
    <row r="102" spans="2:65" ht="13.5" customHeight="1" x14ac:dyDescent="0.2">
      <c r="B102" s="317"/>
      <c r="C102" s="318"/>
      <c r="D102" s="318"/>
      <c r="E102" s="318"/>
      <c r="F102" s="319"/>
      <c r="G102" s="323" t="s">
        <v>87</v>
      </c>
      <c r="H102" s="324"/>
      <c r="I102" s="324"/>
      <c r="J102" s="325"/>
      <c r="K102" s="329"/>
      <c r="L102" s="330"/>
      <c r="M102" s="330"/>
      <c r="N102" s="331"/>
      <c r="O102" s="335"/>
      <c r="P102" s="336"/>
      <c r="Q102" s="336"/>
      <c r="R102" s="337"/>
      <c r="S102" s="311"/>
      <c r="T102" s="312"/>
      <c r="U102" s="366"/>
      <c r="V102" s="329"/>
      <c r="W102" s="330"/>
      <c r="X102" s="330"/>
      <c r="Y102" s="331"/>
      <c r="Z102" s="329"/>
      <c r="AA102" s="330"/>
      <c r="AB102" s="330"/>
      <c r="AC102" s="331"/>
      <c r="AD102" s="341"/>
      <c r="AE102" s="342"/>
      <c r="AF102" s="342"/>
      <c r="AG102" s="343"/>
      <c r="AH102" s="311"/>
      <c r="AI102" s="312"/>
      <c r="AJ102" s="313"/>
      <c r="AL102" s="306"/>
      <c r="AM102" s="304"/>
      <c r="AN102" s="302"/>
      <c r="AO102" s="302"/>
      <c r="AP102" s="302"/>
      <c r="AQ102" s="302"/>
      <c r="AR102" s="302"/>
      <c r="AS102" s="302"/>
      <c r="AT102" s="302"/>
      <c r="AU102" s="302"/>
      <c r="AV102" s="302"/>
      <c r="AW102" s="302"/>
      <c r="AX102" s="304"/>
      <c r="AY102" s="6" t="s">
        <v>184</v>
      </c>
      <c r="AZ102" s="6" t="s">
        <v>497</v>
      </c>
      <c r="BA102" s="5"/>
    </row>
    <row r="103" spans="2:65" ht="13.5" customHeight="1" thickBot="1" x14ac:dyDescent="0.25">
      <c r="B103" s="320"/>
      <c r="C103" s="321"/>
      <c r="D103" s="321"/>
      <c r="E103" s="321"/>
      <c r="F103" s="322"/>
      <c r="G103" s="326"/>
      <c r="H103" s="327"/>
      <c r="I103" s="327"/>
      <c r="J103" s="328"/>
      <c r="K103" s="332"/>
      <c r="L103" s="333"/>
      <c r="M103" s="333"/>
      <c r="N103" s="334"/>
      <c r="O103" s="338"/>
      <c r="P103" s="339"/>
      <c r="Q103" s="339"/>
      <c r="R103" s="340"/>
      <c r="S103" s="314"/>
      <c r="T103" s="315"/>
      <c r="U103" s="367"/>
      <c r="V103" s="332"/>
      <c r="W103" s="333"/>
      <c r="X103" s="333"/>
      <c r="Y103" s="334"/>
      <c r="Z103" s="332"/>
      <c r="AA103" s="333"/>
      <c r="AB103" s="333"/>
      <c r="AC103" s="334"/>
      <c r="AD103" s="344"/>
      <c r="AE103" s="345"/>
      <c r="AF103" s="345"/>
      <c r="AG103" s="346"/>
      <c r="AH103" s="314"/>
      <c r="AI103" s="315"/>
      <c r="AJ103" s="316"/>
      <c r="AL103" s="306"/>
      <c r="AM103" s="304"/>
      <c r="AN103" s="302"/>
      <c r="AO103" s="302"/>
      <c r="AP103" s="302"/>
      <c r="AQ103" s="302"/>
      <c r="AR103" s="302"/>
      <c r="AS103" s="302"/>
      <c r="AT103" s="302"/>
      <c r="AU103" s="302"/>
      <c r="AV103" s="302"/>
      <c r="AW103" s="302"/>
      <c r="AX103" s="304"/>
      <c r="AY103" s="6" t="s">
        <v>185</v>
      </c>
      <c r="AZ103" s="6" t="s">
        <v>498</v>
      </c>
      <c r="BA103" s="5">
        <v>6.9999999999999999E-4</v>
      </c>
    </row>
    <row r="104" spans="2:65" ht="13.5" customHeight="1" x14ac:dyDescent="0.2">
      <c r="B104" s="347"/>
      <c r="C104" s="348"/>
      <c r="D104" s="348"/>
      <c r="E104" s="348"/>
      <c r="F104" s="349"/>
      <c r="G104" s="353" t="s">
        <v>86</v>
      </c>
      <c r="H104" s="354"/>
      <c r="I104" s="354"/>
      <c r="J104" s="355"/>
      <c r="K104" s="359"/>
      <c r="L104" s="360"/>
      <c r="M104" s="360"/>
      <c r="N104" s="361"/>
      <c r="O104" s="359"/>
      <c r="P104" s="360"/>
      <c r="Q104" s="360"/>
      <c r="R104" s="361"/>
      <c r="S104" s="308"/>
      <c r="T104" s="309"/>
      <c r="U104" s="365"/>
      <c r="V104" s="359"/>
      <c r="W104" s="360"/>
      <c r="X104" s="360"/>
      <c r="Y104" s="361"/>
      <c r="Z104" s="359"/>
      <c r="AA104" s="360"/>
      <c r="AB104" s="360"/>
      <c r="AC104" s="361"/>
      <c r="AD104" s="359"/>
      <c r="AE104" s="360"/>
      <c r="AF104" s="360"/>
      <c r="AG104" s="361"/>
      <c r="AH104" s="308"/>
      <c r="AI104" s="309"/>
      <c r="AJ104" s="310"/>
      <c r="AL104" s="306" t="str">
        <f>IF($B104&lt;&gt;"",IF(INDEX($AY$11:$BA$447, MATCH($B104,$AY$11:$AY$447,), MATCH("Ch16DLmg/l",$AY$10:$BA$10,))&lt;&gt;0,INDEX($AY$11:$BA$447, MATCH($B104,$AY$11:$AY$447,), MATCH("Ch16DLmg/l",$AY$10:$BA$10,)),0),"")</f>
        <v/>
      </c>
      <c r="AM104" s="304" t="str">
        <f>IF(OR(AND(BK104&lt;&gt;"",BK104&lt;AL104),AND(BL104&lt;&gt;"",BL104&lt;AL104),AND(BM104&lt;&gt;"",BM104&lt;AL104)),"Y","")</f>
        <v/>
      </c>
      <c r="AN104" s="302">
        <f>IF(ISERR(FIND(".",K104)),0,LEN(MID(K104,FIND(".",K104)+1,15)))</f>
        <v>0</v>
      </c>
      <c r="AO104" s="302">
        <f>IF(ISERR(FIND(".",O104)),0,LEN(MID(O104,FIND(".",O104)+1,15)))</f>
        <v>0</v>
      </c>
      <c r="AP104" s="302">
        <f>IF(ISERR(FIND(".",V104)),0,LEN(MID(V104,FIND(".",V104)+1,15)))</f>
        <v>0</v>
      </c>
      <c r="AQ104" s="302">
        <f>IF(ISERR(FIND(".",Z104)),0,LEN(MID(Z104,FIND(".",Z104)+1,15)))</f>
        <v>0</v>
      </c>
      <c r="AR104" s="302">
        <f>IF(ISERR(FIND(".",AD104)),0,LEN(MID(AD104,FIND(".",AD104)+1,15)))</f>
        <v>0</v>
      </c>
      <c r="AS104" s="302" t="str">
        <f>IF(OR(K104="",K104="Report"),"E","")</f>
        <v>E</v>
      </c>
      <c r="AT104" s="302" t="str">
        <f>IF(OR(O104="",O104="Report"),"E","")</f>
        <v>E</v>
      </c>
      <c r="AU104" s="302" t="str">
        <f>IF(OR(V104="",V104="Report"),"E","")</f>
        <v>E</v>
      </c>
      <c r="AV104" s="302" t="str">
        <f>IF(OR(Z104="",Z104="Report"),"E","")</f>
        <v>E</v>
      </c>
      <c r="AW104" s="302" t="str">
        <f>IF(OR(AD104="",AD104="Report"),"E","")</f>
        <v>E</v>
      </c>
      <c r="AX104" s="304" t="str">
        <f>IF(OR(AND($B104&lt;&gt;"",$AH104&lt;&gt;""),AND($B104&lt;&gt;"",$S104&lt;&gt;"")),INDEX($BI$11:$BJ$54, MATCH('Outfall 1 Daily'!BA$13,$BI$11:$BI$54,), MATCH("Symbol",$BI$10:$BJ$10,)),"")</f>
        <v/>
      </c>
      <c r="AY104" s="6" t="s">
        <v>186</v>
      </c>
      <c r="AZ104" s="6" t="s">
        <v>499</v>
      </c>
      <c r="BA104" s="5"/>
      <c r="BK104" s="302" t="str">
        <f>IF(AND(V104&lt;&gt;"",V104&lt;&gt;"Report"),VALUE(V104),"")</f>
        <v/>
      </c>
      <c r="BL104" s="302" t="str">
        <f>IF(AND(Z104&lt;&gt;"",Z104&lt;&gt;"Report"),VALUE(Z104),"")</f>
        <v/>
      </c>
      <c r="BM104" s="302" t="str">
        <f>IF(AND(AD104&lt;&gt;"",AD104&lt;&gt;"Report"),VALUE(AD104),"")</f>
        <v/>
      </c>
    </row>
    <row r="105" spans="2:65" ht="13.5" customHeight="1" x14ac:dyDescent="0.2">
      <c r="B105" s="350"/>
      <c r="C105" s="351"/>
      <c r="D105" s="351"/>
      <c r="E105" s="351"/>
      <c r="F105" s="352"/>
      <c r="G105" s="356"/>
      <c r="H105" s="357"/>
      <c r="I105" s="357"/>
      <c r="J105" s="358"/>
      <c r="K105" s="362"/>
      <c r="L105" s="363"/>
      <c r="M105" s="363"/>
      <c r="N105" s="364"/>
      <c r="O105" s="362"/>
      <c r="P105" s="363"/>
      <c r="Q105" s="363"/>
      <c r="R105" s="364"/>
      <c r="S105" s="311"/>
      <c r="T105" s="312"/>
      <c r="U105" s="366"/>
      <c r="V105" s="362"/>
      <c r="W105" s="363"/>
      <c r="X105" s="363"/>
      <c r="Y105" s="364"/>
      <c r="Z105" s="362"/>
      <c r="AA105" s="363"/>
      <c r="AB105" s="363"/>
      <c r="AC105" s="364"/>
      <c r="AD105" s="362"/>
      <c r="AE105" s="363"/>
      <c r="AF105" s="363"/>
      <c r="AG105" s="364"/>
      <c r="AH105" s="311"/>
      <c r="AI105" s="312"/>
      <c r="AJ105" s="313"/>
      <c r="AL105" s="306"/>
      <c r="AM105" s="304"/>
      <c r="AN105" s="302"/>
      <c r="AO105" s="302"/>
      <c r="AP105" s="302"/>
      <c r="AQ105" s="302"/>
      <c r="AR105" s="302"/>
      <c r="AS105" s="302"/>
      <c r="AT105" s="302"/>
      <c r="AU105" s="302"/>
      <c r="AV105" s="302"/>
      <c r="AW105" s="302"/>
      <c r="AX105" s="304"/>
      <c r="AY105" s="6" t="s">
        <v>187</v>
      </c>
      <c r="AZ105" s="6" t="s">
        <v>500</v>
      </c>
      <c r="BA105" s="5">
        <v>5.0000000000000001E-4</v>
      </c>
      <c r="BK105" s="302"/>
      <c r="BL105" s="302"/>
      <c r="BM105" s="302"/>
    </row>
    <row r="106" spans="2:65" ht="13.5" customHeight="1" x14ac:dyDescent="0.2">
      <c r="B106" s="317"/>
      <c r="C106" s="318"/>
      <c r="D106" s="318"/>
      <c r="E106" s="318"/>
      <c r="F106" s="319"/>
      <c r="G106" s="323" t="s">
        <v>87</v>
      </c>
      <c r="H106" s="324"/>
      <c r="I106" s="324"/>
      <c r="J106" s="325"/>
      <c r="K106" s="329"/>
      <c r="L106" s="330"/>
      <c r="M106" s="330"/>
      <c r="N106" s="331"/>
      <c r="O106" s="335"/>
      <c r="P106" s="336"/>
      <c r="Q106" s="336"/>
      <c r="R106" s="337"/>
      <c r="S106" s="311"/>
      <c r="T106" s="312"/>
      <c r="U106" s="366"/>
      <c r="V106" s="329"/>
      <c r="W106" s="330"/>
      <c r="X106" s="330"/>
      <c r="Y106" s="331"/>
      <c r="Z106" s="329"/>
      <c r="AA106" s="330"/>
      <c r="AB106" s="330"/>
      <c r="AC106" s="331"/>
      <c r="AD106" s="341"/>
      <c r="AE106" s="342"/>
      <c r="AF106" s="342"/>
      <c r="AG106" s="343"/>
      <c r="AH106" s="311"/>
      <c r="AI106" s="312"/>
      <c r="AJ106" s="313"/>
      <c r="AL106" s="306"/>
      <c r="AM106" s="304"/>
      <c r="AN106" s="302"/>
      <c r="AO106" s="302"/>
      <c r="AP106" s="302"/>
      <c r="AQ106" s="302"/>
      <c r="AR106" s="302"/>
      <c r="AS106" s="302"/>
      <c r="AT106" s="302"/>
      <c r="AU106" s="302"/>
      <c r="AV106" s="302"/>
      <c r="AW106" s="302"/>
      <c r="AX106" s="304"/>
      <c r="AY106" s="6" t="s">
        <v>188</v>
      </c>
      <c r="AZ106" s="6" t="s">
        <v>501</v>
      </c>
      <c r="BA106" s="5"/>
    </row>
    <row r="107" spans="2:65" ht="13.5" customHeight="1" thickBot="1" x14ac:dyDescent="0.25">
      <c r="B107" s="320"/>
      <c r="C107" s="321"/>
      <c r="D107" s="321"/>
      <c r="E107" s="321"/>
      <c r="F107" s="322"/>
      <c r="G107" s="326"/>
      <c r="H107" s="327"/>
      <c r="I107" s="327"/>
      <c r="J107" s="328"/>
      <c r="K107" s="332"/>
      <c r="L107" s="333"/>
      <c r="M107" s="333"/>
      <c r="N107" s="334"/>
      <c r="O107" s="338"/>
      <c r="P107" s="339"/>
      <c r="Q107" s="339"/>
      <c r="R107" s="340"/>
      <c r="S107" s="314"/>
      <c r="T107" s="315"/>
      <c r="U107" s="367"/>
      <c r="V107" s="332"/>
      <c r="W107" s="333"/>
      <c r="X107" s="333"/>
      <c r="Y107" s="334"/>
      <c r="Z107" s="332"/>
      <c r="AA107" s="333"/>
      <c r="AB107" s="333"/>
      <c r="AC107" s="334"/>
      <c r="AD107" s="344"/>
      <c r="AE107" s="345"/>
      <c r="AF107" s="345"/>
      <c r="AG107" s="346"/>
      <c r="AH107" s="314"/>
      <c r="AI107" s="315"/>
      <c r="AJ107" s="316"/>
      <c r="AL107" s="306"/>
      <c r="AM107" s="304"/>
      <c r="AN107" s="302"/>
      <c r="AO107" s="302"/>
      <c r="AP107" s="302"/>
      <c r="AQ107" s="302"/>
      <c r="AR107" s="302"/>
      <c r="AS107" s="302"/>
      <c r="AT107" s="302"/>
      <c r="AU107" s="302"/>
      <c r="AV107" s="302"/>
      <c r="AW107" s="302"/>
      <c r="AX107" s="304"/>
      <c r="AY107" s="6" t="s">
        <v>189</v>
      </c>
      <c r="AZ107" s="6" t="s">
        <v>502</v>
      </c>
      <c r="BA107" s="5"/>
    </row>
    <row r="108" spans="2:65" ht="13.5" customHeight="1" x14ac:dyDescent="0.2">
      <c r="B108" s="347"/>
      <c r="C108" s="348"/>
      <c r="D108" s="348"/>
      <c r="E108" s="348"/>
      <c r="F108" s="349"/>
      <c r="G108" s="353" t="s">
        <v>86</v>
      </c>
      <c r="H108" s="354"/>
      <c r="I108" s="354"/>
      <c r="J108" s="355"/>
      <c r="K108" s="359"/>
      <c r="L108" s="360"/>
      <c r="M108" s="360"/>
      <c r="N108" s="361"/>
      <c r="O108" s="359"/>
      <c r="P108" s="360"/>
      <c r="Q108" s="360"/>
      <c r="R108" s="361"/>
      <c r="S108" s="308"/>
      <c r="T108" s="309"/>
      <c r="U108" s="365"/>
      <c r="V108" s="359"/>
      <c r="W108" s="360"/>
      <c r="X108" s="360"/>
      <c r="Y108" s="361"/>
      <c r="Z108" s="359"/>
      <c r="AA108" s="360"/>
      <c r="AB108" s="360"/>
      <c r="AC108" s="361"/>
      <c r="AD108" s="359"/>
      <c r="AE108" s="360"/>
      <c r="AF108" s="360"/>
      <c r="AG108" s="361"/>
      <c r="AH108" s="308"/>
      <c r="AI108" s="309"/>
      <c r="AJ108" s="310"/>
      <c r="AL108" s="306" t="str">
        <f>IF($B108&lt;&gt;"",IF(INDEX($AY$11:$BA$447, MATCH($B108,$AY$11:$AY$447,), MATCH("Ch16DLmg/l",$AY$10:$BA$10,))&lt;&gt;0,INDEX($AY$11:$BA$447, MATCH($B108,$AY$11:$AY$447,), MATCH("Ch16DLmg/l",$AY$10:$BA$10,)),0),"")</f>
        <v/>
      </c>
      <c r="AM108" s="304" t="str">
        <f>IF(OR(AND(BK108&lt;&gt;"",BK108&lt;AL108),AND(BL108&lt;&gt;"",BL108&lt;AL108),AND(BM108&lt;&gt;"",BM108&lt;AL108)),"Y","")</f>
        <v/>
      </c>
      <c r="AN108" s="302">
        <f>IF(ISERR(FIND(".",K108)),0,LEN(MID(K108,FIND(".",K108)+1,15)))</f>
        <v>0</v>
      </c>
      <c r="AO108" s="302">
        <f>IF(ISERR(FIND(".",O108)),0,LEN(MID(O108,FIND(".",O108)+1,15)))</f>
        <v>0</v>
      </c>
      <c r="AP108" s="302">
        <f>IF(ISERR(FIND(".",V108)),0,LEN(MID(V108,FIND(".",V108)+1,15)))</f>
        <v>0</v>
      </c>
      <c r="AQ108" s="302">
        <f>IF(ISERR(FIND(".",Z108)),0,LEN(MID(Z108,FIND(".",Z108)+1,15)))</f>
        <v>0</v>
      </c>
      <c r="AR108" s="302">
        <f>IF(ISERR(FIND(".",AD108)),0,LEN(MID(AD108,FIND(".",AD108)+1,15)))</f>
        <v>0</v>
      </c>
      <c r="AS108" s="302" t="str">
        <f>IF(OR(K108="",K108="Report"),"E","")</f>
        <v>E</v>
      </c>
      <c r="AT108" s="302" t="str">
        <f>IF(OR(O108="",O108="Report"),"E","")</f>
        <v>E</v>
      </c>
      <c r="AU108" s="302" t="str">
        <f>IF(OR(V108="",V108="Report"),"E","")</f>
        <v>E</v>
      </c>
      <c r="AV108" s="302" t="str">
        <f>IF(OR(Z108="",Z108="Report"),"E","")</f>
        <v>E</v>
      </c>
      <c r="AW108" s="302" t="str">
        <f>IF(OR(AD108="",AD108="Report"),"E","")</f>
        <v>E</v>
      </c>
      <c r="AX108" s="304" t="str">
        <f>IF(OR(AND($B108&lt;&gt;"",$AH108&lt;&gt;""),AND($B108&lt;&gt;"",$S108&lt;&gt;"")),INDEX($BI$11:$BJ$54, MATCH('Outfall 1 Daily'!BC$13,$BI$11:$BI$54,), MATCH("Symbol",$BI$10:$BJ$10,)),"")</f>
        <v/>
      </c>
      <c r="AY108" s="6" t="s">
        <v>190</v>
      </c>
      <c r="AZ108" s="6" t="s">
        <v>503</v>
      </c>
      <c r="BA108" s="5"/>
      <c r="BK108" s="302" t="str">
        <f>IF(AND(V108&lt;&gt;"",V108&lt;&gt;"Report"),VALUE(V108),"")</f>
        <v/>
      </c>
      <c r="BL108" s="302" t="str">
        <f>IF(AND(Z108&lt;&gt;"",Z108&lt;&gt;"Report"),VALUE(Z108),"")</f>
        <v/>
      </c>
      <c r="BM108" s="302" t="str">
        <f>IF(AND(AD108&lt;&gt;"",AD108&lt;&gt;"Report"),VALUE(AD108),"")</f>
        <v/>
      </c>
    </row>
    <row r="109" spans="2:65" ht="13.5" customHeight="1" x14ac:dyDescent="0.2">
      <c r="B109" s="350"/>
      <c r="C109" s="351"/>
      <c r="D109" s="351"/>
      <c r="E109" s="351"/>
      <c r="F109" s="352"/>
      <c r="G109" s="356"/>
      <c r="H109" s="357"/>
      <c r="I109" s="357"/>
      <c r="J109" s="358"/>
      <c r="K109" s="362"/>
      <c r="L109" s="363"/>
      <c r="M109" s="363"/>
      <c r="N109" s="364"/>
      <c r="O109" s="362"/>
      <c r="P109" s="363"/>
      <c r="Q109" s="363"/>
      <c r="R109" s="364"/>
      <c r="S109" s="311"/>
      <c r="T109" s="312"/>
      <c r="U109" s="366"/>
      <c r="V109" s="362"/>
      <c r="W109" s="363"/>
      <c r="X109" s="363"/>
      <c r="Y109" s="364"/>
      <c r="Z109" s="362"/>
      <c r="AA109" s="363"/>
      <c r="AB109" s="363"/>
      <c r="AC109" s="364"/>
      <c r="AD109" s="362"/>
      <c r="AE109" s="363"/>
      <c r="AF109" s="363"/>
      <c r="AG109" s="364"/>
      <c r="AH109" s="311"/>
      <c r="AI109" s="312"/>
      <c r="AJ109" s="313"/>
      <c r="AL109" s="306"/>
      <c r="AM109" s="304"/>
      <c r="AN109" s="302"/>
      <c r="AO109" s="302"/>
      <c r="AP109" s="302"/>
      <c r="AQ109" s="302"/>
      <c r="AR109" s="302"/>
      <c r="AS109" s="302"/>
      <c r="AT109" s="302"/>
      <c r="AU109" s="302"/>
      <c r="AV109" s="302"/>
      <c r="AW109" s="302"/>
      <c r="AX109" s="304"/>
      <c r="AY109" s="6" t="s">
        <v>191</v>
      </c>
      <c r="AZ109" s="6" t="s">
        <v>504</v>
      </c>
      <c r="BA109" s="5">
        <v>3.9999999999999998E-6</v>
      </c>
      <c r="BK109" s="302"/>
      <c r="BL109" s="302"/>
      <c r="BM109" s="302"/>
    </row>
    <row r="110" spans="2:65" ht="13.5" customHeight="1" x14ac:dyDescent="0.2">
      <c r="B110" s="317"/>
      <c r="C110" s="318"/>
      <c r="D110" s="318"/>
      <c r="E110" s="318"/>
      <c r="F110" s="319"/>
      <c r="G110" s="323" t="s">
        <v>87</v>
      </c>
      <c r="H110" s="324"/>
      <c r="I110" s="324"/>
      <c r="J110" s="325"/>
      <c r="K110" s="329"/>
      <c r="L110" s="330"/>
      <c r="M110" s="330"/>
      <c r="N110" s="331"/>
      <c r="O110" s="335"/>
      <c r="P110" s="336"/>
      <c r="Q110" s="336"/>
      <c r="R110" s="337"/>
      <c r="S110" s="311"/>
      <c r="T110" s="312"/>
      <c r="U110" s="366"/>
      <c r="V110" s="329"/>
      <c r="W110" s="330"/>
      <c r="X110" s="330"/>
      <c r="Y110" s="331"/>
      <c r="Z110" s="329"/>
      <c r="AA110" s="330"/>
      <c r="AB110" s="330"/>
      <c r="AC110" s="331"/>
      <c r="AD110" s="341"/>
      <c r="AE110" s="342"/>
      <c r="AF110" s="342"/>
      <c r="AG110" s="343"/>
      <c r="AH110" s="311"/>
      <c r="AI110" s="312"/>
      <c r="AJ110" s="313"/>
      <c r="AL110" s="306"/>
      <c r="AM110" s="304"/>
      <c r="AN110" s="302"/>
      <c r="AO110" s="302"/>
      <c r="AP110" s="302"/>
      <c r="AQ110" s="302"/>
      <c r="AR110" s="302"/>
      <c r="AS110" s="302"/>
      <c r="AT110" s="302"/>
      <c r="AU110" s="302"/>
      <c r="AV110" s="302"/>
      <c r="AW110" s="302"/>
      <c r="AX110" s="304"/>
      <c r="AY110" s="6" t="s">
        <v>192</v>
      </c>
      <c r="AZ110" s="6" t="s">
        <v>505</v>
      </c>
      <c r="BA110" s="5">
        <v>3.0000000000000001E-6</v>
      </c>
    </row>
    <row r="111" spans="2:65" ht="13.5" customHeight="1" thickBot="1" x14ac:dyDescent="0.25">
      <c r="B111" s="320"/>
      <c r="C111" s="321"/>
      <c r="D111" s="321"/>
      <c r="E111" s="321"/>
      <c r="F111" s="322"/>
      <c r="G111" s="326"/>
      <c r="H111" s="327"/>
      <c r="I111" s="327"/>
      <c r="J111" s="328"/>
      <c r="K111" s="332"/>
      <c r="L111" s="333"/>
      <c r="M111" s="333"/>
      <c r="N111" s="334"/>
      <c r="O111" s="338"/>
      <c r="P111" s="339"/>
      <c r="Q111" s="339"/>
      <c r="R111" s="340"/>
      <c r="S111" s="314"/>
      <c r="T111" s="315"/>
      <c r="U111" s="367"/>
      <c r="V111" s="332"/>
      <c r="W111" s="333"/>
      <c r="X111" s="333"/>
      <c r="Y111" s="334"/>
      <c r="Z111" s="332"/>
      <c r="AA111" s="333"/>
      <c r="AB111" s="333"/>
      <c r="AC111" s="334"/>
      <c r="AD111" s="344"/>
      <c r="AE111" s="345"/>
      <c r="AF111" s="345"/>
      <c r="AG111" s="346"/>
      <c r="AH111" s="314"/>
      <c r="AI111" s="315"/>
      <c r="AJ111" s="316"/>
      <c r="AL111" s="306"/>
      <c r="AM111" s="304"/>
      <c r="AN111" s="302"/>
      <c r="AO111" s="302"/>
      <c r="AP111" s="302"/>
      <c r="AQ111" s="302"/>
      <c r="AR111" s="302"/>
      <c r="AS111" s="302"/>
      <c r="AT111" s="302"/>
      <c r="AU111" s="302"/>
      <c r="AV111" s="302"/>
      <c r="AW111" s="302"/>
      <c r="AX111" s="304"/>
      <c r="AY111" s="6" t="s">
        <v>193</v>
      </c>
      <c r="AZ111" s="6" t="s">
        <v>506</v>
      </c>
      <c r="BA111" s="5">
        <v>1.4E-5</v>
      </c>
    </row>
    <row r="112" spans="2:65" ht="13.5" customHeight="1" x14ac:dyDescent="0.2">
      <c r="B112" s="347"/>
      <c r="C112" s="348"/>
      <c r="D112" s="348"/>
      <c r="E112" s="348"/>
      <c r="F112" s="349"/>
      <c r="G112" s="353" t="s">
        <v>86</v>
      </c>
      <c r="H112" s="354"/>
      <c r="I112" s="354"/>
      <c r="J112" s="355"/>
      <c r="K112" s="359"/>
      <c r="L112" s="360"/>
      <c r="M112" s="360"/>
      <c r="N112" s="361"/>
      <c r="O112" s="359"/>
      <c r="P112" s="360"/>
      <c r="Q112" s="360"/>
      <c r="R112" s="361"/>
      <c r="S112" s="308"/>
      <c r="T112" s="309"/>
      <c r="U112" s="365"/>
      <c r="V112" s="359"/>
      <c r="W112" s="360"/>
      <c r="X112" s="360"/>
      <c r="Y112" s="361"/>
      <c r="Z112" s="359"/>
      <c r="AA112" s="360"/>
      <c r="AB112" s="360"/>
      <c r="AC112" s="361"/>
      <c r="AD112" s="359"/>
      <c r="AE112" s="360"/>
      <c r="AF112" s="360"/>
      <c r="AG112" s="361"/>
      <c r="AH112" s="308"/>
      <c r="AI112" s="309"/>
      <c r="AJ112" s="310"/>
      <c r="AL112" s="306" t="str">
        <f>IF($B112&lt;&gt;"",IF(INDEX($AY$11:$BA$447, MATCH($B112,$AY$11:$AY$447,), MATCH("Ch16DLmg/l",$AY$10:$BA$10,))&lt;&gt;0,INDEX($AY$11:$BA$447, MATCH($B112,$AY$11:$AY$447,), MATCH("Ch16DLmg/l",$AY$10:$BA$10,)),0),"")</f>
        <v/>
      </c>
      <c r="AM112" s="304" t="str">
        <f>IF(OR(AND(BK112&lt;&gt;"",BK112&lt;AL112),AND(BL112&lt;&gt;"",BL112&lt;AL112),AND(BM112&lt;&gt;"",BM112&lt;AL112)),"Y","")</f>
        <v/>
      </c>
      <c r="AN112" s="302">
        <f>IF(ISERR(FIND(".",K112)),0,LEN(MID(K112,FIND(".",K112)+1,15)))</f>
        <v>0</v>
      </c>
      <c r="AO112" s="302">
        <f>IF(ISERR(FIND(".",O112)),0,LEN(MID(O112,FIND(".",O112)+1,15)))</f>
        <v>0</v>
      </c>
      <c r="AP112" s="302">
        <f>IF(ISERR(FIND(".",V112)),0,LEN(MID(V112,FIND(".",V112)+1,15)))</f>
        <v>0</v>
      </c>
      <c r="AQ112" s="302">
        <f>IF(ISERR(FIND(".",Z112)),0,LEN(MID(Z112,FIND(".",Z112)+1,15)))</f>
        <v>0</v>
      </c>
      <c r="AR112" s="302">
        <f>IF(ISERR(FIND(".",AD112)),0,LEN(MID(AD112,FIND(".",AD112)+1,15)))</f>
        <v>0</v>
      </c>
      <c r="AS112" s="302" t="str">
        <f>IF(OR(K112="",K112="Report"),"E","")</f>
        <v>E</v>
      </c>
      <c r="AT112" s="302" t="str">
        <f>IF(OR(O112="",O112="Report"),"E","")</f>
        <v>E</v>
      </c>
      <c r="AU112" s="302" t="str">
        <f>IF(OR(V112="",V112="Report"),"E","")</f>
        <v>E</v>
      </c>
      <c r="AV112" s="302" t="str">
        <f>IF(OR(Z112="",Z112="Report"),"E","")</f>
        <v>E</v>
      </c>
      <c r="AW112" s="302" t="str">
        <f>IF(OR(AD112="",AD112="Report"),"E","")</f>
        <v>E</v>
      </c>
      <c r="AX112" s="304" t="str">
        <f>IF(OR(AND($B112&lt;&gt;"",$AH112&lt;&gt;""),AND($B112&lt;&gt;"",$S112&lt;&gt;"")),INDEX($BI$11:$BJ$54, MATCH('Outfall 1 Daily'!BE$13,$BI$11:$BI$54,), MATCH("Symbol",$BI$10:$BJ$10,)),"")</f>
        <v/>
      </c>
      <c r="AY112" s="6" t="s">
        <v>194</v>
      </c>
      <c r="AZ112" s="6" t="s">
        <v>507</v>
      </c>
      <c r="BA112" s="5"/>
      <c r="BK112" s="302" t="str">
        <f>IF(AND(V112&lt;&gt;"",V112&lt;&gt;"Report"),VALUE(V112),"")</f>
        <v/>
      </c>
      <c r="BL112" s="302" t="str">
        <f>IF(AND(Z112&lt;&gt;"",Z112&lt;&gt;"Report"),VALUE(Z112),"")</f>
        <v/>
      </c>
      <c r="BM112" s="302" t="str">
        <f>IF(AND(AD112&lt;&gt;"",AD112&lt;&gt;"Report"),VALUE(AD112),"")</f>
        <v/>
      </c>
    </row>
    <row r="113" spans="2:65" ht="13.5" customHeight="1" x14ac:dyDescent="0.2">
      <c r="B113" s="350"/>
      <c r="C113" s="351"/>
      <c r="D113" s="351"/>
      <c r="E113" s="351"/>
      <c r="F113" s="352"/>
      <c r="G113" s="356"/>
      <c r="H113" s="357"/>
      <c r="I113" s="357"/>
      <c r="J113" s="358"/>
      <c r="K113" s="362"/>
      <c r="L113" s="363"/>
      <c r="M113" s="363"/>
      <c r="N113" s="364"/>
      <c r="O113" s="362"/>
      <c r="P113" s="363"/>
      <c r="Q113" s="363"/>
      <c r="R113" s="364"/>
      <c r="S113" s="311"/>
      <c r="T113" s="312"/>
      <c r="U113" s="366"/>
      <c r="V113" s="362"/>
      <c r="W113" s="363"/>
      <c r="X113" s="363"/>
      <c r="Y113" s="364"/>
      <c r="Z113" s="362"/>
      <c r="AA113" s="363"/>
      <c r="AB113" s="363"/>
      <c r="AC113" s="364"/>
      <c r="AD113" s="362"/>
      <c r="AE113" s="363"/>
      <c r="AF113" s="363"/>
      <c r="AG113" s="364"/>
      <c r="AH113" s="311"/>
      <c r="AI113" s="312"/>
      <c r="AJ113" s="313"/>
      <c r="AL113" s="306"/>
      <c r="AM113" s="304"/>
      <c r="AN113" s="302"/>
      <c r="AO113" s="302"/>
      <c r="AP113" s="302"/>
      <c r="AQ113" s="302"/>
      <c r="AR113" s="302"/>
      <c r="AS113" s="302"/>
      <c r="AT113" s="302"/>
      <c r="AU113" s="302"/>
      <c r="AV113" s="302"/>
      <c r="AW113" s="302"/>
      <c r="AX113" s="304"/>
      <c r="AY113" s="6" t="s">
        <v>195</v>
      </c>
      <c r="AZ113" s="6" t="s">
        <v>508</v>
      </c>
      <c r="BA113" s="5"/>
      <c r="BK113" s="302"/>
      <c r="BL113" s="302"/>
      <c r="BM113" s="302"/>
    </row>
    <row r="114" spans="2:65" ht="13.5" customHeight="1" x14ac:dyDescent="0.2">
      <c r="B114" s="317"/>
      <c r="C114" s="318"/>
      <c r="D114" s="318"/>
      <c r="E114" s="318"/>
      <c r="F114" s="319"/>
      <c r="G114" s="323" t="s">
        <v>87</v>
      </c>
      <c r="H114" s="324"/>
      <c r="I114" s="324"/>
      <c r="J114" s="325"/>
      <c r="K114" s="329"/>
      <c r="L114" s="330"/>
      <c r="M114" s="330"/>
      <c r="N114" s="331"/>
      <c r="O114" s="335"/>
      <c r="P114" s="336"/>
      <c r="Q114" s="336"/>
      <c r="R114" s="337"/>
      <c r="S114" s="311"/>
      <c r="T114" s="312"/>
      <c r="U114" s="366"/>
      <c r="V114" s="329"/>
      <c r="W114" s="330"/>
      <c r="X114" s="330"/>
      <c r="Y114" s="331"/>
      <c r="Z114" s="329"/>
      <c r="AA114" s="330"/>
      <c r="AB114" s="330"/>
      <c r="AC114" s="331"/>
      <c r="AD114" s="341"/>
      <c r="AE114" s="342"/>
      <c r="AF114" s="342"/>
      <c r="AG114" s="343"/>
      <c r="AH114" s="311"/>
      <c r="AI114" s="312"/>
      <c r="AJ114" s="313"/>
      <c r="AL114" s="306"/>
      <c r="AM114" s="304"/>
      <c r="AN114" s="302"/>
      <c r="AO114" s="302"/>
      <c r="AP114" s="302"/>
      <c r="AQ114" s="302"/>
      <c r="AR114" s="302"/>
      <c r="AS114" s="302"/>
      <c r="AT114" s="302"/>
      <c r="AU114" s="302"/>
      <c r="AV114" s="302"/>
      <c r="AW114" s="302"/>
      <c r="AX114" s="304"/>
      <c r="AY114" s="6" t="s">
        <v>196</v>
      </c>
      <c r="AZ114" s="6" t="s">
        <v>509</v>
      </c>
      <c r="BA114" s="5">
        <v>6.6E-4</v>
      </c>
    </row>
    <row r="115" spans="2:65" ht="13.5" customHeight="1" thickBot="1" x14ac:dyDescent="0.25">
      <c r="B115" s="320"/>
      <c r="C115" s="321"/>
      <c r="D115" s="321"/>
      <c r="E115" s="321"/>
      <c r="F115" s="322"/>
      <c r="G115" s="326"/>
      <c r="H115" s="327"/>
      <c r="I115" s="327"/>
      <c r="J115" s="328"/>
      <c r="K115" s="332"/>
      <c r="L115" s="333"/>
      <c r="M115" s="333"/>
      <c r="N115" s="334"/>
      <c r="O115" s="338"/>
      <c r="P115" s="339"/>
      <c r="Q115" s="339"/>
      <c r="R115" s="340"/>
      <c r="S115" s="314"/>
      <c r="T115" s="315"/>
      <c r="U115" s="367"/>
      <c r="V115" s="332"/>
      <c r="W115" s="333"/>
      <c r="X115" s="333"/>
      <c r="Y115" s="334"/>
      <c r="Z115" s="332"/>
      <c r="AA115" s="333"/>
      <c r="AB115" s="333"/>
      <c r="AC115" s="334"/>
      <c r="AD115" s="344"/>
      <c r="AE115" s="345"/>
      <c r="AF115" s="345"/>
      <c r="AG115" s="346"/>
      <c r="AH115" s="314"/>
      <c r="AI115" s="315"/>
      <c r="AJ115" s="316"/>
      <c r="AL115" s="306"/>
      <c r="AM115" s="304"/>
      <c r="AN115" s="302"/>
      <c r="AO115" s="302"/>
      <c r="AP115" s="302"/>
      <c r="AQ115" s="302"/>
      <c r="AR115" s="302"/>
      <c r="AS115" s="302"/>
      <c r="AT115" s="302"/>
      <c r="AU115" s="302"/>
      <c r="AV115" s="302"/>
      <c r="AW115" s="302"/>
      <c r="AX115" s="304"/>
      <c r="AY115" s="6" t="s">
        <v>197</v>
      </c>
      <c r="AZ115" s="6" t="s">
        <v>510</v>
      </c>
      <c r="BA115" s="5"/>
    </row>
    <row r="116" spans="2:65" ht="13.5" customHeight="1" x14ac:dyDescent="0.2">
      <c r="B116" s="347"/>
      <c r="C116" s="348"/>
      <c r="D116" s="348"/>
      <c r="E116" s="348"/>
      <c r="F116" s="349"/>
      <c r="G116" s="353" t="s">
        <v>86</v>
      </c>
      <c r="H116" s="354"/>
      <c r="I116" s="354"/>
      <c r="J116" s="355"/>
      <c r="K116" s="359"/>
      <c r="L116" s="360"/>
      <c r="M116" s="360"/>
      <c r="N116" s="361"/>
      <c r="O116" s="359"/>
      <c r="P116" s="360"/>
      <c r="Q116" s="360"/>
      <c r="R116" s="361"/>
      <c r="S116" s="308"/>
      <c r="T116" s="309"/>
      <c r="U116" s="365"/>
      <c r="V116" s="359"/>
      <c r="W116" s="360"/>
      <c r="X116" s="360"/>
      <c r="Y116" s="361"/>
      <c r="Z116" s="359"/>
      <c r="AA116" s="360"/>
      <c r="AB116" s="360"/>
      <c r="AC116" s="361"/>
      <c r="AD116" s="359"/>
      <c r="AE116" s="360"/>
      <c r="AF116" s="360"/>
      <c r="AG116" s="361"/>
      <c r="AH116" s="308"/>
      <c r="AI116" s="309"/>
      <c r="AJ116" s="310"/>
      <c r="AL116" s="306" t="str">
        <f>IF($B116&lt;&gt;"",IF(INDEX($AY$11:$BA$447, MATCH($B116,$AY$11:$AY$447,), MATCH("Ch16DLmg/l",$AY$10:$BA$10,))&lt;&gt;0,INDEX($AY$11:$BA$447, MATCH($B116,$AY$11:$AY$447,), MATCH("Ch16DLmg/l",$AY$10:$BA$10,)),0),"")</f>
        <v/>
      </c>
      <c r="AM116" s="304" t="str">
        <f>IF(OR(AND(BK116&lt;&gt;"",BK116&lt;AL116),AND(BL116&lt;&gt;"",BL116&lt;AL116),AND(BM116&lt;&gt;"",BM116&lt;AL116)),"Y","")</f>
        <v/>
      </c>
      <c r="AN116" s="302">
        <f>IF(ISERR(FIND(".",K116)),0,LEN(MID(K116,FIND(".",K116)+1,15)))</f>
        <v>0</v>
      </c>
      <c r="AO116" s="302">
        <f>IF(ISERR(FIND(".",O116)),0,LEN(MID(O116,FIND(".",O116)+1,15)))</f>
        <v>0</v>
      </c>
      <c r="AP116" s="302">
        <f>IF(ISERR(FIND(".",V116)),0,LEN(MID(V116,FIND(".",V116)+1,15)))</f>
        <v>0</v>
      </c>
      <c r="AQ116" s="302">
        <f>IF(ISERR(FIND(".",Z116)),0,LEN(MID(Z116,FIND(".",Z116)+1,15)))</f>
        <v>0</v>
      </c>
      <c r="AR116" s="302">
        <f>IF(ISERR(FIND(".",AD116)),0,LEN(MID(AD116,FIND(".",AD116)+1,15)))</f>
        <v>0</v>
      </c>
      <c r="AS116" s="302" t="str">
        <f>IF(OR(K116="",K116="Report"),"E","")</f>
        <v>E</v>
      </c>
      <c r="AT116" s="302" t="str">
        <f>IF(OR(O116="",O116="Report"),"E","")</f>
        <v>E</v>
      </c>
      <c r="AU116" s="302" t="str">
        <f>IF(OR(V116="",V116="Report"),"E","")</f>
        <v>E</v>
      </c>
      <c r="AV116" s="302" t="str">
        <f>IF(OR(Z116="",Z116="Report"),"E","")</f>
        <v>E</v>
      </c>
      <c r="AW116" s="302" t="str">
        <f>IF(OR(AD116="",AD116="Report"),"E","")</f>
        <v>E</v>
      </c>
      <c r="AX116" s="304" t="str">
        <f>IF(OR(AND($B116&lt;&gt;"",$AH116&lt;&gt;""),AND($B116&lt;&gt;"",$S116&lt;&gt;"")),INDEX($BI$11:$BJ$54, MATCH('Outfall 1 Daily'!BG$13,$BI$11:$BI$54,), MATCH("Symbol",$BI$10:$BJ$10,)),"")</f>
        <v/>
      </c>
      <c r="AY116" s="6" t="s">
        <v>198</v>
      </c>
      <c r="AZ116" s="6" t="s">
        <v>511</v>
      </c>
      <c r="BA116" s="5"/>
      <c r="BK116" s="302" t="str">
        <f>IF(AND(V116&lt;&gt;"",V116&lt;&gt;"Report"),VALUE(V116),"")</f>
        <v/>
      </c>
      <c r="BL116" s="302" t="str">
        <f>IF(AND(Z116&lt;&gt;"",Z116&lt;&gt;"Report"),VALUE(Z116),"")</f>
        <v/>
      </c>
      <c r="BM116" s="302" t="str">
        <f>IF(AND(AD116&lt;&gt;"",AD116&lt;&gt;"Report"),VALUE(AD116),"")</f>
        <v/>
      </c>
    </row>
    <row r="117" spans="2:65" ht="13.5" customHeight="1" x14ac:dyDescent="0.2">
      <c r="B117" s="350"/>
      <c r="C117" s="351"/>
      <c r="D117" s="351"/>
      <c r="E117" s="351"/>
      <c r="F117" s="352"/>
      <c r="G117" s="356"/>
      <c r="H117" s="357"/>
      <c r="I117" s="357"/>
      <c r="J117" s="358"/>
      <c r="K117" s="362"/>
      <c r="L117" s="363"/>
      <c r="M117" s="363"/>
      <c r="N117" s="364"/>
      <c r="O117" s="362"/>
      <c r="P117" s="363"/>
      <c r="Q117" s="363"/>
      <c r="R117" s="364"/>
      <c r="S117" s="311"/>
      <c r="T117" s="312"/>
      <c r="U117" s="366"/>
      <c r="V117" s="362"/>
      <c r="W117" s="363"/>
      <c r="X117" s="363"/>
      <c r="Y117" s="364"/>
      <c r="Z117" s="362"/>
      <c r="AA117" s="363"/>
      <c r="AB117" s="363"/>
      <c r="AC117" s="364"/>
      <c r="AD117" s="362"/>
      <c r="AE117" s="363"/>
      <c r="AF117" s="363"/>
      <c r="AG117" s="364"/>
      <c r="AH117" s="311"/>
      <c r="AI117" s="312"/>
      <c r="AJ117" s="313"/>
      <c r="AL117" s="306"/>
      <c r="AM117" s="304"/>
      <c r="AN117" s="302"/>
      <c r="AO117" s="302"/>
      <c r="AP117" s="302"/>
      <c r="AQ117" s="302"/>
      <c r="AR117" s="302"/>
      <c r="AS117" s="302"/>
      <c r="AT117" s="302"/>
      <c r="AU117" s="302"/>
      <c r="AV117" s="302"/>
      <c r="AW117" s="302"/>
      <c r="AX117" s="304"/>
      <c r="AY117" s="6" t="s">
        <v>199</v>
      </c>
      <c r="AZ117" s="6" t="s">
        <v>512</v>
      </c>
      <c r="BA117" s="5"/>
      <c r="BK117" s="302"/>
      <c r="BL117" s="302"/>
      <c r="BM117" s="302"/>
    </row>
    <row r="118" spans="2:65" ht="13.5" customHeight="1" x14ac:dyDescent="0.2">
      <c r="B118" s="317"/>
      <c r="C118" s="318"/>
      <c r="D118" s="318"/>
      <c r="E118" s="318"/>
      <c r="F118" s="319"/>
      <c r="G118" s="323" t="s">
        <v>87</v>
      </c>
      <c r="H118" s="324"/>
      <c r="I118" s="324"/>
      <c r="J118" s="325"/>
      <c r="K118" s="329"/>
      <c r="L118" s="330"/>
      <c r="M118" s="330"/>
      <c r="N118" s="331"/>
      <c r="O118" s="335"/>
      <c r="P118" s="336"/>
      <c r="Q118" s="336"/>
      <c r="R118" s="337"/>
      <c r="S118" s="311"/>
      <c r="T118" s="312"/>
      <c r="U118" s="366"/>
      <c r="V118" s="329"/>
      <c r="W118" s="330"/>
      <c r="X118" s="330"/>
      <c r="Y118" s="331"/>
      <c r="Z118" s="329"/>
      <c r="AA118" s="330"/>
      <c r="AB118" s="330"/>
      <c r="AC118" s="331"/>
      <c r="AD118" s="341"/>
      <c r="AE118" s="342"/>
      <c r="AF118" s="342"/>
      <c r="AG118" s="343"/>
      <c r="AH118" s="311"/>
      <c r="AI118" s="312"/>
      <c r="AJ118" s="313"/>
      <c r="AL118" s="306"/>
      <c r="AM118" s="304"/>
      <c r="AN118" s="302"/>
      <c r="AO118" s="302"/>
      <c r="AP118" s="302"/>
      <c r="AQ118" s="302"/>
      <c r="AR118" s="302"/>
      <c r="AS118" s="302"/>
      <c r="AT118" s="302"/>
      <c r="AU118" s="302"/>
      <c r="AV118" s="302"/>
      <c r="AW118" s="302"/>
      <c r="AX118" s="304"/>
      <c r="AY118" s="6" t="s">
        <v>200</v>
      </c>
      <c r="AZ118" s="6" t="s">
        <v>513</v>
      </c>
      <c r="BA118" s="5">
        <v>2.0000000000000001E-4</v>
      </c>
    </row>
    <row r="119" spans="2:65" ht="13.5" customHeight="1" thickBot="1" x14ac:dyDescent="0.25">
      <c r="B119" s="320"/>
      <c r="C119" s="321"/>
      <c r="D119" s="321"/>
      <c r="E119" s="321"/>
      <c r="F119" s="322"/>
      <c r="G119" s="326"/>
      <c r="H119" s="327"/>
      <c r="I119" s="327"/>
      <c r="J119" s="328"/>
      <c r="K119" s="332"/>
      <c r="L119" s="333"/>
      <c r="M119" s="333"/>
      <c r="N119" s="334"/>
      <c r="O119" s="338"/>
      <c r="P119" s="339"/>
      <c r="Q119" s="339"/>
      <c r="R119" s="340"/>
      <c r="S119" s="314"/>
      <c r="T119" s="315"/>
      <c r="U119" s="367"/>
      <c r="V119" s="332"/>
      <c r="W119" s="333"/>
      <c r="X119" s="333"/>
      <c r="Y119" s="334"/>
      <c r="Z119" s="332"/>
      <c r="AA119" s="333"/>
      <c r="AB119" s="333"/>
      <c r="AC119" s="334"/>
      <c r="AD119" s="344"/>
      <c r="AE119" s="345"/>
      <c r="AF119" s="345"/>
      <c r="AG119" s="346"/>
      <c r="AH119" s="314"/>
      <c r="AI119" s="315"/>
      <c r="AJ119" s="316"/>
      <c r="AL119" s="306"/>
      <c r="AM119" s="304"/>
      <c r="AN119" s="302"/>
      <c r="AO119" s="302"/>
      <c r="AP119" s="302"/>
      <c r="AQ119" s="302"/>
      <c r="AR119" s="302"/>
      <c r="AS119" s="302"/>
      <c r="AT119" s="302"/>
      <c r="AU119" s="302"/>
      <c r="AV119" s="302"/>
      <c r="AW119" s="302"/>
      <c r="AX119" s="304"/>
      <c r="AY119" s="6" t="s">
        <v>201</v>
      </c>
      <c r="AZ119" s="6" t="s">
        <v>514</v>
      </c>
      <c r="BA119" s="5"/>
    </row>
    <row r="120" spans="2:65" ht="13.5" customHeight="1" x14ac:dyDescent="0.2">
      <c r="B120" s="347"/>
      <c r="C120" s="348"/>
      <c r="D120" s="348"/>
      <c r="E120" s="348"/>
      <c r="F120" s="349"/>
      <c r="G120" s="353" t="s">
        <v>86</v>
      </c>
      <c r="H120" s="354"/>
      <c r="I120" s="354"/>
      <c r="J120" s="355"/>
      <c r="K120" s="359"/>
      <c r="L120" s="360"/>
      <c r="M120" s="360"/>
      <c r="N120" s="361"/>
      <c r="O120" s="359"/>
      <c r="P120" s="360"/>
      <c r="Q120" s="360"/>
      <c r="R120" s="361"/>
      <c r="S120" s="308"/>
      <c r="T120" s="309"/>
      <c r="U120" s="365"/>
      <c r="V120" s="359"/>
      <c r="W120" s="360"/>
      <c r="X120" s="360"/>
      <c r="Y120" s="361"/>
      <c r="Z120" s="359"/>
      <c r="AA120" s="360"/>
      <c r="AB120" s="360"/>
      <c r="AC120" s="361"/>
      <c r="AD120" s="359"/>
      <c r="AE120" s="360"/>
      <c r="AF120" s="360"/>
      <c r="AG120" s="361"/>
      <c r="AH120" s="308"/>
      <c r="AI120" s="309"/>
      <c r="AJ120" s="310"/>
      <c r="AL120" s="306" t="str">
        <f>IF($B120&lt;&gt;"",IF(INDEX($AY$11:$BA$447, MATCH($B120,$AY$11:$AY$447,), MATCH("Ch16DLmg/l",$AY$10:$BA$10,))&lt;&gt;0,INDEX($AY$11:$BA$447, MATCH($B120,$AY$11:$AY$447,), MATCH("Ch16DLmg/l",$AY$10:$BA$10,)),0),"")</f>
        <v/>
      </c>
      <c r="AM120" s="304" t="str">
        <f>IF(OR(AND(BK120&lt;&gt;"",BK120&lt;AL120),AND(BL120&lt;&gt;"",BL120&lt;AL120),AND(BM120&lt;&gt;"",BM120&lt;AL120)),"Y","")</f>
        <v/>
      </c>
      <c r="AN120" s="302">
        <f>IF(ISERR(FIND(".",K120)),0,LEN(MID(K120,FIND(".",K120)+1,15)))</f>
        <v>0</v>
      </c>
      <c r="AO120" s="302">
        <f>IF(ISERR(FIND(".",O120)),0,LEN(MID(O120,FIND(".",O120)+1,15)))</f>
        <v>0</v>
      </c>
      <c r="AP120" s="302">
        <f>IF(ISERR(FIND(".",V120)),0,LEN(MID(V120,FIND(".",V120)+1,15)))</f>
        <v>0</v>
      </c>
      <c r="AQ120" s="302">
        <f>IF(ISERR(FIND(".",Z120)),0,LEN(MID(Z120,FIND(".",Z120)+1,15)))</f>
        <v>0</v>
      </c>
      <c r="AR120" s="302">
        <f>IF(ISERR(FIND(".",AD120)),0,LEN(MID(AD120,FIND(".",AD120)+1,15)))</f>
        <v>0</v>
      </c>
      <c r="AS120" s="302" t="str">
        <f>IF(OR(K120="",K120="Report"),"E","")</f>
        <v>E</v>
      </c>
      <c r="AT120" s="302" t="str">
        <f>IF(OR(O120="",O120="Report"),"E","")</f>
        <v>E</v>
      </c>
      <c r="AU120" s="302" t="str">
        <f>IF(OR(V120="",V120="Report"),"E","")</f>
        <v>E</v>
      </c>
      <c r="AV120" s="302" t="str">
        <f>IF(OR(Z120="",Z120="Report"),"E","")</f>
        <v>E</v>
      </c>
      <c r="AW120" s="302" t="str">
        <f>IF(OR(AD120="",AD120="Report"),"E","")</f>
        <v>E</v>
      </c>
      <c r="AX120" s="304" t="str">
        <f>IF(OR(AND($B120&lt;&gt;"",$AH120&lt;&gt;""),AND($B120&lt;&gt;"",$S120&lt;&gt;"")),INDEX($BI$11:$BJ$54, MATCH('Outfall 1 Daily'!BI$13,$BI$11:$BI$54,), MATCH("Symbol",$BI$10:$BJ$10,)),"")</f>
        <v/>
      </c>
      <c r="AY120" s="6" t="s">
        <v>202</v>
      </c>
      <c r="AZ120" s="6" t="s">
        <v>515</v>
      </c>
      <c r="BA120" s="5">
        <v>4.3999999999999997E-2</v>
      </c>
      <c r="BK120" s="302" t="str">
        <f>IF(AND(V120&lt;&gt;"",V120&lt;&gt;"Report"),VALUE(V120),"")</f>
        <v/>
      </c>
      <c r="BL120" s="302" t="str">
        <f>IF(AND(Z120&lt;&gt;"",Z120&lt;&gt;"Report"),VALUE(Z120),"")</f>
        <v/>
      </c>
      <c r="BM120" s="302" t="str">
        <f>IF(AND(AD120&lt;&gt;"",AD120&lt;&gt;"Report"),VALUE(AD120),"")</f>
        <v/>
      </c>
    </row>
    <row r="121" spans="2:65" ht="13.5" customHeight="1" x14ac:dyDescent="0.2">
      <c r="B121" s="350"/>
      <c r="C121" s="351"/>
      <c r="D121" s="351"/>
      <c r="E121" s="351"/>
      <c r="F121" s="352"/>
      <c r="G121" s="356"/>
      <c r="H121" s="357"/>
      <c r="I121" s="357"/>
      <c r="J121" s="358"/>
      <c r="K121" s="362"/>
      <c r="L121" s="363"/>
      <c r="M121" s="363"/>
      <c r="N121" s="364"/>
      <c r="O121" s="362"/>
      <c r="P121" s="363"/>
      <c r="Q121" s="363"/>
      <c r="R121" s="364"/>
      <c r="S121" s="311"/>
      <c r="T121" s="312"/>
      <c r="U121" s="366"/>
      <c r="V121" s="362"/>
      <c r="W121" s="363"/>
      <c r="X121" s="363"/>
      <c r="Y121" s="364"/>
      <c r="Z121" s="362"/>
      <c r="AA121" s="363"/>
      <c r="AB121" s="363"/>
      <c r="AC121" s="364"/>
      <c r="AD121" s="362"/>
      <c r="AE121" s="363"/>
      <c r="AF121" s="363"/>
      <c r="AG121" s="364"/>
      <c r="AH121" s="311"/>
      <c r="AI121" s="312"/>
      <c r="AJ121" s="313"/>
      <c r="AL121" s="306"/>
      <c r="AM121" s="304"/>
      <c r="AN121" s="302"/>
      <c r="AO121" s="302"/>
      <c r="AP121" s="302"/>
      <c r="AQ121" s="302"/>
      <c r="AR121" s="302"/>
      <c r="AS121" s="302"/>
      <c r="AT121" s="302"/>
      <c r="AU121" s="302"/>
      <c r="AV121" s="302"/>
      <c r="AW121" s="302"/>
      <c r="AX121" s="304"/>
      <c r="AY121" s="6" t="s">
        <v>203</v>
      </c>
      <c r="AZ121" s="6" t="s">
        <v>516</v>
      </c>
      <c r="BA121" s="5">
        <v>1.2999999999999999E-5</v>
      </c>
      <c r="BK121" s="302"/>
      <c r="BL121" s="302"/>
      <c r="BM121" s="302"/>
    </row>
    <row r="122" spans="2:65" ht="13.5" customHeight="1" x14ac:dyDescent="0.2">
      <c r="B122" s="317"/>
      <c r="C122" s="318"/>
      <c r="D122" s="318"/>
      <c r="E122" s="318"/>
      <c r="F122" s="319"/>
      <c r="G122" s="323" t="s">
        <v>87</v>
      </c>
      <c r="H122" s="324"/>
      <c r="I122" s="324"/>
      <c r="J122" s="325"/>
      <c r="K122" s="329"/>
      <c r="L122" s="330"/>
      <c r="M122" s="330"/>
      <c r="N122" s="331"/>
      <c r="O122" s="335"/>
      <c r="P122" s="336"/>
      <c r="Q122" s="336"/>
      <c r="R122" s="337"/>
      <c r="S122" s="311"/>
      <c r="T122" s="312"/>
      <c r="U122" s="366"/>
      <c r="V122" s="329"/>
      <c r="W122" s="330"/>
      <c r="X122" s="330"/>
      <c r="Y122" s="331"/>
      <c r="Z122" s="329"/>
      <c r="AA122" s="330"/>
      <c r="AB122" s="330"/>
      <c r="AC122" s="331"/>
      <c r="AD122" s="341"/>
      <c r="AE122" s="342"/>
      <c r="AF122" s="342"/>
      <c r="AG122" s="343"/>
      <c r="AH122" s="311"/>
      <c r="AI122" s="312"/>
      <c r="AJ122" s="313"/>
      <c r="AL122" s="306"/>
      <c r="AM122" s="304"/>
      <c r="AN122" s="302"/>
      <c r="AO122" s="302"/>
      <c r="AP122" s="302"/>
      <c r="AQ122" s="302"/>
      <c r="AR122" s="302"/>
      <c r="AS122" s="302"/>
      <c r="AT122" s="302"/>
      <c r="AU122" s="302"/>
      <c r="AV122" s="302"/>
      <c r="AW122" s="302"/>
      <c r="AX122" s="304"/>
      <c r="AY122" s="6" t="s">
        <v>204</v>
      </c>
      <c r="AZ122" s="6" t="s">
        <v>517</v>
      </c>
      <c r="BA122" s="5">
        <v>2.3E-5</v>
      </c>
    </row>
    <row r="123" spans="2:65" ht="13.5" customHeight="1" thickBot="1" x14ac:dyDescent="0.25">
      <c r="B123" s="320"/>
      <c r="C123" s="321"/>
      <c r="D123" s="321"/>
      <c r="E123" s="321"/>
      <c r="F123" s="322"/>
      <c r="G123" s="326"/>
      <c r="H123" s="327"/>
      <c r="I123" s="327"/>
      <c r="J123" s="328"/>
      <c r="K123" s="332"/>
      <c r="L123" s="333"/>
      <c r="M123" s="333"/>
      <c r="N123" s="334"/>
      <c r="O123" s="338"/>
      <c r="P123" s="339"/>
      <c r="Q123" s="339"/>
      <c r="R123" s="340"/>
      <c r="S123" s="314"/>
      <c r="T123" s="315"/>
      <c r="U123" s="367"/>
      <c r="V123" s="332"/>
      <c r="W123" s="333"/>
      <c r="X123" s="333"/>
      <c r="Y123" s="334"/>
      <c r="Z123" s="332"/>
      <c r="AA123" s="333"/>
      <c r="AB123" s="333"/>
      <c r="AC123" s="334"/>
      <c r="AD123" s="344"/>
      <c r="AE123" s="345"/>
      <c r="AF123" s="345"/>
      <c r="AG123" s="346"/>
      <c r="AH123" s="314"/>
      <c r="AI123" s="315"/>
      <c r="AJ123" s="316"/>
      <c r="AL123" s="306"/>
      <c r="AM123" s="304"/>
      <c r="AN123" s="302"/>
      <c r="AO123" s="302"/>
      <c r="AP123" s="302"/>
      <c r="AQ123" s="302"/>
      <c r="AR123" s="302"/>
      <c r="AS123" s="302"/>
      <c r="AT123" s="302"/>
      <c r="AU123" s="302"/>
      <c r="AV123" s="302"/>
      <c r="AW123" s="302"/>
      <c r="AX123" s="304"/>
      <c r="AY123" s="6" t="s">
        <v>205</v>
      </c>
      <c r="AZ123" s="6" t="s">
        <v>518</v>
      </c>
      <c r="BA123" s="5">
        <v>7.6000000000000004E-5</v>
      </c>
    </row>
    <row r="124" spans="2:65" ht="13.5" customHeight="1" x14ac:dyDescent="0.2">
      <c r="B124" s="347"/>
      <c r="C124" s="348"/>
      <c r="D124" s="348"/>
      <c r="E124" s="348"/>
      <c r="F124" s="349"/>
      <c r="G124" s="353" t="s">
        <v>86</v>
      </c>
      <c r="H124" s="354"/>
      <c r="I124" s="354"/>
      <c r="J124" s="355"/>
      <c r="K124" s="359"/>
      <c r="L124" s="360"/>
      <c r="M124" s="360"/>
      <c r="N124" s="361"/>
      <c r="O124" s="359"/>
      <c r="P124" s="360"/>
      <c r="Q124" s="360"/>
      <c r="R124" s="361"/>
      <c r="S124" s="308"/>
      <c r="T124" s="309"/>
      <c r="U124" s="365"/>
      <c r="V124" s="359"/>
      <c r="W124" s="360"/>
      <c r="X124" s="360"/>
      <c r="Y124" s="361"/>
      <c r="Z124" s="359"/>
      <c r="AA124" s="360"/>
      <c r="AB124" s="360"/>
      <c r="AC124" s="361"/>
      <c r="AD124" s="359"/>
      <c r="AE124" s="360"/>
      <c r="AF124" s="360"/>
      <c r="AG124" s="361"/>
      <c r="AH124" s="308"/>
      <c r="AI124" s="309"/>
      <c r="AJ124" s="310"/>
      <c r="AL124" s="306" t="str">
        <f>IF($B124&lt;&gt;"",IF(INDEX($AY$11:$BA$447, MATCH($B124,$AY$11:$AY$447,), MATCH("Ch16DLmg/l",$AY$10:$BA$10,))&lt;&gt;0,INDEX($AY$11:$BA$447, MATCH($B124,$AY$11:$AY$447,), MATCH("Ch16DLmg/l",$AY$10:$BA$10,)),0),"")</f>
        <v/>
      </c>
      <c r="AM124" s="304" t="str">
        <f>IF(OR(AND(BK124&lt;&gt;"",BK124&lt;AL124),AND(BL124&lt;&gt;"",BL124&lt;AL124),AND(BM124&lt;&gt;"",BM124&lt;AL124)),"Y","")</f>
        <v/>
      </c>
      <c r="AN124" s="302">
        <f>IF(ISERR(FIND(".",K124)),0,LEN(MID(K124,FIND(".",K124)+1,15)))</f>
        <v>0</v>
      </c>
      <c r="AO124" s="302">
        <f>IF(ISERR(FIND(".",O124)),0,LEN(MID(O124,FIND(".",O124)+1,15)))</f>
        <v>0</v>
      </c>
      <c r="AP124" s="302">
        <f>IF(ISERR(FIND(".",V124)),0,LEN(MID(V124,FIND(".",V124)+1,15)))</f>
        <v>0</v>
      </c>
      <c r="AQ124" s="302">
        <f>IF(ISERR(FIND(".",Z124)),0,LEN(MID(Z124,FIND(".",Z124)+1,15)))</f>
        <v>0</v>
      </c>
      <c r="AR124" s="302">
        <f>IF(ISERR(FIND(".",AD124)),0,LEN(MID(AD124,FIND(".",AD124)+1,15)))</f>
        <v>0</v>
      </c>
      <c r="AS124" s="302" t="str">
        <f>IF(OR(K124="",K124="Report"),"E","")</f>
        <v>E</v>
      </c>
      <c r="AT124" s="302" t="str">
        <f>IF(OR(O124="",O124="Report"),"E","")</f>
        <v>E</v>
      </c>
      <c r="AU124" s="302" t="str">
        <f>IF(OR(V124="",V124="Report"),"E","")</f>
        <v>E</v>
      </c>
      <c r="AV124" s="302" t="str">
        <f>IF(OR(Z124="",Z124="Report"),"E","")</f>
        <v>E</v>
      </c>
      <c r="AW124" s="302" t="str">
        <f>IF(OR(AD124="",AD124="Report"),"E","")</f>
        <v>E</v>
      </c>
      <c r="AX124" s="304" t="str">
        <f>IF(OR(AND($B124&lt;&gt;"",$AH124&lt;&gt;""),AND($B124&lt;&gt;"",$S124&lt;&gt;"")),INDEX($BI$11:$BJ$54, MATCH('Outfall 1 Daily'!BK$13,$BI$11:$BI$54,), MATCH("Symbol",$BI$10:$BJ$10,)),"")</f>
        <v/>
      </c>
      <c r="AY124" s="6" t="s">
        <v>206</v>
      </c>
      <c r="AZ124" s="6" t="s">
        <v>519</v>
      </c>
      <c r="BA124" s="5">
        <v>1.7E-5</v>
      </c>
      <c r="BK124" s="302" t="str">
        <f>IF(AND(V124&lt;&gt;"",V124&lt;&gt;"Report"),VALUE(V124),"")</f>
        <v/>
      </c>
      <c r="BL124" s="302" t="str">
        <f>IF(AND(Z124&lt;&gt;"",Z124&lt;&gt;"Report"),VALUE(Z124),"")</f>
        <v/>
      </c>
      <c r="BM124" s="302" t="str">
        <f>IF(AND(AD124&lt;&gt;"",AD124&lt;&gt;"Report"),VALUE(AD124),"")</f>
        <v/>
      </c>
    </row>
    <row r="125" spans="2:65" ht="13.5" customHeight="1" x14ac:dyDescent="0.2">
      <c r="B125" s="350"/>
      <c r="C125" s="351"/>
      <c r="D125" s="351"/>
      <c r="E125" s="351"/>
      <c r="F125" s="352"/>
      <c r="G125" s="356"/>
      <c r="H125" s="357"/>
      <c r="I125" s="357"/>
      <c r="J125" s="358"/>
      <c r="K125" s="362"/>
      <c r="L125" s="363"/>
      <c r="M125" s="363"/>
      <c r="N125" s="364"/>
      <c r="O125" s="362"/>
      <c r="P125" s="363"/>
      <c r="Q125" s="363"/>
      <c r="R125" s="364"/>
      <c r="S125" s="311"/>
      <c r="T125" s="312"/>
      <c r="U125" s="366"/>
      <c r="V125" s="362"/>
      <c r="W125" s="363"/>
      <c r="X125" s="363"/>
      <c r="Y125" s="364"/>
      <c r="Z125" s="362"/>
      <c r="AA125" s="363"/>
      <c r="AB125" s="363"/>
      <c r="AC125" s="364"/>
      <c r="AD125" s="362"/>
      <c r="AE125" s="363"/>
      <c r="AF125" s="363"/>
      <c r="AG125" s="364"/>
      <c r="AH125" s="311"/>
      <c r="AI125" s="312"/>
      <c r="AJ125" s="313"/>
      <c r="AL125" s="306"/>
      <c r="AM125" s="304"/>
      <c r="AN125" s="302"/>
      <c r="AO125" s="302"/>
      <c r="AP125" s="302"/>
      <c r="AQ125" s="302"/>
      <c r="AR125" s="302"/>
      <c r="AS125" s="302"/>
      <c r="AT125" s="302"/>
      <c r="AU125" s="302"/>
      <c r="AV125" s="302"/>
      <c r="AW125" s="302"/>
      <c r="AX125" s="304"/>
      <c r="AY125" s="6" t="s">
        <v>207</v>
      </c>
      <c r="AZ125" s="6" t="s">
        <v>520</v>
      </c>
      <c r="BA125" s="5"/>
      <c r="BK125" s="302"/>
      <c r="BL125" s="302"/>
      <c r="BM125" s="302"/>
    </row>
    <row r="126" spans="2:65" ht="13.5" customHeight="1" x14ac:dyDescent="0.2">
      <c r="B126" s="317"/>
      <c r="C126" s="318"/>
      <c r="D126" s="318"/>
      <c r="E126" s="318"/>
      <c r="F126" s="319"/>
      <c r="G126" s="323" t="s">
        <v>87</v>
      </c>
      <c r="H126" s="324"/>
      <c r="I126" s="324"/>
      <c r="J126" s="325"/>
      <c r="K126" s="329"/>
      <c r="L126" s="330"/>
      <c r="M126" s="330"/>
      <c r="N126" s="331"/>
      <c r="O126" s="335"/>
      <c r="P126" s="336"/>
      <c r="Q126" s="336"/>
      <c r="R126" s="337"/>
      <c r="S126" s="311"/>
      <c r="T126" s="312"/>
      <c r="U126" s="366"/>
      <c r="V126" s="329"/>
      <c r="W126" s="330"/>
      <c r="X126" s="330"/>
      <c r="Y126" s="331"/>
      <c r="Z126" s="329"/>
      <c r="AA126" s="330"/>
      <c r="AB126" s="330"/>
      <c r="AC126" s="331"/>
      <c r="AD126" s="341"/>
      <c r="AE126" s="342"/>
      <c r="AF126" s="342"/>
      <c r="AG126" s="343"/>
      <c r="AH126" s="311"/>
      <c r="AI126" s="312"/>
      <c r="AJ126" s="313"/>
      <c r="AL126" s="306"/>
      <c r="AM126" s="304"/>
      <c r="AN126" s="302"/>
      <c r="AO126" s="302"/>
      <c r="AP126" s="302"/>
      <c r="AQ126" s="302"/>
      <c r="AR126" s="302"/>
      <c r="AS126" s="302"/>
      <c r="AT126" s="302"/>
      <c r="AU126" s="302"/>
      <c r="AV126" s="302"/>
      <c r="AW126" s="302"/>
      <c r="AX126" s="304"/>
      <c r="AY126" s="6" t="s">
        <v>208</v>
      </c>
      <c r="AZ126" s="6" t="s">
        <v>521</v>
      </c>
      <c r="BA126" s="5"/>
    </row>
    <row r="127" spans="2:65" ht="13.5" customHeight="1" thickBot="1" x14ac:dyDescent="0.25">
      <c r="B127" s="320"/>
      <c r="C127" s="321"/>
      <c r="D127" s="321"/>
      <c r="E127" s="321"/>
      <c r="F127" s="322"/>
      <c r="G127" s="326"/>
      <c r="H127" s="327"/>
      <c r="I127" s="327"/>
      <c r="J127" s="328"/>
      <c r="K127" s="332"/>
      <c r="L127" s="333"/>
      <c r="M127" s="333"/>
      <c r="N127" s="334"/>
      <c r="O127" s="338"/>
      <c r="P127" s="339"/>
      <c r="Q127" s="339"/>
      <c r="R127" s="340"/>
      <c r="S127" s="314"/>
      <c r="T127" s="315"/>
      <c r="U127" s="367"/>
      <c r="V127" s="332"/>
      <c r="W127" s="333"/>
      <c r="X127" s="333"/>
      <c r="Y127" s="334"/>
      <c r="Z127" s="332"/>
      <c r="AA127" s="333"/>
      <c r="AB127" s="333"/>
      <c r="AC127" s="334"/>
      <c r="AD127" s="344"/>
      <c r="AE127" s="345"/>
      <c r="AF127" s="345"/>
      <c r="AG127" s="346"/>
      <c r="AH127" s="314"/>
      <c r="AI127" s="315"/>
      <c r="AJ127" s="316"/>
      <c r="AL127" s="306"/>
      <c r="AM127" s="304"/>
      <c r="AN127" s="302"/>
      <c r="AO127" s="302"/>
      <c r="AP127" s="302"/>
      <c r="AQ127" s="302"/>
      <c r="AR127" s="302"/>
      <c r="AS127" s="302"/>
      <c r="AT127" s="302"/>
      <c r="AU127" s="302"/>
      <c r="AV127" s="302"/>
      <c r="AW127" s="302"/>
      <c r="AX127" s="304"/>
      <c r="AY127" s="6" t="s">
        <v>209</v>
      </c>
      <c r="AZ127" s="6" t="s">
        <v>522</v>
      </c>
      <c r="BA127" s="5">
        <v>6.0000000000000002E-6</v>
      </c>
    </row>
    <row r="128" spans="2:65" ht="13.5" customHeight="1" x14ac:dyDescent="0.2">
      <c r="B128" s="347"/>
      <c r="C128" s="348"/>
      <c r="D128" s="348"/>
      <c r="E128" s="348"/>
      <c r="F128" s="349"/>
      <c r="G128" s="353" t="s">
        <v>86</v>
      </c>
      <c r="H128" s="354"/>
      <c r="I128" s="354"/>
      <c r="J128" s="355"/>
      <c r="K128" s="359"/>
      <c r="L128" s="360"/>
      <c r="M128" s="360"/>
      <c r="N128" s="361"/>
      <c r="O128" s="359"/>
      <c r="P128" s="360"/>
      <c r="Q128" s="360"/>
      <c r="R128" s="361"/>
      <c r="S128" s="308"/>
      <c r="T128" s="309"/>
      <c r="U128" s="365"/>
      <c r="V128" s="359"/>
      <c r="W128" s="360"/>
      <c r="X128" s="360"/>
      <c r="Y128" s="361"/>
      <c r="Z128" s="359"/>
      <c r="AA128" s="360"/>
      <c r="AB128" s="360"/>
      <c r="AC128" s="361"/>
      <c r="AD128" s="359"/>
      <c r="AE128" s="360"/>
      <c r="AF128" s="360"/>
      <c r="AG128" s="361"/>
      <c r="AH128" s="308"/>
      <c r="AI128" s="309"/>
      <c r="AJ128" s="310"/>
      <c r="AL128" s="306" t="str">
        <f>IF($B128&lt;&gt;"",IF(INDEX($AY$11:$BA$447, MATCH($B128,$AY$11:$AY$447,), MATCH("Ch16DLmg/l",$AY$10:$BA$10,))&lt;&gt;0,INDEX($AY$11:$BA$447, MATCH($B128,$AY$11:$AY$447,), MATCH("Ch16DLmg/l",$AY$10:$BA$10,)),0),"")</f>
        <v/>
      </c>
      <c r="AM128" s="304" t="str">
        <f>IF(OR(AND(BK128&lt;&gt;"",BK128&lt;AL128),AND(BL128&lt;&gt;"",BL128&lt;AL128),AND(BM128&lt;&gt;"",BM128&lt;AL128)),"Y","")</f>
        <v/>
      </c>
      <c r="AN128" s="302">
        <f>IF(ISERR(FIND(".",K128)),0,LEN(MID(K128,FIND(".",K128)+1,15)))</f>
        <v>0</v>
      </c>
      <c r="AO128" s="302">
        <f>IF(ISERR(FIND(".",O128)),0,LEN(MID(O128,FIND(".",O128)+1,15)))</f>
        <v>0</v>
      </c>
      <c r="AP128" s="302">
        <f>IF(ISERR(FIND(".",V128)),0,LEN(MID(V128,FIND(".",V128)+1,15)))</f>
        <v>0</v>
      </c>
      <c r="AQ128" s="302">
        <f>IF(ISERR(FIND(".",Z128)),0,LEN(MID(Z128,FIND(".",Z128)+1,15)))</f>
        <v>0</v>
      </c>
      <c r="AR128" s="302">
        <f>IF(ISERR(FIND(".",AD128)),0,LEN(MID(AD128,FIND(".",AD128)+1,15)))</f>
        <v>0</v>
      </c>
      <c r="AS128" s="302" t="str">
        <f>IF(OR(K128="",K128="Report"),"E","")</f>
        <v>E</v>
      </c>
      <c r="AT128" s="302" t="str">
        <f>IF(OR(O128="",O128="Report"),"E","")</f>
        <v>E</v>
      </c>
      <c r="AU128" s="302" t="str">
        <f>IF(OR(V128="",V128="Report"),"E","")</f>
        <v>E</v>
      </c>
      <c r="AV128" s="302" t="str">
        <f>IF(OR(Z128="",Z128="Report"),"E","")</f>
        <v>E</v>
      </c>
      <c r="AW128" s="302" t="str">
        <f>IF(OR(AD128="",AD128="Report"),"E","")</f>
        <v>E</v>
      </c>
      <c r="AX128" s="304" t="str">
        <f>IF(OR(AND($B128&lt;&gt;"",$AH128&lt;&gt;""),AND($B128&lt;&gt;"",$S128&lt;&gt;"")),INDEX($BI$11:$BJ$54, MATCH('Outfall 1 Daily'!BM$13,$BI$11:$BI$54,), MATCH("Symbol",$BI$10:$BJ$10,)),"")</f>
        <v/>
      </c>
      <c r="AY128" s="6" t="s">
        <v>210</v>
      </c>
      <c r="AZ128" s="6" t="s">
        <v>523</v>
      </c>
      <c r="BA128" s="5">
        <v>3.9999999999999998E-6</v>
      </c>
      <c r="BK128" s="302" t="str">
        <f>IF(AND(V128&lt;&gt;"",V128&lt;&gt;"Report"),VALUE(V128),"")</f>
        <v/>
      </c>
      <c r="BL128" s="302" t="str">
        <f>IF(AND(Z128&lt;&gt;"",Z128&lt;&gt;"Report"),VALUE(Z128),"")</f>
        <v/>
      </c>
      <c r="BM128" s="302" t="str">
        <f>IF(AND(AD128&lt;&gt;"",AD128&lt;&gt;"Report"),VALUE(AD128),"")</f>
        <v/>
      </c>
    </row>
    <row r="129" spans="2:65" ht="13.5" customHeight="1" x14ac:dyDescent="0.2">
      <c r="B129" s="350"/>
      <c r="C129" s="351"/>
      <c r="D129" s="351"/>
      <c r="E129" s="351"/>
      <c r="F129" s="352"/>
      <c r="G129" s="356"/>
      <c r="H129" s="357"/>
      <c r="I129" s="357"/>
      <c r="J129" s="358"/>
      <c r="K129" s="362"/>
      <c r="L129" s="363"/>
      <c r="M129" s="363"/>
      <c r="N129" s="364"/>
      <c r="O129" s="362"/>
      <c r="P129" s="363"/>
      <c r="Q129" s="363"/>
      <c r="R129" s="364"/>
      <c r="S129" s="311"/>
      <c r="T129" s="312"/>
      <c r="U129" s="366"/>
      <c r="V129" s="362"/>
      <c r="W129" s="363"/>
      <c r="X129" s="363"/>
      <c r="Y129" s="364"/>
      <c r="Z129" s="362"/>
      <c r="AA129" s="363"/>
      <c r="AB129" s="363"/>
      <c r="AC129" s="364"/>
      <c r="AD129" s="362"/>
      <c r="AE129" s="363"/>
      <c r="AF129" s="363"/>
      <c r="AG129" s="364"/>
      <c r="AH129" s="311"/>
      <c r="AI129" s="312"/>
      <c r="AJ129" s="313"/>
      <c r="AL129" s="306"/>
      <c r="AM129" s="304"/>
      <c r="AN129" s="302"/>
      <c r="AO129" s="302"/>
      <c r="AP129" s="302"/>
      <c r="AQ129" s="302"/>
      <c r="AR129" s="302"/>
      <c r="AS129" s="302"/>
      <c r="AT129" s="302"/>
      <c r="AU129" s="302"/>
      <c r="AV129" s="302"/>
      <c r="AW129" s="302"/>
      <c r="AX129" s="304"/>
      <c r="AY129" s="6" t="s">
        <v>211</v>
      </c>
      <c r="AZ129" s="6" t="s">
        <v>524</v>
      </c>
      <c r="BA129" s="5"/>
      <c r="BK129" s="302"/>
      <c r="BL129" s="302"/>
      <c r="BM129" s="302"/>
    </row>
    <row r="130" spans="2:65" ht="13.5" customHeight="1" x14ac:dyDescent="0.2">
      <c r="B130" s="317"/>
      <c r="C130" s="318"/>
      <c r="D130" s="318"/>
      <c r="E130" s="318"/>
      <c r="F130" s="319"/>
      <c r="G130" s="323" t="s">
        <v>87</v>
      </c>
      <c r="H130" s="324"/>
      <c r="I130" s="324"/>
      <c r="J130" s="325"/>
      <c r="K130" s="329"/>
      <c r="L130" s="330"/>
      <c r="M130" s="330"/>
      <c r="N130" s="331"/>
      <c r="O130" s="335"/>
      <c r="P130" s="336"/>
      <c r="Q130" s="336"/>
      <c r="R130" s="337"/>
      <c r="S130" s="311"/>
      <c r="T130" s="312"/>
      <c r="U130" s="366"/>
      <c r="V130" s="329"/>
      <c r="W130" s="330"/>
      <c r="X130" s="330"/>
      <c r="Y130" s="331"/>
      <c r="Z130" s="329"/>
      <c r="AA130" s="330"/>
      <c r="AB130" s="330"/>
      <c r="AC130" s="331"/>
      <c r="AD130" s="341"/>
      <c r="AE130" s="342"/>
      <c r="AF130" s="342"/>
      <c r="AG130" s="343"/>
      <c r="AH130" s="311"/>
      <c r="AI130" s="312"/>
      <c r="AJ130" s="313"/>
      <c r="AL130" s="306"/>
      <c r="AM130" s="304"/>
      <c r="AN130" s="302"/>
      <c r="AO130" s="302"/>
      <c r="AP130" s="302"/>
      <c r="AQ130" s="302"/>
      <c r="AR130" s="302"/>
      <c r="AS130" s="302"/>
      <c r="AT130" s="302"/>
      <c r="AU130" s="302"/>
      <c r="AV130" s="302"/>
      <c r="AW130" s="302"/>
      <c r="AX130" s="304"/>
      <c r="AY130" s="6" t="s">
        <v>212</v>
      </c>
      <c r="AZ130" s="6" t="s">
        <v>525</v>
      </c>
      <c r="BA130" s="5">
        <v>5.0000000000000001E-4</v>
      </c>
    </row>
    <row r="131" spans="2:65" ht="13.5" customHeight="1" thickBot="1" x14ac:dyDescent="0.25">
      <c r="B131" s="320"/>
      <c r="C131" s="321"/>
      <c r="D131" s="321"/>
      <c r="E131" s="321"/>
      <c r="F131" s="322"/>
      <c r="G131" s="326"/>
      <c r="H131" s="327"/>
      <c r="I131" s="327"/>
      <c r="J131" s="328"/>
      <c r="K131" s="332"/>
      <c r="L131" s="333"/>
      <c r="M131" s="333"/>
      <c r="N131" s="334"/>
      <c r="O131" s="338"/>
      <c r="P131" s="339"/>
      <c r="Q131" s="339"/>
      <c r="R131" s="340"/>
      <c r="S131" s="314"/>
      <c r="T131" s="315"/>
      <c r="U131" s="367"/>
      <c r="V131" s="332"/>
      <c r="W131" s="333"/>
      <c r="X131" s="333"/>
      <c r="Y131" s="334"/>
      <c r="Z131" s="332"/>
      <c r="AA131" s="333"/>
      <c r="AB131" s="333"/>
      <c r="AC131" s="334"/>
      <c r="AD131" s="344"/>
      <c r="AE131" s="345"/>
      <c r="AF131" s="345"/>
      <c r="AG131" s="346"/>
      <c r="AH131" s="314"/>
      <c r="AI131" s="315"/>
      <c r="AJ131" s="316"/>
      <c r="AL131" s="306"/>
      <c r="AM131" s="304"/>
      <c r="AN131" s="302"/>
      <c r="AO131" s="302"/>
      <c r="AP131" s="302"/>
      <c r="AQ131" s="302"/>
      <c r="AR131" s="302"/>
      <c r="AS131" s="302"/>
      <c r="AT131" s="302"/>
      <c r="AU131" s="302"/>
      <c r="AV131" s="302"/>
      <c r="AW131" s="302"/>
      <c r="AX131" s="304"/>
      <c r="AY131" s="6" t="s">
        <v>213</v>
      </c>
      <c r="AZ131" s="6" t="s">
        <v>526</v>
      </c>
      <c r="BA131" s="5">
        <v>2.9999999999999997E-4</v>
      </c>
    </row>
    <row r="132" spans="2:65" ht="13.5" customHeight="1" x14ac:dyDescent="0.2">
      <c r="AY132" s="6" t="s">
        <v>214</v>
      </c>
      <c r="AZ132" s="6" t="s">
        <v>527</v>
      </c>
      <c r="BA132" s="5">
        <v>8.0000000000000004E-4</v>
      </c>
    </row>
    <row r="133" spans="2:65" ht="13.5" hidden="1" customHeight="1" x14ac:dyDescent="0.2">
      <c r="AY133" s="6" t="s">
        <v>215</v>
      </c>
      <c r="AZ133" s="6" t="s">
        <v>528</v>
      </c>
      <c r="BA133" s="5">
        <v>2E-3</v>
      </c>
    </row>
    <row r="134" spans="2:65" ht="13.5" hidden="1" customHeight="1" x14ac:dyDescent="0.2">
      <c r="AY134" s="6" t="s">
        <v>216</v>
      </c>
      <c r="AZ134" s="6" t="s">
        <v>529</v>
      </c>
      <c r="BA134" s="5"/>
    </row>
    <row r="135" spans="2:65" ht="13.5" hidden="1" customHeight="1" x14ac:dyDescent="0.2">
      <c r="AY135" s="6" t="s">
        <v>217</v>
      </c>
      <c r="AZ135" s="6" t="s">
        <v>530</v>
      </c>
      <c r="BA135" s="5"/>
    </row>
    <row r="136" spans="2:65" ht="13.5" hidden="1" customHeight="1" x14ac:dyDescent="0.2">
      <c r="AY136" s="6" t="s">
        <v>218</v>
      </c>
      <c r="AZ136" s="6" t="s">
        <v>531</v>
      </c>
      <c r="BA136" s="5"/>
    </row>
    <row r="137" spans="2:65" ht="13.5" hidden="1" customHeight="1" x14ac:dyDescent="0.2">
      <c r="AY137" s="6" t="s">
        <v>219</v>
      </c>
      <c r="AZ137" s="6" t="s">
        <v>532</v>
      </c>
      <c r="BA137" s="5"/>
    </row>
    <row r="138" spans="2:65" ht="13.5" hidden="1" customHeight="1" x14ac:dyDescent="0.2">
      <c r="AY138" s="6" t="s">
        <v>220</v>
      </c>
      <c r="AZ138" s="6" t="s">
        <v>533</v>
      </c>
      <c r="BA138" s="5"/>
    </row>
    <row r="139" spans="2:65" ht="13.5" hidden="1" customHeight="1" x14ac:dyDescent="0.2">
      <c r="AY139" s="6" t="s">
        <v>221</v>
      </c>
      <c r="AZ139" s="6" t="s">
        <v>534</v>
      </c>
      <c r="BA139" s="5">
        <v>2.0000000000000001E-4</v>
      </c>
    </row>
    <row r="140" spans="2:65" ht="13.5" hidden="1" customHeight="1" x14ac:dyDescent="0.2">
      <c r="AY140" s="6" t="s">
        <v>222</v>
      </c>
      <c r="AZ140" s="6" t="s">
        <v>535</v>
      </c>
      <c r="BA140" s="5">
        <v>3.4000000000000002E-4</v>
      </c>
    </row>
    <row r="141" spans="2:65" ht="13.5" hidden="1" customHeight="1" x14ac:dyDescent="0.2">
      <c r="AY141" s="6" t="s">
        <v>223</v>
      </c>
      <c r="AZ141" s="6" t="s">
        <v>536</v>
      </c>
      <c r="BA141" s="5"/>
    </row>
    <row r="142" spans="2:65" ht="13.5" hidden="1" customHeight="1" x14ac:dyDescent="0.2">
      <c r="AY142" s="6" t="s">
        <v>224</v>
      </c>
      <c r="AZ142" s="6" t="s">
        <v>537</v>
      </c>
      <c r="BA142" s="5"/>
    </row>
    <row r="143" spans="2:65" ht="13.5" hidden="1" customHeight="1" x14ac:dyDescent="0.2">
      <c r="AY143" s="6" t="s">
        <v>225</v>
      </c>
      <c r="AZ143" s="6" t="s">
        <v>538</v>
      </c>
      <c r="BA143" s="5"/>
    </row>
    <row r="144" spans="2:65" ht="13.5" hidden="1" customHeight="1" x14ac:dyDescent="0.2">
      <c r="AY144" s="6" t="s">
        <v>226</v>
      </c>
      <c r="AZ144" s="6" t="s">
        <v>539</v>
      </c>
      <c r="BA144" s="5">
        <v>1.2E-4</v>
      </c>
    </row>
    <row r="145" spans="51:53" ht="13.5" hidden="1" customHeight="1" x14ac:dyDescent="0.2">
      <c r="AY145" s="6" t="s">
        <v>227</v>
      </c>
      <c r="AZ145" s="6" t="s">
        <v>540</v>
      </c>
      <c r="BA145" s="5"/>
    </row>
    <row r="146" spans="51:53" ht="13.5" hidden="1" customHeight="1" x14ac:dyDescent="0.2">
      <c r="AY146" s="6" t="s">
        <v>228</v>
      </c>
      <c r="AZ146" s="6" t="s">
        <v>541</v>
      </c>
      <c r="BA146" s="5"/>
    </row>
    <row r="147" spans="51:53" ht="13.5" hidden="1" customHeight="1" x14ac:dyDescent="0.2">
      <c r="AY147" s="6" t="s">
        <v>230</v>
      </c>
      <c r="AZ147" s="6" t="s">
        <v>542</v>
      </c>
      <c r="BA147" s="5"/>
    </row>
    <row r="148" spans="51:53" ht="13.5" hidden="1" customHeight="1" x14ac:dyDescent="0.2">
      <c r="AY148" s="6" t="s">
        <v>231</v>
      </c>
      <c r="AZ148" s="6" t="s">
        <v>543</v>
      </c>
      <c r="BA148" s="5">
        <v>1.4E-5</v>
      </c>
    </row>
    <row r="149" spans="51:53" ht="13.5" hidden="1" customHeight="1" x14ac:dyDescent="0.2">
      <c r="AY149" s="6" t="s">
        <v>232</v>
      </c>
      <c r="AZ149" s="6" t="s">
        <v>544</v>
      </c>
      <c r="BA149" s="5"/>
    </row>
    <row r="150" spans="51:53" ht="13.5" hidden="1" customHeight="1" x14ac:dyDescent="0.2">
      <c r="AY150" s="6" t="s">
        <v>233</v>
      </c>
      <c r="AZ150" s="6" t="s">
        <v>545</v>
      </c>
      <c r="BA150" s="5"/>
    </row>
    <row r="151" spans="51:53" ht="13.5" hidden="1" customHeight="1" x14ac:dyDescent="0.2">
      <c r="AY151" s="6" t="s">
        <v>234</v>
      </c>
      <c r="AZ151" s="6" t="s">
        <v>546</v>
      </c>
      <c r="BA151" s="5">
        <v>2.0000000000000001E-4</v>
      </c>
    </row>
    <row r="152" spans="51:53" ht="13.5" hidden="1" customHeight="1" x14ac:dyDescent="0.2">
      <c r="AY152" s="6" t="s">
        <v>235</v>
      </c>
      <c r="AZ152" s="6" t="s">
        <v>547</v>
      </c>
      <c r="BA152" s="5">
        <v>9.0000000000000006E-5</v>
      </c>
    </row>
    <row r="153" spans="51:53" ht="13.5" hidden="1" customHeight="1" x14ac:dyDescent="0.2">
      <c r="AY153" s="6" t="s">
        <v>236</v>
      </c>
      <c r="AZ153" s="6" t="s">
        <v>548</v>
      </c>
      <c r="BA153" s="5"/>
    </row>
    <row r="154" spans="51:53" ht="13.5" hidden="1" customHeight="1" x14ac:dyDescent="0.2">
      <c r="AY154" s="6" t="s">
        <v>237</v>
      </c>
      <c r="AZ154" s="6" t="s">
        <v>549</v>
      </c>
      <c r="BA154" s="5">
        <v>5.1999999999999995E-4</v>
      </c>
    </row>
    <row r="155" spans="51:53" ht="13.5" hidden="1" customHeight="1" x14ac:dyDescent="0.2">
      <c r="AY155" s="6" t="s">
        <v>238</v>
      </c>
      <c r="AZ155" s="6" t="s">
        <v>550</v>
      </c>
      <c r="BA155" s="5">
        <v>5.0000000000000002E-5</v>
      </c>
    </row>
    <row r="156" spans="51:53" ht="13.5" hidden="1" customHeight="1" x14ac:dyDescent="0.2">
      <c r="AY156" s="6" t="s">
        <v>239</v>
      </c>
      <c r="AZ156" s="6" t="s">
        <v>551</v>
      </c>
      <c r="BA156" s="5"/>
    </row>
    <row r="157" spans="51:53" ht="13.5" hidden="1" customHeight="1" x14ac:dyDescent="0.2">
      <c r="AY157" s="6" t="s">
        <v>240</v>
      </c>
      <c r="AZ157" s="6" t="s">
        <v>552</v>
      </c>
      <c r="BA157" s="5"/>
    </row>
    <row r="158" spans="51:53" ht="13.5" hidden="1" customHeight="1" x14ac:dyDescent="0.2">
      <c r="AY158" s="6" t="s">
        <v>241</v>
      </c>
      <c r="AZ158" s="6" t="s">
        <v>553</v>
      </c>
      <c r="BA158" s="5"/>
    </row>
    <row r="159" spans="51:53" ht="13.5" hidden="1" customHeight="1" x14ac:dyDescent="0.2">
      <c r="AY159" s="6" t="s">
        <v>242</v>
      </c>
      <c r="AZ159" s="6" t="s">
        <v>554</v>
      </c>
      <c r="BA159" s="5">
        <v>1.4999999999999999E-4</v>
      </c>
    </row>
    <row r="160" spans="51:53" ht="13.5" hidden="1" customHeight="1" x14ac:dyDescent="0.2">
      <c r="AY160" s="6" t="s">
        <v>243</v>
      </c>
      <c r="AZ160" s="6" t="s">
        <v>555</v>
      </c>
      <c r="BA160" s="5"/>
    </row>
    <row r="161" spans="51:53" ht="13.5" hidden="1" customHeight="1" x14ac:dyDescent="0.2">
      <c r="AY161" s="6" t="s">
        <v>244</v>
      </c>
      <c r="AZ161" s="6" t="s">
        <v>556</v>
      </c>
      <c r="BA161" s="5"/>
    </row>
    <row r="162" spans="51:53" ht="13.5" hidden="1" customHeight="1" x14ac:dyDescent="0.2">
      <c r="AY162" s="6" t="s">
        <v>245</v>
      </c>
      <c r="AZ162" s="6" t="s">
        <v>557</v>
      </c>
      <c r="BA162" s="5"/>
    </row>
    <row r="163" spans="51:53" ht="13.5" hidden="1" customHeight="1" x14ac:dyDescent="0.2">
      <c r="AY163" s="6" t="s">
        <v>246</v>
      </c>
      <c r="AZ163" s="6" t="s">
        <v>558</v>
      </c>
      <c r="BA163" s="5"/>
    </row>
    <row r="164" spans="51:53" ht="13.5" hidden="1" customHeight="1" x14ac:dyDescent="0.2">
      <c r="AY164" s="6" t="s">
        <v>247</v>
      </c>
      <c r="AZ164" s="6" t="s">
        <v>559</v>
      </c>
      <c r="BA164" s="5"/>
    </row>
    <row r="165" spans="51:53" ht="13.5" hidden="1" customHeight="1" x14ac:dyDescent="0.2">
      <c r="AY165" s="6" t="s">
        <v>248</v>
      </c>
      <c r="AZ165" s="6" t="s">
        <v>560</v>
      </c>
      <c r="BA165" s="5"/>
    </row>
    <row r="166" spans="51:53" ht="13.5" hidden="1" customHeight="1" x14ac:dyDescent="0.2">
      <c r="AY166" s="6" t="s">
        <v>249</v>
      </c>
      <c r="AZ166" s="6" t="s">
        <v>561</v>
      </c>
      <c r="BA166" s="5"/>
    </row>
    <row r="167" spans="51:53" ht="13.5" hidden="1" customHeight="1" x14ac:dyDescent="0.2">
      <c r="AY167" s="6" t="s">
        <v>250</v>
      </c>
      <c r="AZ167" s="6" t="s">
        <v>562</v>
      </c>
      <c r="BA167" s="5"/>
    </row>
    <row r="168" spans="51:53" ht="13.5" hidden="1" customHeight="1" x14ac:dyDescent="0.2">
      <c r="AY168" s="6" t="s">
        <v>251</v>
      </c>
      <c r="AZ168" s="6" t="s">
        <v>563</v>
      </c>
      <c r="BA168" s="5"/>
    </row>
    <row r="169" spans="51:53" ht="13.5" hidden="1" customHeight="1" x14ac:dyDescent="0.2">
      <c r="AY169" s="6" t="s">
        <v>252</v>
      </c>
      <c r="AZ169" s="6" t="s">
        <v>564</v>
      </c>
      <c r="BA169" s="5">
        <v>9.0000000000000002E-6</v>
      </c>
    </row>
    <row r="170" spans="51:53" ht="13.5" hidden="1" customHeight="1" x14ac:dyDescent="0.2">
      <c r="AY170" s="6" t="s">
        <v>253</v>
      </c>
      <c r="AZ170" s="6" t="s">
        <v>565</v>
      </c>
      <c r="BA170" s="5"/>
    </row>
    <row r="171" spans="51:53" ht="13.5" hidden="1" customHeight="1" x14ac:dyDescent="0.2">
      <c r="AY171" s="6" t="s">
        <v>254</v>
      </c>
      <c r="AZ171" s="6" t="s">
        <v>566</v>
      </c>
      <c r="BA171" s="5"/>
    </row>
    <row r="172" spans="51:53" hidden="1" x14ac:dyDescent="0.2">
      <c r="AY172" s="6" t="s">
        <v>255</v>
      </c>
      <c r="AZ172" s="6" t="s">
        <v>567</v>
      </c>
      <c r="BA172" s="5">
        <v>3.0000000000000001E-5</v>
      </c>
    </row>
    <row r="173" spans="51:53" hidden="1" x14ac:dyDescent="0.2">
      <c r="AY173" s="6" t="s">
        <v>1234</v>
      </c>
      <c r="AZ173" s="6" t="s">
        <v>1235</v>
      </c>
      <c r="BA173" s="5"/>
    </row>
    <row r="174" spans="51:53" hidden="1" x14ac:dyDescent="0.2">
      <c r="AY174" s="6" t="s">
        <v>256</v>
      </c>
      <c r="AZ174" s="6" t="s">
        <v>568</v>
      </c>
      <c r="BA174" s="5"/>
    </row>
    <row r="175" spans="51:53" hidden="1" x14ac:dyDescent="0.2">
      <c r="AY175" s="6" t="s">
        <v>257</v>
      </c>
      <c r="AZ175" s="6" t="s">
        <v>569</v>
      </c>
      <c r="BA175" s="5"/>
    </row>
    <row r="176" spans="51:53" hidden="1" x14ac:dyDescent="0.2">
      <c r="AY176" s="6" t="s">
        <v>258</v>
      </c>
      <c r="AZ176" s="6" t="s">
        <v>570</v>
      </c>
      <c r="BA176" s="5"/>
    </row>
    <row r="177" spans="51:53" hidden="1" x14ac:dyDescent="0.2">
      <c r="AY177" s="6" t="s">
        <v>1236</v>
      </c>
      <c r="AZ177" s="6" t="s">
        <v>1237</v>
      </c>
      <c r="BA177" s="5">
        <v>1E-4</v>
      </c>
    </row>
    <row r="178" spans="51:53" hidden="1" x14ac:dyDescent="0.2">
      <c r="AY178" s="6" t="s">
        <v>259</v>
      </c>
      <c r="AZ178" s="6" t="s">
        <v>571</v>
      </c>
      <c r="BA178" s="5"/>
    </row>
    <row r="179" spans="51:53" hidden="1" x14ac:dyDescent="0.2">
      <c r="AY179" s="6" t="s">
        <v>260</v>
      </c>
      <c r="AZ179" s="6" t="s">
        <v>572</v>
      </c>
      <c r="BA179" s="5"/>
    </row>
    <row r="180" spans="51:53" hidden="1" x14ac:dyDescent="0.2">
      <c r="AY180" s="6" t="s">
        <v>261</v>
      </c>
      <c r="AZ180" s="6" t="s">
        <v>573</v>
      </c>
      <c r="BA180" s="5"/>
    </row>
    <row r="181" spans="51:53" hidden="1" x14ac:dyDescent="0.2">
      <c r="AY181" s="6" t="s">
        <v>262</v>
      </c>
      <c r="AZ181" s="6" t="s">
        <v>574</v>
      </c>
      <c r="BA181" s="5">
        <v>1.9999999999999999E-6</v>
      </c>
    </row>
    <row r="182" spans="51:53" hidden="1" x14ac:dyDescent="0.2">
      <c r="AY182" s="6" t="s">
        <v>263</v>
      </c>
      <c r="AZ182" s="6" t="s">
        <v>575</v>
      </c>
      <c r="BA182" s="5"/>
    </row>
    <row r="183" spans="51:53" hidden="1" x14ac:dyDescent="0.2">
      <c r="AY183" s="6" t="s">
        <v>264</v>
      </c>
      <c r="AZ183" s="6" t="s">
        <v>576</v>
      </c>
      <c r="BA183" s="5"/>
    </row>
    <row r="184" spans="51:53" hidden="1" x14ac:dyDescent="0.2">
      <c r="AY184" s="6" t="s">
        <v>265</v>
      </c>
      <c r="AZ184" s="6" t="s">
        <v>577</v>
      </c>
      <c r="BA184" s="5">
        <v>4.8999999999999998E-4</v>
      </c>
    </row>
    <row r="185" spans="51:53" hidden="1" x14ac:dyDescent="0.2">
      <c r="AY185" s="6" t="s">
        <v>266</v>
      </c>
      <c r="AZ185" s="6" t="s">
        <v>578</v>
      </c>
      <c r="BA185" s="5"/>
    </row>
    <row r="186" spans="51:53" hidden="1" x14ac:dyDescent="0.2">
      <c r="AY186" s="6" t="s">
        <v>267</v>
      </c>
      <c r="AZ186" s="6" t="s">
        <v>579</v>
      </c>
      <c r="BA186" s="5"/>
    </row>
    <row r="187" spans="51:53" hidden="1" x14ac:dyDescent="0.2">
      <c r="AY187" s="6" t="s">
        <v>268</v>
      </c>
      <c r="AZ187" s="6" t="s">
        <v>580</v>
      </c>
      <c r="BA187" s="5"/>
    </row>
    <row r="188" spans="51:53" hidden="1" x14ac:dyDescent="0.2">
      <c r="AY188" s="6" t="s">
        <v>269</v>
      </c>
      <c r="AZ188" s="6" t="s">
        <v>581</v>
      </c>
      <c r="BA188" s="5">
        <v>2.9E-4</v>
      </c>
    </row>
    <row r="189" spans="51:53" hidden="1" x14ac:dyDescent="0.2">
      <c r="AY189" s="6" t="s">
        <v>270</v>
      </c>
      <c r="AZ189" s="6" t="s">
        <v>582</v>
      </c>
      <c r="BA189" s="5"/>
    </row>
    <row r="190" spans="51:53" hidden="1" x14ac:dyDescent="0.2">
      <c r="AY190" s="6" t="s">
        <v>271</v>
      </c>
      <c r="AZ190" s="6" t="s">
        <v>583</v>
      </c>
      <c r="BA190" s="5"/>
    </row>
    <row r="191" spans="51:53" hidden="1" x14ac:dyDescent="0.2">
      <c r="AY191" s="6" t="s">
        <v>272</v>
      </c>
      <c r="AZ191" s="6" t="s">
        <v>584</v>
      </c>
      <c r="BA191" s="5"/>
    </row>
    <row r="192" spans="51:53" hidden="1" x14ac:dyDescent="0.2">
      <c r="AY192" s="6" t="s">
        <v>273</v>
      </c>
      <c r="AZ192" s="6" t="s">
        <v>585</v>
      </c>
      <c r="BA192" s="5">
        <v>3.6000000000000002E-4</v>
      </c>
    </row>
    <row r="193" spans="51:53" hidden="1" x14ac:dyDescent="0.2">
      <c r="AY193" s="6" t="s">
        <v>274</v>
      </c>
      <c r="AZ193" s="6" t="s">
        <v>586</v>
      </c>
      <c r="BA193" s="5"/>
    </row>
    <row r="194" spans="51:53" hidden="1" x14ac:dyDescent="0.2">
      <c r="AY194" s="6" t="s">
        <v>275</v>
      </c>
      <c r="AZ194" s="6" t="s">
        <v>587</v>
      </c>
      <c r="BA194" s="5">
        <v>2.5000000000000001E-3</v>
      </c>
    </row>
    <row r="195" spans="51:53" hidden="1" x14ac:dyDescent="0.2">
      <c r="AY195" s="6" t="s">
        <v>276</v>
      </c>
      <c r="AZ195" s="6" t="s">
        <v>588</v>
      </c>
      <c r="BA195" s="5"/>
    </row>
    <row r="196" spans="51:53" hidden="1" x14ac:dyDescent="0.2">
      <c r="AY196" s="6" t="s">
        <v>277</v>
      </c>
      <c r="AZ196" s="6" t="s">
        <v>589</v>
      </c>
      <c r="BA196" s="5"/>
    </row>
    <row r="197" spans="51:53" hidden="1" x14ac:dyDescent="0.2">
      <c r="AY197" s="6" t="s">
        <v>278</v>
      </c>
      <c r="AZ197" s="6" t="s">
        <v>590</v>
      </c>
      <c r="BA197" s="5">
        <v>5.0000000000000001E-4</v>
      </c>
    </row>
    <row r="198" spans="51:53" hidden="1" x14ac:dyDescent="0.2">
      <c r="AY198" s="6" t="s">
        <v>279</v>
      </c>
      <c r="AZ198" s="6" t="s">
        <v>591</v>
      </c>
      <c r="BA198" s="5">
        <v>1E-3</v>
      </c>
    </row>
    <row r="199" spans="51:53" hidden="1" x14ac:dyDescent="0.2">
      <c r="AY199" s="6" t="s">
        <v>280</v>
      </c>
      <c r="AZ199" s="6" t="s">
        <v>592</v>
      </c>
      <c r="BA199" s="5">
        <v>5.0000000000000001E-4</v>
      </c>
    </row>
    <row r="200" spans="51:53" hidden="1" x14ac:dyDescent="0.2">
      <c r="AY200" s="6" t="s">
        <v>281</v>
      </c>
      <c r="AZ200" s="6" t="s">
        <v>593</v>
      </c>
      <c r="BA200" s="5">
        <v>2.9999999999999997E-4</v>
      </c>
    </row>
    <row r="201" spans="51:53" hidden="1" x14ac:dyDescent="0.2">
      <c r="AY201" s="6" t="s">
        <v>282</v>
      </c>
      <c r="AZ201" s="6" t="s">
        <v>594</v>
      </c>
      <c r="BA201" s="5"/>
    </row>
    <row r="202" spans="51:53" hidden="1" x14ac:dyDescent="0.2">
      <c r="AY202" s="6" t="s">
        <v>283</v>
      </c>
      <c r="AZ202" s="6" t="s">
        <v>595</v>
      </c>
      <c r="BA202" s="5">
        <v>5.9999999999999995E-4</v>
      </c>
    </row>
    <row r="203" spans="51:53" hidden="1" x14ac:dyDescent="0.2">
      <c r="AY203" s="6" t="s">
        <v>284</v>
      </c>
      <c r="AZ203" s="6" t="s">
        <v>596</v>
      </c>
      <c r="BA203" s="5"/>
    </row>
    <row r="204" spans="51:53" hidden="1" x14ac:dyDescent="0.2">
      <c r="AY204" s="6" t="s">
        <v>285</v>
      </c>
      <c r="AZ204" s="6" t="s">
        <v>597</v>
      </c>
      <c r="BA204" s="5">
        <v>2.9999999999999997E-4</v>
      </c>
    </row>
    <row r="205" spans="51:53" hidden="1" x14ac:dyDescent="0.2">
      <c r="AY205" s="6" t="s">
        <v>286</v>
      </c>
      <c r="AZ205" s="6" t="s">
        <v>598</v>
      </c>
      <c r="BA205" s="5"/>
    </row>
    <row r="206" spans="51:53" hidden="1" x14ac:dyDescent="0.2">
      <c r="AY206" s="6" t="s">
        <v>287</v>
      </c>
      <c r="AZ206" s="6" t="s">
        <v>599</v>
      </c>
      <c r="BA206" s="5"/>
    </row>
    <row r="207" spans="51:53" hidden="1" x14ac:dyDescent="0.2">
      <c r="AY207" s="6" t="s">
        <v>288</v>
      </c>
      <c r="AZ207" s="6" t="s">
        <v>600</v>
      </c>
      <c r="BA207" s="5">
        <v>6.6000000000000005E-5</v>
      </c>
    </row>
    <row r="208" spans="51:53" hidden="1" x14ac:dyDescent="0.2">
      <c r="AY208" s="6" t="s">
        <v>289</v>
      </c>
      <c r="AZ208" s="6" t="s">
        <v>601</v>
      </c>
      <c r="BA208" s="5">
        <v>6.0000000000000002E-6</v>
      </c>
    </row>
    <row r="209" spans="51:53" hidden="1" x14ac:dyDescent="0.2">
      <c r="AY209" s="6" t="s">
        <v>290</v>
      </c>
      <c r="AZ209" s="6" t="s">
        <v>602</v>
      </c>
      <c r="BA209" s="5">
        <v>2.3E-5</v>
      </c>
    </row>
    <row r="210" spans="51:53" hidden="1" x14ac:dyDescent="0.2">
      <c r="AY210" s="6" t="s">
        <v>291</v>
      </c>
      <c r="AZ210" s="6" t="s">
        <v>603</v>
      </c>
      <c r="BA210" s="5"/>
    </row>
    <row r="211" spans="51:53" hidden="1" x14ac:dyDescent="0.2">
      <c r="AY211" s="6" t="s">
        <v>292</v>
      </c>
      <c r="AZ211" s="6" t="s">
        <v>604</v>
      </c>
      <c r="BA211" s="5"/>
    </row>
    <row r="212" spans="51:53" hidden="1" x14ac:dyDescent="0.2">
      <c r="AY212" s="6" t="s">
        <v>293</v>
      </c>
      <c r="AZ212" s="6" t="s">
        <v>605</v>
      </c>
      <c r="BA212" s="5">
        <v>2.0000000000000001E-4</v>
      </c>
    </row>
    <row r="213" spans="51:53" hidden="1" x14ac:dyDescent="0.2">
      <c r="AY213" s="6" t="s">
        <v>294</v>
      </c>
      <c r="AZ213" s="6" t="s">
        <v>606</v>
      </c>
      <c r="BA213" s="5"/>
    </row>
    <row r="214" spans="51:53" hidden="1" x14ac:dyDescent="0.2">
      <c r="AY214" s="6" t="s">
        <v>295</v>
      </c>
      <c r="AZ214" s="6" t="s">
        <v>607</v>
      </c>
      <c r="BA214" s="5"/>
    </row>
    <row r="215" spans="51:53" hidden="1" x14ac:dyDescent="0.2">
      <c r="AY215" s="6" t="s">
        <v>296</v>
      </c>
      <c r="AZ215" s="6" t="s">
        <v>608</v>
      </c>
      <c r="BA215" s="5"/>
    </row>
    <row r="216" spans="51:53" hidden="1" x14ac:dyDescent="0.2">
      <c r="AY216" s="6" t="s">
        <v>298</v>
      </c>
      <c r="AZ216" s="6" t="s">
        <v>609</v>
      </c>
      <c r="BA216" s="5">
        <v>2.1000000000000001E-4</v>
      </c>
    </row>
    <row r="217" spans="51:53" hidden="1" x14ac:dyDescent="0.2">
      <c r="AY217" s="6" t="s">
        <v>100</v>
      </c>
      <c r="AZ217" s="6" t="s">
        <v>1088</v>
      </c>
      <c r="BA217" s="5">
        <v>2.1000000000000001E-4</v>
      </c>
    </row>
    <row r="218" spans="51:53" hidden="1" x14ac:dyDescent="0.2">
      <c r="AY218" s="6" t="s">
        <v>299</v>
      </c>
      <c r="AZ218" s="6" t="s">
        <v>610</v>
      </c>
      <c r="BA218" s="5"/>
    </row>
    <row r="219" spans="51:53" hidden="1" x14ac:dyDescent="0.2">
      <c r="AY219" s="6" t="s">
        <v>301</v>
      </c>
      <c r="AZ219" s="6" t="s">
        <v>611</v>
      </c>
      <c r="BA219" s="5"/>
    </row>
    <row r="220" spans="51:53" hidden="1" x14ac:dyDescent="0.2">
      <c r="AY220" s="6" t="s">
        <v>302</v>
      </c>
      <c r="AZ220" s="6" t="s">
        <v>612</v>
      </c>
      <c r="BA220" s="5"/>
    </row>
    <row r="221" spans="51:53" hidden="1" x14ac:dyDescent="0.2">
      <c r="AY221" s="6" t="s">
        <v>303</v>
      </c>
      <c r="AZ221" s="6" t="s">
        <v>613</v>
      </c>
      <c r="BA221" s="5"/>
    </row>
    <row r="222" spans="51:53" hidden="1" x14ac:dyDescent="0.2">
      <c r="AY222" s="6" t="s">
        <v>304</v>
      </c>
      <c r="AZ222" s="6" t="s">
        <v>614</v>
      </c>
      <c r="BA222" s="5">
        <v>1E-3</v>
      </c>
    </row>
    <row r="223" spans="51:53" hidden="1" x14ac:dyDescent="0.2">
      <c r="AY223" s="6" t="s">
        <v>305</v>
      </c>
      <c r="AZ223" s="6" t="s">
        <v>615</v>
      </c>
      <c r="BA223" s="5">
        <v>3.9999999999999998E-6</v>
      </c>
    </row>
    <row r="224" spans="51:53" hidden="1" x14ac:dyDescent="0.2">
      <c r="AY224" s="6" t="s">
        <v>306</v>
      </c>
      <c r="AZ224" s="6" t="s">
        <v>616</v>
      </c>
      <c r="BA224" s="5"/>
    </row>
    <row r="225" spans="51:53" hidden="1" x14ac:dyDescent="0.2">
      <c r="AY225" s="6" t="s">
        <v>307</v>
      </c>
      <c r="AZ225" s="6" t="s">
        <v>617</v>
      </c>
      <c r="BA225" s="5"/>
    </row>
    <row r="226" spans="51:53" hidden="1" x14ac:dyDescent="0.2">
      <c r="AY226" s="6" t="s">
        <v>308</v>
      </c>
      <c r="AZ226" s="6" t="s">
        <v>618</v>
      </c>
      <c r="BA226" s="5" t="s">
        <v>1070</v>
      </c>
    </row>
    <row r="227" spans="51:53" hidden="1" x14ac:dyDescent="0.2">
      <c r="AY227" s="6" t="s">
        <v>309</v>
      </c>
      <c r="AZ227" s="6" t="s">
        <v>619</v>
      </c>
      <c r="BA227" s="5"/>
    </row>
    <row r="228" spans="51:53" hidden="1" x14ac:dyDescent="0.2">
      <c r="AY228" s="6" t="s">
        <v>1238</v>
      </c>
      <c r="AZ228" s="6" t="s">
        <v>1239</v>
      </c>
      <c r="BA228" s="5"/>
    </row>
    <row r="229" spans="51:53" hidden="1" x14ac:dyDescent="0.2">
      <c r="AY229" s="6" t="s">
        <v>310</v>
      </c>
      <c r="AZ229" s="6" t="s">
        <v>620</v>
      </c>
    </row>
    <row r="230" spans="51:53" hidden="1" x14ac:dyDescent="0.2">
      <c r="AY230" s="6" t="s">
        <v>311</v>
      </c>
      <c r="AZ230" s="6" t="s">
        <v>621</v>
      </c>
      <c r="BA230" s="5">
        <v>3.0000000000000001E-6</v>
      </c>
    </row>
    <row r="231" spans="51:53" hidden="1" x14ac:dyDescent="0.2">
      <c r="AY231" s="6" t="s">
        <v>312</v>
      </c>
      <c r="AZ231" s="6" t="s">
        <v>622</v>
      </c>
      <c r="BA231" s="5">
        <v>8.2999999999999998E-5</v>
      </c>
    </row>
    <row r="232" spans="51:53" hidden="1" x14ac:dyDescent="0.2">
      <c r="AY232" s="6" t="s">
        <v>313</v>
      </c>
      <c r="AZ232" s="6" t="s">
        <v>623</v>
      </c>
    </row>
    <row r="233" spans="51:53" hidden="1" x14ac:dyDescent="0.2">
      <c r="AY233" s="6" t="s">
        <v>314</v>
      </c>
      <c r="AZ233" s="6" t="s">
        <v>624</v>
      </c>
      <c r="BA233" s="5">
        <v>5.0000000000000002E-5</v>
      </c>
    </row>
    <row r="234" spans="51:53" hidden="1" x14ac:dyDescent="0.2">
      <c r="AY234" s="6" t="s">
        <v>315</v>
      </c>
      <c r="AZ234" s="6" t="s">
        <v>625</v>
      </c>
      <c r="BA234" s="5">
        <v>3.4000000000000002E-4</v>
      </c>
    </row>
    <row r="235" spans="51:53" hidden="1" x14ac:dyDescent="0.2">
      <c r="AY235" s="6" t="s">
        <v>316</v>
      </c>
      <c r="AZ235" s="6" t="s">
        <v>626</v>
      </c>
      <c r="BA235" s="5">
        <v>4.0000000000000002E-4</v>
      </c>
    </row>
    <row r="236" spans="51:53" hidden="1" x14ac:dyDescent="0.2">
      <c r="AY236" s="6" t="s">
        <v>317</v>
      </c>
      <c r="AZ236" s="6" t="s">
        <v>627</v>
      </c>
      <c r="BA236" s="5">
        <v>3.0000000000000001E-5</v>
      </c>
    </row>
    <row r="237" spans="51:53" hidden="1" x14ac:dyDescent="0.2">
      <c r="AY237" s="6" t="s">
        <v>318</v>
      </c>
      <c r="AZ237" s="6" t="s">
        <v>628</v>
      </c>
    </row>
    <row r="238" spans="51:53" hidden="1" x14ac:dyDescent="0.2">
      <c r="AY238" s="6" t="s">
        <v>319</v>
      </c>
      <c r="AZ238" s="6" t="s">
        <v>629</v>
      </c>
      <c r="BA238" s="5">
        <v>7.0000000000000001E-3</v>
      </c>
    </row>
    <row r="239" spans="51:53" hidden="1" x14ac:dyDescent="0.2">
      <c r="AY239" s="6" t="s">
        <v>320</v>
      </c>
      <c r="AZ239" s="6" t="s">
        <v>630</v>
      </c>
      <c r="BA239" s="5"/>
    </row>
    <row r="240" spans="51:53" hidden="1" x14ac:dyDescent="0.2">
      <c r="AY240" s="6" t="s">
        <v>321</v>
      </c>
      <c r="AZ240" s="6" t="s">
        <v>631</v>
      </c>
      <c r="BA240" s="5"/>
    </row>
    <row r="241" spans="38:65" hidden="1" x14ac:dyDescent="0.2">
      <c r="AY241" s="6" t="s">
        <v>322</v>
      </c>
      <c r="AZ241" s="6" t="s">
        <v>632</v>
      </c>
      <c r="BA241" s="5"/>
    </row>
    <row r="242" spans="38:65" hidden="1" x14ac:dyDescent="0.2">
      <c r="AL242" s="301"/>
      <c r="AM242" s="301"/>
      <c r="AN242" s="301"/>
      <c r="AO242" s="301"/>
      <c r="AP242" s="301"/>
      <c r="AQ242" s="301"/>
      <c r="AR242" s="301"/>
      <c r="AS242" s="301"/>
      <c r="AT242" s="301"/>
      <c r="AU242" s="301"/>
      <c r="AV242" s="301"/>
      <c r="AW242" s="301"/>
      <c r="AX242" s="301"/>
      <c r="AY242" s="6" t="s">
        <v>1257</v>
      </c>
      <c r="AZ242" s="6" t="s">
        <v>1258</v>
      </c>
      <c r="BA242" s="5"/>
      <c r="BK242" s="301"/>
      <c r="BL242" s="301"/>
      <c r="BM242" s="301"/>
    </row>
    <row r="243" spans="38:65" hidden="1" x14ac:dyDescent="0.2">
      <c r="AY243" s="6" t="s">
        <v>323</v>
      </c>
      <c r="AZ243" s="6" t="s">
        <v>633</v>
      </c>
    </row>
    <row r="244" spans="38:65" hidden="1" x14ac:dyDescent="0.2">
      <c r="AY244" s="6" t="s">
        <v>324</v>
      </c>
      <c r="AZ244" s="6" t="s">
        <v>634</v>
      </c>
      <c r="BA244" s="5">
        <v>4.3000000000000002E-5</v>
      </c>
    </row>
    <row r="245" spans="38:65" hidden="1" x14ac:dyDescent="0.2">
      <c r="AY245" s="6" t="s">
        <v>325</v>
      </c>
      <c r="AZ245" s="6" t="s">
        <v>635</v>
      </c>
      <c r="BA245" s="5"/>
    </row>
    <row r="246" spans="38:65" hidden="1" x14ac:dyDescent="0.2">
      <c r="AY246" s="6" t="s">
        <v>326</v>
      </c>
      <c r="AZ246" s="6" t="s">
        <v>636</v>
      </c>
    </row>
    <row r="247" spans="38:65" hidden="1" x14ac:dyDescent="0.2">
      <c r="AY247" s="6" t="s">
        <v>327</v>
      </c>
      <c r="AZ247" s="6" t="s">
        <v>637</v>
      </c>
      <c r="BA247" s="5">
        <v>2.2000000000000001E-3</v>
      </c>
    </row>
    <row r="248" spans="38:65" hidden="1" x14ac:dyDescent="0.2">
      <c r="AY248" s="6" t="s">
        <v>328</v>
      </c>
      <c r="AZ248" s="6" t="s">
        <v>638</v>
      </c>
      <c r="BA248" s="5"/>
    </row>
    <row r="249" spans="38:65" hidden="1" x14ac:dyDescent="0.2">
      <c r="AY249" s="6" t="s">
        <v>329</v>
      </c>
      <c r="AZ249" s="6" t="s">
        <v>639</v>
      </c>
      <c r="BA249" s="5"/>
    </row>
    <row r="250" spans="38:65" hidden="1" x14ac:dyDescent="0.2">
      <c r="AY250" s="6" t="s">
        <v>330</v>
      </c>
      <c r="AZ250" s="6" t="s">
        <v>640</v>
      </c>
      <c r="BA250" s="5"/>
    </row>
    <row r="251" spans="38:65" hidden="1" x14ac:dyDescent="0.2">
      <c r="AY251" s="6" t="s">
        <v>331</v>
      </c>
      <c r="AZ251" s="6" t="s">
        <v>641</v>
      </c>
      <c r="BA251" s="5"/>
    </row>
    <row r="252" spans="38:65" hidden="1" x14ac:dyDescent="0.2">
      <c r="AY252" s="6" t="s">
        <v>332</v>
      </c>
      <c r="AZ252" s="6" t="s">
        <v>642</v>
      </c>
      <c r="BA252" s="5"/>
    </row>
    <row r="253" spans="38:65" hidden="1" x14ac:dyDescent="0.2">
      <c r="AY253" s="6" t="s">
        <v>333</v>
      </c>
      <c r="AZ253" s="6" t="s">
        <v>643</v>
      </c>
    </row>
    <row r="254" spans="38:65" hidden="1" x14ac:dyDescent="0.2">
      <c r="AY254" s="6" t="s">
        <v>334</v>
      </c>
      <c r="AZ254" s="6" t="s">
        <v>644</v>
      </c>
      <c r="BA254" s="5">
        <v>1.1800000000000001E-3</v>
      </c>
    </row>
    <row r="255" spans="38:65" hidden="1" x14ac:dyDescent="0.2">
      <c r="AY255" s="6" t="s">
        <v>335</v>
      </c>
      <c r="AZ255" s="6" t="s">
        <v>645</v>
      </c>
    </row>
    <row r="256" spans="38:65" hidden="1" x14ac:dyDescent="0.2">
      <c r="AY256" s="6" t="s">
        <v>336</v>
      </c>
      <c r="AZ256" s="6" t="s">
        <v>646</v>
      </c>
      <c r="BA256" s="5">
        <v>8.0000000000000007E-5</v>
      </c>
    </row>
    <row r="257" spans="51:53" hidden="1" x14ac:dyDescent="0.2">
      <c r="AY257" s="6" t="s">
        <v>337</v>
      </c>
      <c r="AZ257" s="6" t="s">
        <v>647</v>
      </c>
      <c r="BA257" s="5"/>
    </row>
    <row r="258" spans="51:53" hidden="1" x14ac:dyDescent="0.2">
      <c r="AY258" s="6" t="s">
        <v>338</v>
      </c>
      <c r="AZ258" s="6" t="s">
        <v>648</v>
      </c>
      <c r="BA258" s="5"/>
    </row>
    <row r="259" spans="51:53" hidden="1" x14ac:dyDescent="0.2">
      <c r="AY259" s="6" t="s">
        <v>339</v>
      </c>
      <c r="AZ259" s="6" t="s">
        <v>649</v>
      </c>
      <c r="BA259" s="5"/>
    </row>
    <row r="260" spans="51:53" hidden="1" x14ac:dyDescent="0.2">
      <c r="AY260" s="6" t="s">
        <v>340</v>
      </c>
      <c r="AZ260" s="6" t="s">
        <v>650</v>
      </c>
    </row>
    <row r="261" spans="51:53" hidden="1" x14ac:dyDescent="0.2">
      <c r="AY261" s="6" t="s">
        <v>341</v>
      </c>
      <c r="AZ261" s="6" t="s">
        <v>651</v>
      </c>
      <c r="BA261" s="5">
        <v>2.5000000000000001E-4</v>
      </c>
    </row>
    <row r="262" spans="51:53" hidden="1" x14ac:dyDescent="0.2">
      <c r="AY262" s="6" t="s">
        <v>342</v>
      </c>
      <c r="AZ262" s="6" t="s">
        <v>652</v>
      </c>
      <c r="BA262" s="5"/>
    </row>
    <row r="263" spans="51:53" hidden="1" x14ac:dyDescent="0.2">
      <c r="AY263" s="6" t="s">
        <v>343</v>
      </c>
      <c r="AZ263" s="6" t="s">
        <v>653</v>
      </c>
      <c r="BA263" s="5"/>
    </row>
    <row r="264" spans="51:53" hidden="1" x14ac:dyDescent="0.2">
      <c r="AY264" s="6" t="s">
        <v>344</v>
      </c>
      <c r="AZ264" s="6" t="s">
        <v>654</v>
      </c>
      <c r="BA264" s="5"/>
    </row>
    <row r="265" spans="51:53" hidden="1" x14ac:dyDescent="0.2">
      <c r="AY265" s="6" t="s">
        <v>345</v>
      </c>
      <c r="AZ265" s="6" t="s">
        <v>655</v>
      </c>
      <c r="BA265" s="5"/>
    </row>
    <row r="266" spans="51:53" hidden="1" x14ac:dyDescent="0.2">
      <c r="AY266" s="6" t="s">
        <v>346</v>
      </c>
      <c r="AZ266" s="6" t="s">
        <v>656</v>
      </c>
      <c r="BA266" s="5"/>
    </row>
    <row r="267" spans="51:53" hidden="1" x14ac:dyDescent="0.2">
      <c r="AY267" s="6" t="s">
        <v>347</v>
      </c>
      <c r="AZ267" s="6" t="s">
        <v>657</v>
      </c>
      <c r="BA267" s="5"/>
    </row>
    <row r="268" spans="51:53" hidden="1" x14ac:dyDescent="0.2">
      <c r="AY268" s="6" t="s">
        <v>1240</v>
      </c>
      <c r="AZ268" s="6" t="s">
        <v>1241</v>
      </c>
      <c r="BA268" s="5"/>
    </row>
    <row r="269" spans="51:53" hidden="1" x14ac:dyDescent="0.2">
      <c r="AY269" s="6" t="s">
        <v>1242</v>
      </c>
      <c r="AZ269" s="6" t="s">
        <v>1243</v>
      </c>
      <c r="BA269" s="5"/>
    </row>
    <row r="270" spans="51:53" hidden="1" x14ac:dyDescent="0.2">
      <c r="AY270" s="6" t="s">
        <v>348</v>
      </c>
      <c r="AZ270" s="6" t="s">
        <v>658</v>
      </c>
      <c r="BA270" s="5"/>
    </row>
    <row r="271" spans="51:53" hidden="1" x14ac:dyDescent="0.2">
      <c r="AY271" s="6" t="s">
        <v>349</v>
      </c>
      <c r="AZ271" s="6" t="s">
        <v>662</v>
      </c>
    </row>
    <row r="272" spans="51:53" hidden="1" x14ac:dyDescent="0.2">
      <c r="AY272" s="6" t="s">
        <v>350</v>
      </c>
      <c r="AZ272" s="6" t="s">
        <v>663</v>
      </c>
      <c r="BA272" s="5">
        <v>1.6000000000000001E-3</v>
      </c>
    </row>
    <row r="273" spans="51:53" hidden="1" x14ac:dyDescent="0.2">
      <c r="AY273" s="6" t="s">
        <v>351</v>
      </c>
      <c r="AZ273" s="6" t="s">
        <v>664</v>
      </c>
      <c r="BA273" s="5"/>
    </row>
    <row r="274" spans="51:53" hidden="1" x14ac:dyDescent="0.2">
      <c r="AY274" s="6" t="s">
        <v>352</v>
      </c>
      <c r="AZ274" s="6" t="s">
        <v>665</v>
      </c>
      <c r="BA274" s="5"/>
    </row>
    <row r="275" spans="51:53" hidden="1" x14ac:dyDescent="0.2">
      <c r="AY275" s="6" t="s">
        <v>1244</v>
      </c>
      <c r="AZ275" s="6" t="s">
        <v>1245</v>
      </c>
      <c r="BA275" s="5"/>
    </row>
    <row r="276" spans="51:53" hidden="1" x14ac:dyDescent="0.2">
      <c r="AY276" s="6" t="s">
        <v>353</v>
      </c>
      <c r="AZ276" s="6" t="s">
        <v>666</v>
      </c>
      <c r="BA276" s="5"/>
    </row>
    <row r="277" spans="51:53" hidden="1" x14ac:dyDescent="0.2">
      <c r="AY277" s="6" t="s">
        <v>354</v>
      </c>
      <c r="AZ277" s="6" t="s">
        <v>667</v>
      </c>
      <c r="BA277" s="5"/>
    </row>
    <row r="278" spans="51:53" hidden="1" x14ac:dyDescent="0.2">
      <c r="AY278" s="6" t="s">
        <v>355</v>
      </c>
      <c r="AZ278" s="6" t="s">
        <v>668</v>
      </c>
    </row>
    <row r="279" spans="51:53" hidden="1" x14ac:dyDescent="0.2">
      <c r="AY279" s="6" t="s">
        <v>356</v>
      </c>
      <c r="AZ279" s="6" t="s">
        <v>669</v>
      </c>
      <c r="BA279" s="5">
        <v>1.9E-3</v>
      </c>
    </row>
    <row r="280" spans="51:53" hidden="1" x14ac:dyDescent="0.2">
      <c r="AY280" s="6" t="s">
        <v>357</v>
      </c>
      <c r="AZ280" s="6" t="s">
        <v>670</v>
      </c>
    </row>
    <row r="281" spans="51:53" hidden="1" x14ac:dyDescent="0.2">
      <c r="AY281" s="6" t="s">
        <v>358</v>
      </c>
      <c r="AZ281" s="6" t="s">
        <v>671</v>
      </c>
      <c r="BA281" s="5">
        <v>1.4999999999999999E-4</v>
      </c>
    </row>
    <row r="282" spans="51:53" hidden="1" x14ac:dyDescent="0.2">
      <c r="AY282" s="6" t="s">
        <v>1217</v>
      </c>
      <c r="AZ282" s="6" t="s">
        <v>1246</v>
      </c>
      <c r="BA282" s="5"/>
    </row>
    <row r="283" spans="51:53" hidden="1" x14ac:dyDescent="0.2">
      <c r="AY283" s="6" t="s">
        <v>359</v>
      </c>
      <c r="AZ283" s="6" t="s">
        <v>672</v>
      </c>
      <c r="BA283" s="5">
        <v>4.6000000000000001E-4</v>
      </c>
    </row>
    <row r="284" spans="51:53" hidden="1" x14ac:dyDescent="0.2">
      <c r="AY284" s="6" t="s">
        <v>360</v>
      </c>
      <c r="AZ284" s="6" t="s">
        <v>673</v>
      </c>
      <c r="BA284" s="5">
        <v>8.0999999999999996E-4</v>
      </c>
    </row>
    <row r="285" spans="51:53" hidden="1" x14ac:dyDescent="0.2">
      <c r="AY285" s="6" t="s">
        <v>364</v>
      </c>
      <c r="AZ285" s="6" t="s">
        <v>674</v>
      </c>
      <c r="BA285" s="5"/>
    </row>
    <row r="286" spans="51:53" hidden="1" x14ac:dyDescent="0.2">
      <c r="AY286" s="6" t="s">
        <v>365</v>
      </c>
      <c r="AZ286" s="6" t="s">
        <v>675</v>
      </c>
      <c r="BA286" s="5"/>
    </row>
    <row r="287" spans="51:53" hidden="1" x14ac:dyDescent="0.2">
      <c r="AY287" s="6" t="s">
        <v>857</v>
      </c>
      <c r="AZ287" s="6" t="s">
        <v>676</v>
      </c>
      <c r="BA287" s="5"/>
    </row>
    <row r="288" spans="51:53" hidden="1" x14ac:dyDescent="0.2">
      <c r="AY288" s="6" t="s">
        <v>858</v>
      </c>
      <c r="AZ288" s="6" t="s">
        <v>677</v>
      </c>
      <c r="BA288" s="5"/>
    </row>
    <row r="289" spans="51:53" hidden="1" x14ac:dyDescent="0.2">
      <c r="AY289" s="6" t="s">
        <v>864</v>
      </c>
      <c r="AZ289" s="6" t="s">
        <v>678</v>
      </c>
      <c r="BA289" s="5"/>
    </row>
    <row r="290" spans="51:53" hidden="1" x14ac:dyDescent="0.2">
      <c r="AY290" s="6" t="s">
        <v>865</v>
      </c>
      <c r="AZ290" s="6" t="s">
        <v>679</v>
      </c>
      <c r="BA290" s="5"/>
    </row>
    <row r="291" spans="51:53" hidden="1" x14ac:dyDescent="0.2">
      <c r="AY291" s="6" t="s">
        <v>866</v>
      </c>
      <c r="AZ291" s="6" t="s">
        <v>680</v>
      </c>
      <c r="BA291" s="5"/>
    </row>
    <row r="292" spans="51:53" hidden="1" x14ac:dyDescent="0.2">
      <c r="AY292" s="6" t="s">
        <v>867</v>
      </c>
      <c r="AZ292" s="6" t="s">
        <v>681</v>
      </c>
      <c r="BA292" s="5"/>
    </row>
    <row r="293" spans="51:53" hidden="1" x14ac:dyDescent="0.2">
      <c r="AY293" s="6" t="s">
        <v>868</v>
      </c>
      <c r="AZ293" s="6" t="s">
        <v>682</v>
      </c>
      <c r="BA293" s="5"/>
    </row>
    <row r="294" spans="51:53" hidden="1" x14ac:dyDescent="0.2">
      <c r="AY294" s="6" t="s">
        <v>869</v>
      </c>
      <c r="AZ294" s="6" t="s">
        <v>683</v>
      </c>
      <c r="BA294" s="5"/>
    </row>
    <row r="295" spans="51:53" hidden="1" x14ac:dyDescent="0.2">
      <c r="AY295" s="6" t="s">
        <v>870</v>
      </c>
      <c r="AZ295" s="6" t="s">
        <v>684</v>
      </c>
      <c r="BA295" s="5"/>
    </row>
    <row r="296" spans="51:53" hidden="1" x14ac:dyDescent="0.2">
      <c r="AY296" s="6" t="s">
        <v>871</v>
      </c>
      <c r="AZ296" s="6" t="s">
        <v>685</v>
      </c>
      <c r="BA296" s="5"/>
    </row>
    <row r="297" spans="51:53" hidden="1" x14ac:dyDescent="0.2">
      <c r="AY297" s="6" t="s">
        <v>872</v>
      </c>
      <c r="AZ297" s="6" t="s">
        <v>686</v>
      </c>
      <c r="BA297" s="5"/>
    </row>
    <row r="298" spans="51:53" hidden="1" x14ac:dyDescent="0.2">
      <c r="AY298" s="6" t="s">
        <v>873</v>
      </c>
      <c r="AZ298" s="6" t="s">
        <v>687</v>
      </c>
      <c r="BA298" s="5">
        <v>0.03</v>
      </c>
    </row>
    <row r="299" spans="51:53" hidden="1" x14ac:dyDescent="0.2">
      <c r="AY299" s="6" t="s">
        <v>874</v>
      </c>
      <c r="AZ299" s="6" t="s">
        <v>688</v>
      </c>
      <c r="BA299" s="5" t="s">
        <v>1070</v>
      </c>
    </row>
    <row r="300" spans="51:53" hidden="1" x14ac:dyDescent="0.2">
      <c r="AY300" s="6" t="s">
        <v>875</v>
      </c>
      <c r="AZ300" s="6" t="s">
        <v>689</v>
      </c>
      <c r="BA300" s="5">
        <v>6.4999999999999994E-5</v>
      </c>
    </row>
    <row r="301" spans="51:53" hidden="1" x14ac:dyDescent="0.2">
      <c r="AY301" s="6" t="s">
        <v>876</v>
      </c>
      <c r="AZ301" s="6" t="s">
        <v>690</v>
      </c>
      <c r="BA301" s="5"/>
    </row>
    <row r="302" spans="51:53" hidden="1" x14ac:dyDescent="0.2">
      <c r="AY302" s="6" t="s">
        <v>877</v>
      </c>
      <c r="AZ302" s="6" t="s">
        <v>691</v>
      </c>
      <c r="BA302" s="5">
        <v>3.5999999999999997E-2</v>
      </c>
    </row>
    <row r="303" spans="51:53" hidden="1" x14ac:dyDescent="0.2">
      <c r="AY303" s="6" t="s">
        <v>878</v>
      </c>
      <c r="AZ303" s="6" t="s">
        <v>692</v>
      </c>
      <c r="BA303" s="5"/>
    </row>
    <row r="304" spans="51:53" hidden="1" x14ac:dyDescent="0.2">
      <c r="AY304" s="6" t="s">
        <v>879</v>
      </c>
      <c r="AZ304" s="6" t="s">
        <v>693</v>
      </c>
      <c r="BA304" s="5"/>
    </row>
    <row r="305" spans="38:65" hidden="1" x14ac:dyDescent="0.2">
      <c r="AY305" s="6" t="s">
        <v>880</v>
      </c>
      <c r="AZ305" s="6" t="s">
        <v>694</v>
      </c>
      <c r="BA305" s="5"/>
    </row>
    <row r="306" spans="38:65" hidden="1" x14ac:dyDescent="0.2">
      <c r="AY306" s="6" t="s">
        <v>881</v>
      </c>
      <c r="AZ306" s="6" t="s">
        <v>695</v>
      </c>
      <c r="BA306" s="5"/>
    </row>
    <row r="307" spans="38:65" hidden="1" x14ac:dyDescent="0.2">
      <c r="AL307" s="299"/>
      <c r="AM307" s="299"/>
      <c r="AN307" s="299"/>
      <c r="AO307" s="299"/>
      <c r="AP307" s="299"/>
      <c r="AQ307" s="299"/>
      <c r="AR307" s="299"/>
      <c r="AS307" s="299"/>
      <c r="AT307" s="299"/>
      <c r="AU307" s="299"/>
      <c r="AV307" s="299"/>
      <c r="AW307" s="299"/>
      <c r="AX307" s="299"/>
      <c r="AY307" s="6" t="s">
        <v>882</v>
      </c>
      <c r="AZ307" s="6" t="s">
        <v>696</v>
      </c>
      <c r="BA307" s="5">
        <v>3.6000000000000002E-4</v>
      </c>
      <c r="BK307" s="299"/>
      <c r="BL307" s="299"/>
      <c r="BM307" s="299"/>
    </row>
    <row r="308" spans="38:65" hidden="1" x14ac:dyDescent="0.2">
      <c r="AL308" s="299"/>
      <c r="AM308" s="299"/>
      <c r="AN308" s="299"/>
      <c r="AO308" s="299"/>
      <c r="AP308" s="299"/>
      <c r="AQ308" s="299"/>
      <c r="AR308" s="299"/>
      <c r="AS308" s="299"/>
      <c r="AT308" s="299"/>
      <c r="AU308" s="299"/>
      <c r="AV308" s="299"/>
      <c r="AW308" s="299"/>
      <c r="AX308" s="299"/>
      <c r="AY308" s="6" t="s">
        <v>883</v>
      </c>
      <c r="AZ308" s="6" t="s">
        <v>697</v>
      </c>
      <c r="BA308" s="5"/>
      <c r="BK308" s="299"/>
      <c r="BL308" s="299"/>
      <c r="BM308" s="299"/>
    </row>
    <row r="309" spans="38:65" hidden="1" x14ac:dyDescent="0.2">
      <c r="AY309" s="6" t="s">
        <v>884</v>
      </c>
      <c r="AZ309" s="6" t="s">
        <v>698</v>
      </c>
      <c r="BA309" s="5"/>
    </row>
    <row r="310" spans="38:65" hidden="1" x14ac:dyDescent="0.2">
      <c r="AY310" s="6" t="s">
        <v>885</v>
      </c>
      <c r="AZ310" s="6" t="s">
        <v>699</v>
      </c>
      <c r="BA310" s="5">
        <v>5.9000000000000003E-4</v>
      </c>
    </row>
    <row r="311" spans="38:65" hidden="1" x14ac:dyDescent="0.2">
      <c r="AY311" s="6" t="s">
        <v>886</v>
      </c>
      <c r="AZ311" s="6" t="s">
        <v>700</v>
      </c>
      <c r="BA311" s="5">
        <v>6.4000000000000005E-4</v>
      </c>
    </row>
    <row r="312" spans="38:65" hidden="1" x14ac:dyDescent="0.2">
      <c r="AY312" s="6" t="s">
        <v>887</v>
      </c>
      <c r="AZ312" s="6" t="s">
        <v>701</v>
      </c>
      <c r="BA312" s="5">
        <v>1.3999999999999999E-4</v>
      </c>
    </row>
    <row r="313" spans="38:65" hidden="1" x14ac:dyDescent="0.2">
      <c r="AY313" s="6" t="s">
        <v>888</v>
      </c>
      <c r="AZ313" s="6" t="s">
        <v>702</v>
      </c>
      <c r="BA313" s="5"/>
    </row>
    <row r="314" spans="38:65" hidden="1" x14ac:dyDescent="0.2">
      <c r="AY314" s="6" t="s">
        <v>889</v>
      </c>
      <c r="AZ314" s="6" t="s">
        <v>703</v>
      </c>
      <c r="BA314" s="5"/>
    </row>
    <row r="315" spans="38:65" hidden="1" x14ac:dyDescent="0.2">
      <c r="AY315" s="6" t="s">
        <v>890</v>
      </c>
      <c r="AZ315" s="6" t="s">
        <v>704</v>
      </c>
      <c r="BA315" s="5"/>
    </row>
    <row r="316" spans="38:65" hidden="1" x14ac:dyDescent="0.2">
      <c r="AL316" s="301"/>
      <c r="AM316" s="301"/>
      <c r="AN316" s="301"/>
      <c r="AO316" s="301"/>
      <c r="AP316" s="301"/>
      <c r="AQ316" s="301"/>
      <c r="AR316" s="301"/>
      <c r="AS316" s="301"/>
      <c r="AT316" s="301"/>
      <c r="AU316" s="301"/>
      <c r="AV316" s="301"/>
      <c r="AW316" s="301"/>
      <c r="AX316" s="301"/>
      <c r="AY316" s="6" t="s">
        <v>1259</v>
      </c>
      <c r="AZ316" s="6" t="s">
        <v>1260</v>
      </c>
      <c r="BA316" s="5"/>
      <c r="BK316" s="301"/>
      <c r="BL316" s="301"/>
      <c r="BM316" s="301"/>
    </row>
    <row r="317" spans="38:65" hidden="1" x14ac:dyDescent="0.2">
      <c r="AY317" s="6" t="s">
        <v>1218</v>
      </c>
      <c r="AZ317" s="6" t="s">
        <v>1219</v>
      </c>
      <c r="BA317" s="5"/>
    </row>
    <row r="318" spans="38:65" hidden="1" x14ac:dyDescent="0.2">
      <c r="AY318" s="6" t="s">
        <v>1222</v>
      </c>
      <c r="AZ318" s="6" t="s">
        <v>1220</v>
      </c>
      <c r="BA318" s="5"/>
    </row>
    <row r="319" spans="38:65" hidden="1" x14ac:dyDescent="0.2">
      <c r="AY319" s="6" t="s">
        <v>891</v>
      </c>
      <c r="AZ319" s="6" t="s">
        <v>705</v>
      </c>
      <c r="BA319" s="5"/>
    </row>
    <row r="320" spans="38:65" hidden="1" x14ac:dyDescent="0.2">
      <c r="AY320" s="6" t="s">
        <v>892</v>
      </c>
      <c r="AZ320" s="6" t="s">
        <v>706</v>
      </c>
      <c r="BA320" s="5"/>
    </row>
    <row r="321" spans="51:53" hidden="1" x14ac:dyDescent="0.2">
      <c r="AY321" s="6" t="s">
        <v>893</v>
      </c>
      <c r="AZ321" s="6" t="s">
        <v>707</v>
      </c>
      <c r="BA321" s="5"/>
    </row>
    <row r="322" spans="51:53" hidden="1" x14ac:dyDescent="0.2">
      <c r="AY322" s="6" t="s">
        <v>894</v>
      </c>
      <c r="AZ322" s="6" t="s">
        <v>708</v>
      </c>
      <c r="BA322" s="5"/>
    </row>
    <row r="323" spans="51:53" hidden="1" x14ac:dyDescent="0.2">
      <c r="AY323" s="6" t="s">
        <v>895</v>
      </c>
      <c r="AZ323" s="6" t="s">
        <v>709</v>
      </c>
      <c r="BA323" s="5"/>
    </row>
    <row r="324" spans="51:53" hidden="1" x14ac:dyDescent="0.2">
      <c r="AY324" s="6" t="s">
        <v>896</v>
      </c>
      <c r="AZ324" s="6" t="s">
        <v>710</v>
      </c>
      <c r="BA324" s="5"/>
    </row>
    <row r="325" spans="51:53" hidden="1" x14ac:dyDescent="0.2">
      <c r="AY325" s="6" t="s">
        <v>897</v>
      </c>
      <c r="AZ325" s="6" t="s">
        <v>711</v>
      </c>
      <c r="BA325" s="5"/>
    </row>
    <row r="326" spans="51:53" hidden="1" x14ac:dyDescent="0.2">
      <c r="AY326" s="6" t="s">
        <v>898</v>
      </c>
      <c r="AZ326" s="6" t="s">
        <v>712</v>
      </c>
      <c r="BA326" s="5">
        <v>2.7E-4</v>
      </c>
    </row>
    <row r="327" spans="51:53" hidden="1" x14ac:dyDescent="0.2">
      <c r="AY327" s="6" t="s">
        <v>899</v>
      </c>
      <c r="AZ327" s="6" t="s">
        <v>713</v>
      </c>
      <c r="BA327" s="5"/>
    </row>
    <row r="328" spans="51:53" hidden="1" x14ac:dyDescent="0.2">
      <c r="AY328" s="6" t="s">
        <v>900</v>
      </c>
      <c r="AZ328" s="6" t="s">
        <v>714</v>
      </c>
      <c r="BA328" s="5"/>
    </row>
    <row r="329" spans="51:53" hidden="1" x14ac:dyDescent="0.2">
      <c r="AY329" s="6" t="s">
        <v>901</v>
      </c>
      <c r="AZ329" s="6" t="s">
        <v>715</v>
      </c>
      <c r="BA329" s="5"/>
    </row>
    <row r="330" spans="51:53" hidden="1" x14ac:dyDescent="0.2">
      <c r="AY330" s="6" t="s">
        <v>902</v>
      </c>
      <c r="AZ330" s="6" t="s">
        <v>716</v>
      </c>
      <c r="BA330" s="5"/>
    </row>
    <row r="331" spans="51:53" hidden="1" x14ac:dyDescent="0.2">
      <c r="AY331" s="6" t="s">
        <v>903</v>
      </c>
      <c r="AZ331" s="6" t="s">
        <v>717</v>
      </c>
      <c r="BA331" s="5"/>
    </row>
    <row r="332" spans="51:53" hidden="1" x14ac:dyDescent="0.2">
      <c r="AY332" s="6" t="s">
        <v>904</v>
      </c>
      <c r="AZ332" s="6" t="s">
        <v>718</v>
      </c>
      <c r="BA332" s="5"/>
    </row>
    <row r="333" spans="51:53" hidden="1" x14ac:dyDescent="0.2">
      <c r="AY333" s="6" t="s">
        <v>905</v>
      </c>
      <c r="AZ333" s="6" t="s">
        <v>719</v>
      </c>
      <c r="BA333" s="5"/>
    </row>
    <row r="334" spans="51:53" hidden="1" x14ac:dyDescent="0.2">
      <c r="AY334" s="6" t="s">
        <v>906</v>
      </c>
      <c r="AZ334" s="6" t="s">
        <v>720</v>
      </c>
      <c r="BA334" s="5"/>
    </row>
    <row r="335" spans="51:53" hidden="1" x14ac:dyDescent="0.2">
      <c r="AY335" s="6" t="s">
        <v>907</v>
      </c>
      <c r="AZ335" s="6" t="s">
        <v>721</v>
      </c>
      <c r="BA335" s="5"/>
    </row>
    <row r="336" spans="51:53" hidden="1" x14ac:dyDescent="0.2">
      <c r="AY336" s="6" t="s">
        <v>1251</v>
      </c>
      <c r="AZ336" s="6" t="s">
        <v>1252</v>
      </c>
      <c r="BA336" s="5"/>
    </row>
    <row r="337" spans="51:53" hidden="1" x14ac:dyDescent="0.2">
      <c r="AY337" s="6" t="s">
        <v>908</v>
      </c>
      <c r="AZ337" s="6" t="s">
        <v>722</v>
      </c>
      <c r="BA337" s="5"/>
    </row>
    <row r="338" spans="51:53" hidden="1" x14ac:dyDescent="0.2">
      <c r="AY338" s="6" t="s">
        <v>909</v>
      </c>
      <c r="AZ338" s="6" t="s">
        <v>723</v>
      </c>
      <c r="BA338" s="5"/>
    </row>
    <row r="339" spans="51:53" hidden="1" x14ac:dyDescent="0.2">
      <c r="AY339" s="6" t="s">
        <v>910</v>
      </c>
      <c r="AZ339" s="6" t="s">
        <v>724</v>
      </c>
      <c r="BA339" s="5"/>
    </row>
    <row r="340" spans="51:53" hidden="1" x14ac:dyDescent="0.2">
      <c r="AY340" s="6" t="s">
        <v>911</v>
      </c>
      <c r="AZ340" s="6" t="s">
        <v>725</v>
      </c>
      <c r="BA340" s="5"/>
    </row>
    <row r="341" spans="51:53" hidden="1" x14ac:dyDescent="0.2">
      <c r="AY341" s="6" t="s">
        <v>912</v>
      </c>
      <c r="AZ341" s="6" t="s">
        <v>726</v>
      </c>
      <c r="BA341" s="5"/>
    </row>
    <row r="342" spans="51:53" hidden="1" x14ac:dyDescent="0.2">
      <c r="AY342" s="6" t="s">
        <v>913</v>
      </c>
      <c r="AZ342" s="6" t="s">
        <v>727</v>
      </c>
      <c r="BA342" s="5"/>
    </row>
    <row r="343" spans="51:53" hidden="1" x14ac:dyDescent="0.2">
      <c r="AY343" s="6" t="s">
        <v>914</v>
      </c>
      <c r="AZ343" s="6" t="s">
        <v>728</v>
      </c>
      <c r="BA343" s="5"/>
    </row>
    <row r="344" spans="51:53" hidden="1" x14ac:dyDescent="0.2">
      <c r="AY344" s="6" t="s">
        <v>915</v>
      </c>
      <c r="AZ344" s="6" t="s">
        <v>729</v>
      </c>
      <c r="BA344" s="5"/>
    </row>
    <row r="345" spans="51:53" hidden="1" x14ac:dyDescent="0.2">
      <c r="AY345" s="6" t="s">
        <v>916</v>
      </c>
      <c r="AZ345" s="6" t="s">
        <v>730</v>
      </c>
      <c r="BA345" s="5"/>
    </row>
    <row r="346" spans="51:53" hidden="1" x14ac:dyDescent="0.2">
      <c r="AY346" s="6" t="s">
        <v>917</v>
      </c>
      <c r="AZ346" s="6" t="s">
        <v>731</v>
      </c>
      <c r="BA346" s="5"/>
    </row>
    <row r="347" spans="51:53" hidden="1" x14ac:dyDescent="0.2">
      <c r="AY347" s="6" t="s">
        <v>918</v>
      </c>
      <c r="AZ347" s="6" t="s">
        <v>732</v>
      </c>
      <c r="BA347" s="5"/>
    </row>
    <row r="348" spans="51:53" hidden="1" x14ac:dyDescent="0.2">
      <c r="AY348" s="6" t="s">
        <v>919</v>
      </c>
      <c r="AZ348" s="6" t="s">
        <v>733</v>
      </c>
      <c r="BA348" s="5">
        <v>3.0000000000000001E-5</v>
      </c>
    </row>
    <row r="349" spans="51:53" hidden="1" x14ac:dyDescent="0.2">
      <c r="AY349" s="6" t="s">
        <v>920</v>
      </c>
      <c r="AZ349" s="6" t="s">
        <v>734</v>
      </c>
      <c r="BA349" s="5"/>
    </row>
    <row r="350" spans="51:53" hidden="1" x14ac:dyDescent="0.2">
      <c r="AY350" s="6" t="s">
        <v>921</v>
      </c>
      <c r="AZ350" s="6" t="s">
        <v>735</v>
      </c>
      <c r="BA350" s="5"/>
    </row>
    <row r="351" spans="51:53" hidden="1" x14ac:dyDescent="0.2">
      <c r="AY351" s="6" t="s">
        <v>922</v>
      </c>
      <c r="AZ351" s="6" t="s">
        <v>736</v>
      </c>
      <c r="BA351" s="5"/>
    </row>
    <row r="352" spans="51:53" hidden="1" x14ac:dyDescent="0.2">
      <c r="AY352" s="6" t="s">
        <v>1253</v>
      </c>
      <c r="AZ352" s="6" t="s">
        <v>1254</v>
      </c>
      <c r="BA352" s="5"/>
    </row>
    <row r="353" spans="51:53" hidden="1" x14ac:dyDescent="0.2">
      <c r="AY353" s="6" t="s">
        <v>923</v>
      </c>
      <c r="AZ353" s="6" t="s">
        <v>737</v>
      </c>
      <c r="BA353" s="5">
        <v>2.0000000000000001E-4</v>
      </c>
    </row>
    <row r="354" spans="51:53" hidden="1" x14ac:dyDescent="0.2">
      <c r="AY354" s="6" t="s">
        <v>924</v>
      </c>
      <c r="AZ354" s="6" t="s">
        <v>738</v>
      </c>
      <c r="BA354" s="5"/>
    </row>
    <row r="355" spans="51:53" hidden="1" x14ac:dyDescent="0.2">
      <c r="AY355" s="6" t="s">
        <v>925</v>
      </c>
      <c r="AZ355" s="6" t="s">
        <v>739</v>
      </c>
      <c r="BA355" s="5"/>
    </row>
    <row r="356" spans="51:53" hidden="1" x14ac:dyDescent="0.2">
      <c r="AY356" s="6" t="s">
        <v>926</v>
      </c>
      <c r="AZ356" s="6" t="s">
        <v>740</v>
      </c>
      <c r="BA356" s="5">
        <v>1E-3</v>
      </c>
    </row>
    <row r="357" spans="51:53" hidden="1" x14ac:dyDescent="0.2">
      <c r="AY357" s="6" t="s">
        <v>927</v>
      </c>
      <c r="AZ357" s="6" t="s">
        <v>741</v>
      </c>
      <c r="BA357" s="5">
        <v>4.0000000000000002E-4</v>
      </c>
    </row>
    <row r="358" spans="51:53" hidden="1" x14ac:dyDescent="0.2">
      <c r="AY358" s="6" t="s">
        <v>928</v>
      </c>
      <c r="AZ358" s="6" t="s">
        <v>742</v>
      </c>
      <c r="BA358" s="5">
        <v>5.0000000000000001E-4</v>
      </c>
    </row>
    <row r="359" spans="51:53" hidden="1" x14ac:dyDescent="0.2">
      <c r="AY359" s="6" t="s">
        <v>929</v>
      </c>
      <c r="AZ359" s="6" t="s">
        <v>743</v>
      </c>
      <c r="BA359" s="5">
        <v>1E-3</v>
      </c>
    </row>
    <row r="360" spans="51:53" hidden="1" x14ac:dyDescent="0.2">
      <c r="AY360" s="6" t="s">
        <v>930</v>
      </c>
      <c r="AZ360" s="6" t="s">
        <v>744</v>
      </c>
      <c r="BA360" s="5">
        <v>2.0000000000000002E-5</v>
      </c>
    </row>
    <row r="361" spans="51:53" hidden="1" x14ac:dyDescent="0.2">
      <c r="AY361" s="6" t="s">
        <v>931</v>
      </c>
      <c r="AZ361" s="6" t="s">
        <v>745</v>
      </c>
      <c r="BA361" s="5"/>
    </row>
    <row r="362" spans="51:53" hidden="1" x14ac:dyDescent="0.2">
      <c r="AY362" s="6" t="s">
        <v>932</v>
      </c>
      <c r="AZ362" s="6" t="s">
        <v>746</v>
      </c>
      <c r="BA362" s="5">
        <v>2.0000000000000001E-4</v>
      </c>
    </row>
    <row r="363" spans="51:53" hidden="1" x14ac:dyDescent="0.2">
      <c r="AY363" s="6" t="s">
        <v>933</v>
      </c>
      <c r="AZ363" s="6" t="s">
        <v>747</v>
      </c>
      <c r="BA363" s="5"/>
    </row>
    <row r="364" spans="51:53" hidden="1" x14ac:dyDescent="0.2">
      <c r="AY364" s="6" t="s">
        <v>934</v>
      </c>
      <c r="AZ364" s="6" t="s">
        <v>748</v>
      </c>
      <c r="BA364" s="5">
        <v>5.0000000000000002E-5</v>
      </c>
    </row>
    <row r="365" spans="51:53" hidden="1" x14ac:dyDescent="0.2">
      <c r="AY365" s="6" t="s">
        <v>935</v>
      </c>
      <c r="AZ365" s="6" t="s">
        <v>749</v>
      </c>
      <c r="BA365" s="5"/>
    </row>
    <row r="366" spans="51:53" hidden="1" x14ac:dyDescent="0.2">
      <c r="AY366" s="6" t="s">
        <v>936</v>
      </c>
      <c r="AZ366" s="6" t="s">
        <v>750</v>
      </c>
      <c r="BA366" s="5"/>
    </row>
    <row r="367" spans="51:53" hidden="1" x14ac:dyDescent="0.2">
      <c r="AY367" s="6" t="s">
        <v>937</v>
      </c>
      <c r="AZ367" s="6" t="s">
        <v>751</v>
      </c>
      <c r="BA367" s="5">
        <v>1E-4</v>
      </c>
    </row>
    <row r="368" spans="51:53" hidden="1" x14ac:dyDescent="0.2">
      <c r="AY368" s="6" t="s">
        <v>938</v>
      </c>
      <c r="AZ368" s="6" t="s">
        <v>752</v>
      </c>
      <c r="BA368" s="5"/>
    </row>
    <row r="369" spans="38:65" hidden="1" x14ac:dyDescent="0.2">
      <c r="AY369" s="6" t="s">
        <v>939</v>
      </c>
      <c r="AZ369" s="6" t="s">
        <v>753</v>
      </c>
      <c r="BA369" s="5">
        <v>9.0000000000000006E-5</v>
      </c>
    </row>
    <row r="370" spans="38:65" hidden="1" x14ac:dyDescent="0.2">
      <c r="AY370" s="6" t="s">
        <v>940</v>
      </c>
      <c r="AZ370" s="6" t="s">
        <v>754</v>
      </c>
      <c r="BA370" s="5"/>
    </row>
    <row r="371" spans="38:65" hidden="1" x14ac:dyDescent="0.2">
      <c r="AY371" s="6" t="s">
        <v>941</v>
      </c>
      <c r="AZ371" s="6" t="s">
        <v>755</v>
      </c>
      <c r="BA371" s="5">
        <v>5.0000000000000001E-4</v>
      </c>
    </row>
    <row r="372" spans="38:65" hidden="1" x14ac:dyDescent="0.2">
      <c r="AY372" s="6" t="s">
        <v>942</v>
      </c>
      <c r="AZ372" s="6" t="s">
        <v>756</v>
      </c>
      <c r="BA372" s="5">
        <v>5.0000000000000001E-3</v>
      </c>
    </row>
    <row r="373" spans="38:65" hidden="1" x14ac:dyDescent="0.2">
      <c r="AY373" s="6" t="s">
        <v>943</v>
      </c>
      <c r="AZ373" s="6" t="s">
        <v>757</v>
      </c>
      <c r="BA373" s="5"/>
    </row>
    <row r="374" spans="38:65" hidden="1" x14ac:dyDescent="0.2">
      <c r="AY374" s="6" t="s">
        <v>944</v>
      </c>
      <c r="AZ374" s="6" t="s">
        <v>758</v>
      </c>
      <c r="BA374" s="5"/>
    </row>
    <row r="375" spans="38:65" hidden="1" x14ac:dyDescent="0.2">
      <c r="AY375" s="6" t="s">
        <v>945</v>
      </c>
      <c r="AZ375" s="6" t="s">
        <v>759</v>
      </c>
      <c r="BA375" s="5"/>
    </row>
    <row r="376" spans="38:65" hidden="1" x14ac:dyDescent="0.2">
      <c r="AY376" s="6" t="s">
        <v>946</v>
      </c>
      <c r="AZ376" s="6" t="s">
        <v>760</v>
      </c>
      <c r="BA376" s="5"/>
    </row>
    <row r="377" spans="38:65" hidden="1" x14ac:dyDescent="0.2">
      <c r="AY377" s="6" t="s">
        <v>947</v>
      </c>
      <c r="AZ377" s="6" t="s">
        <v>761</v>
      </c>
      <c r="BA377" s="5">
        <v>1E-3</v>
      </c>
    </row>
    <row r="378" spans="38:65" hidden="1" x14ac:dyDescent="0.2">
      <c r="AY378" s="6" t="s">
        <v>948</v>
      </c>
      <c r="AZ378" s="6" t="s">
        <v>762</v>
      </c>
      <c r="BA378" s="5">
        <v>5.9999999999999995E-4</v>
      </c>
    </row>
    <row r="379" spans="38:65" hidden="1" x14ac:dyDescent="0.2">
      <c r="AY379" s="6" t="s">
        <v>949</v>
      </c>
      <c r="AZ379" s="6" t="s">
        <v>763</v>
      </c>
      <c r="BA379" s="5"/>
    </row>
    <row r="380" spans="38:65" hidden="1" x14ac:dyDescent="0.2">
      <c r="AY380" s="6" t="s">
        <v>950</v>
      </c>
      <c r="AZ380" s="6" t="s">
        <v>764</v>
      </c>
      <c r="BA380" s="5">
        <v>5.0000000000000001E-4</v>
      </c>
    </row>
    <row r="381" spans="38:65" hidden="1" x14ac:dyDescent="0.2">
      <c r="AY381" s="6" t="s">
        <v>951</v>
      </c>
      <c r="AZ381" s="6" t="s">
        <v>765</v>
      </c>
      <c r="BA381" s="5">
        <v>1E-4</v>
      </c>
    </row>
    <row r="382" spans="38:65" hidden="1" x14ac:dyDescent="0.2">
      <c r="AY382" s="6" t="s">
        <v>1229</v>
      </c>
      <c r="AZ382" s="6" t="s">
        <v>1230</v>
      </c>
      <c r="BA382" s="5"/>
    </row>
    <row r="383" spans="38:65" hidden="1" x14ac:dyDescent="0.2">
      <c r="AL383" s="299"/>
      <c r="AM383" s="299"/>
      <c r="AN383" s="299"/>
      <c r="AO383" s="299"/>
      <c r="AP383" s="299"/>
      <c r="AQ383" s="299"/>
      <c r="AR383" s="299"/>
      <c r="AS383" s="299"/>
      <c r="AT383" s="299"/>
      <c r="AU383" s="299"/>
      <c r="AV383" s="299"/>
      <c r="AW383" s="299"/>
      <c r="AX383" s="299"/>
      <c r="AY383" s="6" t="s">
        <v>963</v>
      </c>
      <c r="AZ383" s="6" t="s">
        <v>766</v>
      </c>
      <c r="BA383" s="5">
        <v>1.9999999999999999E-7</v>
      </c>
      <c r="BK383" s="299"/>
      <c r="BL383" s="299"/>
      <c r="BM383" s="299"/>
    </row>
    <row r="384" spans="38:65" hidden="1" x14ac:dyDescent="0.2">
      <c r="AY384" s="6" t="s">
        <v>965</v>
      </c>
      <c r="AZ384" s="6" t="s">
        <v>767</v>
      </c>
      <c r="BA384" s="5"/>
    </row>
    <row r="385" spans="51:53" hidden="1" x14ac:dyDescent="0.2">
      <c r="AY385" s="6" t="s">
        <v>966</v>
      </c>
      <c r="AZ385" s="6" t="s">
        <v>768</v>
      </c>
      <c r="BA385" s="5">
        <v>2.9999999999999997E-4</v>
      </c>
    </row>
    <row r="386" spans="51:53" hidden="1" x14ac:dyDescent="0.2">
      <c r="AY386" s="6" t="s">
        <v>967</v>
      </c>
      <c r="AZ386" s="6" t="s">
        <v>769</v>
      </c>
      <c r="BA386" s="5">
        <v>5.0000000000000001E-4</v>
      </c>
    </row>
    <row r="387" spans="51:53" hidden="1" x14ac:dyDescent="0.2">
      <c r="AY387" s="6" t="s">
        <v>968</v>
      </c>
      <c r="AZ387" s="6" t="s">
        <v>770</v>
      </c>
      <c r="BA387" s="5"/>
    </row>
    <row r="388" spans="51:53" hidden="1" x14ac:dyDescent="0.2">
      <c r="AY388" s="6" t="s">
        <v>969</v>
      </c>
      <c r="AZ388" s="6" t="s">
        <v>771</v>
      </c>
      <c r="BA388" s="5"/>
    </row>
    <row r="389" spans="51:53" hidden="1" x14ac:dyDescent="0.2">
      <c r="AY389" s="6" t="s">
        <v>970</v>
      </c>
      <c r="AZ389" s="6" t="s">
        <v>772</v>
      </c>
      <c r="BA389" s="5"/>
    </row>
    <row r="390" spans="51:53" hidden="1" x14ac:dyDescent="0.2">
      <c r="AY390" s="6" t="s">
        <v>971</v>
      </c>
      <c r="AZ390" s="6" t="s">
        <v>773</v>
      </c>
      <c r="BA390" s="5">
        <v>2E-3</v>
      </c>
    </row>
    <row r="391" spans="51:53" hidden="1" x14ac:dyDescent="0.2">
      <c r="AY391" s="6" t="s">
        <v>972</v>
      </c>
      <c r="AZ391" s="6" t="s">
        <v>774</v>
      </c>
      <c r="BA391" s="5"/>
    </row>
    <row r="392" spans="51:53" hidden="1" x14ac:dyDescent="0.2">
      <c r="AY392" s="6" t="s">
        <v>973</v>
      </c>
      <c r="AZ392" s="6" t="s">
        <v>775</v>
      </c>
      <c r="BA392" s="5"/>
    </row>
    <row r="393" spans="51:53" hidden="1" x14ac:dyDescent="0.2">
      <c r="AY393" s="6" t="s">
        <v>1255</v>
      </c>
      <c r="AZ393" s="6" t="s">
        <v>1256</v>
      </c>
      <c r="BA393" s="5"/>
    </row>
    <row r="394" spans="51:53" hidden="1" x14ac:dyDescent="0.2">
      <c r="AY394" s="6" t="s">
        <v>974</v>
      </c>
      <c r="AZ394" s="6" t="s">
        <v>776</v>
      </c>
      <c r="BA394" s="5"/>
    </row>
    <row r="395" spans="51:53" hidden="1" x14ac:dyDescent="0.2">
      <c r="AY395" s="6" t="s">
        <v>975</v>
      </c>
      <c r="AZ395" s="6" t="s">
        <v>777</v>
      </c>
      <c r="BA395" s="5"/>
    </row>
    <row r="396" spans="51:53" hidden="1" x14ac:dyDescent="0.2">
      <c r="AY396" s="6" t="s">
        <v>1247</v>
      </c>
      <c r="AZ396" s="6" t="s">
        <v>1221</v>
      </c>
      <c r="BA396" s="5"/>
    </row>
    <row r="397" spans="51:53" hidden="1" x14ac:dyDescent="0.2">
      <c r="AY397" s="6" t="s">
        <v>976</v>
      </c>
      <c r="AZ397" s="6" t="s">
        <v>778</v>
      </c>
      <c r="BA397" s="5"/>
    </row>
    <row r="398" spans="51:53" hidden="1" x14ac:dyDescent="0.2">
      <c r="AY398" s="6" t="s">
        <v>977</v>
      </c>
      <c r="AZ398" s="6" t="s">
        <v>779</v>
      </c>
      <c r="BA398" s="5"/>
    </row>
    <row r="399" spans="51:53" hidden="1" x14ac:dyDescent="0.2">
      <c r="AY399" s="6" t="s">
        <v>978</v>
      </c>
      <c r="AZ399" s="6" t="s">
        <v>780</v>
      </c>
      <c r="BA399" s="5"/>
    </row>
    <row r="400" spans="51:53" hidden="1" x14ac:dyDescent="0.2">
      <c r="AY400" s="6" t="s">
        <v>979</v>
      </c>
      <c r="AZ400" s="6" t="s">
        <v>781</v>
      </c>
      <c r="BA400" s="5">
        <v>5.9999999999999995E-4</v>
      </c>
    </row>
    <row r="401" spans="43:53" hidden="1" x14ac:dyDescent="0.2">
      <c r="AY401" s="6" t="s">
        <v>980</v>
      </c>
      <c r="AZ401" s="6" t="s">
        <v>782</v>
      </c>
      <c r="BA401" s="5">
        <v>1E-4</v>
      </c>
    </row>
    <row r="402" spans="43:53" hidden="1" x14ac:dyDescent="0.2">
      <c r="AY402" s="6" t="s">
        <v>981</v>
      </c>
      <c r="AZ402" s="6" t="s">
        <v>783</v>
      </c>
      <c r="BA402" s="5"/>
    </row>
    <row r="403" spans="43:53" hidden="1" x14ac:dyDescent="0.2">
      <c r="AY403" s="6" t="s">
        <v>982</v>
      </c>
      <c r="AZ403" s="6" t="s">
        <v>784</v>
      </c>
      <c r="BA403" s="5"/>
    </row>
    <row r="404" spans="43:53" hidden="1" x14ac:dyDescent="0.2">
      <c r="AY404" s="6" t="s">
        <v>983</v>
      </c>
      <c r="AZ404" s="6" t="s">
        <v>785</v>
      </c>
      <c r="BA404" s="5"/>
    </row>
    <row r="405" spans="43:53" hidden="1" x14ac:dyDescent="0.2">
      <c r="AQ405" s="5" t="s">
        <v>1070</v>
      </c>
      <c r="AY405" s="6" t="s">
        <v>984</v>
      </c>
      <c r="AZ405" s="6" t="s">
        <v>786</v>
      </c>
      <c r="BA405" s="5"/>
    </row>
    <row r="406" spans="43:53" hidden="1" x14ac:dyDescent="0.2">
      <c r="AY406" s="6" t="s">
        <v>985</v>
      </c>
      <c r="AZ406" s="6" t="s">
        <v>787</v>
      </c>
      <c r="BA406" s="5"/>
    </row>
    <row r="407" spans="43:53" hidden="1" x14ac:dyDescent="0.2">
      <c r="AY407" s="6" t="s">
        <v>986</v>
      </c>
      <c r="AZ407" s="6" t="s">
        <v>788</v>
      </c>
      <c r="BA407" s="5"/>
    </row>
    <row r="408" spans="43:53" hidden="1" x14ac:dyDescent="0.2">
      <c r="AY408" s="6" t="s">
        <v>987</v>
      </c>
      <c r="AZ408" s="6" t="s">
        <v>789</v>
      </c>
      <c r="BA408" s="5">
        <v>2.9999999999999997E-4</v>
      </c>
    </row>
    <row r="409" spans="43:53" hidden="1" x14ac:dyDescent="0.2">
      <c r="AY409" s="6" t="s">
        <v>988</v>
      </c>
      <c r="AZ409" s="6" t="s">
        <v>790</v>
      </c>
      <c r="BA409" s="5">
        <v>1.6999999999999999E-3</v>
      </c>
    </row>
    <row r="410" spans="43:53" hidden="1" x14ac:dyDescent="0.2">
      <c r="AY410" s="6" t="s">
        <v>989</v>
      </c>
      <c r="AZ410" s="6" t="s">
        <v>791</v>
      </c>
      <c r="BA410" s="5">
        <v>0.01</v>
      </c>
    </row>
    <row r="411" spans="43:53" hidden="1" x14ac:dyDescent="0.2">
      <c r="AY411" s="6" t="s">
        <v>990</v>
      </c>
      <c r="AZ411" s="6" t="s">
        <v>792</v>
      </c>
    </row>
    <row r="412" spans="43:53" hidden="1" x14ac:dyDescent="0.2">
      <c r="AY412" s="6" t="s">
        <v>991</v>
      </c>
      <c r="AZ412" s="6" t="s">
        <v>793</v>
      </c>
      <c r="BA412" s="5"/>
    </row>
    <row r="413" spans="43:53" hidden="1" x14ac:dyDescent="0.2">
      <c r="AY413" s="6" t="s">
        <v>992</v>
      </c>
      <c r="AZ413" s="6" t="s">
        <v>794</v>
      </c>
      <c r="BA413" s="5"/>
    </row>
    <row r="414" spans="43:53" hidden="1" x14ac:dyDescent="0.2">
      <c r="AY414" s="6" t="s">
        <v>993</v>
      </c>
      <c r="AZ414" s="6" t="s">
        <v>795</v>
      </c>
      <c r="BA414" s="5"/>
    </row>
    <row r="415" spans="43:53" hidden="1" x14ac:dyDescent="0.2">
      <c r="AY415" s="6" t="s">
        <v>994</v>
      </c>
      <c r="AZ415" s="6" t="s">
        <v>796</v>
      </c>
      <c r="BA415" s="5"/>
    </row>
    <row r="416" spans="43:53" hidden="1" x14ac:dyDescent="0.2">
      <c r="AY416" s="6" t="s">
        <v>995</v>
      </c>
      <c r="AZ416" s="6" t="s">
        <v>797</v>
      </c>
      <c r="BA416" s="5"/>
    </row>
    <row r="417" spans="51:53" hidden="1" x14ac:dyDescent="0.2">
      <c r="AY417" s="6" t="s">
        <v>996</v>
      </c>
      <c r="AZ417" s="6" t="s">
        <v>798</v>
      </c>
      <c r="BA417" s="5">
        <v>5.0000000000000002E-5</v>
      </c>
    </row>
    <row r="418" spans="51:53" hidden="1" x14ac:dyDescent="0.2">
      <c r="AY418" s="6" t="s">
        <v>997</v>
      </c>
      <c r="AZ418" s="6" t="s">
        <v>799</v>
      </c>
      <c r="BA418" s="5">
        <v>2.4000000000000001E-4</v>
      </c>
    </row>
    <row r="419" spans="51:53" hidden="1" x14ac:dyDescent="0.2">
      <c r="AY419" s="6" t="s">
        <v>998</v>
      </c>
      <c r="AZ419" s="6" t="s">
        <v>800</v>
      </c>
      <c r="BA419" s="5">
        <v>1E-4</v>
      </c>
    </row>
    <row r="420" spans="51:53" hidden="1" x14ac:dyDescent="0.2">
      <c r="AY420" s="6" t="s">
        <v>999</v>
      </c>
      <c r="AZ420" s="6" t="s">
        <v>801</v>
      </c>
      <c r="BA420" s="5"/>
    </row>
    <row r="421" spans="51:53" hidden="1" x14ac:dyDescent="0.2">
      <c r="AY421" s="6" t="s">
        <v>1000</v>
      </c>
      <c r="AZ421" s="6" t="s">
        <v>802</v>
      </c>
      <c r="BA421" s="5"/>
    </row>
    <row r="422" spans="51:53" hidden="1" x14ac:dyDescent="0.2">
      <c r="AY422" s="6" t="s">
        <v>1001</v>
      </c>
      <c r="AZ422" s="6" t="s">
        <v>803</v>
      </c>
      <c r="BA422" s="5">
        <v>1.2E-4</v>
      </c>
    </row>
    <row r="423" spans="51:53" hidden="1" x14ac:dyDescent="0.2">
      <c r="AY423" s="6" t="s">
        <v>1002</v>
      </c>
      <c r="AZ423" s="6" t="s">
        <v>804</v>
      </c>
      <c r="BA423" s="5"/>
    </row>
    <row r="424" spans="51:53" hidden="1" x14ac:dyDescent="0.2">
      <c r="AY424" s="6" t="s">
        <v>1003</v>
      </c>
      <c r="AZ424" s="6" t="s">
        <v>805</v>
      </c>
      <c r="BA424" s="5"/>
    </row>
    <row r="425" spans="51:53" hidden="1" x14ac:dyDescent="0.2">
      <c r="AY425" s="6" t="s">
        <v>1004</v>
      </c>
      <c r="AZ425" s="6" t="s">
        <v>806</v>
      </c>
      <c r="BA425" s="5"/>
    </row>
    <row r="426" spans="51:53" hidden="1" x14ac:dyDescent="0.2">
      <c r="AY426" s="6" t="s">
        <v>1005</v>
      </c>
      <c r="AZ426" s="6" t="s">
        <v>807</v>
      </c>
      <c r="BA426" s="5"/>
    </row>
    <row r="427" spans="51:53" hidden="1" x14ac:dyDescent="0.2">
      <c r="AY427" s="6" t="s">
        <v>1248</v>
      </c>
      <c r="AZ427" s="6" t="s">
        <v>1249</v>
      </c>
      <c r="BA427" s="5"/>
    </row>
    <row r="428" spans="51:53" hidden="1" x14ac:dyDescent="0.2">
      <c r="AY428" s="6" t="s">
        <v>1006</v>
      </c>
      <c r="AZ428" s="6" t="s">
        <v>808</v>
      </c>
      <c r="BA428" s="5"/>
    </row>
    <row r="429" spans="51:53" hidden="1" x14ac:dyDescent="0.2">
      <c r="AY429" s="6" t="s">
        <v>1007</v>
      </c>
      <c r="AZ429" s="6" t="s">
        <v>809</v>
      </c>
      <c r="BA429" s="5"/>
    </row>
    <row r="430" spans="51:53" hidden="1" x14ac:dyDescent="0.2">
      <c r="AY430" s="6" t="s">
        <v>1008</v>
      </c>
      <c r="AZ430" s="6" t="s">
        <v>810</v>
      </c>
      <c r="BA430" s="5"/>
    </row>
    <row r="431" spans="51:53" hidden="1" x14ac:dyDescent="0.2">
      <c r="AY431" s="6" t="s">
        <v>1009</v>
      </c>
      <c r="AZ431" s="6" t="s">
        <v>811</v>
      </c>
      <c r="BA431" s="5"/>
    </row>
    <row r="432" spans="51:53" hidden="1" x14ac:dyDescent="0.2">
      <c r="AY432" s="6" t="s">
        <v>1010</v>
      </c>
      <c r="AZ432" s="6" t="s">
        <v>812</v>
      </c>
      <c r="BA432" s="5"/>
    </row>
    <row r="433" spans="51:53" hidden="1" x14ac:dyDescent="0.2">
      <c r="AY433" s="6" t="s">
        <v>1011</v>
      </c>
      <c r="AZ433" s="6" t="s">
        <v>813</v>
      </c>
      <c r="BA433" s="5"/>
    </row>
    <row r="434" spans="51:53" hidden="1" x14ac:dyDescent="0.2">
      <c r="AY434" s="6" t="s">
        <v>1012</v>
      </c>
      <c r="AZ434" s="6" t="s">
        <v>814</v>
      </c>
      <c r="BA434" s="5"/>
    </row>
    <row r="435" spans="51:53" hidden="1" x14ac:dyDescent="0.2">
      <c r="AY435" s="6" t="s">
        <v>1013</v>
      </c>
      <c r="AZ435" s="6" t="s">
        <v>815</v>
      </c>
      <c r="BA435" s="5"/>
    </row>
    <row r="436" spans="51:53" hidden="1" x14ac:dyDescent="0.2">
      <c r="AY436" s="6" t="s">
        <v>1014</v>
      </c>
      <c r="AZ436" s="6" t="s">
        <v>816</v>
      </c>
      <c r="BA436" s="5"/>
    </row>
    <row r="437" spans="51:53" hidden="1" x14ac:dyDescent="0.2">
      <c r="AY437" s="6" t="s">
        <v>1015</v>
      </c>
      <c r="AZ437" s="6" t="s">
        <v>817</v>
      </c>
      <c r="BA437" s="5"/>
    </row>
    <row r="438" spans="51:53" hidden="1" x14ac:dyDescent="0.2">
      <c r="AY438" s="6" t="s">
        <v>1016</v>
      </c>
      <c r="AZ438" s="6" t="s">
        <v>818</v>
      </c>
      <c r="BA438" s="5"/>
    </row>
    <row r="439" spans="51:53" hidden="1" x14ac:dyDescent="0.2">
      <c r="AY439" s="6" t="s">
        <v>1017</v>
      </c>
      <c r="AZ439" s="6" t="s">
        <v>819</v>
      </c>
      <c r="BA439" s="5"/>
    </row>
    <row r="440" spans="51:53" hidden="1" x14ac:dyDescent="0.2">
      <c r="AY440" s="6" t="s">
        <v>1018</v>
      </c>
      <c r="AZ440" s="6" t="s">
        <v>820</v>
      </c>
      <c r="BA440" s="5"/>
    </row>
    <row r="441" spans="51:53" hidden="1" x14ac:dyDescent="0.2">
      <c r="AY441" s="6" t="s">
        <v>1019</v>
      </c>
      <c r="AZ441" s="6" t="s">
        <v>821</v>
      </c>
    </row>
    <row r="442" spans="51:53" hidden="1" x14ac:dyDescent="0.2">
      <c r="AY442" s="6" t="s">
        <v>1020</v>
      </c>
      <c r="AZ442" s="6" t="s">
        <v>822</v>
      </c>
    </row>
    <row r="443" spans="51:53" hidden="1" x14ac:dyDescent="0.2">
      <c r="AY443" s="6" t="s">
        <v>1021</v>
      </c>
      <c r="AZ443" s="6" t="s">
        <v>823</v>
      </c>
    </row>
    <row r="444" spans="51:53" hidden="1" x14ac:dyDescent="0.2">
      <c r="AY444" s="6" t="s">
        <v>1022</v>
      </c>
      <c r="AZ444" s="6" t="s">
        <v>824</v>
      </c>
    </row>
    <row r="445" spans="51:53" hidden="1" x14ac:dyDescent="0.2">
      <c r="AY445" s="6" t="s">
        <v>1023</v>
      </c>
      <c r="AZ445" s="6" t="s">
        <v>825</v>
      </c>
    </row>
    <row r="446" spans="51:53" hidden="1" x14ac:dyDescent="0.2">
      <c r="AY446" s="1" t="s">
        <v>1250</v>
      </c>
      <c r="AZ446" s="1" t="s">
        <v>1250</v>
      </c>
    </row>
    <row r="447" spans="51:53" hidden="1" x14ac:dyDescent="0.2">
      <c r="AY447" s="6" t="s">
        <v>1024</v>
      </c>
      <c r="AZ447" s="6" t="s">
        <v>826</v>
      </c>
      <c r="BA447" s="5">
        <v>1.8000000000000001E-4</v>
      </c>
    </row>
    <row r="448" spans="51:53"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sheetData>
  <sheetProtection algorithmName="SHA-512" hashValue="R1Q5VwU20pkicipVx1ylRBxE0HdOa03howufFepObjlDFKpkY8+Oz+nT573l/URVFRkc5mophwbIycvfSXc9pA==" saltValue="MDCZP6kZ3o5o2SbD+zl9vA==" spinCount="100000" sheet="1" objects="1" scenarios="1" selectLockedCells="1"/>
  <mergeCells count="1000">
    <mergeCell ref="AL116:AL119"/>
    <mergeCell ref="AM116:AM119"/>
    <mergeCell ref="AL128:AL131"/>
    <mergeCell ref="AM128:AM131"/>
    <mergeCell ref="AL120:AL123"/>
    <mergeCell ref="AM120:AM123"/>
    <mergeCell ref="AL124:AL127"/>
    <mergeCell ref="AM124:AM127"/>
    <mergeCell ref="AL104:AL107"/>
    <mergeCell ref="AM104:AM107"/>
    <mergeCell ref="AL108:AL111"/>
    <mergeCell ref="AM108:AM111"/>
    <mergeCell ref="AL112:AL115"/>
    <mergeCell ref="AM112:AM115"/>
    <mergeCell ref="AL96:AL99"/>
    <mergeCell ref="AM96:AM99"/>
    <mergeCell ref="AL100:AL103"/>
    <mergeCell ref="AM100:AM103"/>
    <mergeCell ref="AL80:AL83"/>
    <mergeCell ref="AM80:AM83"/>
    <mergeCell ref="AL84:AL87"/>
    <mergeCell ref="AM84:AM87"/>
    <mergeCell ref="AL88:AL91"/>
    <mergeCell ref="AM88:AM91"/>
    <mergeCell ref="AL20:AL23"/>
    <mergeCell ref="AM20:AM23"/>
    <mergeCell ref="AD96:AG97"/>
    <mergeCell ref="AH96:AJ99"/>
    <mergeCell ref="AD98:AG99"/>
    <mergeCell ref="Z96:AC97"/>
    <mergeCell ref="AH92:AJ95"/>
    <mergeCell ref="AH88:AJ91"/>
    <mergeCell ref="V80:Y81"/>
    <mergeCell ref="Z80:AC81"/>
    <mergeCell ref="AD80:AG81"/>
    <mergeCell ref="V82:Y83"/>
    <mergeCell ref="Z82:AC83"/>
    <mergeCell ref="AD82:AG83"/>
    <mergeCell ref="AL68:AL71"/>
    <mergeCell ref="AM68:AM71"/>
    <mergeCell ref="AL72:AL75"/>
    <mergeCell ref="AM72:AM75"/>
    <mergeCell ref="AL76:AL79"/>
    <mergeCell ref="AM76:AM79"/>
    <mergeCell ref="AM28:AM31"/>
    <mergeCell ref="AL32:AL35"/>
    <mergeCell ref="AM32:AM35"/>
    <mergeCell ref="AL44:AL47"/>
    <mergeCell ref="B110:F111"/>
    <mergeCell ref="G110:J111"/>
    <mergeCell ref="K112:N113"/>
    <mergeCell ref="O112:R113"/>
    <mergeCell ref="AL24:AL27"/>
    <mergeCell ref="AM24:AM27"/>
    <mergeCell ref="AL40:AL43"/>
    <mergeCell ref="AM40:AM43"/>
    <mergeCell ref="AL28:AL31"/>
    <mergeCell ref="AL36:AL39"/>
    <mergeCell ref="AM36:AM39"/>
    <mergeCell ref="AM60:AM63"/>
    <mergeCell ref="AL64:AL67"/>
    <mergeCell ref="AM64:AM67"/>
    <mergeCell ref="AM52:AM55"/>
    <mergeCell ref="AL56:AL59"/>
    <mergeCell ref="AM56:AM59"/>
    <mergeCell ref="AL60:AL63"/>
    <mergeCell ref="AM44:AM47"/>
    <mergeCell ref="AL48:AL51"/>
    <mergeCell ref="AM48:AM51"/>
    <mergeCell ref="AL52:AL55"/>
    <mergeCell ref="AL92:AL95"/>
    <mergeCell ref="AM92:AM95"/>
    <mergeCell ref="Z98:AC99"/>
    <mergeCell ref="V104:Y105"/>
    <mergeCell ref="Z104:AC105"/>
    <mergeCell ref="AD104:AG105"/>
    <mergeCell ref="K102:N103"/>
    <mergeCell ref="O102:R103"/>
    <mergeCell ref="S104:U107"/>
    <mergeCell ref="Z106:AC107"/>
    <mergeCell ref="AD106:AG107"/>
    <mergeCell ref="O98:R99"/>
    <mergeCell ref="V98:Y99"/>
    <mergeCell ref="K110:N111"/>
    <mergeCell ref="O110:R111"/>
    <mergeCell ref="S112:U115"/>
    <mergeCell ref="V110:Y111"/>
    <mergeCell ref="Z114:AC115"/>
    <mergeCell ref="B108:F109"/>
    <mergeCell ref="O116:R117"/>
    <mergeCell ref="AD114:AG115"/>
    <mergeCell ref="Z102:AC103"/>
    <mergeCell ref="AD102:AG103"/>
    <mergeCell ref="B106:F107"/>
    <mergeCell ref="G106:J107"/>
    <mergeCell ref="K106:N107"/>
    <mergeCell ref="O106:R107"/>
    <mergeCell ref="V106:Y107"/>
    <mergeCell ref="B114:F115"/>
    <mergeCell ref="G114:J115"/>
    <mergeCell ref="K114:N115"/>
    <mergeCell ref="O114:R115"/>
    <mergeCell ref="G108:J109"/>
    <mergeCell ref="K108:N109"/>
    <mergeCell ref="O108:R109"/>
    <mergeCell ref="B112:F113"/>
    <mergeCell ref="G112:J113"/>
    <mergeCell ref="AH108:AJ111"/>
    <mergeCell ref="S108:U111"/>
    <mergeCell ref="Z108:AC109"/>
    <mergeCell ref="V112:Y113"/>
    <mergeCell ref="Z112:AC113"/>
    <mergeCell ref="AD112:AG113"/>
    <mergeCell ref="V114:Y115"/>
    <mergeCell ref="AD108:AG109"/>
    <mergeCell ref="Z110:AC111"/>
    <mergeCell ref="AD110:AG111"/>
    <mergeCell ref="AH112:AJ115"/>
    <mergeCell ref="V108:Y109"/>
    <mergeCell ref="AH100:AJ103"/>
    <mergeCell ref="S100:U103"/>
    <mergeCell ref="Z100:AC101"/>
    <mergeCell ref="AD100:AG101"/>
    <mergeCell ref="V102:Y103"/>
    <mergeCell ref="AH104:AJ107"/>
    <mergeCell ref="B100:F101"/>
    <mergeCell ref="G100:J101"/>
    <mergeCell ref="K100:N101"/>
    <mergeCell ref="O100:R101"/>
    <mergeCell ref="B104:F105"/>
    <mergeCell ref="G104:J105"/>
    <mergeCell ref="K104:N105"/>
    <mergeCell ref="O104:R105"/>
    <mergeCell ref="B102:F103"/>
    <mergeCell ref="G102:J103"/>
    <mergeCell ref="V100:Y101"/>
    <mergeCell ref="B96:F97"/>
    <mergeCell ref="G96:J97"/>
    <mergeCell ref="K96:N97"/>
    <mergeCell ref="O96:R97"/>
    <mergeCell ref="B98:F99"/>
    <mergeCell ref="G98:J99"/>
    <mergeCell ref="K98:N99"/>
    <mergeCell ref="S96:U99"/>
    <mergeCell ref="V96:Y97"/>
    <mergeCell ref="S92:U95"/>
    <mergeCell ref="AD92:AG93"/>
    <mergeCell ref="V94:Y95"/>
    <mergeCell ref="Z94:AC95"/>
    <mergeCell ref="AD94:AG95"/>
    <mergeCell ref="V92:Y93"/>
    <mergeCell ref="Z92:AC93"/>
    <mergeCell ref="B92:F93"/>
    <mergeCell ref="G92:J93"/>
    <mergeCell ref="K92:N93"/>
    <mergeCell ref="O92:R93"/>
    <mergeCell ref="B94:F95"/>
    <mergeCell ref="G94:J95"/>
    <mergeCell ref="K94:N95"/>
    <mergeCell ref="O94:R95"/>
    <mergeCell ref="B90:F91"/>
    <mergeCell ref="G90:J91"/>
    <mergeCell ref="K90:N91"/>
    <mergeCell ref="O90:R91"/>
    <mergeCell ref="V90:Y91"/>
    <mergeCell ref="Z90:AC91"/>
    <mergeCell ref="AD90:AG91"/>
    <mergeCell ref="S88:U91"/>
    <mergeCell ref="V88:Y89"/>
    <mergeCell ref="Z88:AC89"/>
    <mergeCell ref="AD88:AG89"/>
    <mergeCell ref="B88:F89"/>
    <mergeCell ref="G88:J89"/>
    <mergeCell ref="K88:N89"/>
    <mergeCell ref="O88:R89"/>
    <mergeCell ref="A9:A34"/>
    <mergeCell ref="O12:R13"/>
    <mergeCell ref="AH84:AJ87"/>
    <mergeCell ref="B86:F87"/>
    <mergeCell ref="G86:J87"/>
    <mergeCell ref="K86:N87"/>
    <mergeCell ref="O86:R87"/>
    <mergeCell ref="S84:U87"/>
    <mergeCell ref="V84:Y85"/>
    <mergeCell ref="Z84:AC85"/>
    <mergeCell ref="B84:F85"/>
    <mergeCell ref="G84:J85"/>
    <mergeCell ref="K84:N85"/>
    <mergeCell ref="O84:R85"/>
    <mergeCell ref="AD84:AG85"/>
    <mergeCell ref="V86:Y87"/>
    <mergeCell ref="Z86:AC87"/>
    <mergeCell ref="AD86:AG87"/>
    <mergeCell ref="AH80:AJ83"/>
    <mergeCell ref="B82:F83"/>
    <mergeCell ref="G82:J83"/>
    <mergeCell ref="K82:N83"/>
    <mergeCell ref="O82:R83"/>
    <mergeCell ref="S80:U83"/>
    <mergeCell ref="B80:F81"/>
    <mergeCell ref="G80:J81"/>
    <mergeCell ref="K80:N81"/>
    <mergeCell ref="O80:R81"/>
    <mergeCell ref="AH76:AJ79"/>
    <mergeCell ref="B78:F79"/>
    <mergeCell ref="G78:J79"/>
    <mergeCell ref="K78:N79"/>
    <mergeCell ref="O78:R79"/>
    <mergeCell ref="S76:U79"/>
    <mergeCell ref="V76:Y77"/>
    <mergeCell ref="Z76:AC77"/>
    <mergeCell ref="AD76:AG77"/>
    <mergeCell ref="V78:Y79"/>
    <mergeCell ref="Z78:AC79"/>
    <mergeCell ref="AD78:AG79"/>
    <mergeCell ref="B76:F77"/>
    <mergeCell ref="G76:J77"/>
    <mergeCell ref="K76:N77"/>
    <mergeCell ref="O76:R77"/>
    <mergeCell ref="AH72:AJ75"/>
    <mergeCell ref="B74:F75"/>
    <mergeCell ref="G74:J75"/>
    <mergeCell ref="K74:N75"/>
    <mergeCell ref="O74:R75"/>
    <mergeCell ref="S72:U75"/>
    <mergeCell ref="V72:Y73"/>
    <mergeCell ref="Z72:AC73"/>
    <mergeCell ref="AD72:AG73"/>
    <mergeCell ref="V74:Y75"/>
    <mergeCell ref="Z74:AC75"/>
    <mergeCell ref="AD74:AG75"/>
    <mergeCell ref="B72:F73"/>
    <mergeCell ref="G72:J73"/>
    <mergeCell ref="K72:N73"/>
    <mergeCell ref="O72:R73"/>
    <mergeCell ref="AH68:AJ71"/>
    <mergeCell ref="B70:F71"/>
    <mergeCell ref="G70:J71"/>
    <mergeCell ref="K70:N71"/>
    <mergeCell ref="O70:R71"/>
    <mergeCell ref="S68:U71"/>
    <mergeCell ref="V68:Y69"/>
    <mergeCell ref="Z68:AC69"/>
    <mergeCell ref="AD68:AG69"/>
    <mergeCell ref="V70:Y71"/>
    <mergeCell ref="Z70:AC71"/>
    <mergeCell ref="AD70:AG71"/>
    <mergeCell ref="B68:F69"/>
    <mergeCell ref="G68:J69"/>
    <mergeCell ref="K68:N69"/>
    <mergeCell ref="O68:R69"/>
    <mergeCell ref="AH64:AJ67"/>
    <mergeCell ref="B66:F67"/>
    <mergeCell ref="G66:J67"/>
    <mergeCell ref="K66:N67"/>
    <mergeCell ref="O66:R67"/>
    <mergeCell ref="S64:U67"/>
    <mergeCell ref="V64:Y65"/>
    <mergeCell ref="Z64:AC65"/>
    <mergeCell ref="AD64:AG65"/>
    <mergeCell ref="V66:Y67"/>
    <mergeCell ref="Z66:AC67"/>
    <mergeCell ref="AD66:AG67"/>
    <mergeCell ref="B64:F65"/>
    <mergeCell ref="G64:J65"/>
    <mergeCell ref="K64:N65"/>
    <mergeCell ref="O64:R65"/>
    <mergeCell ref="AH40:AJ43"/>
    <mergeCell ref="B42:F43"/>
    <mergeCell ref="G42:J43"/>
    <mergeCell ref="K42:N43"/>
    <mergeCell ref="O42:R43"/>
    <mergeCell ref="Z40:AC41"/>
    <mergeCell ref="AD40:AG41"/>
    <mergeCell ref="V42:Y43"/>
    <mergeCell ref="AH60:AJ63"/>
    <mergeCell ref="B62:F63"/>
    <mergeCell ref="G62:J63"/>
    <mergeCell ref="K62:N63"/>
    <mergeCell ref="AD62:AG63"/>
    <mergeCell ref="O60:R61"/>
    <mergeCell ref="S60:U63"/>
    <mergeCell ref="V60:Y61"/>
    <mergeCell ref="Z60:AC61"/>
    <mergeCell ref="B60:F61"/>
    <mergeCell ref="G60:J61"/>
    <mergeCell ref="K60:N61"/>
    <mergeCell ref="AD60:AG61"/>
    <mergeCell ref="O62:R63"/>
    <mergeCell ref="V62:Y63"/>
    <mergeCell ref="Z62:AC63"/>
    <mergeCell ref="AH48:AJ51"/>
    <mergeCell ref="V48:Y49"/>
    <mergeCell ref="Z48:AC49"/>
    <mergeCell ref="Z56:AC57"/>
    <mergeCell ref="Z52:AC53"/>
    <mergeCell ref="V52:Y53"/>
    <mergeCell ref="AD56:AG57"/>
    <mergeCell ref="AH56:AJ59"/>
    <mergeCell ref="AD58:AG59"/>
    <mergeCell ref="V58:Y59"/>
    <mergeCell ref="AH52:AJ55"/>
    <mergeCell ref="Z58:AC59"/>
    <mergeCell ref="V56:Y57"/>
    <mergeCell ref="V54:Y55"/>
    <mergeCell ref="O54:R55"/>
    <mergeCell ref="O52:R53"/>
    <mergeCell ref="O56:R57"/>
    <mergeCell ref="Z54:AC55"/>
    <mergeCell ref="AD54:AG55"/>
    <mergeCell ref="S56:U59"/>
    <mergeCell ref="AD52:AG53"/>
    <mergeCell ref="V50:Y51"/>
    <mergeCell ref="K56:N57"/>
    <mergeCell ref="Z50:AC51"/>
    <mergeCell ref="K58:N59"/>
    <mergeCell ref="O58:R59"/>
    <mergeCell ref="S52:U55"/>
    <mergeCell ref="B50:F51"/>
    <mergeCell ref="G50:J51"/>
    <mergeCell ref="K50:N51"/>
    <mergeCell ref="B58:F59"/>
    <mergeCell ref="B52:F53"/>
    <mergeCell ref="G52:J53"/>
    <mergeCell ref="K52:N53"/>
    <mergeCell ref="B56:F57"/>
    <mergeCell ref="G56:J57"/>
    <mergeCell ref="B54:F55"/>
    <mergeCell ref="G58:J59"/>
    <mergeCell ref="G54:J55"/>
    <mergeCell ref="K54:N55"/>
    <mergeCell ref="B48:F49"/>
    <mergeCell ref="G48:J49"/>
    <mergeCell ref="K48:N49"/>
    <mergeCell ref="O48:R49"/>
    <mergeCell ref="O46:R47"/>
    <mergeCell ref="S44:U47"/>
    <mergeCell ref="AH44:AJ47"/>
    <mergeCell ref="B46:F47"/>
    <mergeCell ref="G46:J47"/>
    <mergeCell ref="K46:N47"/>
    <mergeCell ref="AD44:AG45"/>
    <mergeCell ref="V46:Y47"/>
    <mergeCell ref="V44:Y45"/>
    <mergeCell ref="Z44:AC45"/>
    <mergeCell ref="AD46:AG47"/>
    <mergeCell ref="B44:F45"/>
    <mergeCell ref="G44:J45"/>
    <mergeCell ref="K44:N45"/>
    <mergeCell ref="O44:R45"/>
    <mergeCell ref="Z46:AC47"/>
    <mergeCell ref="S48:U51"/>
    <mergeCell ref="O50:R51"/>
    <mergeCell ref="AD48:AG49"/>
    <mergeCell ref="AD50:AG51"/>
    <mergeCell ref="Z42:AC43"/>
    <mergeCell ref="AD42:AG43"/>
    <mergeCell ref="B40:F41"/>
    <mergeCell ref="G40:J41"/>
    <mergeCell ref="K40:N41"/>
    <mergeCell ref="O40:R41"/>
    <mergeCell ref="AH36:AJ39"/>
    <mergeCell ref="B38:F39"/>
    <mergeCell ref="G38:J39"/>
    <mergeCell ref="K38:N39"/>
    <mergeCell ref="O38:R39"/>
    <mergeCell ref="S36:U39"/>
    <mergeCell ref="V36:Y37"/>
    <mergeCell ref="Z36:AC37"/>
    <mergeCell ref="AD36:AG37"/>
    <mergeCell ref="V38:Y39"/>
    <mergeCell ref="Z38:AC39"/>
    <mergeCell ref="AD38:AG39"/>
    <mergeCell ref="B36:F37"/>
    <mergeCell ref="G36:J37"/>
    <mergeCell ref="K36:N37"/>
    <mergeCell ref="O36:R37"/>
    <mergeCell ref="V40:Y41"/>
    <mergeCell ref="S40:U43"/>
    <mergeCell ref="AH32:AJ35"/>
    <mergeCell ref="B34:F35"/>
    <mergeCell ref="G34:J35"/>
    <mergeCell ref="K34:N35"/>
    <mergeCell ref="O34:R35"/>
    <mergeCell ref="S32:U35"/>
    <mergeCell ref="V32:Y33"/>
    <mergeCell ref="Z32:AC33"/>
    <mergeCell ref="AD32:AG33"/>
    <mergeCell ref="V34:Y35"/>
    <mergeCell ref="Z34:AC35"/>
    <mergeCell ref="AD34:AG35"/>
    <mergeCell ref="B32:F33"/>
    <mergeCell ref="G32:J33"/>
    <mergeCell ref="K32:N33"/>
    <mergeCell ref="O32:R33"/>
    <mergeCell ref="Z30:AC31"/>
    <mergeCell ref="AD30:AG31"/>
    <mergeCell ref="V28:Y29"/>
    <mergeCell ref="Z28:AC29"/>
    <mergeCell ref="AD28:AG29"/>
    <mergeCell ref="V30:Y31"/>
    <mergeCell ref="AH28:AJ31"/>
    <mergeCell ref="B30:F31"/>
    <mergeCell ref="G30:J31"/>
    <mergeCell ref="K30:N31"/>
    <mergeCell ref="O30:R31"/>
    <mergeCell ref="S28:U31"/>
    <mergeCell ref="B28:F29"/>
    <mergeCell ref="G28:J29"/>
    <mergeCell ref="K28:N29"/>
    <mergeCell ref="O28:R29"/>
    <mergeCell ref="B26:F27"/>
    <mergeCell ref="G26:J27"/>
    <mergeCell ref="K26:N27"/>
    <mergeCell ref="O26:R27"/>
    <mergeCell ref="S24:U27"/>
    <mergeCell ref="Z24:AC25"/>
    <mergeCell ref="AH20:AJ23"/>
    <mergeCell ref="AD24:AG25"/>
    <mergeCell ref="V26:Y27"/>
    <mergeCell ref="Z26:AC27"/>
    <mergeCell ref="S20:U23"/>
    <mergeCell ref="V20:Y21"/>
    <mergeCell ref="V24:Y25"/>
    <mergeCell ref="B20:F21"/>
    <mergeCell ref="G20:J21"/>
    <mergeCell ref="K20:N21"/>
    <mergeCell ref="O20:R21"/>
    <mergeCell ref="AD26:AG27"/>
    <mergeCell ref="B24:F25"/>
    <mergeCell ref="G24:J25"/>
    <mergeCell ref="K24:N25"/>
    <mergeCell ref="O24:R25"/>
    <mergeCell ref="B22:F23"/>
    <mergeCell ref="V22:Y23"/>
    <mergeCell ref="Z22:AC23"/>
    <mergeCell ref="AD22:AG23"/>
    <mergeCell ref="G22:J23"/>
    <mergeCell ref="K22:N23"/>
    <mergeCell ref="O22:R23"/>
    <mergeCell ref="K18:N19"/>
    <mergeCell ref="O18:R19"/>
    <mergeCell ref="AH24:AJ27"/>
    <mergeCell ref="V14:Y15"/>
    <mergeCell ref="B10:F11"/>
    <mergeCell ref="V10:AJ10"/>
    <mergeCell ref="G10:J11"/>
    <mergeCell ref="O11:R11"/>
    <mergeCell ref="K10:U10"/>
    <mergeCell ref="V11:Y11"/>
    <mergeCell ref="S11:U11"/>
    <mergeCell ref="Z20:AC21"/>
    <mergeCell ref="AD20:AG21"/>
    <mergeCell ref="B5:AJ5"/>
    <mergeCell ref="A6:B6"/>
    <mergeCell ref="C6:D6"/>
    <mergeCell ref="E6:F6"/>
    <mergeCell ref="G6:H6"/>
    <mergeCell ref="I6:J6"/>
    <mergeCell ref="O6:P6"/>
    <mergeCell ref="AC6:AD6"/>
    <mergeCell ref="AE6:AF6"/>
    <mergeCell ref="Q6:R6"/>
    <mergeCell ref="AN10:AR10"/>
    <mergeCell ref="S12:U15"/>
    <mergeCell ref="AH11:AJ11"/>
    <mergeCell ref="BH6:BI6"/>
    <mergeCell ref="B7:AJ7"/>
    <mergeCell ref="AG6:AH6"/>
    <mergeCell ref="AI6:AJ6"/>
    <mergeCell ref="AK6:AL6"/>
    <mergeCell ref="AY6:BA6"/>
    <mergeCell ref="Y6:Z6"/>
    <mergeCell ref="BD6:BE6"/>
    <mergeCell ref="BF6:BG6"/>
    <mergeCell ref="M6:N6"/>
    <mergeCell ref="W6:X6"/>
    <mergeCell ref="K6:L6"/>
    <mergeCell ref="S6:T6"/>
    <mergeCell ref="U6:V6"/>
    <mergeCell ref="AA6:AB6"/>
    <mergeCell ref="Z11:AC11"/>
    <mergeCell ref="AK9:AK34"/>
    <mergeCell ref="V16:Y17"/>
    <mergeCell ref="Z16:AC17"/>
    <mergeCell ref="AD16:AG17"/>
    <mergeCell ref="AH16:AJ19"/>
    <mergeCell ref="AM16:AM19"/>
    <mergeCell ref="AL16:AL19"/>
    <mergeCell ref="Z18:AC19"/>
    <mergeCell ref="E8:F8"/>
    <mergeCell ref="B12:F13"/>
    <mergeCell ref="G12:J13"/>
    <mergeCell ref="B9:AJ9"/>
    <mergeCell ref="AH12:AJ15"/>
    <mergeCell ref="G8:AJ8"/>
    <mergeCell ref="AD11:AG11"/>
    <mergeCell ref="G14:J15"/>
    <mergeCell ref="B14:F15"/>
    <mergeCell ref="K12:N13"/>
    <mergeCell ref="K11:N11"/>
    <mergeCell ref="K14:N15"/>
    <mergeCell ref="O14:R15"/>
    <mergeCell ref="K16:N17"/>
    <mergeCell ref="O16:R17"/>
    <mergeCell ref="B18:F19"/>
    <mergeCell ref="G18:J19"/>
    <mergeCell ref="B16:F17"/>
    <mergeCell ref="G16:J17"/>
    <mergeCell ref="S16:U19"/>
    <mergeCell ref="V18:Y19"/>
    <mergeCell ref="AH116:AJ119"/>
    <mergeCell ref="V118:Y119"/>
    <mergeCell ref="Z118:AC119"/>
    <mergeCell ref="AD118:AG119"/>
    <mergeCell ref="Z12:AC13"/>
    <mergeCell ref="Z14:AC15"/>
    <mergeCell ref="AD18:AG19"/>
    <mergeCell ref="AM12:AM15"/>
    <mergeCell ref="AO12:AO15"/>
    <mergeCell ref="AD14:AG15"/>
    <mergeCell ref="AD12:AG13"/>
    <mergeCell ref="V12:Y13"/>
    <mergeCell ref="Z116:AC117"/>
    <mergeCell ref="AD116:AG117"/>
    <mergeCell ref="AL12:AL15"/>
    <mergeCell ref="AN12:AN15"/>
    <mergeCell ref="AN20:AN23"/>
    <mergeCell ref="AO20:AO23"/>
    <mergeCell ref="AN104:AN107"/>
    <mergeCell ref="AO104:AO107"/>
    <mergeCell ref="AN68:AN71"/>
    <mergeCell ref="AO68:AO71"/>
    <mergeCell ref="AN84:AN87"/>
    <mergeCell ref="AO84:AO87"/>
    <mergeCell ref="B118:F119"/>
    <mergeCell ref="G118:J119"/>
    <mergeCell ref="K118:N119"/>
    <mergeCell ref="O118:R119"/>
    <mergeCell ref="S116:U119"/>
    <mergeCell ref="V116:Y117"/>
    <mergeCell ref="AD122:AG123"/>
    <mergeCell ref="S120:U123"/>
    <mergeCell ref="V120:Y121"/>
    <mergeCell ref="B120:F121"/>
    <mergeCell ref="G120:J121"/>
    <mergeCell ref="K120:N121"/>
    <mergeCell ref="O120:R121"/>
    <mergeCell ref="Z120:AC121"/>
    <mergeCell ref="AD120:AG121"/>
    <mergeCell ref="B122:F123"/>
    <mergeCell ref="G122:J123"/>
    <mergeCell ref="K122:N123"/>
    <mergeCell ref="O122:R123"/>
    <mergeCell ref="V122:Y123"/>
    <mergeCell ref="Z122:AC123"/>
    <mergeCell ref="B116:F117"/>
    <mergeCell ref="G116:J117"/>
    <mergeCell ref="K116:N117"/>
    <mergeCell ref="O128:R129"/>
    <mergeCell ref="Z126:AC127"/>
    <mergeCell ref="Z128:AC129"/>
    <mergeCell ref="AD126:AG127"/>
    <mergeCell ref="S124:U127"/>
    <mergeCell ref="V124:Y125"/>
    <mergeCell ref="Z124:AC125"/>
    <mergeCell ref="AD124:AG125"/>
    <mergeCell ref="AD128:AG129"/>
    <mergeCell ref="S128:U131"/>
    <mergeCell ref="V128:Y129"/>
    <mergeCell ref="AN128:AN131"/>
    <mergeCell ref="AO128:AO131"/>
    <mergeCell ref="AH124:AJ127"/>
    <mergeCell ref="AH120:AJ123"/>
    <mergeCell ref="AH128:AJ131"/>
    <mergeCell ref="B130:F131"/>
    <mergeCell ref="G130:J131"/>
    <mergeCell ref="K130:N131"/>
    <mergeCell ref="O130:R131"/>
    <mergeCell ref="V130:Y131"/>
    <mergeCell ref="Z130:AC131"/>
    <mergeCell ref="AD130:AG131"/>
    <mergeCell ref="B128:F129"/>
    <mergeCell ref="G128:J129"/>
    <mergeCell ref="B126:F127"/>
    <mergeCell ref="G126:J127"/>
    <mergeCell ref="K126:N127"/>
    <mergeCell ref="O126:R127"/>
    <mergeCell ref="V126:Y127"/>
    <mergeCell ref="B124:F125"/>
    <mergeCell ref="G124:J125"/>
    <mergeCell ref="K124:N125"/>
    <mergeCell ref="O124:R125"/>
    <mergeCell ref="K128:N129"/>
    <mergeCell ref="AP12:AP15"/>
    <mergeCell ref="AQ12:AQ15"/>
    <mergeCell ref="AO16:AO19"/>
    <mergeCell ref="AP16:AP19"/>
    <mergeCell ref="AQ16:AQ19"/>
    <mergeCell ref="AP20:AP23"/>
    <mergeCell ref="AQ20:AQ23"/>
    <mergeCell ref="AR28:AR31"/>
    <mergeCell ref="AN24:AN27"/>
    <mergeCell ref="AO24:AO27"/>
    <mergeCell ref="AP24:AP27"/>
    <mergeCell ref="AQ24:AQ27"/>
    <mergeCell ref="AN28:AN31"/>
    <mergeCell ref="AO28:AO31"/>
    <mergeCell ref="AP28:AP31"/>
    <mergeCell ref="AQ28:AQ31"/>
    <mergeCell ref="AN16:AN19"/>
    <mergeCell ref="AR32:AR35"/>
    <mergeCell ref="AN36:AN39"/>
    <mergeCell ref="AO36:AO39"/>
    <mergeCell ref="AP36:AP39"/>
    <mergeCell ref="AQ36:AQ39"/>
    <mergeCell ref="AR36:AR39"/>
    <mergeCell ref="AN32:AN35"/>
    <mergeCell ref="AO32:AO35"/>
    <mergeCell ref="AP32:AP35"/>
    <mergeCell ref="AQ32:AQ35"/>
    <mergeCell ref="AR40:AR43"/>
    <mergeCell ref="AN44:AN47"/>
    <mergeCell ref="AO44:AO47"/>
    <mergeCell ref="AP44:AP47"/>
    <mergeCell ref="AQ44:AQ47"/>
    <mergeCell ref="AR44:AR47"/>
    <mergeCell ref="AN40:AN43"/>
    <mergeCell ref="AO40:AO43"/>
    <mergeCell ref="AP40:AP43"/>
    <mergeCell ref="AQ40:AQ43"/>
    <mergeCell ref="AR48:AR51"/>
    <mergeCell ref="AN52:AN55"/>
    <mergeCell ref="AO52:AO55"/>
    <mergeCell ref="AP52:AP55"/>
    <mergeCell ref="AQ52:AQ55"/>
    <mergeCell ref="AR52:AR55"/>
    <mergeCell ref="AN48:AN51"/>
    <mergeCell ref="AO48:AO51"/>
    <mergeCell ref="AP48:AP51"/>
    <mergeCell ref="AQ48:AQ51"/>
    <mergeCell ref="AR56:AR59"/>
    <mergeCell ref="AN60:AN63"/>
    <mergeCell ref="AO60:AO63"/>
    <mergeCell ref="AP60:AP63"/>
    <mergeCell ref="AQ60:AQ63"/>
    <mergeCell ref="AR60:AR63"/>
    <mergeCell ref="AN56:AN59"/>
    <mergeCell ref="AO56:AO59"/>
    <mergeCell ref="AP56:AP59"/>
    <mergeCell ref="AQ56:AQ59"/>
    <mergeCell ref="AP68:AP71"/>
    <mergeCell ref="AQ68:AQ71"/>
    <mergeCell ref="AN64:AN67"/>
    <mergeCell ref="AO64:AO67"/>
    <mergeCell ref="AP64:AP67"/>
    <mergeCell ref="AQ64:AQ67"/>
    <mergeCell ref="AN76:AN79"/>
    <mergeCell ref="AO76:AO79"/>
    <mergeCell ref="AP76:AP79"/>
    <mergeCell ref="AQ76:AQ79"/>
    <mergeCell ref="AN72:AN75"/>
    <mergeCell ref="AO72:AO75"/>
    <mergeCell ref="AP72:AP75"/>
    <mergeCell ref="AQ72:AQ75"/>
    <mergeCell ref="AP84:AP87"/>
    <mergeCell ref="AQ84:AQ87"/>
    <mergeCell ref="AN80:AN83"/>
    <mergeCell ref="AO80:AO83"/>
    <mergeCell ref="AP80:AP83"/>
    <mergeCell ref="AQ80:AQ83"/>
    <mergeCell ref="AR92:AR95"/>
    <mergeCell ref="AN88:AN91"/>
    <mergeCell ref="AO88:AO91"/>
    <mergeCell ref="AP88:AP91"/>
    <mergeCell ref="AQ88:AQ91"/>
    <mergeCell ref="AN92:AN95"/>
    <mergeCell ref="AO92:AO95"/>
    <mergeCell ref="AP92:AP95"/>
    <mergeCell ref="AQ92:AQ95"/>
    <mergeCell ref="AR88:AR91"/>
    <mergeCell ref="AR96:AR99"/>
    <mergeCell ref="AN100:AN103"/>
    <mergeCell ref="AO100:AO103"/>
    <mergeCell ref="AP100:AP103"/>
    <mergeCell ref="AQ100:AQ103"/>
    <mergeCell ref="AR100:AR103"/>
    <mergeCell ref="AN96:AN99"/>
    <mergeCell ref="AO96:AO99"/>
    <mergeCell ref="AP96:AP99"/>
    <mergeCell ref="AQ96:AQ99"/>
    <mergeCell ref="AO120:AO123"/>
    <mergeCell ref="AP120:AP123"/>
    <mergeCell ref="AQ120:AQ123"/>
    <mergeCell ref="AN116:AN119"/>
    <mergeCell ref="AO116:AO119"/>
    <mergeCell ref="AP116:AP119"/>
    <mergeCell ref="AQ116:AQ119"/>
    <mergeCell ref="AP104:AP107"/>
    <mergeCell ref="AQ104:AQ107"/>
    <mergeCell ref="AR76:AR79"/>
    <mergeCell ref="AR68:AR71"/>
    <mergeCell ref="AP128:AP131"/>
    <mergeCell ref="AQ128:AQ131"/>
    <mergeCell ref="AN124:AN127"/>
    <mergeCell ref="AO124:AO127"/>
    <mergeCell ref="AP124:AP127"/>
    <mergeCell ref="AQ124:AQ127"/>
    <mergeCell ref="AQ108:AQ111"/>
    <mergeCell ref="AN120:AN123"/>
    <mergeCell ref="AR104:AR107"/>
    <mergeCell ref="AR128:AR131"/>
    <mergeCell ref="AR120:AR123"/>
    <mergeCell ref="AR124:AR127"/>
    <mergeCell ref="AR112:AR115"/>
    <mergeCell ref="AR116:AR119"/>
    <mergeCell ref="AR108:AR111"/>
    <mergeCell ref="AN112:AN115"/>
    <mergeCell ref="AO112:AO115"/>
    <mergeCell ref="AP112:AP115"/>
    <mergeCell ref="AQ112:AQ115"/>
    <mergeCell ref="AN108:AN111"/>
    <mergeCell ref="AO108:AO111"/>
    <mergeCell ref="AP108:AP111"/>
    <mergeCell ref="AX28:AX31"/>
    <mergeCell ref="AX12:AX15"/>
    <mergeCell ref="AX16:AX19"/>
    <mergeCell ref="AX20:AX23"/>
    <mergeCell ref="AX24:AX27"/>
    <mergeCell ref="AR80:AR83"/>
    <mergeCell ref="AR72:AR75"/>
    <mergeCell ref="AR64:AR67"/>
    <mergeCell ref="AR84:AR87"/>
    <mergeCell ref="AX76:AX79"/>
    <mergeCell ref="AR24:AR27"/>
    <mergeCell ref="AR12:AR15"/>
    <mergeCell ref="AR20:AR23"/>
    <mergeCell ref="AR16:AR19"/>
    <mergeCell ref="AX52:AX55"/>
    <mergeCell ref="AX56:AX59"/>
    <mergeCell ref="AX60:AX63"/>
    <mergeCell ref="AX64:AX67"/>
    <mergeCell ref="AX68:AX71"/>
    <mergeCell ref="AX72:AX75"/>
    <mergeCell ref="AU32:AU35"/>
    <mergeCell ref="AV32:AV35"/>
    <mergeCell ref="AW24:AW27"/>
    <mergeCell ref="AS28:AS31"/>
    <mergeCell ref="AX116:AX119"/>
    <mergeCell ref="AX120:AX123"/>
    <mergeCell ref="AX124:AX127"/>
    <mergeCell ref="AX32:AX35"/>
    <mergeCell ref="AX36:AX39"/>
    <mergeCell ref="AX40:AX43"/>
    <mergeCell ref="AX44:AX47"/>
    <mergeCell ref="AX80:AX83"/>
    <mergeCell ref="AX84:AX87"/>
    <mergeCell ref="AX48:AX51"/>
    <mergeCell ref="AX92:AX95"/>
    <mergeCell ref="AX104:AX107"/>
    <mergeCell ref="AX108:AX111"/>
    <mergeCell ref="AX96:AX99"/>
    <mergeCell ref="AX100:AX103"/>
    <mergeCell ref="AX112:AX115"/>
    <mergeCell ref="AX128:AX131"/>
    <mergeCell ref="AW20:AW23"/>
    <mergeCell ref="AS10:AW10"/>
    <mergeCell ref="AS12:AS15"/>
    <mergeCell ref="AT12:AT15"/>
    <mergeCell ref="AU12:AU15"/>
    <mergeCell ref="AV12:AV15"/>
    <mergeCell ref="AW12:AW15"/>
    <mergeCell ref="AW28:AW31"/>
    <mergeCell ref="AX88:AX91"/>
    <mergeCell ref="AS16:AS19"/>
    <mergeCell ref="AS20:AS23"/>
    <mergeCell ref="AT20:AT23"/>
    <mergeCell ref="AU20:AU23"/>
    <mergeCell ref="AV20:AV23"/>
    <mergeCell ref="AW16:AW19"/>
    <mergeCell ref="AT24:AT27"/>
    <mergeCell ref="AU24:AU27"/>
    <mergeCell ref="AV24:AV27"/>
    <mergeCell ref="AT16:AT19"/>
    <mergeCell ref="AU16:AU19"/>
    <mergeCell ref="AV16:AV19"/>
    <mergeCell ref="AS32:AS35"/>
    <mergeCell ref="AT32:AT35"/>
    <mergeCell ref="AS24:AS27"/>
    <mergeCell ref="AS40:AS43"/>
    <mergeCell ref="AT40:AT43"/>
    <mergeCell ref="AU40:AU43"/>
    <mergeCell ref="AV40:AV43"/>
    <mergeCell ref="AW32:AW35"/>
    <mergeCell ref="AS36:AS39"/>
    <mergeCell ref="AT36:AT39"/>
    <mergeCell ref="AU36:AU39"/>
    <mergeCell ref="AV36:AV39"/>
    <mergeCell ref="AW36:AW39"/>
    <mergeCell ref="AW40:AW43"/>
    <mergeCell ref="AS44:AS47"/>
    <mergeCell ref="AT44:AT47"/>
    <mergeCell ref="AU44:AU47"/>
    <mergeCell ref="AV44:AV47"/>
    <mergeCell ref="AW44:AW47"/>
    <mergeCell ref="AT28:AT31"/>
    <mergeCell ref="AU28:AU31"/>
    <mergeCell ref="AV28:AV31"/>
    <mergeCell ref="AW48:AW51"/>
    <mergeCell ref="AS52:AS55"/>
    <mergeCell ref="AT52:AT55"/>
    <mergeCell ref="AU52:AU55"/>
    <mergeCell ref="AV52:AV55"/>
    <mergeCell ref="AW52:AW55"/>
    <mergeCell ref="AS48:AS51"/>
    <mergeCell ref="AT48:AT51"/>
    <mergeCell ref="AU48:AU51"/>
    <mergeCell ref="AV48:AV51"/>
    <mergeCell ref="AW56:AW59"/>
    <mergeCell ref="AS60:AS63"/>
    <mergeCell ref="AT60:AT63"/>
    <mergeCell ref="AU60:AU63"/>
    <mergeCell ref="AV60:AV63"/>
    <mergeCell ref="AW60:AW63"/>
    <mergeCell ref="AS56:AS59"/>
    <mergeCell ref="AT56:AT59"/>
    <mergeCell ref="AU56:AU59"/>
    <mergeCell ref="AV56:AV59"/>
    <mergeCell ref="AW64:AW67"/>
    <mergeCell ref="AS68:AS71"/>
    <mergeCell ref="AT68:AT71"/>
    <mergeCell ref="AU68:AU71"/>
    <mergeCell ref="AV68:AV71"/>
    <mergeCell ref="AW68:AW71"/>
    <mergeCell ref="AS64:AS67"/>
    <mergeCell ref="AT64:AT67"/>
    <mergeCell ref="AU64:AU67"/>
    <mergeCell ref="AV64:AV67"/>
    <mergeCell ref="AS80:AS83"/>
    <mergeCell ref="AT80:AT83"/>
    <mergeCell ref="AU80:AU83"/>
    <mergeCell ref="AV80:AV83"/>
    <mergeCell ref="AW72:AW75"/>
    <mergeCell ref="AS76:AS79"/>
    <mergeCell ref="AT76:AT79"/>
    <mergeCell ref="AU76:AU79"/>
    <mergeCell ref="AV76:AV79"/>
    <mergeCell ref="AW76:AW79"/>
    <mergeCell ref="AS72:AS75"/>
    <mergeCell ref="AT72:AT75"/>
    <mergeCell ref="AU72:AU75"/>
    <mergeCell ref="AV72:AV75"/>
    <mergeCell ref="AS88:AS91"/>
    <mergeCell ref="AT88:AT91"/>
    <mergeCell ref="AU88:AU91"/>
    <mergeCell ref="AV88:AV91"/>
    <mergeCell ref="AS84:AS87"/>
    <mergeCell ref="AT84:AT87"/>
    <mergeCell ref="AU84:AU87"/>
    <mergeCell ref="AV84:AV87"/>
    <mergeCell ref="AS96:AS99"/>
    <mergeCell ref="AT96:AT99"/>
    <mergeCell ref="AU96:AU99"/>
    <mergeCell ref="AV96:AV99"/>
    <mergeCell ref="AS92:AS95"/>
    <mergeCell ref="AT92:AT95"/>
    <mergeCell ref="AU92:AU95"/>
    <mergeCell ref="AV92:AV95"/>
    <mergeCell ref="AT112:AT115"/>
    <mergeCell ref="AU112:AU115"/>
    <mergeCell ref="AS100:AS103"/>
    <mergeCell ref="AT100:AT103"/>
    <mergeCell ref="AU100:AU103"/>
    <mergeCell ref="AV100:AV103"/>
    <mergeCell ref="AS120:AS123"/>
    <mergeCell ref="AT120:AT123"/>
    <mergeCell ref="AW128:AW131"/>
    <mergeCell ref="AW112:AW115"/>
    <mergeCell ref="AS116:AS119"/>
    <mergeCell ref="AT116:AT119"/>
    <mergeCell ref="AU116:AU119"/>
    <mergeCell ref="AV116:AV119"/>
    <mergeCell ref="AW116:AW119"/>
    <mergeCell ref="AS112:AS115"/>
    <mergeCell ref="AS128:AS131"/>
    <mergeCell ref="AT128:AT131"/>
    <mergeCell ref="AU128:AU131"/>
    <mergeCell ref="AV128:AV131"/>
    <mergeCell ref="AU120:AU123"/>
    <mergeCell ref="AV120:AV123"/>
    <mergeCell ref="AS124:AS127"/>
    <mergeCell ref="AT124:AT127"/>
    <mergeCell ref="AU124:AU127"/>
    <mergeCell ref="AV124:AV127"/>
    <mergeCell ref="BM16:BM17"/>
    <mergeCell ref="AW120:AW123"/>
    <mergeCell ref="BM24:BM25"/>
    <mergeCell ref="BK20:BK21"/>
    <mergeCell ref="BL20:BL21"/>
    <mergeCell ref="BM20:BM21"/>
    <mergeCell ref="BM32:BM33"/>
    <mergeCell ref="BM28:BM29"/>
    <mergeCell ref="AW104:AW107"/>
    <mergeCell ref="AW108:AW111"/>
    <mergeCell ref="BK16:BK17"/>
    <mergeCell ref="BL16:BL17"/>
    <mergeCell ref="AW124:AW127"/>
    <mergeCell ref="AV112:AV115"/>
    <mergeCell ref="BM40:BM41"/>
    <mergeCell ref="BM36:BM37"/>
    <mergeCell ref="BK48:BK49"/>
    <mergeCell ref="BL48:BL49"/>
    <mergeCell ref="BK64:BK65"/>
    <mergeCell ref="BL64:BL65"/>
    <mergeCell ref="BK56:BK57"/>
    <mergeCell ref="BL56:BL57"/>
    <mergeCell ref="AS108:AS111"/>
    <mergeCell ref="AT108:AT111"/>
    <mergeCell ref="BK24:BK25"/>
    <mergeCell ref="BL24:BL25"/>
    <mergeCell ref="BK32:BK33"/>
    <mergeCell ref="BL32:BL33"/>
    <mergeCell ref="AS104:AS107"/>
    <mergeCell ref="AT104:AT107"/>
    <mergeCell ref="AU104:AU107"/>
    <mergeCell ref="AV104:AV107"/>
    <mergeCell ref="AW96:AW99"/>
    <mergeCell ref="AW100:AW103"/>
    <mergeCell ref="AW88:AW91"/>
    <mergeCell ref="AW92:AW95"/>
    <mergeCell ref="AW80:AW83"/>
    <mergeCell ref="AW84:AW87"/>
    <mergeCell ref="BK28:BK29"/>
    <mergeCell ref="BL28:BL29"/>
    <mergeCell ref="BK36:BK37"/>
    <mergeCell ref="BL36:BL37"/>
    <mergeCell ref="BK40:BK41"/>
    <mergeCell ref="BL40:BL41"/>
    <mergeCell ref="AU108:AU111"/>
    <mergeCell ref="AV108:AV111"/>
    <mergeCell ref="BK72:BK73"/>
    <mergeCell ref="BL72:BL73"/>
    <mergeCell ref="BM48:BM49"/>
    <mergeCell ref="BK44:BK45"/>
    <mergeCell ref="BL44:BL45"/>
    <mergeCell ref="BM44:BM45"/>
    <mergeCell ref="BM56:BM57"/>
    <mergeCell ref="BK52:BK53"/>
    <mergeCell ref="BL52:BL53"/>
    <mergeCell ref="BM52:BM53"/>
    <mergeCell ref="BM64:BM65"/>
    <mergeCell ref="BK60:BK61"/>
    <mergeCell ref="BL60:BL61"/>
    <mergeCell ref="BM60:BM61"/>
    <mergeCell ref="BM72:BM73"/>
    <mergeCell ref="BK68:BK69"/>
    <mergeCell ref="BL68:BL69"/>
    <mergeCell ref="BM68:BM69"/>
    <mergeCell ref="BK80:BK81"/>
    <mergeCell ref="BL80:BL81"/>
    <mergeCell ref="BM80:BM81"/>
    <mergeCell ref="BK76:BK77"/>
    <mergeCell ref="BL76:BL77"/>
    <mergeCell ref="BM76:BM77"/>
    <mergeCell ref="BK88:BK89"/>
    <mergeCell ref="BL88:BL89"/>
    <mergeCell ref="BM88:BM89"/>
    <mergeCell ref="BK84:BK85"/>
    <mergeCell ref="BL84:BL85"/>
    <mergeCell ref="BM84:BM85"/>
    <mergeCell ref="BK96:BK97"/>
    <mergeCell ref="BL96:BL97"/>
    <mergeCell ref="BM96:BM97"/>
    <mergeCell ref="BK92:BK93"/>
    <mergeCell ref="BL92:BL93"/>
    <mergeCell ref="BM92:BM93"/>
    <mergeCell ref="BK104:BK105"/>
    <mergeCell ref="BL104:BL105"/>
    <mergeCell ref="BM104:BM105"/>
    <mergeCell ref="BK100:BK101"/>
    <mergeCell ref="BL100:BL101"/>
    <mergeCell ref="BM100:BM101"/>
    <mergeCell ref="BK108:BK109"/>
    <mergeCell ref="BL108:BL109"/>
    <mergeCell ref="BM108:BM109"/>
    <mergeCell ref="BK120:BK121"/>
    <mergeCell ref="BL120:BL121"/>
    <mergeCell ref="BM120:BM121"/>
    <mergeCell ref="BK116:BK117"/>
    <mergeCell ref="BL116:BL117"/>
    <mergeCell ref="BM116:BM117"/>
    <mergeCell ref="BK128:BK129"/>
    <mergeCell ref="BL128:BL129"/>
    <mergeCell ref="BM128:BM129"/>
    <mergeCell ref="BK124:BK125"/>
    <mergeCell ref="BL124:BL125"/>
    <mergeCell ref="BM124:BM125"/>
    <mergeCell ref="BK112:BK113"/>
    <mergeCell ref="BL112:BL113"/>
    <mergeCell ref="BM112:BM113"/>
  </mergeCells>
  <phoneticPr fontId="0" type="noConversion"/>
  <dataValidations count="11">
    <dataValidation type="textLength" operator="lessThanOrEqual" allowBlank="1" showErrorMessage="1" sqref="E8:F8 B6 A6:A7 C6:AL7 AN6:IV7 AM6" xr:uid="{00000000-0002-0000-0000-000000000000}">
      <formula1>5</formula1>
    </dataValidation>
    <dataValidation type="custom" allowBlank="1" showInputMessage="1" showErrorMessage="1" errorTitle="Invalid Entry" error="_x000a_Valid Entries Are:_x000a__x000a_1. A number from 0 to 999999_x000a_2. Report (if &quot;Monitor &amp; Report&quot; in permit)" promptTitle="Valid Entries Are:" prompt="_x000a_1. A number from 0 to 999999_x000a_2. Report (if &quot;Monitor &amp; Report&quot; in permit)" sqref="K12:R13 V12:AG13 V100:AG101 V104:AG105 V108:AG109 V112:AG113 K32:R33 K36:R37 K40:R41 K44:R45 K48:R49 K52:R53 K56:R57 K60:R61 K64:R65 K68:R69 K72:R73 K76:R77 K80:R81 K84:R85 K88:R89 K92:R93 K96:R97 K100:R101 K104:R105 K108:R109 K112:R113 K116:R117 K120:R121 K124:R125 K128:R129 V116:AG117 V120:AG121 V124:AG125 V128:AG129 V32:AG33 V36:AG37 V40:AG41 V44:AG45 V48:AG49 V52:AG53 V56:AG57 V60:AG61 V64:AG65 V68:AG69 V72:AG73 V76:AG77 V80:AG81 V84:AG85 V88:AG89 V92:AG93 V96:AG97 V28:AG29 V24:AG25 V20:AG21 V16:AG17 K28:R29 K24:R25 K20:R21 K16:R17" xr:uid="{00000000-0002-0000-0000-000001000000}">
      <formula1>IF(K12="Report",TRUE,AND(VALUE(K12)&lt;=999999,VALUE(K12)&gt;=0))</formula1>
    </dataValidation>
    <dataValidation type="list" allowBlank="1" showInputMessage="1" showErrorMessage="1" sqref="B118:F119 B122:F123 B126:F127 B130:F131 B34:F35 B38:F39 B42:F43 B46:F47 B50:F51 B54:F55 B58:F59 B62:F63 B66:F67 B70:F71 B74:F75 B78:F79 B82:F83 B86:F87 B90:F91 B94:F95 B98:F99 B102:F103 B106:F107 B110:F111 B114:F115 B18:F19 B30:F31 B26:F27 B22:F23" xr:uid="{00000000-0002-0000-0000-000002000000}">
      <formula1>$BB$11:$BB$30</formula1>
    </dataValidation>
    <dataValidation type="list" allowBlank="1" showInputMessage="1" showErrorMessage="1" sqref="K14:N15 K118:N119 K122:N123 K126:N127 K130:N131 K34:N35 K38:N39 K42:N43 K46:N47 K50:N51 K54:N55 K58:N59 K62:N63 K66:N67 K70:N71 K74:N75 K78:N79 K82:N83 K86:N87 K90:N91 K94:N95 K98:N99 K102:N103 K106:N107 K110:N111 K114:N115 K30:N31 K26:N27 K22:N23 K18:N19" xr:uid="{00000000-0002-0000-0000-000004000000}">
      <formula1>$BD$11:$BD$17</formula1>
    </dataValidation>
    <dataValidation type="list" allowBlank="1" showInputMessage="1" showErrorMessage="1" sqref="O14:R15 O118:R119 O122:R123 O126:R127 O130:R131 O34:R35 O38:R39 O42:R43 O46:R47 O50:R51 O54:R55 O58:R59 O62:R63 O66:R67 O70:R71 O74:R75 O78:R79 O82:R83 O86:R87 O90:R91 O94:R95 O98:R99 O102:R103 O106:R107 O110:R111 O114:R115 O30:R31 O26:R27 O22:R23 O18:R19" xr:uid="{00000000-0002-0000-0000-000005000000}">
      <formula1>$BE$11:$BE$15</formula1>
    </dataValidation>
    <dataValidation type="list" allowBlank="1" showInputMessage="1" showErrorMessage="1" sqref="V14:Y15 V118:Y119 V122:Y123 V126:Y127 V130:Y131 V34:Y35 V38:Y39 V42:Y43 V46:Y47 V50:Y51 V54:Y55 V58:Y59 V62:Y63 V66:Y67 V70:Y71 V74:Y75 V78:Y79 V82:Y83 V86:Y87 V90:Y91 V94:Y95 V98:Y99 V102:Y103 V106:Y107 V110:Y111 V114:Y115 V30:Y31 V26:Y27 V22:Y23 V18:Y19" xr:uid="{00000000-0002-0000-0000-000006000000}">
      <formula1>$BF$11:$BF$18</formula1>
    </dataValidation>
    <dataValidation type="list" allowBlank="1" showInputMessage="1" showErrorMessage="1" sqref="Z14:AC15 Z118:AC119 Z122:AC123 Z126:AC127 Z130:AC131 Z34:AC35 Z38:AC39 Z42:AC43 Z46:AC47 Z50:AC51 Z54:AC55 Z58:AC59 Z62:AC63 Z66:AC67 Z70:AC71 Z74:AC75 Z78:AC79 Z82:AC83 Z86:AC87 Z90:AC91 Z94:AC95 Z98:AC99 Z102:AC103 Z106:AC107 Z110:AC111 Z114:AC115 Z30:AC31 Z26:AC27 Z22:AC23 Z18:AC19" xr:uid="{00000000-0002-0000-0000-000007000000}">
      <formula1>$BG$11:$BG$18</formula1>
    </dataValidation>
    <dataValidation type="list" allowBlank="1" showInputMessage="1" showErrorMessage="1" sqref="AD14:AG15 AD118:AG119 AD122:AG123 AD126:AG127 AD130:AG131 AD34:AG35 AD38:AG39 AD42:AG43 AD46:AG47 AD50:AG51 AD54:AG55 AD58:AG59 AD62:AG63 AD66:AG67 AD70:AG71 AD74:AG75 AD78:AG79 AD82:AG83 AD86:AG87 AD90:AG91 AD94:AG95 AD98:AG99 AD102:AG103 AD106:AG107 AD110:AG111 AD114:AG115 AD30:AG31 AD26:AG27 AD22:AG23 AD18:AG19" xr:uid="{00000000-0002-0000-0000-000008000000}">
      <formula1>$BH$11:$BH$15</formula1>
    </dataValidation>
    <dataValidation type="list" allowBlank="1" showInputMessage="1" showErrorMessage="1" sqref="S12:U131" xr:uid="{00000000-0002-0000-0000-00000A000000}">
      <formula1>$BI$11:$BI$28</formula1>
    </dataValidation>
    <dataValidation type="list" allowBlank="1" showInputMessage="1" showErrorMessage="1" sqref="AH12:AJ131" xr:uid="{00000000-0002-0000-0000-000009000000}">
      <formula1>$BI$29:$BI$53</formula1>
    </dataValidation>
    <dataValidation type="list" allowBlank="1" showInputMessage="1" showErrorMessage="1" sqref="B116:F117 B20:F21 B24:F25 B28:F29 B16:F17 B112:F113 B108:F109 B104:F105 B100:F101 B96:F97 B92:F93 B88:F89 B84:F85 B80:F81 B76:F77 B72:F73 B68:F69 B64:F65 B60:F61 B56:F57 B52:F53 B48:F49 B44:F45 B40:F41 B36:F37 B32:F33 B128:F129 B124:F125 B120:F121" xr:uid="{00000000-0002-0000-0000-000003000000}">
      <formula1>$AY$11:$AY$447</formula1>
    </dataValidation>
  </dataValidations>
  <printOptions horizontalCentered="1"/>
  <pageMargins left="0.18" right="0.18" top="0.05" bottom="0.05" header="0.1" footer="0.1"/>
  <pageSetup scale="7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2"/>
    <pageSetUpPr fitToPage="1"/>
  </sheetPr>
  <dimension ref="A1:LF693"/>
  <sheetViews>
    <sheetView zoomScaleNormal="100" zoomScaleSheetLayoutView="75" workbookViewId="0">
      <pane xSplit="22" ySplit="23" topLeftCell="AW24" activePane="bottomRight" state="frozen"/>
      <selection pane="topRight" activeCell="W1" sqref="W1"/>
      <selection pane="bottomLeft" activeCell="A24" sqref="A24"/>
      <selection pane="bottomRight" activeCell="T6" sqref="T6:U6"/>
    </sheetView>
  </sheetViews>
  <sheetFormatPr defaultColWidth="0" defaultRowHeight="12.75" zeroHeight="1" x14ac:dyDescent="0.2"/>
  <cols>
    <col min="1" max="1" width="1.7109375" customWidth="1"/>
    <col min="2" max="2" width="4.42578125" customWidth="1"/>
    <col min="3" max="4" width="3.7109375" style="12" customWidth="1"/>
    <col min="5" max="6" width="3.7109375" customWidth="1"/>
    <col min="7" max="7" width="8.7109375" customWidth="1"/>
    <col min="8" max="8" width="3.7109375" customWidth="1"/>
    <col min="9" max="9" width="10.7109375" customWidth="1"/>
    <col min="10" max="10" width="3.7109375" customWidth="1"/>
    <col min="11" max="11" width="10.7109375" customWidth="1"/>
    <col min="12" max="12" width="3.7109375" customWidth="1"/>
    <col min="13" max="13" width="10.7109375" customWidth="1"/>
    <col min="14" max="14" width="3.7109375" customWidth="1"/>
    <col min="15" max="15" width="10.7109375" customWidth="1"/>
    <col min="16" max="16" width="3.7109375" customWidth="1"/>
    <col min="17" max="17" width="10.7109375" customWidth="1"/>
    <col min="18" max="18" width="3.7109375" customWidth="1"/>
    <col min="19" max="19" width="10.7109375" customWidth="1"/>
    <col min="20" max="20" width="3.7109375" customWidth="1"/>
    <col min="21" max="21" width="10.85546875" customWidth="1"/>
    <col min="22" max="22" width="3.7109375" customWidth="1"/>
    <col min="23" max="23" width="10.7109375" customWidth="1"/>
    <col min="24" max="24" width="3.7109375" style="172" customWidth="1"/>
    <col min="25" max="25" width="10.7109375" customWidth="1"/>
    <col min="26" max="26" width="3.7109375" customWidth="1"/>
    <col min="27" max="27" width="10.7109375" customWidth="1"/>
    <col min="28" max="28" width="3.7109375" customWidth="1"/>
    <col min="29" max="29" width="10.7109375" customWidth="1"/>
    <col min="30" max="30" width="3.7109375" customWidth="1"/>
    <col min="31" max="31" width="10.7109375" customWidth="1"/>
    <col min="32" max="32" width="3.7109375" customWidth="1"/>
    <col min="33" max="33" width="10.7109375" customWidth="1"/>
    <col min="34" max="34" width="3.7109375" customWidth="1"/>
    <col min="35" max="35" width="10.7109375" customWidth="1"/>
    <col min="36" max="36" width="3.7109375" customWidth="1"/>
    <col min="37" max="37" width="10.7109375" customWidth="1"/>
    <col min="38" max="38" width="3.7109375" customWidth="1"/>
    <col min="39" max="39" width="10.7109375" customWidth="1"/>
    <col min="40" max="40" width="3.7109375" style="15" customWidth="1"/>
    <col min="41" max="41" width="10.7109375" customWidth="1"/>
    <col min="42" max="42" width="3.7109375" customWidth="1"/>
    <col min="43" max="43" width="10.7109375" customWidth="1"/>
    <col min="44" max="44" width="3.7109375" customWidth="1"/>
    <col min="45" max="45" width="10.7109375" customWidth="1"/>
    <col min="46" max="46" width="3.7109375" customWidth="1"/>
    <col min="47" max="47" width="10.7109375" customWidth="1"/>
    <col min="48" max="48" width="3.7109375" customWidth="1"/>
    <col min="49" max="49" width="10.7109375" customWidth="1"/>
    <col min="50" max="50" width="3.7109375" customWidth="1"/>
    <col min="51" max="51" width="10.7109375" customWidth="1"/>
    <col min="52" max="52" width="3.7109375" customWidth="1"/>
    <col min="53" max="53" width="10.7109375" customWidth="1"/>
    <col min="54" max="54" width="3.7109375" customWidth="1"/>
    <col min="55" max="55" width="10.7109375" customWidth="1"/>
    <col min="56" max="56" width="3.7109375" customWidth="1"/>
    <col min="57" max="57" width="10.7109375" customWidth="1"/>
    <col min="58" max="58" width="3.7109375" customWidth="1"/>
    <col min="59" max="59" width="10.7109375" customWidth="1"/>
    <col min="60" max="60" width="3.7109375" customWidth="1"/>
    <col min="61" max="61" width="10.7109375" customWidth="1"/>
    <col min="62" max="62" width="3.7109375" customWidth="1"/>
    <col min="63" max="63" width="10.7109375" customWidth="1"/>
    <col min="64" max="64" width="3.7109375" customWidth="1"/>
    <col min="65" max="65" width="10.7109375" customWidth="1"/>
    <col min="66" max="66" width="3.7109375" customWidth="1"/>
    <col min="67" max="68" width="9.140625" style="5" hidden="1" customWidth="1"/>
    <col min="69" max="69" width="14" style="5" hidden="1" customWidth="1"/>
    <col min="70" max="71" width="9.140625" style="5" hidden="1" customWidth="1"/>
    <col min="72" max="72" width="12.42578125" hidden="1" customWidth="1"/>
    <col min="73" max="74" width="10.7109375" style="5" hidden="1" customWidth="1"/>
    <col min="75" max="101" width="10.7109375" hidden="1" customWidth="1"/>
    <col min="102" max="102" width="12.42578125" hidden="1" customWidth="1"/>
    <col min="103" max="131" width="10.7109375" style="18" hidden="1" customWidth="1"/>
    <col min="132" max="132" width="12.28515625" style="1" hidden="1" customWidth="1"/>
    <col min="133" max="161" width="10.7109375" hidden="1" customWidth="1"/>
    <col min="162" max="162" width="9.140625" hidden="1" customWidth="1"/>
    <col min="163" max="191" width="10.7109375" hidden="1" customWidth="1"/>
    <col min="192" max="192" width="11.7109375" hidden="1" customWidth="1"/>
    <col min="193" max="221" width="10.7109375" style="10" hidden="1" customWidth="1"/>
    <col min="222" max="222" width="11" hidden="1" customWidth="1"/>
    <col min="223" max="223" width="13.7109375" style="1" hidden="1" customWidth="1"/>
    <col min="224" max="225" width="9.140625" hidden="1" customWidth="1"/>
    <col min="226" max="226" width="10.7109375" hidden="1" customWidth="1"/>
    <col min="227" max="255" width="9.140625" style="5" hidden="1" customWidth="1"/>
    <col min="256" max="256" width="7.140625" hidden="1" customWidth="1"/>
    <col min="257" max="257" width="9.140625" hidden="1" customWidth="1"/>
    <col min="258" max="287" width="9.140625" style="5" hidden="1" customWidth="1"/>
    <col min="288" max="288" width="9.140625" style="1" hidden="1" customWidth="1"/>
    <col min="289" max="289" width="9.140625" style="150" hidden="1" customWidth="1"/>
    <col min="290" max="295" width="9.140625" style="1" hidden="1" customWidth="1"/>
    <col min="296" max="16384" width="9.140625" hidden="1"/>
  </cols>
  <sheetData>
    <row r="1" spans="1:318" s="172" customFormat="1" ht="12" customHeight="1" thickTop="1" x14ac:dyDescent="0.2">
      <c r="A1" s="31"/>
      <c r="B1" s="32"/>
      <c r="C1" s="33"/>
      <c r="D1" s="33"/>
      <c r="E1" s="32"/>
      <c r="F1" s="32"/>
      <c r="G1" s="32"/>
      <c r="H1" s="32"/>
      <c r="I1" s="32"/>
      <c r="J1" s="32"/>
      <c r="K1" s="32"/>
      <c r="L1" s="32"/>
      <c r="M1" s="32"/>
      <c r="N1" s="32"/>
      <c r="O1" s="32"/>
      <c r="P1" s="32"/>
      <c r="Q1" s="32"/>
      <c r="R1" s="32"/>
      <c r="S1" s="32"/>
      <c r="T1" s="32"/>
      <c r="U1" s="32"/>
      <c r="V1" s="157"/>
      <c r="W1" s="157"/>
      <c r="X1" s="267"/>
      <c r="Y1" s="157"/>
      <c r="Z1" s="157"/>
      <c r="AA1" s="157"/>
      <c r="AB1" s="157"/>
      <c r="AC1" s="157"/>
      <c r="AD1" s="157"/>
      <c r="AE1" s="157"/>
      <c r="AF1" s="157"/>
      <c r="AG1" s="157"/>
      <c r="AH1" s="157"/>
      <c r="AI1" s="157"/>
      <c r="AJ1" s="157"/>
      <c r="AK1" s="157"/>
      <c r="AL1" s="158"/>
      <c r="AM1" s="159"/>
      <c r="AN1" s="155"/>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O1" s="173" t="s">
        <v>14</v>
      </c>
      <c r="BP1" s="173" t="s">
        <v>15</v>
      </c>
      <c r="BQ1" s="173" t="s">
        <v>79</v>
      </c>
      <c r="BR1" s="173" t="s">
        <v>1120</v>
      </c>
      <c r="BS1" s="173" t="s">
        <v>4</v>
      </c>
      <c r="BU1" s="174"/>
      <c r="BV1" s="174"/>
      <c r="CY1" s="175"/>
      <c r="CZ1" s="175"/>
      <c r="DA1" s="175"/>
      <c r="DB1" s="175"/>
      <c r="DC1" s="175"/>
      <c r="DD1" s="175"/>
      <c r="DE1" s="175"/>
      <c r="DF1" s="175"/>
      <c r="DG1" s="175"/>
      <c r="DH1" s="175"/>
      <c r="DI1" s="175"/>
      <c r="DJ1" s="175"/>
      <c r="DK1" s="175"/>
      <c r="DL1" s="175"/>
      <c r="DM1" s="175"/>
      <c r="DN1" s="175"/>
      <c r="DO1" s="175"/>
      <c r="DP1" s="175"/>
      <c r="DQ1" s="175"/>
      <c r="DR1" s="175"/>
      <c r="DS1" s="175"/>
      <c r="DT1" s="175"/>
      <c r="DU1" s="175"/>
      <c r="DV1" s="175"/>
      <c r="DW1" s="175"/>
      <c r="DX1" s="175"/>
      <c r="DY1" s="175"/>
      <c r="DZ1" s="175"/>
      <c r="EA1" s="175"/>
      <c r="EB1" s="176"/>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O1" s="176"/>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X1" s="174"/>
      <c r="IY1" s="174"/>
      <c r="IZ1" s="174"/>
      <c r="JA1" s="174"/>
      <c r="JB1" s="174"/>
      <c r="JC1" s="174"/>
      <c r="JD1" s="174"/>
      <c r="JE1" s="174"/>
      <c r="JF1" s="174"/>
      <c r="JG1" s="174"/>
      <c r="JH1" s="174"/>
      <c r="JI1" s="174"/>
      <c r="JJ1" s="174"/>
      <c r="JK1" s="174"/>
      <c r="JL1" s="174"/>
      <c r="JM1" s="174"/>
      <c r="JN1" s="174"/>
      <c r="JO1" s="174"/>
      <c r="JP1" s="174"/>
      <c r="JQ1" s="174"/>
      <c r="JR1" s="174"/>
      <c r="JS1" s="174"/>
      <c r="JT1" s="174"/>
      <c r="JU1" s="174"/>
      <c r="JV1" s="174"/>
      <c r="JW1" s="174"/>
      <c r="JX1" s="174"/>
      <c r="JY1" s="174"/>
      <c r="JZ1" s="174"/>
      <c r="KA1" s="174"/>
      <c r="KB1" s="176"/>
      <c r="KC1" s="178"/>
      <c r="KD1" s="176"/>
      <c r="KE1" s="176"/>
      <c r="KF1" s="176"/>
      <c r="KG1" s="176"/>
      <c r="KH1" s="176"/>
      <c r="KI1" s="176"/>
    </row>
    <row r="2" spans="1:318" s="172" customFormat="1" ht="12" customHeight="1" x14ac:dyDescent="0.2">
      <c r="A2" s="35"/>
      <c r="B2" s="461" t="s">
        <v>1214</v>
      </c>
      <c r="C2" s="461"/>
      <c r="D2" s="461"/>
      <c r="E2" s="461"/>
      <c r="F2" s="461"/>
      <c r="G2" s="461"/>
      <c r="H2" s="461"/>
      <c r="I2" s="461"/>
      <c r="J2" s="461"/>
      <c r="K2" s="461"/>
      <c r="L2" s="461"/>
      <c r="M2" s="461"/>
      <c r="N2" s="461"/>
      <c r="O2" s="461"/>
      <c r="P2" s="461"/>
      <c r="Q2" s="461"/>
      <c r="R2" s="461"/>
      <c r="S2" s="461"/>
      <c r="T2" s="461"/>
      <c r="U2" s="461"/>
      <c r="V2" s="160"/>
      <c r="W2" s="160"/>
      <c r="X2" s="268"/>
      <c r="Y2" s="160"/>
      <c r="Z2" s="160"/>
      <c r="AA2" s="160"/>
      <c r="AB2" s="160"/>
      <c r="AC2" s="160"/>
      <c r="AD2" s="160"/>
      <c r="AE2" s="160"/>
      <c r="AF2" s="160"/>
      <c r="AG2" s="160"/>
      <c r="AH2" s="160"/>
      <c r="AI2" s="160"/>
      <c r="AJ2" s="160"/>
      <c r="AK2" s="160"/>
      <c r="AL2" s="160"/>
      <c r="AM2" s="160"/>
      <c r="AN2" s="155"/>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O2" s="174">
        <v>1</v>
      </c>
      <c r="BP2" s="174">
        <v>2021</v>
      </c>
      <c r="BQ2" s="179" t="s">
        <v>17</v>
      </c>
      <c r="BR2" s="174" t="s">
        <v>1118</v>
      </c>
      <c r="BS2" s="174" t="s">
        <v>1090</v>
      </c>
      <c r="BU2" s="174"/>
      <c r="BV2" s="174"/>
      <c r="CY2" s="175"/>
      <c r="CZ2" s="175"/>
      <c r="DA2" s="175"/>
      <c r="DB2" s="175"/>
      <c r="DC2" s="175"/>
      <c r="DD2" s="175"/>
      <c r="DE2" s="175"/>
      <c r="DF2" s="175"/>
      <c r="DG2" s="175"/>
      <c r="DH2" s="175"/>
      <c r="DI2" s="175"/>
      <c r="DJ2" s="175"/>
      <c r="DK2" s="175"/>
      <c r="DL2" s="175"/>
      <c r="DM2" s="175"/>
      <c r="DN2" s="175"/>
      <c r="DO2" s="175"/>
      <c r="DP2" s="175"/>
      <c r="DQ2" s="175"/>
      <c r="DR2" s="175"/>
      <c r="DS2" s="175"/>
      <c r="DT2" s="175"/>
      <c r="DU2" s="175"/>
      <c r="DV2" s="175"/>
      <c r="DW2" s="175"/>
      <c r="DX2" s="175"/>
      <c r="DY2" s="175"/>
      <c r="DZ2" s="175"/>
      <c r="EA2" s="175"/>
      <c r="EB2" s="176"/>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O2" s="176"/>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6"/>
      <c r="KC2" s="178"/>
      <c r="KD2" s="176"/>
      <c r="KE2" s="176"/>
      <c r="KF2" s="176"/>
      <c r="KG2" s="176"/>
      <c r="KH2" s="176"/>
      <c r="KI2" s="176"/>
    </row>
    <row r="3" spans="1:318" s="172" customFormat="1" ht="13.5" customHeight="1" x14ac:dyDescent="0.25">
      <c r="A3" s="35"/>
      <c r="B3" s="462" t="s">
        <v>1083</v>
      </c>
      <c r="C3" s="462"/>
      <c r="D3" s="462"/>
      <c r="E3" s="462"/>
      <c r="F3" s="462"/>
      <c r="G3" s="462"/>
      <c r="H3" s="462"/>
      <c r="I3" s="462"/>
      <c r="J3" s="462"/>
      <c r="K3" s="462"/>
      <c r="L3" s="462"/>
      <c r="M3" s="462"/>
      <c r="N3" s="462"/>
      <c r="O3" s="462"/>
      <c r="P3" s="462"/>
      <c r="Q3" s="462"/>
      <c r="R3" s="462"/>
      <c r="S3" s="462"/>
      <c r="T3" s="462"/>
      <c r="U3" s="462"/>
      <c r="V3" s="161"/>
      <c r="W3" s="161"/>
      <c r="X3" s="269"/>
      <c r="Y3" s="161"/>
      <c r="Z3" s="161"/>
      <c r="AA3" s="161"/>
      <c r="AB3" s="161"/>
      <c r="AC3" s="161"/>
      <c r="AD3" s="161"/>
      <c r="AE3" s="161"/>
      <c r="AF3" s="161"/>
      <c r="AG3" s="161"/>
      <c r="AH3" s="161"/>
      <c r="AI3" s="161"/>
      <c r="AJ3" s="161"/>
      <c r="AK3" s="161"/>
      <c r="AL3" s="154"/>
      <c r="AM3" s="138"/>
      <c r="AN3" s="155"/>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O3" s="174">
        <v>2</v>
      </c>
      <c r="BP3" s="174">
        <v>2022</v>
      </c>
      <c r="BQ3" s="179" t="s">
        <v>18</v>
      </c>
      <c r="BR3" s="174" t="s">
        <v>1119</v>
      </c>
      <c r="BS3" s="174" t="s">
        <v>1091</v>
      </c>
      <c r="BU3" s="174"/>
      <c r="BV3" s="174"/>
      <c r="CY3" s="175"/>
      <c r="CZ3" s="175"/>
      <c r="DA3" s="175"/>
      <c r="DB3" s="175"/>
      <c r="DC3" s="175"/>
      <c r="DD3" s="175"/>
      <c r="DE3" s="175"/>
      <c r="DF3" s="175"/>
      <c r="DG3" s="175"/>
      <c r="DH3" s="175"/>
      <c r="DI3" s="175"/>
      <c r="DJ3" s="175"/>
      <c r="DK3" s="175"/>
      <c r="DL3" s="175"/>
      <c r="DM3" s="175"/>
      <c r="DN3" s="175"/>
      <c r="DO3" s="175"/>
      <c r="DP3" s="175"/>
      <c r="DQ3" s="175"/>
      <c r="DR3" s="175"/>
      <c r="DS3" s="175"/>
      <c r="DT3" s="175"/>
      <c r="DU3" s="175"/>
      <c r="DV3" s="175"/>
      <c r="DW3" s="175"/>
      <c r="DX3" s="175"/>
      <c r="DY3" s="175"/>
      <c r="DZ3" s="175"/>
      <c r="EA3" s="175"/>
      <c r="EB3" s="176"/>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O3" s="176"/>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X3" s="174"/>
      <c r="IY3" s="174"/>
      <c r="IZ3" s="174"/>
      <c r="JA3" s="174"/>
      <c r="JB3" s="174"/>
      <c r="JC3" s="174"/>
      <c r="JD3" s="174"/>
      <c r="JE3" s="174"/>
      <c r="JF3" s="174"/>
      <c r="JG3" s="174"/>
      <c r="JH3" s="174"/>
      <c r="JI3" s="174"/>
      <c r="JJ3" s="174"/>
      <c r="JK3" s="174"/>
      <c r="JL3" s="174"/>
      <c r="JM3" s="174"/>
      <c r="JN3" s="174"/>
      <c r="JO3" s="174"/>
      <c r="JP3" s="174"/>
      <c r="JQ3" s="174"/>
      <c r="JR3" s="174"/>
      <c r="JS3" s="174"/>
      <c r="JT3" s="174"/>
      <c r="JU3" s="174"/>
      <c r="JV3" s="174"/>
      <c r="JW3" s="174"/>
      <c r="JX3" s="174"/>
      <c r="JY3" s="174"/>
      <c r="JZ3" s="174"/>
      <c r="KA3" s="174"/>
      <c r="KB3" s="176"/>
      <c r="KC3" s="178"/>
      <c r="KD3" s="176"/>
      <c r="KE3" s="176"/>
      <c r="KF3" s="176"/>
      <c r="KG3" s="176"/>
      <c r="KH3" s="176"/>
      <c r="KI3" s="176"/>
    </row>
    <row r="4" spans="1:318" s="172" customFormat="1" ht="13.5" customHeight="1" x14ac:dyDescent="0.25">
      <c r="A4" s="35"/>
      <c r="B4" s="463" t="s">
        <v>1087</v>
      </c>
      <c r="C4" s="463"/>
      <c r="D4" s="463"/>
      <c r="E4" s="463"/>
      <c r="F4" s="463"/>
      <c r="G4" s="463"/>
      <c r="H4" s="463"/>
      <c r="I4" s="463"/>
      <c r="J4" s="463"/>
      <c r="K4" s="463"/>
      <c r="L4" s="463"/>
      <c r="M4" s="463"/>
      <c r="N4" s="463"/>
      <c r="O4" s="463"/>
      <c r="P4" s="463"/>
      <c r="Q4" s="463"/>
      <c r="R4" s="463"/>
      <c r="S4" s="463"/>
      <c r="T4" s="463"/>
      <c r="U4" s="463"/>
      <c r="V4" s="161"/>
      <c r="W4" s="161"/>
      <c r="X4" s="269"/>
      <c r="Y4" s="161"/>
      <c r="Z4" s="161"/>
      <c r="AA4" s="161"/>
      <c r="AB4" s="161"/>
      <c r="AC4" s="161"/>
      <c r="AD4" s="161"/>
      <c r="AE4" s="161"/>
      <c r="AF4" s="161"/>
      <c r="AG4" s="161"/>
      <c r="AH4" s="161"/>
      <c r="AI4" s="161"/>
      <c r="AJ4" s="161"/>
      <c r="AK4" s="161"/>
      <c r="AL4" s="154"/>
      <c r="AM4" s="138"/>
      <c r="AN4" s="155"/>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O4" s="174">
        <v>3</v>
      </c>
      <c r="BP4" s="174">
        <v>2023</v>
      </c>
      <c r="BQ4" s="179" t="s">
        <v>19</v>
      </c>
      <c r="BR4" s="174"/>
      <c r="BS4" s="174" t="s">
        <v>1092</v>
      </c>
      <c r="BU4" s="174"/>
      <c r="BV4" s="174"/>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6"/>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O4" s="176"/>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X4" s="174"/>
      <c r="IY4" s="174"/>
      <c r="IZ4" s="174"/>
      <c r="JA4" s="174"/>
      <c r="JB4" s="174"/>
      <c r="JC4" s="174"/>
      <c r="JD4" s="174"/>
      <c r="JE4" s="174"/>
      <c r="JF4" s="174"/>
      <c r="JG4" s="174"/>
      <c r="JH4" s="174"/>
      <c r="JI4" s="174"/>
      <c r="JJ4" s="174"/>
      <c r="JK4" s="174"/>
      <c r="JL4" s="174"/>
      <c r="JM4" s="174"/>
      <c r="JN4" s="174"/>
      <c r="JO4" s="174"/>
      <c r="JP4" s="174"/>
      <c r="JQ4" s="174"/>
      <c r="JR4" s="174"/>
      <c r="JS4" s="174"/>
      <c r="JT4" s="174"/>
      <c r="JU4" s="174"/>
      <c r="JV4" s="174"/>
      <c r="JW4" s="174"/>
      <c r="JX4" s="174"/>
      <c r="JY4" s="174"/>
      <c r="JZ4" s="174"/>
      <c r="KA4" s="174"/>
      <c r="KB4" s="176"/>
      <c r="KC4" s="178"/>
      <c r="KD4" s="176"/>
      <c r="KE4" s="176"/>
      <c r="KF4" s="176"/>
      <c r="KG4" s="176"/>
      <c r="KH4" s="176"/>
      <c r="KI4" s="176"/>
    </row>
    <row r="5" spans="1:318" s="172" customFormat="1" ht="9" customHeight="1" x14ac:dyDescent="0.2">
      <c r="A5" s="35"/>
      <c r="B5" s="155" t="s">
        <v>1070</v>
      </c>
      <c r="C5" s="155"/>
      <c r="D5" s="155"/>
      <c r="E5" s="155"/>
      <c r="F5" s="155"/>
      <c r="G5" s="155"/>
      <c r="H5" s="155"/>
      <c r="I5" s="155"/>
      <c r="J5" s="155"/>
      <c r="K5" s="155"/>
      <c r="L5" s="155"/>
      <c r="M5" s="155"/>
      <c r="N5" s="155"/>
      <c r="O5" s="155"/>
      <c r="P5" s="155"/>
      <c r="Q5" s="155"/>
      <c r="R5" s="155"/>
      <c r="S5" s="155"/>
      <c r="T5" s="155"/>
      <c r="U5" s="155"/>
      <c r="V5" s="155"/>
      <c r="W5" s="155"/>
      <c r="X5" s="270"/>
      <c r="Y5" s="155"/>
      <c r="Z5" s="155"/>
      <c r="AA5" s="155"/>
      <c r="AB5" s="155"/>
      <c r="AC5" s="155"/>
      <c r="AD5" s="155"/>
      <c r="AE5" s="155"/>
      <c r="AF5" s="155"/>
      <c r="AG5" s="155"/>
      <c r="AH5" s="155"/>
      <c r="AI5" s="155"/>
      <c r="AJ5" s="155"/>
      <c r="AK5" s="154"/>
      <c r="AL5" s="154"/>
      <c r="AM5" s="138"/>
      <c r="AN5" s="155"/>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O5" s="174">
        <v>4</v>
      </c>
      <c r="BP5" s="174">
        <v>2024</v>
      </c>
      <c r="BQ5" s="179" t="s">
        <v>20</v>
      </c>
      <c r="BR5" s="174"/>
      <c r="BS5" s="174" t="s">
        <v>1093</v>
      </c>
      <c r="BU5" s="174"/>
      <c r="BV5" s="174"/>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6"/>
      <c r="GK5" s="177"/>
      <c r="GL5" s="177"/>
      <c r="GM5" s="177"/>
      <c r="GN5" s="177"/>
      <c r="GO5" s="177"/>
      <c r="GP5" s="177"/>
      <c r="GQ5" s="177"/>
      <c r="GR5" s="177"/>
      <c r="GS5" s="177"/>
      <c r="GT5" s="177"/>
      <c r="GU5" s="177"/>
      <c r="GV5" s="177"/>
      <c r="GW5" s="177"/>
      <c r="GX5" s="177"/>
      <c r="GY5" s="177"/>
      <c r="GZ5" s="177"/>
      <c r="HA5" s="177"/>
      <c r="HB5" s="177"/>
      <c r="HC5" s="177"/>
      <c r="HD5" s="177"/>
      <c r="HE5" s="177"/>
      <c r="HF5" s="177"/>
      <c r="HG5" s="177"/>
      <c r="HH5" s="177"/>
      <c r="HI5" s="177"/>
      <c r="HJ5" s="177"/>
      <c r="HK5" s="177"/>
      <c r="HL5" s="177"/>
      <c r="HM5" s="177"/>
      <c r="HO5" s="176"/>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X5" s="174"/>
      <c r="IY5" s="174"/>
      <c r="IZ5" s="174"/>
      <c r="JA5" s="174"/>
      <c r="JB5" s="174"/>
      <c r="JC5" s="174"/>
      <c r="JD5" s="174"/>
      <c r="JE5" s="174"/>
      <c r="JF5" s="174"/>
      <c r="JG5" s="174"/>
      <c r="JH5" s="174"/>
      <c r="JI5" s="174"/>
      <c r="JJ5" s="174"/>
      <c r="JK5" s="174"/>
      <c r="JL5" s="174"/>
      <c r="JM5" s="174"/>
      <c r="JN5" s="174"/>
      <c r="JO5" s="174"/>
      <c r="JP5" s="174"/>
      <c r="JQ5" s="174"/>
      <c r="JR5" s="174"/>
      <c r="JS5" s="174"/>
      <c r="JT5" s="174"/>
      <c r="JU5" s="174"/>
      <c r="JV5" s="174"/>
      <c r="JW5" s="174"/>
      <c r="JX5" s="174"/>
      <c r="JY5" s="174"/>
      <c r="JZ5" s="174"/>
      <c r="KA5" s="174"/>
      <c r="KB5" s="176"/>
      <c r="KC5" s="178"/>
      <c r="KD5" s="176"/>
      <c r="KE5" s="176"/>
      <c r="KF5" s="176"/>
      <c r="KG5" s="176"/>
      <c r="KH5" s="176"/>
      <c r="KI5" s="176"/>
    </row>
    <row r="6" spans="1:318" s="172" customFormat="1" ht="12" customHeight="1" x14ac:dyDescent="0.2">
      <c r="A6" s="35"/>
      <c r="B6" s="38" t="s">
        <v>1073</v>
      </c>
      <c r="C6" s="39"/>
      <c r="D6" s="39"/>
      <c r="E6" s="38"/>
      <c r="F6" s="457"/>
      <c r="G6" s="457"/>
      <c r="H6" s="457"/>
      <c r="I6" s="457"/>
      <c r="J6" s="457"/>
      <c r="K6" s="457"/>
      <c r="L6" s="457"/>
      <c r="M6" s="457"/>
      <c r="N6" s="153"/>
      <c r="O6" s="38" t="s">
        <v>1068</v>
      </c>
      <c r="P6" s="41">
        <v>1</v>
      </c>
      <c r="Q6" s="42" t="s">
        <v>16</v>
      </c>
      <c r="R6" s="43">
        <f>DAY(DATE(T6,P6+1,1)-1)</f>
        <v>31</v>
      </c>
      <c r="S6" s="36" t="s">
        <v>1069</v>
      </c>
      <c r="T6" s="464">
        <v>2024</v>
      </c>
      <c r="U6" s="464"/>
      <c r="V6" s="162"/>
      <c r="W6" s="162"/>
      <c r="X6" s="271"/>
      <c r="Y6" s="154"/>
      <c r="Z6" s="163"/>
      <c r="AA6" s="164"/>
      <c r="AB6" s="163"/>
      <c r="AC6" s="458"/>
      <c r="AD6" s="458"/>
      <c r="AE6" s="458"/>
      <c r="AF6" s="458"/>
      <c r="AG6" s="458"/>
      <c r="AH6" s="458"/>
      <c r="AI6" s="163"/>
      <c r="AJ6" s="155"/>
      <c r="AK6" s="163"/>
      <c r="AL6" s="153"/>
      <c r="AM6" s="138"/>
      <c r="AN6" s="155"/>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O6" s="174">
        <v>5</v>
      </c>
      <c r="BP6" s="174">
        <v>2025</v>
      </c>
      <c r="BQ6" s="179" t="s">
        <v>21</v>
      </c>
      <c r="BR6" s="174"/>
      <c r="BS6" s="174" t="s">
        <v>1094</v>
      </c>
      <c r="BU6" s="174"/>
      <c r="BV6" s="174"/>
      <c r="CY6" s="175"/>
      <c r="CZ6" s="175"/>
      <c r="DA6" s="175"/>
      <c r="DB6" s="175"/>
      <c r="DC6" s="175"/>
      <c r="DD6" s="175"/>
      <c r="DE6" s="175"/>
      <c r="DF6" s="175"/>
      <c r="DG6" s="175"/>
      <c r="DH6" s="175"/>
      <c r="DI6" s="175"/>
      <c r="DJ6" s="175"/>
      <c r="DK6" s="175"/>
      <c r="DL6" s="175"/>
      <c r="DM6" s="175"/>
      <c r="DN6" s="175"/>
      <c r="DO6" s="175"/>
      <c r="DP6" s="175"/>
      <c r="DQ6" s="175"/>
      <c r="DR6" s="175"/>
      <c r="DS6" s="175"/>
      <c r="DT6" s="175"/>
      <c r="DU6" s="175"/>
      <c r="DV6" s="175"/>
      <c r="DW6" s="175"/>
      <c r="DX6" s="175"/>
      <c r="DY6" s="175"/>
      <c r="DZ6" s="175"/>
      <c r="EA6" s="175"/>
      <c r="EB6" s="176"/>
      <c r="GK6" s="177"/>
      <c r="GL6" s="177"/>
      <c r="GM6" s="177"/>
      <c r="GN6" s="177"/>
      <c r="GO6" s="177"/>
      <c r="GP6" s="177"/>
      <c r="GQ6" s="177"/>
      <c r="GR6" s="177"/>
      <c r="GS6" s="177"/>
      <c r="GT6" s="177"/>
      <c r="GU6" s="177"/>
      <c r="GV6" s="177"/>
      <c r="GW6" s="177"/>
      <c r="GX6" s="177"/>
      <c r="GY6" s="177"/>
      <c r="GZ6" s="177"/>
      <c r="HA6" s="177"/>
      <c r="HB6" s="177"/>
      <c r="HC6" s="177"/>
      <c r="HD6" s="177"/>
      <c r="HE6" s="177"/>
      <c r="HF6" s="177"/>
      <c r="HG6" s="177"/>
      <c r="HH6" s="177"/>
      <c r="HI6" s="177"/>
      <c r="HJ6" s="177"/>
      <c r="HK6" s="177"/>
      <c r="HL6" s="177"/>
      <c r="HM6" s="177"/>
      <c r="HO6" s="176"/>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6"/>
      <c r="KC6" s="178"/>
      <c r="KD6" s="176"/>
      <c r="KE6" s="176"/>
      <c r="KF6" s="176"/>
      <c r="KG6" s="176"/>
      <c r="KH6" s="176"/>
      <c r="KI6" s="176"/>
    </row>
    <row r="7" spans="1:318" s="172" customFormat="1" ht="12" customHeight="1" x14ac:dyDescent="0.2">
      <c r="A7" s="35"/>
      <c r="B7" s="38" t="s">
        <v>1074</v>
      </c>
      <c r="C7" s="39"/>
      <c r="D7" s="39"/>
      <c r="E7" s="38"/>
      <c r="F7" s="456"/>
      <c r="G7" s="456"/>
      <c r="H7" s="456"/>
      <c r="I7" s="456"/>
      <c r="J7" s="156"/>
      <c r="K7" s="37" t="s">
        <v>1075</v>
      </c>
      <c r="L7" s="456"/>
      <c r="M7" s="456"/>
      <c r="N7" s="154"/>
      <c r="O7" s="36" t="s">
        <v>1084</v>
      </c>
      <c r="P7" s="457"/>
      <c r="Q7" s="457"/>
      <c r="R7" s="40"/>
      <c r="S7" s="36" t="s">
        <v>1076</v>
      </c>
      <c r="T7" s="465" t="str">
        <f>IF('Outfall 1 Limits'!E8&lt;&gt;"",'Outfall 1 Limits'!$E$8,"")</f>
        <v/>
      </c>
      <c r="U7" s="465"/>
      <c r="V7" s="155"/>
      <c r="W7" s="155"/>
      <c r="X7" s="271"/>
      <c r="Y7" s="154"/>
      <c r="Z7" s="163"/>
      <c r="AA7" s="155"/>
      <c r="AB7" s="155"/>
      <c r="AC7" s="153"/>
      <c r="AD7" s="153"/>
      <c r="AE7" s="153"/>
      <c r="AF7" s="153"/>
      <c r="AG7" s="153"/>
      <c r="AH7" s="154"/>
      <c r="AI7" s="154"/>
      <c r="AJ7" s="155"/>
      <c r="AK7" s="165"/>
      <c r="AL7" s="165"/>
      <c r="AM7" s="138"/>
      <c r="AN7" s="155"/>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O7" s="174">
        <v>6</v>
      </c>
      <c r="BP7" s="174">
        <v>2026</v>
      </c>
      <c r="BQ7" s="179" t="s">
        <v>22</v>
      </c>
      <c r="BR7" s="174"/>
      <c r="BS7" s="174" t="s">
        <v>1095</v>
      </c>
      <c r="BU7" s="174"/>
      <c r="BV7" s="174"/>
      <c r="CY7" s="175"/>
      <c r="CZ7" s="175"/>
      <c r="DA7" s="175"/>
      <c r="DB7" s="175"/>
      <c r="DC7" s="175"/>
      <c r="DD7" s="175"/>
      <c r="DE7" s="175"/>
      <c r="DF7" s="175"/>
      <c r="DG7" s="175"/>
      <c r="DH7" s="175"/>
      <c r="DI7" s="175"/>
      <c r="DJ7" s="175"/>
      <c r="DK7" s="175"/>
      <c r="DL7" s="175"/>
      <c r="DM7" s="175"/>
      <c r="DN7" s="175"/>
      <c r="DO7" s="175"/>
      <c r="DP7" s="175"/>
      <c r="DQ7" s="175"/>
      <c r="DR7" s="175"/>
      <c r="DS7" s="175"/>
      <c r="DT7" s="175"/>
      <c r="DU7" s="175"/>
      <c r="DV7" s="175"/>
      <c r="DW7" s="175"/>
      <c r="DX7" s="175"/>
      <c r="DY7" s="175"/>
      <c r="DZ7" s="175"/>
      <c r="EA7" s="175"/>
      <c r="EB7" s="176"/>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O7" s="176"/>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6"/>
      <c r="KC7" s="178"/>
      <c r="KD7" s="176"/>
      <c r="KE7" s="176"/>
      <c r="KF7" s="176"/>
      <c r="KG7" s="176"/>
      <c r="KH7" s="176"/>
      <c r="KI7" s="176"/>
    </row>
    <row r="8" spans="1:318" s="172" customFormat="1" ht="12" customHeight="1" x14ac:dyDescent="0.2">
      <c r="A8" s="35"/>
      <c r="B8" s="38" t="s">
        <v>1077</v>
      </c>
      <c r="C8" s="39"/>
      <c r="D8" s="39"/>
      <c r="E8" s="38"/>
      <c r="F8" s="456"/>
      <c r="G8" s="456"/>
      <c r="H8" s="456"/>
      <c r="I8" s="156"/>
      <c r="J8" s="155"/>
      <c r="K8" s="155"/>
      <c r="L8" s="155"/>
      <c r="M8" s="155"/>
      <c r="N8" s="155"/>
      <c r="O8" s="38" t="s">
        <v>8</v>
      </c>
      <c r="P8" s="45"/>
      <c r="Q8" s="45"/>
      <c r="R8" s="45"/>
      <c r="S8" s="45"/>
      <c r="T8" s="45"/>
      <c r="U8" s="45"/>
      <c r="V8" s="166"/>
      <c r="W8" s="166"/>
      <c r="X8" s="272"/>
      <c r="Y8" s="166"/>
      <c r="Z8" s="166"/>
      <c r="AA8" s="166"/>
      <c r="AB8" s="163"/>
      <c r="AC8" s="154"/>
      <c r="AD8" s="154"/>
      <c r="AE8" s="154"/>
      <c r="AF8" s="154"/>
      <c r="AG8" s="154"/>
      <c r="AH8" s="154"/>
      <c r="AI8" s="154"/>
      <c r="AJ8" s="154"/>
      <c r="AK8" s="154"/>
      <c r="AL8" s="154"/>
      <c r="AM8" s="138"/>
      <c r="AN8" s="155"/>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O8" s="174">
        <v>7</v>
      </c>
      <c r="BP8" s="174">
        <v>2027</v>
      </c>
      <c r="BQ8" s="179" t="s">
        <v>23</v>
      </c>
      <c r="BR8" s="174"/>
      <c r="BS8" s="174" t="s">
        <v>1096</v>
      </c>
      <c r="BU8" s="174"/>
      <c r="BV8" s="174"/>
      <c r="CY8" s="175"/>
      <c r="CZ8" s="175"/>
      <c r="DA8" s="175"/>
      <c r="DB8" s="175"/>
      <c r="DC8" s="175"/>
      <c r="DD8" s="175"/>
      <c r="DE8" s="175"/>
      <c r="DF8" s="175"/>
      <c r="DG8" s="175"/>
      <c r="DH8" s="175"/>
      <c r="DI8" s="175"/>
      <c r="DJ8" s="175"/>
      <c r="DK8" s="175"/>
      <c r="DL8" s="175"/>
      <c r="DM8" s="175"/>
      <c r="DN8" s="175"/>
      <c r="DO8" s="175"/>
      <c r="DP8" s="175"/>
      <c r="DQ8" s="175"/>
      <c r="DR8" s="175"/>
      <c r="DS8" s="175"/>
      <c r="DT8" s="175"/>
      <c r="DU8" s="175"/>
      <c r="DV8" s="175"/>
      <c r="DW8" s="175"/>
      <c r="DX8" s="175"/>
      <c r="DY8" s="175"/>
      <c r="DZ8" s="175"/>
      <c r="EA8" s="175"/>
      <c r="EB8" s="176"/>
      <c r="GK8" s="177"/>
      <c r="GL8" s="177"/>
      <c r="GM8" s="177"/>
      <c r="GN8" s="177"/>
      <c r="GO8" s="177"/>
      <c r="GP8" s="177"/>
      <c r="GQ8" s="177"/>
      <c r="GR8" s="177"/>
      <c r="GS8" s="177"/>
      <c r="GT8" s="177"/>
      <c r="GU8" s="177"/>
      <c r="GV8" s="177"/>
      <c r="GW8" s="177"/>
      <c r="GX8" s="177"/>
      <c r="GY8" s="177"/>
      <c r="GZ8" s="177"/>
      <c r="HA8" s="177"/>
      <c r="HB8" s="177"/>
      <c r="HC8" s="177"/>
      <c r="HD8" s="177"/>
      <c r="HE8" s="177"/>
      <c r="HF8" s="177"/>
      <c r="HG8" s="177"/>
      <c r="HH8" s="177"/>
      <c r="HI8" s="177"/>
      <c r="HJ8" s="177"/>
      <c r="HK8" s="177"/>
      <c r="HL8" s="177"/>
      <c r="HM8" s="177"/>
      <c r="HO8" s="176"/>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6"/>
      <c r="KC8" s="178"/>
      <c r="KD8" s="176"/>
      <c r="KE8" s="176"/>
      <c r="KF8" s="176"/>
      <c r="KG8" s="176"/>
      <c r="KH8" s="176"/>
      <c r="KI8" s="176"/>
    </row>
    <row r="9" spans="1:318" s="172" customFormat="1" ht="12" customHeight="1" x14ac:dyDescent="0.2">
      <c r="A9" s="35"/>
      <c r="B9" s="38" t="s">
        <v>7</v>
      </c>
      <c r="C9" s="39"/>
      <c r="D9" s="39"/>
      <c r="E9" s="39"/>
      <c r="F9" s="457"/>
      <c r="G9" s="457"/>
      <c r="H9" s="457"/>
      <c r="I9" s="457"/>
      <c r="J9" s="457"/>
      <c r="K9" s="457"/>
      <c r="L9" s="457"/>
      <c r="M9" s="457"/>
      <c r="N9" s="153"/>
      <c r="O9" s="13" t="s">
        <v>13</v>
      </c>
      <c r="P9" s="40"/>
      <c r="Q9" s="40"/>
      <c r="R9" s="466"/>
      <c r="S9" s="466"/>
      <c r="T9" s="466"/>
      <c r="U9" s="466"/>
      <c r="V9" s="167"/>
      <c r="W9" s="167"/>
      <c r="X9" s="271"/>
      <c r="Y9" s="154"/>
      <c r="Z9" s="163"/>
      <c r="AA9" s="155"/>
      <c r="AB9" s="155"/>
      <c r="AC9" s="155"/>
      <c r="AD9" s="155"/>
      <c r="AE9" s="155"/>
      <c r="AF9" s="168"/>
      <c r="AG9" s="168"/>
      <c r="AH9" s="168"/>
      <c r="AI9" s="168"/>
      <c r="AJ9" s="168"/>
      <c r="AK9" s="168"/>
      <c r="AL9" s="168"/>
      <c r="AM9" s="138"/>
      <c r="AN9" s="155"/>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O9" s="174">
        <v>8</v>
      </c>
      <c r="BP9" s="174">
        <v>2028</v>
      </c>
      <c r="BQ9" s="179" t="s">
        <v>24</v>
      </c>
      <c r="BR9" s="174"/>
      <c r="BS9" s="174" t="s">
        <v>1097</v>
      </c>
      <c r="BU9" s="174"/>
      <c r="BV9" s="174"/>
      <c r="CY9" s="175"/>
      <c r="CZ9" s="175"/>
      <c r="DA9" s="175"/>
      <c r="DB9" s="175"/>
      <c r="DC9" s="175"/>
      <c r="DD9" s="175"/>
      <c r="DE9" s="175"/>
      <c r="DF9" s="175"/>
      <c r="DG9" s="175"/>
      <c r="DH9" s="175"/>
      <c r="DI9" s="175"/>
      <c r="DJ9" s="175"/>
      <c r="DK9" s="175"/>
      <c r="DL9" s="175"/>
      <c r="DM9" s="175"/>
      <c r="DN9" s="175"/>
      <c r="DO9" s="175"/>
      <c r="DP9" s="175"/>
      <c r="DQ9" s="175"/>
      <c r="DR9" s="175"/>
      <c r="DS9" s="175"/>
      <c r="DT9" s="175"/>
      <c r="DU9" s="175"/>
      <c r="DV9" s="175"/>
      <c r="DW9" s="175"/>
      <c r="DX9" s="175"/>
      <c r="DY9" s="175"/>
      <c r="DZ9" s="175"/>
      <c r="EA9" s="175"/>
      <c r="EB9" s="176"/>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O9" s="176"/>
      <c r="HS9" s="174"/>
      <c r="HT9" s="174"/>
      <c r="HU9" s="174"/>
      <c r="HV9" s="174"/>
      <c r="HW9" s="174"/>
      <c r="HX9" s="174"/>
      <c r="HY9" s="174"/>
      <c r="HZ9" s="174"/>
      <c r="IA9" s="174"/>
      <c r="IB9" s="174"/>
      <c r="IC9" s="174"/>
      <c r="ID9" s="174"/>
      <c r="IE9" s="174"/>
      <c r="IF9" s="174"/>
      <c r="IG9" s="174"/>
      <c r="IH9" s="174"/>
      <c r="II9" s="174"/>
      <c r="IJ9" s="174"/>
      <c r="IK9" s="174"/>
      <c r="IL9" s="174"/>
      <c r="IM9" s="174"/>
      <c r="IN9" s="174"/>
      <c r="IO9" s="174"/>
      <c r="IP9" s="174"/>
      <c r="IQ9" s="174"/>
      <c r="IR9" s="174"/>
      <c r="IS9" s="174"/>
      <c r="IT9" s="174"/>
      <c r="IU9" s="174"/>
      <c r="IX9" s="174"/>
      <c r="IY9" s="174"/>
      <c r="IZ9" s="174"/>
      <c r="JA9" s="174"/>
      <c r="JB9" s="174"/>
      <c r="JC9" s="174"/>
      <c r="JD9" s="174"/>
      <c r="JE9" s="174"/>
      <c r="JF9" s="174"/>
      <c r="JG9" s="174"/>
      <c r="JH9" s="174"/>
      <c r="JI9" s="174"/>
      <c r="JJ9" s="174"/>
      <c r="JK9" s="174"/>
      <c r="JL9" s="174"/>
      <c r="JM9" s="174"/>
      <c r="JN9" s="174"/>
      <c r="JO9" s="174"/>
      <c r="JP9" s="174"/>
      <c r="JQ9" s="174"/>
      <c r="JR9" s="174"/>
      <c r="JS9" s="174"/>
      <c r="JT9" s="174"/>
      <c r="JU9" s="174"/>
      <c r="JV9" s="174"/>
      <c r="JW9" s="174"/>
      <c r="JX9" s="174"/>
      <c r="JY9" s="174"/>
      <c r="JZ9" s="174"/>
      <c r="KA9" s="174"/>
      <c r="KB9" s="176"/>
      <c r="KC9" s="178"/>
      <c r="KD9" s="176"/>
      <c r="KE9" s="176"/>
      <c r="KF9" s="176"/>
      <c r="KG9" s="176"/>
      <c r="KH9" s="176"/>
      <c r="KI9" s="176"/>
    </row>
    <row r="10" spans="1:318" s="172" customFormat="1" ht="9" customHeight="1" thickBot="1" x14ac:dyDescent="0.25">
      <c r="A10" s="35"/>
      <c r="B10" s="46">
        <f>MATCH(DATE($T$6,$P$6 + 1, 1 - 1),E14:E51,0) + 13</f>
        <v>48</v>
      </c>
      <c r="C10" s="46">
        <f>IF(WEEKDAY(DATE($T$6,$P$6+1,1-1),1)&gt;=4, (DATE($T$6,$P$6+1,1-1)) + 7- WEEKDAY(DATE($T$6,$P$6+1,1-1),1), DATE($T$6,$P$6+1,1-1) - WEEKDAY(DATE($T$6,$P$6+1,1-1),1))</f>
        <v>45325</v>
      </c>
      <c r="D10" s="46">
        <f>MATCH(DATE($T$6,$P$6,1),E14:E51,0) + 13</f>
        <v>18</v>
      </c>
      <c r="E10" s="46">
        <f>IF(WEEKDAY(DATE($T$6,$P$6,1),1)&gt;4,DATE($T$6,$P$6,1) + (8-WEEKDAY(DATE($T$6,$P$6,1),1)),DATE($T$6,$P$6,1)-(WEEKDAY(DATE($T$6,$P$6,1),1)-1))</f>
        <v>45291</v>
      </c>
      <c r="F10" s="47"/>
      <c r="G10" s="48"/>
      <c r="H10" s="48"/>
      <c r="I10" s="48"/>
      <c r="J10" s="48"/>
      <c r="K10" s="48"/>
      <c r="L10" s="48"/>
      <c r="M10" s="48"/>
      <c r="N10" s="48"/>
      <c r="O10" s="48"/>
      <c r="P10" s="48"/>
      <c r="Q10" s="48"/>
      <c r="R10" s="48"/>
      <c r="S10" s="48"/>
      <c r="T10" s="48"/>
      <c r="U10" s="48"/>
      <c r="V10" s="169"/>
      <c r="W10" s="169"/>
      <c r="X10" s="273"/>
      <c r="Y10" s="169"/>
      <c r="Z10" s="169"/>
      <c r="AA10" s="169"/>
      <c r="AB10" s="169"/>
      <c r="AC10" s="169"/>
      <c r="AD10" s="169"/>
      <c r="AE10" s="169"/>
      <c r="AF10" s="169"/>
      <c r="AG10" s="169"/>
      <c r="AH10" s="169"/>
      <c r="AI10" s="169"/>
      <c r="AJ10" s="169"/>
      <c r="AK10" s="169"/>
      <c r="AL10" s="169"/>
      <c r="AM10" s="169"/>
      <c r="AN10" s="170"/>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O10" s="174">
        <v>9</v>
      </c>
      <c r="BP10" s="174">
        <v>2029</v>
      </c>
      <c r="BQ10" s="179" t="s">
        <v>25</v>
      </c>
      <c r="BR10" s="174"/>
      <c r="BS10" s="174" t="s">
        <v>1098</v>
      </c>
      <c r="BU10" s="174"/>
      <c r="BV10" s="174"/>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6"/>
      <c r="GK10" s="177"/>
      <c r="GL10" s="177"/>
      <c r="GM10" s="177"/>
      <c r="GN10" s="177"/>
      <c r="GO10" s="177"/>
      <c r="GP10" s="177"/>
      <c r="GQ10" s="177"/>
      <c r="GR10" s="177"/>
      <c r="GS10" s="177"/>
      <c r="GT10" s="177"/>
      <c r="GU10" s="177"/>
      <c r="GV10" s="177"/>
      <c r="GW10" s="177"/>
      <c r="GX10" s="177"/>
      <c r="GY10" s="177"/>
      <c r="GZ10" s="177"/>
      <c r="HA10" s="177"/>
      <c r="HB10" s="177"/>
      <c r="HC10" s="177"/>
      <c r="HD10" s="177"/>
      <c r="HE10" s="177"/>
      <c r="HF10" s="177"/>
      <c r="HG10" s="177"/>
      <c r="HH10" s="177"/>
      <c r="HI10" s="177"/>
      <c r="HJ10" s="177"/>
      <c r="HK10" s="177"/>
      <c r="HL10" s="177"/>
      <c r="HM10" s="177"/>
      <c r="HO10" s="176"/>
      <c r="HS10" s="174"/>
      <c r="HT10" s="174"/>
      <c r="HU10" s="174"/>
      <c r="HV10" s="174"/>
      <c r="HW10" s="174"/>
      <c r="HX10" s="174"/>
      <c r="HY10" s="174"/>
      <c r="HZ10" s="174"/>
      <c r="IA10" s="174"/>
      <c r="IB10" s="174"/>
      <c r="IC10" s="174"/>
      <c r="ID10" s="174"/>
      <c r="IE10" s="174"/>
      <c r="IF10" s="174"/>
      <c r="IG10" s="174"/>
      <c r="IH10" s="174"/>
      <c r="II10" s="174"/>
      <c r="IJ10" s="174"/>
      <c r="IK10" s="174"/>
      <c r="IL10" s="174"/>
      <c r="IM10" s="174"/>
      <c r="IN10" s="174"/>
      <c r="IO10" s="174"/>
      <c r="IP10" s="174"/>
      <c r="IQ10" s="174"/>
      <c r="IR10" s="174"/>
      <c r="IS10" s="174"/>
      <c r="IT10" s="174"/>
      <c r="IU10" s="174"/>
      <c r="IX10" s="174"/>
      <c r="IY10" s="174"/>
      <c r="IZ10" s="174"/>
      <c r="JA10" s="174"/>
      <c r="JB10" s="174"/>
      <c r="JC10" s="174"/>
      <c r="JD10" s="174"/>
      <c r="JE10" s="174"/>
      <c r="JF10" s="174"/>
      <c r="JG10" s="174"/>
      <c r="JH10" s="174"/>
      <c r="JI10" s="174"/>
      <c r="JJ10" s="174"/>
      <c r="JK10" s="174"/>
      <c r="JL10" s="174"/>
      <c r="JM10" s="174"/>
      <c r="JN10" s="174"/>
      <c r="JO10" s="174"/>
      <c r="JP10" s="174"/>
      <c r="JQ10" s="174"/>
      <c r="JR10" s="174"/>
      <c r="JS10" s="174"/>
      <c r="JT10" s="174"/>
      <c r="JU10" s="174"/>
      <c r="JV10" s="174"/>
      <c r="JW10" s="174"/>
      <c r="JX10" s="174"/>
      <c r="JY10" s="174"/>
      <c r="JZ10" s="174"/>
      <c r="KA10" s="174"/>
      <c r="KB10" s="176"/>
      <c r="KC10" s="178"/>
      <c r="KD10" s="176"/>
      <c r="KE10" s="176"/>
      <c r="KF10" s="176"/>
      <c r="KG10" s="176"/>
      <c r="KH10" s="176"/>
      <c r="KI10" s="176"/>
    </row>
    <row r="11" spans="1:318" s="172" customFormat="1" ht="36" customHeight="1" thickTop="1" thickBot="1" x14ac:dyDescent="0.25">
      <c r="A11" s="17"/>
      <c r="B11" s="444" t="s">
        <v>827</v>
      </c>
      <c r="C11" s="444"/>
      <c r="D11" s="444"/>
      <c r="E11" s="444"/>
      <c r="F11" s="445"/>
      <c r="G11" s="140" t="s">
        <v>1088</v>
      </c>
      <c r="H11" s="451" t="str">
        <f>IF('Outfall 1 Limits'!B16&lt;&gt;"",INDEX('Outfall 1 Limits'!$AY$11:$AZ$447,MATCH('Outfall 1 Limits'!$B16,'Outfall 1 Limits'!$AY$11:$AY$447,),MATCH("Parametershort",'Outfall 1 Limits'!$AY$10:$AZ$10,)),"")</f>
        <v/>
      </c>
      <c r="I11" s="451"/>
      <c r="J11" s="449" t="str">
        <f>IF('Outfall 1 Limits'!$B20&lt;&gt;"",INDEX('Outfall 1 Limits'!$AY$11:$AZ$447,MATCH('Outfall 1 Limits'!$B20,'Outfall 1 Limits'!$AY$11:$AY$447,),MATCH("Parametershort",'Outfall 1 Limits'!$AY$10:$AZ$10,)),"")</f>
        <v/>
      </c>
      <c r="K11" s="450"/>
      <c r="L11" s="449" t="str">
        <f>IF('Outfall 1 Limits'!$B24&lt;&gt;"",INDEX('Outfall 1 Limits'!$AY$11:$AZ$447,MATCH('Outfall 1 Limits'!$B24,'Outfall 1 Limits'!$AY$11:$AY$447,),MATCH("Parametershort",'Outfall 1 Limits'!$AY$10:$AZ$10,)),"")</f>
        <v/>
      </c>
      <c r="M11" s="450"/>
      <c r="N11" s="449" t="str">
        <f>IF('Outfall 1 Limits'!$B28&lt;&gt;"",INDEX('Outfall 1 Limits'!$AY$11:$AZ$447,MATCH('Outfall 1 Limits'!$B28,'Outfall 1 Limits'!$AY$11:$AY$447,),MATCH("Parametershort",'Outfall 1 Limits'!$AY$10:$AZ$10,)),"")</f>
        <v/>
      </c>
      <c r="O11" s="450"/>
      <c r="P11" s="449" t="str">
        <f>IF('Outfall 1 Limits'!$B32&lt;&gt;"",INDEX('Outfall 1 Limits'!$AY$11:$AZ$447,MATCH('Outfall 1 Limits'!$B32,'Outfall 1 Limits'!$AY$11:$AY$447,),MATCH("Parametershort",'Outfall 1 Limits'!$AY$10:$AZ$10,)),"")</f>
        <v/>
      </c>
      <c r="Q11" s="450"/>
      <c r="R11" s="459" t="str">
        <f>IF('Outfall 1 Limits'!$B36&lt;&gt;"",INDEX('Outfall 1 Limits'!$AY$11:$AZ$447,MATCH('Outfall 1 Limits'!$B36,'Outfall 1 Limits'!$AY$11:$AY$447,),MATCH("Parametershort",'Outfall 1 Limits'!$AY$10:$AZ$10,)),"")</f>
        <v/>
      </c>
      <c r="S11" s="460"/>
      <c r="T11" s="459" t="str">
        <f>IF('Outfall 1 Limits'!$B40&lt;&gt;"",INDEX('Outfall 1 Limits'!$AY$11:$AZ$447,MATCH('Outfall 1 Limits'!$B40,'Outfall 1 Limits'!$AY$11:$AY$447,),MATCH("Parametershort",'Outfall 1 Limits'!$AY$10:$AZ$10,)),"")</f>
        <v/>
      </c>
      <c r="U11" s="460"/>
      <c r="V11" s="459" t="str">
        <f>IF('Outfall 1 Limits'!$B44&lt;&gt;"",INDEX('Outfall 1 Limits'!$AY$11:$AZ$447,MATCH('Outfall 1 Limits'!$B44,'Outfall 1 Limits'!$AY$11:$AY$447,),MATCH("Parametershort",'Outfall 1 Limits'!$AY$10:$AZ$10,)),"")</f>
        <v/>
      </c>
      <c r="W11" s="460"/>
      <c r="X11" s="459" t="str">
        <f>IF('Outfall 1 Limits'!$B48&lt;&gt;"",INDEX('Outfall 1 Limits'!$AY$11:$AZ$447,MATCH('Outfall 1 Limits'!$B48,'Outfall 1 Limits'!$AY$11:$AY$447,),MATCH("Parametershort",'Outfall 1 Limits'!$AY$10:$AZ$10,)),"")</f>
        <v/>
      </c>
      <c r="Y11" s="460"/>
      <c r="Z11" s="459" t="str">
        <f>IF('Outfall 1 Limits'!$B52&lt;&gt;"",INDEX('Outfall 1 Limits'!$AY$11:$AZ$447,MATCH('Outfall 1 Limits'!$B52,'Outfall 1 Limits'!$AY$11:$AY$447,),MATCH("Parametershort",'Outfall 1 Limits'!$AY$10:$AZ$10,)),"")</f>
        <v/>
      </c>
      <c r="AA11" s="460"/>
      <c r="AB11" s="459" t="str">
        <f>IF('Outfall 1 Limits'!$B56&lt;&gt;"",INDEX('Outfall 1 Limits'!$AY$11:$AZ$447,MATCH('Outfall 1 Limits'!$B56,'Outfall 1 Limits'!$AY$11:$AY$447,),MATCH("Parametershort",'Outfall 1 Limits'!$AY$10:$AZ$10,)),"")</f>
        <v/>
      </c>
      <c r="AC11" s="460"/>
      <c r="AD11" s="459" t="str">
        <f>IF('Outfall 1 Limits'!$B60&lt;&gt;"",INDEX('Outfall 1 Limits'!$AY$11:$AZ$447,MATCH('Outfall 1 Limits'!$B60,'Outfall 1 Limits'!$AY$11:$AY$447,),MATCH("Parametershort",'Outfall 1 Limits'!$AY$10:$AZ$10,)),"")</f>
        <v/>
      </c>
      <c r="AE11" s="460"/>
      <c r="AF11" s="459" t="str">
        <f>IF('Outfall 1 Limits'!$B64&lt;&gt;"",INDEX('Outfall 1 Limits'!$AY$11:$AZ$447,MATCH('Outfall 1 Limits'!$B64,'Outfall 1 Limits'!$AY$11:$AY$447,),MATCH("Parametershort",'Outfall 1 Limits'!$AY$10:$AZ$10,)),"")</f>
        <v/>
      </c>
      <c r="AG11" s="460"/>
      <c r="AH11" s="459" t="str">
        <f>IF('Outfall 1 Limits'!$B68&lt;&gt;"",INDEX('Outfall 1 Limits'!$AY$11:$AZ$447,MATCH('Outfall 1 Limits'!$B68,'Outfall 1 Limits'!$AY$11:$AY$447,),MATCH("Parametershort",'Outfall 1 Limits'!$AY$10:$AZ$10,)),"")</f>
        <v/>
      </c>
      <c r="AI11" s="460"/>
      <c r="AJ11" s="459" t="str">
        <f>IF('Outfall 1 Limits'!$B72&lt;&gt;"",INDEX('Outfall 1 Limits'!$AY$11:$AZ$447,MATCH('Outfall 1 Limits'!$B72,'Outfall 1 Limits'!$AY$11:$AY$447,),MATCH("Parametershort",'Outfall 1 Limits'!$AY$10:$AZ$10,)),"")</f>
        <v/>
      </c>
      <c r="AK11" s="460"/>
      <c r="AL11" s="459" t="str">
        <f>IF('Outfall 1 Limits'!$B76&lt;&gt;"",INDEX('Outfall 1 Limits'!$AY$11:$AZ$447,MATCH('Outfall 1 Limits'!$B76,'Outfall 1 Limits'!$AY$11:$AY$447,),MATCH("Parametershort",'Outfall 1 Limits'!$AY$10:$AZ$10,)),"")</f>
        <v/>
      </c>
      <c r="AM11" s="460"/>
      <c r="AN11" s="459" t="str">
        <f>IF('Outfall 1 Limits'!$B80&lt;&gt;"",INDEX('Outfall 1 Limits'!$AY$11:$AZ$447,MATCH('Outfall 1 Limits'!$B80,'Outfall 1 Limits'!$AY$11:$AY$447,),MATCH("Parametershort",'Outfall 1 Limits'!$AY$10:$AZ$10,)),"")</f>
        <v/>
      </c>
      <c r="AO11" s="460"/>
      <c r="AP11" s="459" t="str">
        <f>IF('Outfall 1 Limits'!$B84&lt;&gt;"",INDEX('Outfall 1 Limits'!$AY$11:$AZ$447,MATCH('Outfall 1 Limits'!$B84,'Outfall 1 Limits'!$AY$11:$AY$447,),MATCH("Parametershort",'Outfall 1 Limits'!$AY$10:$AZ$10,)),"")</f>
        <v/>
      </c>
      <c r="AQ11" s="460"/>
      <c r="AR11" s="459" t="str">
        <f>IF('Outfall 1 Limits'!$B88&lt;&gt;"",INDEX('Outfall 1 Limits'!$AY$11:$AZ$447,MATCH('Outfall 1 Limits'!$B88,'Outfall 1 Limits'!$AY$11:$AY$447,),MATCH("Parametershort",'Outfall 1 Limits'!$AY$10:$AZ$10,)),"")</f>
        <v/>
      </c>
      <c r="AS11" s="460"/>
      <c r="AT11" s="459" t="str">
        <f>IF('Outfall 1 Limits'!$B92&lt;&gt;"",INDEX('Outfall 1 Limits'!$AY$11:$AZ$447,MATCH('Outfall 1 Limits'!$B92,'Outfall 1 Limits'!$AY$11:$AY$447,),MATCH("Parametershort",'Outfall 1 Limits'!$AY$10:$AZ$10,)),"")</f>
        <v/>
      </c>
      <c r="AU11" s="460"/>
      <c r="AV11" s="459" t="str">
        <f>IF('Outfall 1 Limits'!$B96&lt;&gt;"",INDEX('Outfall 1 Limits'!$AY$11:$AZ$447,MATCH('Outfall 1 Limits'!$B96,'Outfall 1 Limits'!$AY$11:$AY$447,),MATCH("Parametershort",'Outfall 1 Limits'!$AY$10:$AZ$10,)),"")</f>
        <v/>
      </c>
      <c r="AW11" s="460"/>
      <c r="AX11" s="459" t="str">
        <f>IF('Outfall 1 Limits'!$B100&lt;&gt;"",INDEX('Outfall 1 Limits'!$AY$11:$AZ$447,MATCH('Outfall 1 Limits'!$B100,'Outfall 1 Limits'!$AY$11:$AY$447,),MATCH("Parametershort",'Outfall 1 Limits'!$AY$10:$AZ$10,)),"")</f>
        <v/>
      </c>
      <c r="AY11" s="460"/>
      <c r="AZ11" s="459" t="str">
        <f>IF('Outfall 1 Limits'!$B104&lt;&gt;"",INDEX('Outfall 1 Limits'!$AY$11:$AZ$447,MATCH('Outfall 1 Limits'!$B104,'Outfall 1 Limits'!$AY$11:$AY$447,),MATCH("Parametershort",'Outfall 1 Limits'!$AY$10:$AZ$10,)),"")</f>
        <v/>
      </c>
      <c r="BA11" s="460"/>
      <c r="BB11" s="459" t="str">
        <f>IF('Outfall 1 Limits'!$B108&lt;&gt;"",INDEX('Outfall 1 Limits'!$AY$11:$AZ$447,MATCH('Outfall 1 Limits'!$B108,'Outfall 1 Limits'!$AY$11:$AY$447,),MATCH("Parametershort",'Outfall 1 Limits'!$AY$10:$AZ$10,)),"")</f>
        <v/>
      </c>
      <c r="BC11" s="460"/>
      <c r="BD11" s="459" t="str">
        <f>IF('Outfall 1 Limits'!$B112&lt;&gt;"",INDEX('Outfall 1 Limits'!$AY$11:$AZ$447,MATCH('Outfall 1 Limits'!$B112,'Outfall 1 Limits'!$AY$11:$AY$447,),MATCH("Parametershort",'Outfall 1 Limits'!$AY$10:$AZ$10,)),"")</f>
        <v/>
      </c>
      <c r="BE11" s="460"/>
      <c r="BF11" s="459" t="str">
        <f>IF('Outfall 1 Limits'!$B116&lt;&gt;"",INDEX('Outfall 1 Limits'!$AY$11:$AZ$447,MATCH('Outfall 1 Limits'!$B116,'Outfall 1 Limits'!$AY$11:$AY$447,),MATCH("Parametershort",'Outfall 1 Limits'!$AY$10:$AZ$10,)),"")</f>
        <v/>
      </c>
      <c r="BG11" s="460"/>
      <c r="BH11" s="459" t="str">
        <f>IF('Outfall 1 Limits'!$B120&lt;&gt;"",INDEX('Outfall 1 Limits'!$AY$11:$AZ$447,MATCH('Outfall 1 Limits'!$B120,'Outfall 1 Limits'!$AY$11:$AY$447,),MATCH("Parametershort",'Outfall 1 Limits'!$AY$10:$AZ$10,)),"")</f>
        <v/>
      </c>
      <c r="BI11" s="460"/>
      <c r="BJ11" s="459" t="str">
        <f>IF('Outfall 1 Limits'!$B124&lt;&gt;"",INDEX('Outfall 1 Limits'!$AY$11:$AZ$447,MATCH('Outfall 1 Limits'!$B124,'Outfall 1 Limits'!$AY$11:$AY$447,),MATCH("Parametershort",'Outfall 1 Limits'!$AY$10:$AZ$10,)),"")</f>
        <v/>
      </c>
      <c r="BK11" s="460"/>
      <c r="BL11" s="459" t="str">
        <f>IF('Outfall 1 Limits'!$B128&lt;&gt;"",INDEX('Outfall 1 Limits'!$AY$11:$AZ$447,MATCH('Outfall 1 Limits'!$B128,'Outfall 1 Limits'!$AY$11:$AY$447,),MATCH("Parametershort",'Outfall 1 Limits'!$AY$10:$AZ$10,)),"")</f>
        <v/>
      </c>
      <c r="BM11" s="467"/>
      <c r="BO11" s="174">
        <v>10</v>
      </c>
      <c r="BP11" s="174">
        <v>2030</v>
      </c>
      <c r="BQ11" s="179" t="s">
        <v>26</v>
      </c>
      <c r="BR11" s="174"/>
      <c r="BS11" s="174" t="s">
        <v>1099</v>
      </c>
      <c r="BU11" s="180" t="s">
        <v>1166</v>
      </c>
      <c r="BV11" s="181"/>
      <c r="BW11" s="182"/>
      <c r="BX11" s="182"/>
      <c r="BY11" s="182"/>
      <c r="BZ11" s="182"/>
      <c r="CA11" s="182"/>
      <c r="CB11" s="182"/>
      <c r="CC11" s="182"/>
      <c r="CD11" s="182"/>
      <c r="CE11" s="182"/>
      <c r="CF11" s="182"/>
      <c r="CG11" s="182"/>
      <c r="CH11" s="182"/>
      <c r="CI11" s="182"/>
      <c r="CJ11" s="182"/>
      <c r="CK11" s="182"/>
      <c r="CL11" s="182"/>
      <c r="CM11" s="182"/>
      <c r="CN11" s="182"/>
      <c r="CO11" s="182"/>
      <c r="CP11" s="182"/>
      <c r="CQ11" s="182"/>
      <c r="CR11" s="182"/>
      <c r="CS11" s="182"/>
      <c r="CT11" s="182"/>
      <c r="CU11" s="182"/>
      <c r="CV11" s="182"/>
      <c r="CW11" s="182"/>
      <c r="CX11" s="182"/>
      <c r="CY11" s="183" t="s">
        <v>1146</v>
      </c>
      <c r="CZ11" s="184"/>
      <c r="DA11" s="184"/>
      <c r="DB11" s="184"/>
      <c r="DC11" s="184"/>
      <c r="DD11" s="184"/>
      <c r="DE11" s="184"/>
      <c r="DF11" s="184"/>
      <c r="DG11" s="184"/>
      <c r="DH11" s="184"/>
      <c r="DI11" s="184"/>
      <c r="DJ11" s="184"/>
      <c r="DK11" s="184"/>
      <c r="DL11" s="184"/>
      <c r="DM11" s="184"/>
      <c r="DN11" s="184"/>
      <c r="DO11" s="184"/>
      <c r="DP11" s="184"/>
      <c r="DQ11" s="184"/>
      <c r="DR11" s="184"/>
      <c r="DS11" s="184"/>
      <c r="DT11" s="184"/>
      <c r="DU11" s="184"/>
      <c r="DV11" s="184"/>
      <c r="DW11" s="184"/>
      <c r="DX11" s="184"/>
      <c r="DY11" s="184"/>
      <c r="DZ11" s="184"/>
      <c r="EA11" s="184"/>
      <c r="EB11" s="176"/>
      <c r="EC11" s="185" t="s">
        <v>829</v>
      </c>
      <c r="ED11" s="182"/>
      <c r="EE11" s="182"/>
      <c r="EF11" s="182"/>
      <c r="EG11" s="182"/>
      <c r="EH11" s="182"/>
      <c r="EI11" s="182"/>
      <c r="EJ11" s="182"/>
      <c r="EK11" s="182"/>
      <c r="EL11" s="182"/>
      <c r="EM11" s="182"/>
      <c r="EN11" s="182"/>
      <c r="EO11" s="182"/>
      <c r="EP11" s="182"/>
      <c r="EQ11" s="182"/>
      <c r="ER11" s="182"/>
      <c r="ES11" s="182"/>
      <c r="ET11" s="182"/>
      <c r="EU11" s="182"/>
      <c r="EV11" s="182"/>
      <c r="EW11" s="182"/>
      <c r="EX11" s="182"/>
      <c r="EY11" s="182"/>
      <c r="EZ11" s="182"/>
      <c r="FA11" s="182"/>
      <c r="FB11" s="182"/>
      <c r="FC11" s="182"/>
      <c r="FD11" s="182"/>
      <c r="FE11" s="182"/>
      <c r="FF11" s="182"/>
      <c r="FG11" s="185" t="s">
        <v>1153</v>
      </c>
      <c r="FH11" s="185"/>
      <c r="FI11" s="185"/>
      <c r="FJ11" s="185"/>
      <c r="FK11" s="185"/>
      <c r="FL11" s="185"/>
      <c r="FM11" s="185"/>
      <c r="FN11" s="185"/>
      <c r="FO11" s="185"/>
      <c r="FP11" s="185"/>
      <c r="FQ11" s="185"/>
      <c r="FR11" s="185"/>
      <c r="FS11" s="185"/>
      <c r="FT11" s="185"/>
      <c r="FU11" s="185"/>
      <c r="FV11" s="185"/>
      <c r="FW11" s="185"/>
      <c r="FX11" s="185"/>
      <c r="FY11" s="185"/>
      <c r="FZ11" s="185"/>
      <c r="GA11" s="185"/>
      <c r="GB11" s="185"/>
      <c r="GC11" s="185"/>
      <c r="GD11" s="185"/>
      <c r="GE11" s="185"/>
      <c r="GF11" s="186"/>
      <c r="GG11" s="186"/>
      <c r="GH11" s="186"/>
      <c r="GI11" s="186"/>
      <c r="GJ11" s="186"/>
      <c r="GK11" s="180" t="s">
        <v>1154</v>
      </c>
      <c r="GL11" s="187"/>
      <c r="GM11" s="187"/>
      <c r="GN11" s="187"/>
      <c r="GO11" s="187"/>
      <c r="GP11" s="187"/>
      <c r="GQ11" s="187"/>
      <c r="GR11" s="187"/>
      <c r="GS11" s="187"/>
      <c r="GT11" s="187"/>
      <c r="GU11" s="187"/>
      <c r="GV11" s="187"/>
      <c r="GW11" s="187"/>
      <c r="GX11" s="187"/>
      <c r="GY11" s="187"/>
      <c r="GZ11" s="187"/>
      <c r="HA11" s="187"/>
      <c r="HB11" s="187"/>
      <c r="HC11" s="187"/>
      <c r="HD11" s="187"/>
      <c r="HE11" s="187"/>
      <c r="HF11" s="187"/>
      <c r="HG11" s="177"/>
      <c r="HH11" s="177"/>
      <c r="HI11" s="187"/>
      <c r="HJ11" s="187"/>
      <c r="HK11" s="187"/>
      <c r="HL11" s="187"/>
      <c r="HM11" s="187"/>
      <c r="HO11" s="185" t="s">
        <v>840</v>
      </c>
      <c r="HS11" s="188" t="s">
        <v>1147</v>
      </c>
      <c r="HT11" s="174"/>
      <c r="HU11" s="174"/>
      <c r="HV11" s="174"/>
      <c r="HW11" s="174"/>
      <c r="HX11" s="174"/>
      <c r="HY11" s="174"/>
      <c r="HZ11" s="174"/>
      <c r="IA11" s="174"/>
      <c r="IB11" s="174"/>
      <c r="IC11" s="174"/>
      <c r="ID11" s="174"/>
      <c r="IE11" s="174"/>
      <c r="IF11" s="174"/>
      <c r="IG11" s="174"/>
      <c r="IH11" s="174"/>
      <c r="II11" s="174"/>
      <c r="IJ11" s="174"/>
      <c r="IK11" s="174"/>
      <c r="IL11" s="174"/>
      <c r="IM11" s="174"/>
      <c r="IN11" s="174"/>
      <c r="IO11" s="174"/>
      <c r="IP11" s="174"/>
      <c r="IQ11" s="174"/>
      <c r="IR11" s="174"/>
      <c r="IS11" s="174"/>
      <c r="IT11" s="174"/>
      <c r="IU11" s="174"/>
      <c r="IX11" s="188" t="s">
        <v>1148</v>
      </c>
      <c r="IY11" s="174"/>
      <c r="IZ11" s="174"/>
      <c r="JA11" s="174"/>
      <c r="JB11" s="174"/>
      <c r="JC11" s="174"/>
      <c r="JD11" s="174"/>
      <c r="JE11" s="174"/>
      <c r="JF11" s="174"/>
      <c r="JG11" s="174"/>
      <c r="JH11" s="174"/>
      <c r="JI11" s="174"/>
      <c r="JJ11" s="174"/>
      <c r="JK11" s="174"/>
      <c r="JL11" s="174"/>
      <c r="JM11" s="174"/>
      <c r="JN11" s="174"/>
      <c r="JO11" s="174"/>
      <c r="JP11" s="174"/>
      <c r="JQ11" s="174"/>
      <c r="JR11" s="174"/>
      <c r="JS11" s="174"/>
      <c r="JT11" s="174"/>
      <c r="JU11" s="174"/>
      <c r="JV11" s="174"/>
      <c r="JW11" s="174"/>
      <c r="JX11" s="174"/>
      <c r="JY11" s="174"/>
      <c r="JZ11" s="174"/>
      <c r="KA11" s="174"/>
      <c r="KB11" s="176"/>
      <c r="KC11" s="178"/>
      <c r="KD11" s="176"/>
      <c r="KE11" s="176"/>
      <c r="KF11" s="176"/>
      <c r="KG11" s="176"/>
      <c r="KH11" s="176"/>
      <c r="KI11" s="176"/>
    </row>
    <row r="12" spans="1:318" s="175" customFormat="1" ht="14.25" thickTop="1" thickBot="1" x14ac:dyDescent="0.25">
      <c r="A12" s="59"/>
      <c r="B12" s="446" t="s">
        <v>828</v>
      </c>
      <c r="C12" s="446"/>
      <c r="D12" s="446"/>
      <c r="E12" s="446"/>
      <c r="F12" s="447"/>
      <c r="G12" s="131">
        <v>1</v>
      </c>
      <c r="H12" s="443" t="str">
        <f>IF('Outfall 1 Limits'!B18&lt;&gt;"",INDEX('Outfall 1 Limits'!$BB$11:$BC$30,MATCH('Outfall 1 Limits'!$B18,'Outfall 1 Limits'!$BB$11:$BB$30,),MATCH("Stagecode",'Outfall 1 Limits'!$BB$10:$BC$10,)),"")</f>
        <v/>
      </c>
      <c r="I12" s="443"/>
      <c r="J12" s="443" t="str">
        <f>IF('Outfall 1 Limits'!$B22&lt;&gt;"",INDEX('Outfall 1 Limits'!$BB$11:$BC$30,MATCH('Outfall 1 Limits'!$B22,'Outfall 1 Limits'!$BB$11:$BB$30,),MATCH("Stagecode",'Outfall 1 Limits'!$BB$10:$BC$10,)),"")</f>
        <v/>
      </c>
      <c r="K12" s="443"/>
      <c r="L12" s="443" t="str">
        <f>IF('Outfall 1 Limits'!$B26&lt;&gt;"",INDEX('Outfall 1 Limits'!$BB$11:$BC$30,MATCH('Outfall 1 Limits'!$B26,'Outfall 1 Limits'!$BB$11:$BB$30,),MATCH("Stagecode",'Outfall 1 Limits'!$BB$10:$BC$10,)),"")</f>
        <v/>
      </c>
      <c r="M12" s="443"/>
      <c r="N12" s="443" t="str">
        <f>IF('Outfall 1 Limits'!$B30&lt;&gt;"",INDEX('Outfall 1 Limits'!$BB$11:$BC$30,MATCH('Outfall 1 Limits'!$B30,'Outfall 1 Limits'!$BB$11:$BB$30,),MATCH("Stagecode",'Outfall 1 Limits'!$BB$10:$BC$10,)),"")</f>
        <v/>
      </c>
      <c r="O12" s="443"/>
      <c r="P12" s="443" t="str">
        <f>IF('Outfall 1 Limits'!$B34&lt;&gt;"",INDEX('Outfall 1 Limits'!$BB$11:$BC$30,MATCH('Outfall 1 Limits'!$B34,'Outfall 1 Limits'!$BB$11:$BB$30,),MATCH("Stagecode",'Outfall 1 Limits'!$BB$10:$BC$10,)),"")</f>
        <v/>
      </c>
      <c r="Q12" s="443"/>
      <c r="R12" s="443" t="str">
        <f>IF('Outfall 1 Limits'!$B38&lt;&gt;"",INDEX('Outfall 1 Limits'!$BB$11:$BC$30,MATCH('Outfall 1 Limits'!$B38,'Outfall 1 Limits'!$BB$11:$BB$30,),MATCH("Stagecode",'Outfall 1 Limits'!$BB$10:$BC$10,)),"")</f>
        <v/>
      </c>
      <c r="S12" s="443"/>
      <c r="T12" s="443" t="str">
        <f>IF('Outfall 1 Limits'!$B42&lt;&gt;"",INDEX('Outfall 1 Limits'!$BB$11:$BC$30,MATCH('Outfall 1 Limits'!$B42,'Outfall 1 Limits'!$BB$11:$BB$30,),MATCH("Stagecode",'Outfall 1 Limits'!$BB$10:$BC$10,)),"")</f>
        <v/>
      </c>
      <c r="U12" s="443"/>
      <c r="V12" s="443" t="str">
        <f>IF('Outfall 1 Limits'!$B46&lt;&gt;"",INDEX('Outfall 1 Limits'!$BB$11:$BC$30,MATCH('Outfall 1 Limits'!$B46,'Outfall 1 Limits'!$BB$11:$BB$30,),MATCH("Stagecode",'Outfall 1 Limits'!$BB$10:$BC$10,)),"")</f>
        <v/>
      </c>
      <c r="W12" s="443"/>
      <c r="X12" s="443" t="str">
        <f>IF('Outfall 1 Limits'!$B50&lt;&gt;"",INDEX('Outfall 1 Limits'!$BB$11:$BC$30,MATCH('Outfall 1 Limits'!$B50,'Outfall 1 Limits'!$BB$11:$BB$30,),MATCH("Stagecode",'Outfall 1 Limits'!$BB$10:$BC$10,)),"")</f>
        <v/>
      </c>
      <c r="Y12" s="443"/>
      <c r="Z12" s="443" t="str">
        <f>IF('Outfall 1 Limits'!$B54&lt;&gt;"",INDEX('Outfall 1 Limits'!$BB$11:$BC$30,MATCH('Outfall 1 Limits'!$B54,'Outfall 1 Limits'!$BB$11:$BB$30,),MATCH("Stagecode",'Outfall 1 Limits'!$BB$10:$BC$10,)),"")</f>
        <v/>
      </c>
      <c r="AA12" s="443"/>
      <c r="AB12" s="443" t="str">
        <f>IF('Outfall 1 Limits'!$B58&lt;&gt;"",INDEX('Outfall 1 Limits'!$BB$11:$BC$30,MATCH('Outfall 1 Limits'!$B58,'Outfall 1 Limits'!$BB$11:$BB$30,),MATCH("Stagecode",'Outfall 1 Limits'!$BB$10:$BC$10,)),"")</f>
        <v/>
      </c>
      <c r="AC12" s="443"/>
      <c r="AD12" s="443" t="str">
        <f>IF('Outfall 1 Limits'!$B62&lt;&gt;"",INDEX('Outfall 1 Limits'!$BB$11:$BC$30,MATCH('Outfall 1 Limits'!$B62,'Outfall 1 Limits'!$BB$11:$BB$30,),MATCH("Stagecode",'Outfall 1 Limits'!$BB$10:$BC$10,)),"")</f>
        <v/>
      </c>
      <c r="AE12" s="443"/>
      <c r="AF12" s="443" t="str">
        <f>IF('Outfall 1 Limits'!$B66&lt;&gt;"",INDEX('Outfall 1 Limits'!$BB$11:$BC$30,MATCH('Outfall 1 Limits'!$B66,'Outfall 1 Limits'!$BB$11:$BB$30,),MATCH("Stagecode",'Outfall 1 Limits'!$BB$10:$BC$10,)),"")</f>
        <v/>
      </c>
      <c r="AG12" s="443"/>
      <c r="AH12" s="443" t="str">
        <f>IF('Outfall 1 Limits'!$B70&lt;&gt;"",INDEX('Outfall 1 Limits'!$BB$11:$BC$30,MATCH('Outfall 1 Limits'!$B70,'Outfall 1 Limits'!$BB$11:$BB$30,),MATCH("Stagecode",'Outfall 1 Limits'!$BB$10:$BC$10,)),"")</f>
        <v/>
      </c>
      <c r="AI12" s="443"/>
      <c r="AJ12" s="443" t="str">
        <f>IF('Outfall 1 Limits'!$B74&lt;&gt;"",INDEX('Outfall 1 Limits'!$BB$11:$BC$30,MATCH('Outfall 1 Limits'!$B74,'Outfall 1 Limits'!$BB$11:$BB$30,),MATCH("Stagecode",'Outfall 1 Limits'!$BB$10:$BC$10,)),"")</f>
        <v/>
      </c>
      <c r="AK12" s="443"/>
      <c r="AL12" s="443" t="str">
        <f>IF('Outfall 1 Limits'!$B78&lt;&gt;"",INDEX('Outfall 1 Limits'!$BB$11:$BC$30,MATCH('Outfall 1 Limits'!$B78,'Outfall 1 Limits'!$BB$11:$BB$30,),MATCH("Stagecode",'Outfall 1 Limits'!$BB$10:$BC$10,)),"")</f>
        <v/>
      </c>
      <c r="AM12" s="443"/>
      <c r="AN12" s="469" t="str">
        <f>IF('Outfall 1 Limits'!$B82&lt;&gt;"",INDEX('Outfall 1 Limits'!$BB$11:$BC$30,MATCH('Outfall 1 Limits'!$B82,'Outfall 1 Limits'!$BB$11:$BB$30,),MATCH("Stagecode",'Outfall 1 Limits'!$BB$10:$BC$10,)),"")</f>
        <v/>
      </c>
      <c r="AO12" s="469"/>
      <c r="AP12" s="443" t="str">
        <f>IF('Outfall 1 Limits'!$B86&lt;&gt;"",INDEX('Outfall 1 Limits'!$BB$11:$BC$30,MATCH('Outfall 1 Limits'!$B86,'Outfall 1 Limits'!$BB$11:$BB$30,),MATCH("Stagecode",'Outfall 1 Limits'!$BB$10:$BC$10,)),"")</f>
        <v/>
      </c>
      <c r="AQ12" s="443"/>
      <c r="AR12" s="443" t="str">
        <f>IF('Outfall 1 Limits'!$B90&lt;&gt;"",INDEX('Outfall 1 Limits'!$BB$11:$BC$30,MATCH('Outfall 1 Limits'!$B90,'Outfall 1 Limits'!$BB$11:$BB$30,),MATCH("Stagecode",'Outfall 1 Limits'!$BB$10:$BC$10,)),"")</f>
        <v/>
      </c>
      <c r="AS12" s="443"/>
      <c r="AT12" s="443" t="str">
        <f>IF('Outfall 1 Limits'!$B94&lt;&gt;"",INDEX('Outfall 1 Limits'!$BB$11:$BC$30,MATCH('Outfall 1 Limits'!$B94,'Outfall 1 Limits'!$BB$11:$BB$30,),MATCH("Stagecode",'Outfall 1 Limits'!$BB$10:$BC$10,)),"")</f>
        <v/>
      </c>
      <c r="AU12" s="443"/>
      <c r="AV12" s="443" t="str">
        <f>IF('Outfall 1 Limits'!$B98&lt;&gt;"",INDEX('Outfall 1 Limits'!$BB$11:$BC$30,MATCH('Outfall 1 Limits'!$B98,'Outfall 1 Limits'!$BB$11:$BB$30,),MATCH("Stagecode",'Outfall 1 Limits'!$BB$10:$BC$10,)),"")</f>
        <v/>
      </c>
      <c r="AW12" s="443"/>
      <c r="AX12" s="443" t="str">
        <f>IF('Outfall 1 Limits'!$B102&lt;&gt;"",INDEX('Outfall 1 Limits'!$BB$11:$BC$30,MATCH('Outfall 1 Limits'!$B102,'Outfall 1 Limits'!$BB$11:$BB$30,),MATCH("Stagecode",'Outfall 1 Limits'!$BB$10:$BC$10,)),"")</f>
        <v/>
      </c>
      <c r="AY12" s="443"/>
      <c r="AZ12" s="443" t="str">
        <f>IF('Outfall 1 Limits'!$B106&lt;&gt;"",INDEX('Outfall 1 Limits'!$BB$11:$BC$30,MATCH('Outfall 1 Limits'!$B106,'Outfall 1 Limits'!$BB$11:$BB$30,),MATCH("Stagecode",'Outfall 1 Limits'!$BB$10:$BC$10,)),"")</f>
        <v/>
      </c>
      <c r="BA12" s="443"/>
      <c r="BB12" s="443" t="str">
        <f>IF('Outfall 1 Limits'!$B110&lt;&gt;"",INDEX('Outfall 1 Limits'!$BB$11:$BC$30,MATCH('Outfall 1 Limits'!$B110,'Outfall 1 Limits'!$BB$11:$BB$30,),MATCH("Stagecode",'Outfall 1 Limits'!$BB$10:$BC$10,)),"")</f>
        <v/>
      </c>
      <c r="BC12" s="443"/>
      <c r="BD12" s="443" t="str">
        <f>IF('Outfall 1 Limits'!$B114&lt;&gt;"",INDEX('Outfall 1 Limits'!$BB$11:$BC$30,MATCH('Outfall 1 Limits'!$B114,'Outfall 1 Limits'!$BB$11:$BB$30,),MATCH("Stagecode",'Outfall 1 Limits'!$BB$10:$BC$10,)),"")</f>
        <v/>
      </c>
      <c r="BE12" s="443"/>
      <c r="BF12" s="443" t="str">
        <f>IF('Outfall 1 Limits'!$B118&lt;&gt;"",INDEX('Outfall 1 Limits'!$BB$11:$BC$30,MATCH('Outfall 1 Limits'!$B118,'Outfall 1 Limits'!$BB$11:$BB$30,),MATCH("Stagecode",'Outfall 1 Limits'!$BB$10:$BC$10,)),"")</f>
        <v/>
      </c>
      <c r="BG12" s="443"/>
      <c r="BH12" s="443" t="str">
        <f>IF('Outfall 1 Limits'!$B122&lt;&gt;"",INDEX('Outfall 1 Limits'!$BB$11:$BC$30,MATCH('Outfall 1 Limits'!$B122,'Outfall 1 Limits'!$BB$11:$BB$30,),MATCH("Stagecode",'Outfall 1 Limits'!$BB$10:$BC$10,)),"")</f>
        <v/>
      </c>
      <c r="BI12" s="443"/>
      <c r="BJ12" s="443" t="str">
        <f>IF('Outfall 1 Limits'!$B126&lt;&gt;"",INDEX('Outfall 1 Limits'!$BB$11:$BC$30,MATCH('Outfall 1 Limits'!$B126,'Outfall 1 Limits'!$BB$11:$BB$30,),MATCH("Stagecode",'Outfall 1 Limits'!$BB$10:$BC$10,)),"")</f>
        <v/>
      </c>
      <c r="BK12" s="443"/>
      <c r="BL12" s="443" t="str">
        <f>IF('Outfall 1 Limits'!$B130&lt;&gt;"",INDEX('Outfall 1 Limits'!$BB$11:$BC$30,MATCH('Outfall 1 Limits'!$B130,'Outfall 1 Limits'!$BB$11:$BB$30,),MATCH("Stagecode",'Outfall 1 Limits'!$BB$10:$BC$10,)),"")</f>
        <v/>
      </c>
      <c r="BM12" s="468"/>
      <c r="BO12" s="174">
        <v>11</v>
      </c>
      <c r="BP12" s="174">
        <v>2031</v>
      </c>
      <c r="BQ12" s="179" t="s">
        <v>27</v>
      </c>
      <c r="BR12" s="174"/>
      <c r="BS12" s="174" t="s">
        <v>1100</v>
      </c>
      <c r="BT12" s="172"/>
      <c r="BU12" s="189">
        <v>1</v>
      </c>
      <c r="BV12" s="190">
        <v>2</v>
      </c>
      <c r="BW12" s="190">
        <v>3</v>
      </c>
      <c r="BX12" s="190">
        <v>4</v>
      </c>
      <c r="BY12" s="190">
        <v>5</v>
      </c>
      <c r="BZ12" s="190">
        <v>6</v>
      </c>
      <c r="CA12" s="190">
        <v>7</v>
      </c>
      <c r="CB12" s="190">
        <v>8</v>
      </c>
      <c r="CC12" s="190">
        <v>9</v>
      </c>
      <c r="CD12" s="190">
        <v>10</v>
      </c>
      <c r="CE12" s="190">
        <v>11</v>
      </c>
      <c r="CF12" s="190">
        <v>12</v>
      </c>
      <c r="CG12" s="190">
        <v>13</v>
      </c>
      <c r="CH12" s="190">
        <v>14</v>
      </c>
      <c r="CI12" s="190">
        <v>15</v>
      </c>
      <c r="CJ12" s="190">
        <v>16</v>
      </c>
      <c r="CK12" s="190">
        <v>17</v>
      </c>
      <c r="CL12" s="190">
        <v>18</v>
      </c>
      <c r="CM12" s="190">
        <v>19</v>
      </c>
      <c r="CN12" s="190">
        <v>20</v>
      </c>
      <c r="CO12" s="190">
        <v>21</v>
      </c>
      <c r="CP12" s="190">
        <v>22</v>
      </c>
      <c r="CQ12" s="190">
        <v>23</v>
      </c>
      <c r="CR12" s="190">
        <v>24</v>
      </c>
      <c r="CS12" s="190">
        <v>25</v>
      </c>
      <c r="CT12" s="190">
        <v>26</v>
      </c>
      <c r="CU12" s="190">
        <v>27</v>
      </c>
      <c r="CV12" s="190">
        <v>28</v>
      </c>
      <c r="CW12" s="191">
        <v>29</v>
      </c>
      <c r="CX12" s="172"/>
      <c r="CY12" s="192">
        <v>1</v>
      </c>
      <c r="CZ12" s="193">
        <v>2</v>
      </c>
      <c r="DA12" s="193">
        <v>3</v>
      </c>
      <c r="DB12" s="193">
        <v>4</v>
      </c>
      <c r="DC12" s="193">
        <v>5</v>
      </c>
      <c r="DD12" s="193">
        <v>6</v>
      </c>
      <c r="DE12" s="193">
        <v>7</v>
      </c>
      <c r="DF12" s="193">
        <v>8</v>
      </c>
      <c r="DG12" s="193">
        <v>9</v>
      </c>
      <c r="DH12" s="193">
        <v>10</v>
      </c>
      <c r="DI12" s="193">
        <v>11</v>
      </c>
      <c r="DJ12" s="193">
        <v>12</v>
      </c>
      <c r="DK12" s="193">
        <v>13</v>
      </c>
      <c r="DL12" s="193">
        <v>14</v>
      </c>
      <c r="DM12" s="193">
        <v>15</v>
      </c>
      <c r="DN12" s="193">
        <v>16</v>
      </c>
      <c r="DO12" s="193">
        <v>17</v>
      </c>
      <c r="DP12" s="193">
        <v>18</v>
      </c>
      <c r="DQ12" s="193">
        <v>19</v>
      </c>
      <c r="DR12" s="193">
        <v>20</v>
      </c>
      <c r="DS12" s="193">
        <v>21</v>
      </c>
      <c r="DT12" s="193">
        <v>22</v>
      </c>
      <c r="DU12" s="193">
        <v>23</v>
      </c>
      <c r="DV12" s="193">
        <v>24</v>
      </c>
      <c r="DW12" s="193">
        <v>25</v>
      </c>
      <c r="DX12" s="193">
        <v>26</v>
      </c>
      <c r="DY12" s="193">
        <v>27</v>
      </c>
      <c r="DZ12" s="193">
        <v>28</v>
      </c>
      <c r="EA12" s="194">
        <v>29</v>
      </c>
      <c r="EB12" s="176"/>
      <c r="EC12" s="189">
        <v>1</v>
      </c>
      <c r="ED12" s="190">
        <v>2</v>
      </c>
      <c r="EE12" s="190">
        <v>3</v>
      </c>
      <c r="EF12" s="190">
        <v>4</v>
      </c>
      <c r="EG12" s="190">
        <v>5</v>
      </c>
      <c r="EH12" s="190">
        <v>6</v>
      </c>
      <c r="EI12" s="190">
        <v>7</v>
      </c>
      <c r="EJ12" s="190">
        <v>8</v>
      </c>
      <c r="EK12" s="190">
        <v>9</v>
      </c>
      <c r="EL12" s="190">
        <v>10</v>
      </c>
      <c r="EM12" s="190">
        <v>11</v>
      </c>
      <c r="EN12" s="190">
        <v>12</v>
      </c>
      <c r="EO12" s="190">
        <v>13</v>
      </c>
      <c r="EP12" s="190">
        <v>14</v>
      </c>
      <c r="EQ12" s="190">
        <v>15</v>
      </c>
      <c r="ER12" s="190">
        <v>16</v>
      </c>
      <c r="ES12" s="190">
        <v>17</v>
      </c>
      <c r="ET12" s="190">
        <v>18</v>
      </c>
      <c r="EU12" s="190">
        <v>19</v>
      </c>
      <c r="EV12" s="190">
        <v>20</v>
      </c>
      <c r="EW12" s="190">
        <v>21</v>
      </c>
      <c r="EX12" s="190">
        <v>22</v>
      </c>
      <c r="EY12" s="190">
        <v>23</v>
      </c>
      <c r="EZ12" s="190">
        <v>24</v>
      </c>
      <c r="FA12" s="190">
        <v>25</v>
      </c>
      <c r="FB12" s="190">
        <v>26</v>
      </c>
      <c r="FC12" s="190">
        <v>27</v>
      </c>
      <c r="FD12" s="190">
        <v>28</v>
      </c>
      <c r="FE12" s="191">
        <v>29</v>
      </c>
      <c r="FF12" s="172"/>
      <c r="FG12" s="189">
        <v>1</v>
      </c>
      <c r="FH12" s="190">
        <v>2</v>
      </c>
      <c r="FI12" s="190">
        <v>3</v>
      </c>
      <c r="FJ12" s="190">
        <v>4</v>
      </c>
      <c r="FK12" s="190">
        <v>5</v>
      </c>
      <c r="FL12" s="190">
        <v>6</v>
      </c>
      <c r="FM12" s="190">
        <v>7</v>
      </c>
      <c r="FN12" s="190">
        <v>8</v>
      </c>
      <c r="FO12" s="190">
        <v>9</v>
      </c>
      <c r="FP12" s="190">
        <v>10</v>
      </c>
      <c r="FQ12" s="190">
        <v>11</v>
      </c>
      <c r="FR12" s="190">
        <v>12</v>
      </c>
      <c r="FS12" s="190">
        <v>13</v>
      </c>
      <c r="FT12" s="190">
        <v>14</v>
      </c>
      <c r="FU12" s="190">
        <v>15</v>
      </c>
      <c r="FV12" s="190">
        <v>16</v>
      </c>
      <c r="FW12" s="190">
        <v>17</v>
      </c>
      <c r="FX12" s="190">
        <v>18</v>
      </c>
      <c r="FY12" s="190">
        <v>19</v>
      </c>
      <c r="FZ12" s="190">
        <v>20</v>
      </c>
      <c r="GA12" s="190">
        <v>21</v>
      </c>
      <c r="GB12" s="190">
        <v>22</v>
      </c>
      <c r="GC12" s="190">
        <v>23</v>
      </c>
      <c r="GD12" s="190">
        <v>24</v>
      </c>
      <c r="GE12" s="190">
        <v>25</v>
      </c>
      <c r="GF12" s="190">
        <v>26</v>
      </c>
      <c r="GG12" s="190">
        <v>27</v>
      </c>
      <c r="GH12" s="190">
        <v>28</v>
      </c>
      <c r="GI12" s="191">
        <v>29</v>
      </c>
      <c r="GJ12" s="172"/>
      <c r="GK12" s="192">
        <v>1</v>
      </c>
      <c r="GL12" s="193">
        <v>2</v>
      </c>
      <c r="GM12" s="193">
        <v>3</v>
      </c>
      <c r="GN12" s="193">
        <v>4</v>
      </c>
      <c r="GO12" s="193">
        <v>5</v>
      </c>
      <c r="GP12" s="193">
        <v>6</v>
      </c>
      <c r="GQ12" s="193">
        <v>7</v>
      </c>
      <c r="GR12" s="193">
        <v>8</v>
      </c>
      <c r="GS12" s="193">
        <v>9</v>
      </c>
      <c r="GT12" s="193">
        <v>10</v>
      </c>
      <c r="GU12" s="193">
        <v>11</v>
      </c>
      <c r="GV12" s="193">
        <v>12</v>
      </c>
      <c r="GW12" s="193">
        <v>13</v>
      </c>
      <c r="GX12" s="193">
        <v>14</v>
      </c>
      <c r="GY12" s="193">
        <v>15</v>
      </c>
      <c r="GZ12" s="193">
        <v>16</v>
      </c>
      <c r="HA12" s="193">
        <v>17</v>
      </c>
      <c r="HB12" s="193">
        <v>18</v>
      </c>
      <c r="HC12" s="193">
        <v>19</v>
      </c>
      <c r="HD12" s="193">
        <v>20</v>
      </c>
      <c r="HE12" s="193">
        <v>21</v>
      </c>
      <c r="HF12" s="193">
        <v>22</v>
      </c>
      <c r="HG12" s="193">
        <v>23</v>
      </c>
      <c r="HH12" s="193">
        <v>24</v>
      </c>
      <c r="HI12" s="193">
        <v>25</v>
      </c>
      <c r="HJ12" s="193">
        <v>26</v>
      </c>
      <c r="HK12" s="193">
        <v>27</v>
      </c>
      <c r="HL12" s="193">
        <v>28</v>
      </c>
      <c r="HM12" s="194">
        <v>29</v>
      </c>
      <c r="HN12" s="172"/>
      <c r="HO12" s="195">
        <v>1</v>
      </c>
      <c r="HP12" s="172"/>
      <c r="HQ12" s="172"/>
      <c r="HR12" s="172"/>
      <c r="HS12" s="189">
        <v>1</v>
      </c>
      <c r="HT12" s="190">
        <v>2</v>
      </c>
      <c r="HU12" s="190">
        <v>3</v>
      </c>
      <c r="HV12" s="190">
        <v>4</v>
      </c>
      <c r="HW12" s="190">
        <v>5</v>
      </c>
      <c r="HX12" s="190">
        <v>6</v>
      </c>
      <c r="HY12" s="190">
        <v>7</v>
      </c>
      <c r="HZ12" s="190">
        <v>8</v>
      </c>
      <c r="IA12" s="190">
        <v>9</v>
      </c>
      <c r="IB12" s="190">
        <v>10</v>
      </c>
      <c r="IC12" s="190">
        <v>11</v>
      </c>
      <c r="ID12" s="190">
        <v>12</v>
      </c>
      <c r="IE12" s="190">
        <v>13</v>
      </c>
      <c r="IF12" s="190">
        <v>14</v>
      </c>
      <c r="IG12" s="190">
        <v>15</v>
      </c>
      <c r="IH12" s="190">
        <v>16</v>
      </c>
      <c r="II12" s="190">
        <v>17</v>
      </c>
      <c r="IJ12" s="190">
        <v>18</v>
      </c>
      <c r="IK12" s="190">
        <v>19</v>
      </c>
      <c r="IL12" s="190">
        <v>20</v>
      </c>
      <c r="IM12" s="190">
        <v>21</v>
      </c>
      <c r="IN12" s="190">
        <v>22</v>
      </c>
      <c r="IO12" s="190">
        <v>23</v>
      </c>
      <c r="IP12" s="190">
        <v>24</v>
      </c>
      <c r="IQ12" s="190">
        <v>25</v>
      </c>
      <c r="IR12" s="190">
        <v>26</v>
      </c>
      <c r="IS12" s="190">
        <v>27</v>
      </c>
      <c r="IT12" s="190">
        <v>28</v>
      </c>
      <c r="IU12" s="191">
        <v>29</v>
      </c>
      <c r="IW12" s="172"/>
      <c r="IX12" s="189">
        <v>1</v>
      </c>
      <c r="IY12" s="190">
        <v>2</v>
      </c>
      <c r="IZ12" s="190">
        <v>3</v>
      </c>
      <c r="JA12" s="190">
        <v>4</v>
      </c>
      <c r="JB12" s="190">
        <v>5</v>
      </c>
      <c r="JC12" s="190">
        <v>6</v>
      </c>
      <c r="JD12" s="190">
        <v>7</v>
      </c>
      <c r="JE12" s="190">
        <v>8</v>
      </c>
      <c r="JF12" s="190">
        <v>9</v>
      </c>
      <c r="JG12" s="190">
        <v>10</v>
      </c>
      <c r="JH12" s="190">
        <v>11</v>
      </c>
      <c r="JI12" s="190">
        <v>12</v>
      </c>
      <c r="JJ12" s="190">
        <v>13</v>
      </c>
      <c r="JK12" s="190">
        <v>14</v>
      </c>
      <c r="JL12" s="190">
        <v>15</v>
      </c>
      <c r="JM12" s="190">
        <v>16</v>
      </c>
      <c r="JN12" s="190">
        <v>17</v>
      </c>
      <c r="JO12" s="190">
        <v>18</v>
      </c>
      <c r="JP12" s="190">
        <v>19</v>
      </c>
      <c r="JQ12" s="190">
        <v>20</v>
      </c>
      <c r="JR12" s="190">
        <v>21</v>
      </c>
      <c r="JS12" s="190">
        <v>22</v>
      </c>
      <c r="JT12" s="190">
        <v>23</v>
      </c>
      <c r="JU12" s="190">
        <v>24</v>
      </c>
      <c r="JV12" s="190">
        <v>25</v>
      </c>
      <c r="JW12" s="190">
        <v>26</v>
      </c>
      <c r="JX12" s="190">
        <v>27</v>
      </c>
      <c r="JY12" s="190">
        <v>28</v>
      </c>
      <c r="JZ12" s="191">
        <v>29</v>
      </c>
      <c r="KA12" s="196"/>
      <c r="KB12" s="176"/>
      <c r="KC12" s="197"/>
      <c r="KD12" s="198" t="s">
        <v>1169</v>
      </c>
      <c r="KE12" s="199"/>
      <c r="KF12" s="200"/>
      <c r="KG12" s="200"/>
      <c r="KH12" s="200"/>
      <c r="KI12" s="200"/>
      <c r="KJ12" s="200"/>
      <c r="KK12" s="200"/>
      <c r="KL12" s="200"/>
      <c r="KM12" s="200"/>
      <c r="KN12" s="200"/>
      <c r="KO12" s="200"/>
      <c r="KP12" s="200"/>
      <c r="KQ12" s="200"/>
      <c r="KR12" s="200"/>
      <c r="KS12" s="200"/>
      <c r="KT12" s="200"/>
      <c r="KU12" s="200"/>
      <c r="KV12" s="200"/>
      <c r="KW12" s="200"/>
      <c r="KX12" s="200"/>
      <c r="KY12" s="200"/>
      <c r="KZ12" s="200"/>
      <c r="LA12" s="200"/>
      <c r="LB12" s="200"/>
      <c r="LC12" s="200"/>
      <c r="LD12" s="200"/>
      <c r="LE12" s="200"/>
      <c r="LF12" s="201"/>
    </row>
    <row r="13" spans="1:318" s="175" customFormat="1" ht="11.25" customHeight="1" thickBot="1" x14ac:dyDescent="0.25">
      <c r="A13" s="59"/>
      <c r="B13" s="132" t="s">
        <v>1071</v>
      </c>
      <c r="C13" s="448" t="s">
        <v>1082</v>
      </c>
      <c r="D13" s="448"/>
      <c r="E13" s="448" t="s">
        <v>1072</v>
      </c>
      <c r="F13" s="454"/>
      <c r="G13" s="133" t="s">
        <v>1089</v>
      </c>
      <c r="H13" s="134" t="s">
        <v>1120</v>
      </c>
      <c r="I13" s="135" t="str">
        <f>IF('Outfall 1 Limits'!B16&lt;&gt;"",IF(OR('Outfall 1 Limits'!AH16="",'Outfall 1 Limits'!AH16="*****"),'Outfall 1 Limits'!S16,'Outfall 1 Limits'!AH16),"")</f>
        <v/>
      </c>
      <c r="J13" s="134" t="s">
        <v>1120</v>
      </c>
      <c r="K13" s="135" t="str">
        <f>IF('Outfall 1 Limits'!$B20&lt;&gt;"",IF(OR('Outfall 1 Limits'!$AH20="",'Outfall 1 Limits'!$AH20="*****"),'Outfall 1 Limits'!$S20,'Outfall 1 Limits'!$AH20),"")</f>
        <v/>
      </c>
      <c r="L13" s="134" t="s">
        <v>1120</v>
      </c>
      <c r="M13" s="135" t="str">
        <f>IF('Outfall 1 Limits'!$B24&lt;&gt;"",IF(OR('Outfall 1 Limits'!$AH24="",'Outfall 1 Limits'!$AH24="*****"),'Outfall 1 Limits'!$S24,'Outfall 1 Limits'!$AH24),"")</f>
        <v/>
      </c>
      <c r="N13" s="134" t="s">
        <v>1120</v>
      </c>
      <c r="O13" s="135" t="str">
        <f>IF('Outfall 1 Limits'!$B28&lt;&gt;"",IF(OR('Outfall 1 Limits'!$AH28="",'Outfall 1 Limits'!$AH28="*****"),'Outfall 1 Limits'!$S28,'Outfall 1 Limits'!$AH28),"")</f>
        <v/>
      </c>
      <c r="P13" s="134" t="s">
        <v>1120</v>
      </c>
      <c r="Q13" s="135" t="str">
        <f>IF('Outfall 1 Limits'!$B32&lt;&gt;"",IF(OR('Outfall 1 Limits'!$AH32="",'Outfall 1 Limits'!$AH32="*****"),'Outfall 1 Limits'!$S32,'Outfall 1 Limits'!$AH32),"")</f>
        <v/>
      </c>
      <c r="R13" s="134" t="s">
        <v>1120</v>
      </c>
      <c r="S13" s="135" t="str">
        <f>IF('Outfall 1 Limits'!$B36&lt;&gt;"",IF(OR('Outfall 1 Limits'!$AH36="",'Outfall 1 Limits'!$AH36="*****"),'Outfall 1 Limits'!$S36,'Outfall 1 Limits'!$AH36),"")</f>
        <v/>
      </c>
      <c r="T13" s="134" t="s">
        <v>1120</v>
      </c>
      <c r="U13" s="135" t="str">
        <f>IF('Outfall 1 Limits'!$B40&lt;&gt;"",IF(OR('Outfall 1 Limits'!$AH40="",'Outfall 1 Limits'!$AH40="*****"),'Outfall 1 Limits'!$S40,'Outfall 1 Limits'!$AH40),"")</f>
        <v/>
      </c>
      <c r="V13" s="134" t="s">
        <v>1120</v>
      </c>
      <c r="W13" s="135" t="str">
        <f>IF('Outfall 1 Limits'!$B44&lt;&gt;"",IF(OR('Outfall 1 Limits'!$AH44="",'Outfall 1 Limits'!$AH44="*****"),'Outfall 1 Limits'!$S44,'Outfall 1 Limits'!$AH44),"")</f>
        <v/>
      </c>
      <c r="X13" s="274" t="s">
        <v>1120</v>
      </c>
      <c r="Y13" s="135" t="str">
        <f>IF('Outfall 1 Limits'!$B48&lt;&gt;"",IF(OR('Outfall 1 Limits'!$AH48="",'Outfall 1 Limits'!$AH48="*****"),'Outfall 1 Limits'!$S48,'Outfall 1 Limits'!$AH48),"")</f>
        <v/>
      </c>
      <c r="Z13" s="134" t="s">
        <v>1120</v>
      </c>
      <c r="AA13" s="135" t="str">
        <f>IF('Outfall 1 Limits'!$B52&lt;&gt;"",IF(OR('Outfall 1 Limits'!$AH52="",'Outfall 1 Limits'!$AH52="*****"),'Outfall 1 Limits'!$S52,'Outfall 1 Limits'!$AH52),"")</f>
        <v/>
      </c>
      <c r="AB13" s="134" t="s">
        <v>1120</v>
      </c>
      <c r="AC13" s="135" t="str">
        <f>IF('Outfall 1 Limits'!$B56&lt;&gt;"",IF(OR('Outfall 1 Limits'!$AH56="",'Outfall 1 Limits'!$AH56="*****"),'Outfall 1 Limits'!$S56,'Outfall 1 Limits'!$AH56),"")</f>
        <v/>
      </c>
      <c r="AD13" s="134" t="s">
        <v>1120</v>
      </c>
      <c r="AE13" s="135" t="str">
        <f>IF('Outfall 1 Limits'!$B60&lt;&gt;"",IF(OR('Outfall 1 Limits'!$AH60="",'Outfall 1 Limits'!$AH60="*****"),'Outfall 1 Limits'!$S60,'Outfall 1 Limits'!$AH60),"")</f>
        <v/>
      </c>
      <c r="AF13" s="134" t="s">
        <v>1120</v>
      </c>
      <c r="AG13" s="135" t="str">
        <f>IF('Outfall 1 Limits'!$B64&lt;&gt;"",IF(OR('Outfall 1 Limits'!$AH64="",'Outfall 1 Limits'!$AH64="*****"),'Outfall 1 Limits'!$S64,'Outfall 1 Limits'!$AH64),"")</f>
        <v/>
      </c>
      <c r="AH13" s="134" t="s">
        <v>1120</v>
      </c>
      <c r="AI13" s="135" t="str">
        <f>IF('Outfall 1 Limits'!$B68&lt;&gt;"",IF(OR('Outfall 1 Limits'!$AH68="",'Outfall 1 Limits'!$AH68="*****"),'Outfall 1 Limits'!$S68,'Outfall 1 Limits'!$AH68),"")</f>
        <v/>
      </c>
      <c r="AJ13" s="134" t="s">
        <v>1120</v>
      </c>
      <c r="AK13" s="135" t="str">
        <f>IF('Outfall 1 Limits'!$B72&lt;&gt;"",IF(OR('Outfall 1 Limits'!$AH72="",'Outfall 1 Limits'!$AH72="*****"),'Outfall 1 Limits'!$S72,'Outfall 1 Limits'!$AH72),"")</f>
        <v/>
      </c>
      <c r="AL13" s="134" t="s">
        <v>1120</v>
      </c>
      <c r="AM13" s="135" t="str">
        <f>IF('Outfall 1 Limits'!$B76&lt;&gt;"",IF(OR('Outfall 1 Limits'!$AH76="",'Outfall 1 Limits'!$AH76="*****"),'Outfall 1 Limits'!$S76,'Outfall 1 Limits'!$AH76),"")</f>
        <v/>
      </c>
      <c r="AN13" s="134" t="s">
        <v>1120</v>
      </c>
      <c r="AO13" s="135" t="str">
        <f>IF('Outfall 1 Limits'!$B80&lt;&gt;"",IF(OR('Outfall 1 Limits'!$AH80="",'Outfall 1 Limits'!$AH80="*****"),'Outfall 1 Limits'!$S80,'Outfall 1 Limits'!$AH80),"")</f>
        <v/>
      </c>
      <c r="AP13" s="134" t="s">
        <v>1120</v>
      </c>
      <c r="AQ13" s="135" t="str">
        <f>IF('Outfall 1 Limits'!$B84&lt;&gt;"",IF(OR('Outfall 1 Limits'!$AH84="",'Outfall 1 Limits'!$AH84="*****"),'Outfall 1 Limits'!$S84,'Outfall 1 Limits'!$AH84),"")</f>
        <v/>
      </c>
      <c r="AR13" s="134" t="s">
        <v>1120</v>
      </c>
      <c r="AS13" s="135" t="str">
        <f>IF('Outfall 1 Limits'!$B88&lt;&gt;"",IF(OR('Outfall 1 Limits'!$AH88="",'Outfall 1 Limits'!$AH88="*****"),'Outfall 1 Limits'!$S88,'Outfall 1 Limits'!$AH88),"")</f>
        <v/>
      </c>
      <c r="AT13" s="134" t="s">
        <v>1120</v>
      </c>
      <c r="AU13" s="135" t="str">
        <f>IF('Outfall 1 Limits'!$B92&lt;&gt;"",IF(OR('Outfall 1 Limits'!$AH92="",'Outfall 1 Limits'!$AH92="*****"),'Outfall 1 Limits'!$S92,'Outfall 1 Limits'!$AH92),"")</f>
        <v/>
      </c>
      <c r="AV13" s="134" t="s">
        <v>1120</v>
      </c>
      <c r="AW13" s="135" t="str">
        <f>IF('Outfall 1 Limits'!$B96&lt;&gt;"",IF(OR('Outfall 1 Limits'!$AH96="",'Outfall 1 Limits'!$AH96="*****"),'Outfall 1 Limits'!$S96,'Outfall 1 Limits'!$AH96),"")</f>
        <v/>
      </c>
      <c r="AX13" s="134" t="s">
        <v>1120</v>
      </c>
      <c r="AY13" s="135" t="str">
        <f>IF('Outfall 1 Limits'!$B100&lt;&gt;"",IF(OR('Outfall 1 Limits'!$AH100="",'Outfall 1 Limits'!$AH100="*****"),'Outfall 1 Limits'!$S100,'Outfall 1 Limits'!$AH100),"")</f>
        <v/>
      </c>
      <c r="AZ13" s="134" t="s">
        <v>1120</v>
      </c>
      <c r="BA13" s="135" t="str">
        <f>IF('Outfall 1 Limits'!$B104&lt;&gt;"",IF(OR('Outfall 1 Limits'!$AH104="",'Outfall 1 Limits'!$AH104="*****"),'Outfall 1 Limits'!$S104,'Outfall 1 Limits'!$AH104),"")</f>
        <v/>
      </c>
      <c r="BB13" s="134" t="s">
        <v>1120</v>
      </c>
      <c r="BC13" s="135" t="str">
        <f>IF('Outfall 1 Limits'!$B108&lt;&gt;"",IF(OR('Outfall 1 Limits'!$AH108="",'Outfall 1 Limits'!$AH108="*****"),'Outfall 1 Limits'!$S108,'Outfall 1 Limits'!$AH108),"")</f>
        <v/>
      </c>
      <c r="BD13" s="134" t="s">
        <v>1120</v>
      </c>
      <c r="BE13" s="135" t="str">
        <f>IF('Outfall 1 Limits'!$B112&lt;&gt;"",IF(OR('Outfall 1 Limits'!$AH112="",'Outfall 1 Limits'!$AH112="*****"),'Outfall 1 Limits'!$S112,'Outfall 1 Limits'!$AH112),"")</f>
        <v/>
      </c>
      <c r="BF13" s="134" t="s">
        <v>1120</v>
      </c>
      <c r="BG13" s="135" t="str">
        <f>IF('Outfall 1 Limits'!$B116&lt;&gt;"",IF(OR('Outfall 1 Limits'!$AH116="",'Outfall 1 Limits'!$AH116="*****"),'Outfall 1 Limits'!$S116,'Outfall 1 Limits'!$AH116),"")</f>
        <v/>
      </c>
      <c r="BH13" s="134" t="s">
        <v>1120</v>
      </c>
      <c r="BI13" s="135" t="str">
        <f>IF('Outfall 1 Limits'!$B120&lt;&gt;"",IF(OR('Outfall 1 Limits'!$AH120="",'Outfall 1 Limits'!$AH120="*****"),'Outfall 1 Limits'!$S120,'Outfall 1 Limits'!$AH120),"")</f>
        <v/>
      </c>
      <c r="BJ13" s="134" t="s">
        <v>1120</v>
      </c>
      <c r="BK13" s="135" t="str">
        <f>IF('Outfall 1 Limits'!$B124&lt;&gt;"",IF(OR('Outfall 1 Limits'!$AH124="",'Outfall 1 Limits'!$AH124="*****"),'Outfall 1 Limits'!$S124,'Outfall 1 Limits'!$AH124),"")</f>
        <v/>
      </c>
      <c r="BL13" s="134" t="s">
        <v>1120</v>
      </c>
      <c r="BM13" s="136" t="str">
        <f>IF('Outfall 1 Limits'!$B128&lt;&gt;"",IF(OR('Outfall 1 Limits'!$AH128="",'Outfall 1 Limits'!$AH128="*****"),'Outfall 1 Limits'!$S128,'Outfall 1 Limits'!$AH128),"")</f>
        <v/>
      </c>
      <c r="BO13" s="174">
        <v>12</v>
      </c>
      <c r="BP13" s="174">
        <v>2032</v>
      </c>
      <c r="BQ13" s="179" t="s">
        <v>28</v>
      </c>
      <c r="BR13" s="174"/>
      <c r="BS13" s="174" t="s">
        <v>1101</v>
      </c>
      <c r="BT13" s="172"/>
      <c r="BU13" s="202"/>
      <c r="BV13" s="196"/>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4"/>
      <c r="CX13" s="172"/>
      <c r="CY13" s="205"/>
      <c r="CZ13" s="206"/>
      <c r="DA13" s="207"/>
      <c r="DB13" s="206"/>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8"/>
      <c r="EB13" s="209" t="s">
        <v>377</v>
      </c>
      <c r="EC13" s="202" t="str">
        <f>IF(SUM(I17:I23)&gt;0,IF(BU68="Y",AVERAGE(I17:I23),AVERAGE(CY17:CY23)),"")</f>
        <v/>
      </c>
      <c r="ED13" s="196" t="str">
        <f>IF(SUM(K17:K23)&gt;0,IF(BV68="Y",AVERAGE(K17:K23),AVERAGE(CZ17:CZ23)),"")</f>
        <v/>
      </c>
      <c r="EE13" s="196" t="str">
        <f>IF(SUM(M17:M23)&gt;0,IF(BW68="Y",AVERAGE(M17:M23),AVERAGE(DA17:DA23)),"")</f>
        <v/>
      </c>
      <c r="EF13" s="196" t="str">
        <f>IF(SUM(O17:O23)&gt;0,IF(BX68="Y",AVERAGE(O17:O23),AVERAGE(DB17:DB23)),"")</f>
        <v/>
      </c>
      <c r="EG13" s="196" t="str">
        <f>IF(SUM(Q17:Q23)&gt;0,IF(BY68="Y",AVERAGE(Q17:Q23),AVERAGE(DC17:DC23)),"")</f>
        <v/>
      </c>
      <c r="EH13" s="196" t="str">
        <f>IF(SUM(S17:S23)&gt;0,IF(BZ68="Y",AVERAGE(S17:S23),AVERAGE(DD17:DD23)),"")</f>
        <v/>
      </c>
      <c r="EI13" s="196" t="str">
        <f>IF(SUM(U17:U23)&gt;0,IF(CA68="Y",AVERAGE(U17:U23),AVERAGE(DE17:DE23)),"")</f>
        <v/>
      </c>
      <c r="EJ13" s="196" t="str">
        <f>IF(SUM(W17:W23)&gt;0,IF(CB68="Y",AVERAGE(W17:W23),AVERAGE(DF17:DF23)),"")</f>
        <v/>
      </c>
      <c r="EK13" s="196" t="str">
        <f>IF(SUM(Y17:Y23)&gt;0,IF(CC68="Y",AVERAGE(Y17:Y23),AVERAGE(DG17:DG23)),"")</f>
        <v/>
      </c>
      <c r="EL13" s="196" t="str">
        <f>IF(SUM(AA17:AA23)&gt;0,IF(CD68="Y",AVERAGE(AA17:AA23),AVERAGE(DH17:DH23)),"")</f>
        <v/>
      </c>
      <c r="EM13" s="196" t="str">
        <f>IF(SUM(AC17:AC23)&gt;0,IF(CE68="Y",AVERAGE(AC17:AC23),AVERAGE(DI17:DI23)),"")</f>
        <v/>
      </c>
      <c r="EN13" s="196" t="str">
        <f>IF(SUM(AE17:AE23)&gt;0,IF(CF68="Y",AVERAGE(AE17:AE23),AVERAGE(DJ17:DJ23)),"")</f>
        <v/>
      </c>
      <c r="EO13" s="196" t="str">
        <f>IF(SUM(AG17:AG23)&gt;0,IF(CG68="Y",AVERAGE(AG17:AG23),AVERAGE(DK17:DK23)),"")</f>
        <v/>
      </c>
      <c r="EP13" s="196" t="str">
        <f>IF(SUM(AI17:AI23)&gt;0,IF(CH68="Y",AVERAGE(AI17:AI23),AVERAGE(DL17:DL23)),"")</f>
        <v/>
      </c>
      <c r="EQ13" s="196" t="str">
        <f>IF(SUM(AK17:AK23)&gt;0,IF(CI68="Y",AVERAGE(AK17:AK23),AVERAGE(DM17:DM23)),"")</f>
        <v/>
      </c>
      <c r="ER13" s="196" t="str">
        <f>IF(SUM(AM17:AM23)&gt;0,IF(CJ68="Y",AVERAGE(AM17:AM23),AVERAGE(DN17:DN23)),"")</f>
        <v/>
      </c>
      <c r="ES13" s="196" t="str">
        <f>IF(SUM(AO17:AO23)&gt;0,IF(CK68="Y",AVERAGE(AO17:AO23),AVERAGE(DO17:DO23)),"")</f>
        <v/>
      </c>
      <c r="ET13" s="196" t="str">
        <f>IF(SUM(AQ17:AQ23)&gt;0,IF(CL68="Y",AVERAGE(AQ17:AQ23),AVERAGE(DP17:DP23)),"")</f>
        <v/>
      </c>
      <c r="EU13" s="196" t="str">
        <f>IF(SUM(AS17:AS23)&gt;0,IF(CM68="Y",AVERAGE(AS17:AS23),AVERAGE(DQ17:DQ23)),"")</f>
        <v/>
      </c>
      <c r="EV13" s="196" t="str">
        <f>IF(SUM(AU17:AU23)&gt;0,IF(CN68="Y",AVERAGE(AU17:AU23),AVERAGE(DR17:DR23)),"")</f>
        <v/>
      </c>
      <c r="EW13" s="196" t="str">
        <f>IF(SUM(AW17:AW23)&gt;0,IF(CO68="Y",AVERAGE(AW17:AW23),AVERAGE(DS17:DS23)),"")</f>
        <v/>
      </c>
      <c r="EX13" s="196" t="str">
        <f>IF(SUM(AY17:AY23)&gt;0,IF(CP68="Y",AVERAGE(AY17:AY23),AVERAGE(DT17:DT23)),"")</f>
        <v/>
      </c>
      <c r="EY13" s="196" t="str">
        <f>IF(SUM(BA17:BA23)&gt;0,IF(CQ68="Y",AVERAGE(BA17:BA23),AVERAGE(DU17:DU23)),"")</f>
        <v/>
      </c>
      <c r="EZ13" s="196" t="str">
        <f>IF(SUM(BC17:BC23)&gt;0,IF(CR68="Y",AVERAGE(BC17:BC23),AVERAGE(DV17:DV23)),"")</f>
        <v/>
      </c>
      <c r="FA13" s="196" t="str">
        <f>IF(SUM(BE17:BE23)&gt;0,IF(CS68="Y",AVERAGE(BE17:BE23),AVERAGE(DW17:DW23)),"")</f>
        <v/>
      </c>
      <c r="FB13" s="196" t="str">
        <f>IF(SUM(BG17:BG23)&gt;0,IF(CT68="Y",AVERAGE(BG17:BG23),AVERAGE(DX17:DX23)),"")</f>
        <v/>
      </c>
      <c r="FC13" s="196" t="str">
        <f>IF(SUM(BI17:BI23)&gt;0,IF(CU68="Y",AVERAGE(BI17:BI23),AVERAGE(DY17:DY23)),"")</f>
        <v/>
      </c>
      <c r="FD13" s="196" t="str">
        <f>IF(SUM(BK17:BK23)&gt;0,IF(CV68="Y",AVERAGE(BK17:BK23),AVERAGE(DZ17:DZ23)),"")</f>
        <v/>
      </c>
      <c r="FE13" s="210" t="str">
        <f>IF(SUM(BM17:BM23)&gt;0,IF(CW68="Y",AVERAGE(BM17:BM23),AVERAGE(EA17:EA23)),"")</f>
        <v/>
      </c>
      <c r="FF13" s="172"/>
      <c r="FG13" s="211"/>
      <c r="FH13" s="203"/>
      <c r="FI13" s="203"/>
      <c r="FJ13" s="203"/>
      <c r="FK13" s="203"/>
      <c r="FL13" s="203"/>
      <c r="FM13" s="203"/>
      <c r="FN13" s="203"/>
      <c r="FO13" s="203"/>
      <c r="FP13" s="203"/>
      <c r="FQ13" s="203"/>
      <c r="FR13" s="203"/>
      <c r="FS13" s="203"/>
      <c r="FT13" s="203"/>
      <c r="FU13" s="203"/>
      <c r="FV13" s="203"/>
      <c r="FW13" s="203"/>
      <c r="FX13" s="203"/>
      <c r="FY13" s="203"/>
      <c r="FZ13" s="203"/>
      <c r="GA13" s="203"/>
      <c r="GB13" s="203"/>
      <c r="GC13" s="203"/>
      <c r="GD13" s="203"/>
      <c r="GE13" s="203"/>
      <c r="GF13" s="203"/>
      <c r="GG13" s="203"/>
      <c r="GH13" s="203"/>
      <c r="GI13" s="204"/>
      <c r="GJ13" s="172"/>
      <c r="GK13" s="212"/>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13"/>
      <c r="HL13" s="213"/>
      <c r="HM13" s="214"/>
      <c r="HN13" s="215"/>
      <c r="HO13" s="216"/>
      <c r="HP13" s="172"/>
      <c r="HQ13" s="172"/>
      <c r="HR13" s="172"/>
      <c r="HS13" s="202"/>
      <c r="HT13" s="196"/>
      <c r="HU13" s="196"/>
      <c r="HV13" s="196"/>
      <c r="HW13" s="196"/>
      <c r="HX13" s="196"/>
      <c r="HY13" s="196"/>
      <c r="HZ13" s="196"/>
      <c r="IA13" s="196"/>
      <c r="IB13" s="196"/>
      <c r="IC13" s="196"/>
      <c r="ID13" s="196"/>
      <c r="IE13" s="196"/>
      <c r="IF13" s="196"/>
      <c r="IG13" s="196"/>
      <c r="IH13" s="196"/>
      <c r="II13" s="196"/>
      <c r="IJ13" s="196"/>
      <c r="IK13" s="217"/>
      <c r="IL13" s="196"/>
      <c r="IM13" s="196"/>
      <c r="IN13" s="196"/>
      <c r="IO13" s="196"/>
      <c r="IP13" s="196"/>
      <c r="IQ13" s="196"/>
      <c r="IR13" s="196"/>
      <c r="IS13" s="196"/>
      <c r="IT13" s="196"/>
      <c r="IU13" s="210"/>
      <c r="IW13" s="172"/>
      <c r="IX13" s="202"/>
      <c r="IY13" s="196"/>
      <c r="IZ13" s="196"/>
      <c r="JA13" s="196"/>
      <c r="JB13" s="196"/>
      <c r="JC13" s="196"/>
      <c r="JD13" s="196"/>
      <c r="JE13" s="196"/>
      <c r="JF13" s="196"/>
      <c r="JG13" s="196"/>
      <c r="JH13" s="196"/>
      <c r="JI13" s="196"/>
      <c r="JJ13" s="196"/>
      <c r="JK13" s="196"/>
      <c r="JL13" s="196"/>
      <c r="JM13" s="196"/>
      <c r="JN13" s="196"/>
      <c r="JO13" s="196"/>
      <c r="JP13" s="217"/>
      <c r="JQ13" s="196"/>
      <c r="JR13" s="196"/>
      <c r="JS13" s="196"/>
      <c r="JT13" s="196"/>
      <c r="JU13" s="196"/>
      <c r="JV13" s="196"/>
      <c r="JW13" s="196"/>
      <c r="JX13" s="196"/>
      <c r="JY13" s="196"/>
      <c r="JZ13" s="210"/>
      <c r="KA13" s="196"/>
      <c r="KB13" s="176"/>
      <c r="KC13" s="178"/>
      <c r="KD13" s="218">
        <v>1</v>
      </c>
      <c r="KE13" s="196">
        <v>2</v>
      </c>
      <c r="KF13" s="196">
        <v>3</v>
      </c>
      <c r="KG13" s="196">
        <v>4</v>
      </c>
      <c r="KH13" s="196">
        <v>5</v>
      </c>
      <c r="KI13" s="196">
        <v>6</v>
      </c>
      <c r="KJ13" s="196">
        <v>7</v>
      </c>
      <c r="KK13" s="196">
        <v>8</v>
      </c>
      <c r="KL13" s="196">
        <v>9</v>
      </c>
      <c r="KM13" s="196">
        <v>10</v>
      </c>
      <c r="KN13" s="196">
        <v>11</v>
      </c>
      <c r="KO13" s="196">
        <v>12</v>
      </c>
      <c r="KP13" s="196">
        <v>13</v>
      </c>
      <c r="KQ13" s="196">
        <v>14</v>
      </c>
      <c r="KR13" s="196">
        <v>15</v>
      </c>
      <c r="KS13" s="196">
        <v>16</v>
      </c>
      <c r="KT13" s="196">
        <v>17</v>
      </c>
      <c r="KU13" s="196">
        <v>18</v>
      </c>
      <c r="KV13" s="196">
        <v>19</v>
      </c>
      <c r="KW13" s="196">
        <v>20</v>
      </c>
      <c r="KX13" s="196">
        <v>21</v>
      </c>
      <c r="KY13" s="196">
        <v>22</v>
      </c>
      <c r="KZ13" s="196">
        <v>23</v>
      </c>
      <c r="LA13" s="196">
        <v>24</v>
      </c>
      <c r="LB13" s="196">
        <v>25</v>
      </c>
      <c r="LC13" s="196">
        <v>26</v>
      </c>
      <c r="LD13" s="196">
        <v>27</v>
      </c>
      <c r="LE13" s="196">
        <v>28</v>
      </c>
      <c r="LF13" s="219">
        <v>29</v>
      </c>
    </row>
    <row r="14" spans="1:318" s="220" customFormat="1" ht="11.25" customHeight="1" thickTop="1" x14ac:dyDescent="0.2">
      <c r="A14" s="35"/>
      <c r="B14" s="56"/>
      <c r="C14" s="455" t="str">
        <f t="shared" ref="C14:C51" si="0">$E14</f>
        <v/>
      </c>
      <c r="D14" s="455"/>
      <c r="E14" s="452" t="str">
        <f>IF($E15="","",IF(MONTH($E15-1)&lt;&gt;$P$6,"",$E15-1))</f>
        <v/>
      </c>
      <c r="F14" s="453"/>
      <c r="G14" s="25"/>
      <c r="H14" s="49"/>
      <c r="I14" s="50"/>
      <c r="J14" s="49"/>
      <c r="K14" s="50"/>
      <c r="L14" s="49"/>
      <c r="M14" s="50"/>
      <c r="N14" s="49"/>
      <c r="O14" s="50"/>
      <c r="P14" s="49"/>
      <c r="Q14" s="50"/>
      <c r="R14" s="49"/>
      <c r="S14" s="50"/>
      <c r="T14" s="49"/>
      <c r="U14" s="50"/>
      <c r="V14" s="49"/>
      <c r="W14" s="50"/>
      <c r="X14" s="275"/>
      <c r="Y14" s="50"/>
      <c r="Z14" s="49"/>
      <c r="AA14" s="50"/>
      <c r="AB14" s="49"/>
      <c r="AC14" s="50"/>
      <c r="AD14" s="49"/>
      <c r="AE14" s="50"/>
      <c r="AF14" s="49"/>
      <c r="AG14" s="50"/>
      <c r="AH14" s="49"/>
      <c r="AI14" s="50"/>
      <c r="AJ14" s="49"/>
      <c r="AK14" s="50"/>
      <c r="AL14" s="49"/>
      <c r="AM14" s="50"/>
      <c r="AN14" s="49"/>
      <c r="AO14" s="50"/>
      <c r="AP14" s="49"/>
      <c r="AQ14" s="50"/>
      <c r="AR14" s="49"/>
      <c r="AS14" s="50"/>
      <c r="AT14" s="49"/>
      <c r="AU14" s="50"/>
      <c r="AV14" s="49"/>
      <c r="AW14" s="50"/>
      <c r="AX14" s="49"/>
      <c r="AY14" s="50"/>
      <c r="AZ14" s="49"/>
      <c r="BA14" s="50"/>
      <c r="BB14" s="49"/>
      <c r="BC14" s="50"/>
      <c r="BD14" s="49"/>
      <c r="BE14" s="50"/>
      <c r="BF14" s="49"/>
      <c r="BG14" s="50"/>
      <c r="BH14" s="49"/>
      <c r="BI14" s="50"/>
      <c r="BJ14" s="49"/>
      <c r="BK14" s="50"/>
      <c r="BL14" s="49"/>
      <c r="BM14" s="109"/>
      <c r="BO14" s="174"/>
      <c r="BP14" s="174">
        <v>2033</v>
      </c>
      <c r="BQ14" s="221" t="s">
        <v>29</v>
      </c>
      <c r="BR14" s="222"/>
      <c r="BS14" s="174" t="s">
        <v>1102</v>
      </c>
      <c r="BT14" s="172"/>
      <c r="BU14" s="202" t="str">
        <f>IF(I14&lt;&gt;"",IF(H14="&lt;",0.99,1),"")</f>
        <v/>
      </c>
      <c r="BV14" s="196" t="str">
        <f>IF(K14&lt;&gt;"",IF(J14="&lt;",0.99,1),"")</f>
        <v/>
      </c>
      <c r="BW14" s="196" t="str">
        <f>IF(M14&lt;&gt;"",IF(L14="&lt;",0.99,1),"")</f>
        <v/>
      </c>
      <c r="BX14" s="196" t="str">
        <f>IF(O14&lt;&gt;"",IF(N14="&lt;",0.99,1),"")</f>
        <v/>
      </c>
      <c r="BY14" s="196" t="str">
        <f>IF(Q14&lt;&gt;"",IF(P14="&lt;",0.99,1),"")</f>
        <v/>
      </c>
      <c r="BZ14" s="196" t="str">
        <f>IF(S14&lt;&gt;"",IF(R14="&lt;",0.99,1),"")</f>
        <v/>
      </c>
      <c r="CA14" s="196" t="str">
        <f>IF(U14&lt;&gt;"",IF(T14="&lt;",0.99,1),"")</f>
        <v/>
      </c>
      <c r="CB14" s="196" t="str">
        <f>IF(W14&lt;&gt;"",IF(V14="&lt;",0.99,1),"")</f>
        <v/>
      </c>
      <c r="CC14" s="196" t="str">
        <f>IF(Y14&lt;&gt;"",IF(X14="&lt;",0.99,1),"")</f>
        <v/>
      </c>
      <c r="CD14" s="196" t="str">
        <f>IF(AA14&lt;&gt;"",IF(Z14="&lt;",0.99,1),"")</f>
        <v/>
      </c>
      <c r="CE14" s="196" t="str">
        <f>IF(AC14&lt;&gt;"",IF(AB14="&lt;",0.99,1),"")</f>
        <v/>
      </c>
      <c r="CF14" s="196" t="str">
        <f>IF(AE14&lt;&gt;"",IF(AD14="&lt;",0.99,1),"")</f>
        <v/>
      </c>
      <c r="CG14" s="196" t="str">
        <f>IF(AG14&lt;&gt;"",IF(AF14="&lt;",0.99,1),"")</f>
        <v/>
      </c>
      <c r="CH14" s="196" t="str">
        <f>IF(AI14&lt;&gt;"",IF(AH14="&lt;",0.99,1),"")</f>
        <v/>
      </c>
      <c r="CI14" s="196" t="str">
        <f>IF(AK14&lt;&gt;"",IF(AJ14="&lt;",0.99,1),"")</f>
        <v/>
      </c>
      <c r="CJ14" s="196" t="str">
        <f>IF(AM14&lt;&gt;"",IF(AL14="&lt;",0.99,1),"")</f>
        <v/>
      </c>
      <c r="CK14" s="196" t="str">
        <f>IF(AO14&lt;&gt;"",IF(AN14="&lt;",0.99,1),"")</f>
        <v/>
      </c>
      <c r="CL14" s="196" t="str">
        <f>IF(AQ14&lt;&gt;"",IF(AP14="&lt;",0.99,1),"")</f>
        <v/>
      </c>
      <c r="CM14" s="196" t="str">
        <f t="shared" ref="CM14:CM16" si="1">IF(AS14&lt;&gt;"",IF(AR14="&lt;",0.99,1),"")</f>
        <v/>
      </c>
      <c r="CN14" s="196" t="str">
        <f>IF(AU14&lt;&gt;"",IF(AT14="&lt;",0.99,1),"")</f>
        <v/>
      </c>
      <c r="CO14" s="196" t="str">
        <f>IF(AW14&lt;&gt;"",IF(AV14="&lt;",0.99,1),"")</f>
        <v/>
      </c>
      <c r="CP14" s="196" t="str">
        <f>IF(AY14&lt;&gt;"",IF(AX14="&lt;",0.99,1),"")</f>
        <v/>
      </c>
      <c r="CQ14" s="196" t="str">
        <f>IF(BA14&lt;&gt;"",IF(AZ14="&lt;",0.99,1),"")</f>
        <v/>
      </c>
      <c r="CR14" s="196" t="str">
        <f>IF(BC14&lt;&gt;"",IF(BB14="&lt;",0.99,1),"")</f>
        <v/>
      </c>
      <c r="CS14" s="196" t="str">
        <f>IF(BE14&lt;&gt;"",IF(BD14="&lt;",0.99,1),"")</f>
        <v/>
      </c>
      <c r="CT14" s="196" t="str">
        <f>IF(BG14&lt;&gt;"",IF(BF14="&lt;",0.99,1),"")</f>
        <v/>
      </c>
      <c r="CU14" s="196" t="str">
        <f>IF(BI14&lt;&gt;"",IF(BH14="&lt;",0.99,1),"")</f>
        <v/>
      </c>
      <c r="CV14" s="196" t="str">
        <f>IF(BK14&lt;&gt;"",IF(BJ14="&lt;",0.99,1),"")</f>
        <v/>
      </c>
      <c r="CW14" s="210" t="str">
        <f>IF(BM14&lt;&gt;"",IF(BL14="&lt;",0.99,1),"")</f>
        <v/>
      </c>
      <c r="CX14" s="172"/>
      <c r="CY14" s="212" t="str">
        <f>IF(I14&lt;&gt;"",IF(H14="&lt;",IF(AND('Outfall 1 Limits'!$AM$16="Y",$BU$54&lt;&gt;"Y",I14&lt;='Outfall 1 Limits'!$AL$16),0,(1*I14)),I14),"")</f>
        <v/>
      </c>
      <c r="CZ14" s="206" t="str">
        <f>IF(K14&lt;&gt;"",IF(J14="&lt;",IF(AND('Outfall 1 Limits'!$AM$20="Y",$BV$54&lt;&gt;"Y",K14&lt;='Outfall 1 Limits'!$AL$20),0,(1*K14)),K14),"")</f>
        <v/>
      </c>
      <c r="DA14" s="206" t="str">
        <f>IF(M14&lt;&gt;"",IF(L14="&lt;",IF(AND('Outfall 1 Limits'!$AM$24="Y",$BW$54&lt;&gt;"Y",M14&lt;='Outfall 1 Limits'!$AL$24),0,(1*M14)),M14),"")</f>
        <v/>
      </c>
      <c r="DB14" s="206" t="str">
        <f>IF(O14&lt;&gt;"",IF(N14="&lt;",IF(AND('Outfall 1 Limits'!$AM$28="Y",$BX$54&lt;&gt;"Y",O14&lt;='Outfall 1 Limits'!$AL$28),0,(1*O14)),O14),"")</f>
        <v/>
      </c>
      <c r="DC14" s="206" t="str">
        <f>IF(Q14&lt;&gt;"",IF(P14="&lt;",IF(AND('Outfall 1 Limits'!$AM$32="Y",$BY$54&lt;&gt;"Y",Q14&lt;='Outfall 1 Limits'!$AL$32),0,(1*Q14)),Q14),"")</f>
        <v/>
      </c>
      <c r="DD14" s="206" t="str">
        <f>IF(S14&lt;&gt;"",IF(R14="&lt;",IF(AND('Outfall 1 Limits'!$AM$36="Y",$BZ$54&lt;&gt;"Y",S14&lt;='Outfall 1 Limits'!$AL$36),0,(1*S14)),S14),"")</f>
        <v/>
      </c>
      <c r="DE14" s="206" t="str">
        <f>IF(U14&lt;&gt;"",IF(T14="&lt;",IF(AND('Outfall 1 Limits'!$AM$40="Y",$CA$54&lt;&gt;"Y",U14&lt;='Outfall 1 Limits'!$AL$40),0,(1*U14)),U14),"")</f>
        <v/>
      </c>
      <c r="DF14" s="206" t="str">
        <f>IF(W14&lt;&gt;"",IF(V14="&lt;",IF(AND('Outfall 1 Limits'!$AM$44="Y",$CB$54&lt;&gt;"Y",W14&lt;='Outfall 1 Limits'!$AL$44),0,(1*W14)),W14),"")</f>
        <v/>
      </c>
      <c r="DG14" s="206" t="str">
        <f>IF(Y14&lt;&gt;"",IF(X14="&lt;",IF(AND('Outfall 1 Limits'!$AM$48="Y",$CC$54&lt;&gt;"Y",Y14&lt;='Outfall 1 Limits'!$AL$48),0,(1*Y14)),Y14),"")</f>
        <v/>
      </c>
      <c r="DH14" s="206" t="str">
        <f>IF(AA14&lt;&gt;"",IF(Z14="&lt;",IF(AND('Outfall 1 Limits'!$AM$52="Y",$CD$54&lt;&gt;"Y",AA14&lt;='Outfall 1 Limits'!$AL$52),0,(1*AA14)),AA14),"")</f>
        <v/>
      </c>
      <c r="DI14" s="206" t="str">
        <f>IF(AC14&lt;&gt;"",IF(AB14="&lt;",IF(AND('Outfall 1 Limits'!$AM$56="Y",$CE$54&lt;&gt;"Y",AC14&lt;='Outfall 1 Limits'!$AL$56),0,(1*AC14)),AC14),"")</f>
        <v/>
      </c>
      <c r="DJ14" s="206" t="str">
        <f>IF(AE14&lt;&gt;"",IF(AD14="&lt;",IF(AND('Outfall 1 Limits'!$AM$60="Y",$CF$54&lt;&gt;"Y",AE14&lt;='Outfall 1 Limits'!$AL$60),0,(1*AE14)),AE14),"")</f>
        <v/>
      </c>
      <c r="DK14" s="206" t="str">
        <f>IF(AG14&lt;&gt;"",IF(AF14="&lt;",IF(AND('Outfall 1 Limits'!$AM$64="Y",$CG$54&lt;&gt;"Y",AG14&lt;='Outfall 1 Limits'!$AL$64),0,(1*AG14)),AG14),"")</f>
        <v/>
      </c>
      <c r="DL14" s="206" t="str">
        <f>IF(AI14&lt;&gt;"",IF(AH14="&lt;",IF(AND('Outfall 1 Limits'!$AM$68="Y",$CH$54&lt;&gt;"Y",AI14&lt;='Outfall 1 Limits'!$AL$68),0,(1*AI14)),AI14),"")</f>
        <v/>
      </c>
      <c r="DM14" s="206" t="str">
        <f>IF(AK14&lt;&gt;"",IF(AJ14="&lt;",IF(AND('Outfall 1 Limits'!$AM$72="Y",$CI$54&lt;&gt;"Y",AK14&lt;='Outfall 1 Limits'!$AL$72),0,(1*AK14)),AK14),"")</f>
        <v/>
      </c>
      <c r="DN14" s="206" t="str">
        <f>IF(AM14&lt;&gt;"",IF(AL14="&lt;",IF(AND('Outfall 1 Limits'!$AM$76="Y",$CJ$54&lt;&gt;"Y",AM14&lt;='Outfall 1 Limits'!$AL$76),0,(1*AM14)),AM14),"")</f>
        <v/>
      </c>
      <c r="DO14" s="206" t="str">
        <f>IF(AO14&lt;&gt;"",IF(AN14="&lt;",IF(AND('Outfall 1 Limits'!$AM$80="Y",$CK$54&lt;&gt;"Y",AO14&lt;='Outfall 1 Limits'!$AL$80),0,(1*AO14)),AO14),"")</f>
        <v/>
      </c>
      <c r="DP14" s="206" t="str">
        <f>IF(AQ14&lt;&gt;"",IF(AP14="&lt;",IF(AND('Outfall 1 Limits'!$AM$84="Y",$CL$54&lt;&gt;"Y",AQ14&lt;='Outfall 1 Limits'!$AL$84),0,(1*AQ14)),AQ14),"")</f>
        <v/>
      </c>
      <c r="DQ14" s="206" t="str">
        <f>IF(AS14&lt;&gt;"",IF(AR14="&lt;",IF(AND('Outfall 1 Limits'!$AM$88="Y",$CM$54&lt;&gt;"Y",AS14&lt;='Outfall 1 Limits'!$AL$88),0,(1*AS14)),AS14),"")</f>
        <v/>
      </c>
      <c r="DR14" s="206" t="str">
        <f>IF(AU14&lt;&gt;"",IF(AT14="&lt;",IF(AND('Outfall 1 Limits'!$AM$92="Y",$CN$54&lt;&gt;"Y",AU14&lt;='Outfall 1 Limits'!$AL$92),0,(1*AU14)),AU14),"")</f>
        <v/>
      </c>
      <c r="DS14" s="206" t="str">
        <f>IF(AW14&lt;&gt;"",IF(AV14="&lt;",IF(AND('Outfall 1 Limits'!$AM$96="Y",$CO$54&lt;&gt;"Y",AW14&lt;='Outfall 1 Limits'!$AL$96),0,(1*AW14)),AW14),"")</f>
        <v/>
      </c>
      <c r="DT14" s="206" t="str">
        <f>IF(AY14&lt;&gt;"",IF(AX14="&lt;",IF(AND('Outfall 1 Limits'!$AM$100="Y",$CP$54&lt;&gt;"Y",AY14&lt;='Outfall 1 Limits'!$AL$100),0,(1*AY14)),AY14),"")</f>
        <v/>
      </c>
      <c r="DU14" s="206" t="str">
        <f>IF(BA14&lt;&gt;"",IF(AZ14="&lt;",IF(AND('Outfall 1 Limits'!$AM$104="Y",$CQ$54&lt;&gt;"Y",BA14&lt;='Outfall 1 Limits'!$AL$104),0,(1*BA14)),BA14),"")</f>
        <v/>
      </c>
      <c r="DV14" s="206" t="str">
        <f>IF(BC14&lt;&gt;"",IF(BB14="&lt;",IF(AND('Outfall 1 Limits'!$AM$108="Y",$CR$54&lt;&gt;"Y",BC14&lt;='Outfall 1 Limits'!$AL$108),0,(1*BC14)),BC14),"")</f>
        <v/>
      </c>
      <c r="DW14" s="206" t="str">
        <f>IF(BE14&lt;&gt;"",IF(BD14="&lt;",IF(AND('Outfall 1 Limits'!$AM$112="Y",$CS$54&lt;&gt;"Y",BE14&lt;='Outfall 1 Limits'!$AL$112),0,(1*BE14)),BE14),"")</f>
        <v/>
      </c>
      <c r="DX14" s="206" t="str">
        <f>IF(BG14&lt;&gt;"",IF(BF14="&lt;",IF(AND('Outfall 1 Limits'!$AM$116="Y",$CT$54&lt;&gt;"Y",BG14&lt;='Outfall 1 Limits'!$AL$116),0,(1*BG14)),BG14),"")</f>
        <v/>
      </c>
      <c r="DY14" s="206" t="str">
        <f>IF(BI14&lt;&gt;"",IF(BH14="&lt;",IF(AND('Outfall 1 Limits'!$AM$120="Y",$CU$54&lt;&gt;"Y",BI14&lt;='Outfall 1 Limits'!$AL$120),0,(1*BI14)),BI14),"")</f>
        <v/>
      </c>
      <c r="DZ14" s="206" t="str">
        <f>IF(BK14&lt;&gt;"",IF(BJ14="&lt;",IF(AND('Outfall 1 Limits'!$AM$124="Y",$CV$54&lt;&gt;"Y",BK14&lt;='Outfall 1 Limits'!$AL$124),0,(1*BK14)),BK14),"")</f>
        <v/>
      </c>
      <c r="EA14" s="223" t="str">
        <f>IF(BM14&lt;&gt;"",IF(BL14="&lt;",IF(AND('Outfall 1 Limits'!$AM$128="Y",$CW$54&lt;&gt;"Y",BM14&lt;='Outfall 1 Limits'!$AL$128),0,(1*BM14)),BM14),"")</f>
        <v/>
      </c>
      <c r="EB14" s="209" t="s">
        <v>378</v>
      </c>
      <c r="EC14" s="202" t="str">
        <f>IF(SUM(I24:I30)&gt;0,IF(BU70="Y",AVERAGE(I24:I30),AVERAGE(CY24:CY30)),"")</f>
        <v/>
      </c>
      <c r="ED14" s="196" t="str">
        <f>IF(SUM(K24:K30)&gt;0,IF(BV70="Y",AVERAGE(K24:K30),AVERAGE(CZ24:CZ30)),"")</f>
        <v/>
      </c>
      <c r="EE14" s="196" t="str">
        <f>IF(SUM(M24:M30)&gt;0,IF(BW70="Y",AVERAGE(M24:M30),AVERAGE(DA24:DA30)),"")</f>
        <v/>
      </c>
      <c r="EF14" s="196" t="str">
        <f>IF(SUM(O24:O30)&gt;0,IF(BX70="Y",AVERAGE(O24:O30),AVERAGE(DB24:DB30)),"")</f>
        <v/>
      </c>
      <c r="EG14" s="196" t="str">
        <f>IF(SUM(Q24:Q30)&gt;0,IF(BY70="Y",AVERAGE(Q24:Q30),AVERAGE(DC24:DC30)),"")</f>
        <v/>
      </c>
      <c r="EH14" s="196" t="str">
        <f>IF(SUM(S24:S30)&gt;0,IF(BZ70="Y",AVERAGE(S24:S30),AVERAGE(DD24:DD30)),"")</f>
        <v/>
      </c>
      <c r="EI14" s="196" t="str">
        <f>IF(SUM(U24:U30)&gt;0,IF(CA70="Y",AVERAGE(U24:U30),AVERAGE(DE24:DE30)),"")</f>
        <v/>
      </c>
      <c r="EJ14" s="196" t="str">
        <f>IF(SUM(W24:W30)&gt;0,IF(CB70="Y",AVERAGE(W24:W30),AVERAGE(DF24:DF30)),"")</f>
        <v/>
      </c>
      <c r="EK14" s="196" t="str">
        <f>IF(SUM(Y24:Y30)&gt;0,IF(CC70="Y",AVERAGE(Y24:Y30),AVERAGE(DG24:DG30)),"")</f>
        <v/>
      </c>
      <c r="EL14" s="196" t="str">
        <f>IF(SUM(AA24:AA30)&gt;0,IF(CD70="Y",AVERAGE(AA24:AA30),AVERAGE(DH24:DH30)),"")</f>
        <v/>
      </c>
      <c r="EM14" s="196" t="str">
        <f>IF(SUM(AC24:AC30)&gt;0,IF(CE70="Y",AVERAGE(AC24:AC30),AVERAGE(DI24:DI30)),"")</f>
        <v/>
      </c>
      <c r="EN14" s="196" t="str">
        <f>IF(SUM(AE24:AE30)&gt;0,IF(CF70="Y",AVERAGE(AE24:AE30),AVERAGE(DJ24:DJ30)),"")</f>
        <v/>
      </c>
      <c r="EO14" s="196" t="str">
        <f>IF(SUM(AG24:AG30)&gt;0,IF(CG70="Y",AVERAGE(AG24:AG30),AVERAGE(DK24:DK30)),"")</f>
        <v/>
      </c>
      <c r="EP14" s="196" t="str">
        <f>IF(SUM(AI24:AI30)&gt;0,IF(CH70="Y",AVERAGE(AI24:AI30),AVERAGE(DL24:DL30)),"")</f>
        <v/>
      </c>
      <c r="EQ14" s="196" t="str">
        <f>IF(SUM(AK24:AK30)&gt;0,IF(CI70="Y",AVERAGE(AK24:AK30),AVERAGE(DM24:DM30)),"")</f>
        <v/>
      </c>
      <c r="ER14" s="196" t="str">
        <f>IF(SUM(AM24:AM30)&gt;0,IF(CJ70="Y",AVERAGE(AM24:AM30),AVERAGE(DN24:DN30)),"")</f>
        <v/>
      </c>
      <c r="ES14" s="196" t="str">
        <f>IF(SUM(AO24:AO30)&gt;0,IF(CK70="Y",AVERAGE(AO24:AO30),AVERAGE(DO24:DO30)),"")</f>
        <v/>
      </c>
      <c r="ET14" s="196" t="str">
        <f>IF(SUM(AQ24:AQ30)&gt;0,IF(CL70="Y",AVERAGE(AQ24:AQ30),AVERAGE(DP24:DP30)),"")</f>
        <v/>
      </c>
      <c r="EU14" s="196" t="str">
        <f>IF(SUM(AS24:AS30)&gt;0,IF(CM70="Y",AVERAGE(AS24:AS30),AVERAGE(DQ24:DQ30)),"")</f>
        <v/>
      </c>
      <c r="EV14" s="196" t="str">
        <f>IF(SUM(AU24:AU30)&gt;0,IF(CN70="Y",AVERAGE(AU24:AU30),AVERAGE(DR24:DR30)),"")</f>
        <v/>
      </c>
      <c r="EW14" s="196" t="str">
        <f>IF(SUM(AW24:AW30)&gt;0,IF(CO70="Y",AVERAGE(AW24:AW30),AVERAGE(DS24:DS30)),"")</f>
        <v/>
      </c>
      <c r="EX14" s="196" t="str">
        <f>IF(SUM(AY24:AY30)&gt;0,IF(CP70="Y",AVERAGE(AY24:AY30),AVERAGE(DT24:DT30)),"")</f>
        <v/>
      </c>
      <c r="EY14" s="196" t="str">
        <f>IF(SUM(BA24:BA30)&gt;0,IF(CQ70="Y",AVERAGE(BA24:BA30),AVERAGE(DU24:DU30)),"")</f>
        <v/>
      </c>
      <c r="EZ14" s="196" t="str">
        <f>IF(SUM(BC24:BC30)&gt;0,IF(CR70="Y",AVERAGE(BC24:BC30),AVERAGE(DV24:DV30)),"")</f>
        <v/>
      </c>
      <c r="FA14" s="196" t="str">
        <f>IF(SUM(BE24:BE30)&gt;0,IF(CS70="Y",AVERAGE(BE24:BE30),AVERAGE(DW24:DW30)),"")</f>
        <v/>
      </c>
      <c r="FB14" s="196" t="str">
        <f>IF(SUM(BG24:BG30)&gt;0,IF(CT70="Y",AVERAGE(BG24:BG30),AVERAGE(DX24:DX30)),"")</f>
        <v/>
      </c>
      <c r="FC14" s="196" t="str">
        <f>IF(SUM(BI24:BI30)&gt;0,IF(CU70="Y",AVERAGE(BI24:BI30),AVERAGE(DY24:DY30)),"")</f>
        <v/>
      </c>
      <c r="FD14" s="196" t="str">
        <f>IF(SUM(BK24:BK30)&gt;0,IF(CV70="Y",AVERAGE(BK24:BK30),AVERAGE(DZ24:DZ30)),"")</f>
        <v/>
      </c>
      <c r="FE14" s="210" t="str">
        <f>IF(SUM(BM24:BM30)&gt;0,IF(CW70="Y",AVERAGE(BM24:BM30),AVERAGE(EA24:EA30)),"")</f>
        <v/>
      </c>
      <c r="FF14" s="172"/>
      <c r="FG14" s="212" t="str">
        <f>IF(AND($G14&lt;&gt;"",$G14&gt;0,'Outfall 1 Limits'!$AX$16="C1",I14&lt;&gt;""),I14*$G14*8.34,IF(AND($I14&lt;&gt;"",'Outfall 1 Limits'!$AX$16="L"),$I14,""))</f>
        <v/>
      </c>
      <c r="FH14" s="206" t="str">
        <f>IF(AND($G14&lt;&gt;"",$G14&gt;0,'Outfall 1 Limits'!$AX$20="C1",$K14&lt;&gt;""),$K14*$G14*8.34,IF(AND($K14&lt;&gt;"",'Outfall 1 Limits'!$AX$20="L"),$K14,""))</f>
        <v/>
      </c>
      <c r="FI14" s="206" t="str">
        <f>IF(AND($G14&lt;&gt;"",$G14&gt;0,'Outfall 1 Limits'!$AX$24="C1",$M14&lt;&gt;""),$M14*$G14*8.34,IF(AND($M14&lt;&gt;"",'Outfall 1 Limits'!$AX$24="L"),$M14,""))</f>
        <v/>
      </c>
      <c r="FJ14" s="206" t="str">
        <f>IF(AND($G14&lt;&gt;"",$G14&gt;0,'Outfall 1 Limits'!$AX$28="C1",$O14&lt;&gt;""),$O14*$G14*8.34,IF(AND($O14&lt;&gt;"",'Outfall 1 Limits'!$AX$28="L"),$O14,""))</f>
        <v/>
      </c>
      <c r="FK14" s="206" t="str">
        <f>IF(AND($G14&lt;&gt;"",$G14&gt;0,'Outfall 1 Limits'!$AX$32="C1",$Q14&lt;&gt;""),$Q14*$G14*8.34,IF(AND($Q14&lt;&gt;"",'Outfall 1 Limits'!$AX$32="L"),$Q14,""))</f>
        <v/>
      </c>
      <c r="FL14" s="206" t="str">
        <f>IF(AND($G14&lt;&gt;"",$G14&gt;0,'Outfall 1 Limits'!$AX$36="C1",$S14&lt;&gt;""),$S14*$G14*8.34,IF(AND($S14&lt;&gt;"",'Outfall 1 Limits'!$AX$36="L"),$S14,""))</f>
        <v/>
      </c>
      <c r="FM14" s="206" t="str">
        <f>IF(AND($G14&lt;&gt;"",$G14&gt;0,'Outfall 1 Limits'!$AX$40="C1",$U14&lt;&gt;""),$U14*$G14*8.34,IF(AND($U14&lt;&gt;"",'Outfall 1 Limits'!$AX$40="L"),$U14,""))</f>
        <v/>
      </c>
      <c r="FN14" s="206" t="str">
        <f>IF(AND($G14&lt;&gt;"",$G14&gt;0,'Outfall 1 Limits'!$AX$44="C1",$W14&lt;&gt;""),$W14*$G14*8.34,IF(AND($W14&lt;&gt;"",'Outfall 1 Limits'!$AX$44="L"),$W14,""))</f>
        <v/>
      </c>
      <c r="FO14" s="206" t="str">
        <f>IF(AND($G14&lt;&gt;"",$G14&gt;0,'Outfall 1 Limits'!$AX$48="C1",$Y14&lt;&gt;""),$Y14*$G14*8.34,IF(AND($Y14&lt;&gt;"",'Outfall 1 Limits'!$AX$48="L"),$Y14,""))</f>
        <v/>
      </c>
      <c r="FP14" s="206" t="str">
        <f>IF(AND($G14&lt;&gt;"",$G14&gt;0,'Outfall 1 Limits'!$AX$52="C1",$AA14&lt;&gt;""),$AA14*$G14*8.34,IF(AND($AA14&lt;&gt;"",'Outfall 1 Limits'!$AX$52="L"),$AA14,""))</f>
        <v/>
      </c>
      <c r="FQ14" s="206" t="str">
        <f>IF(AND($G14&lt;&gt;"",$G14&gt;0,'Outfall 1 Limits'!$AX$56="C1",$AC14&lt;&gt;""),$AC14*$G14*8.34,IF(AND($AC14&lt;&gt;"",'Outfall 1 Limits'!$AX$56="L"),$AC14,""))</f>
        <v/>
      </c>
      <c r="FR14" s="206" t="str">
        <f>IF(AND($G14&lt;&gt;"",$G14&gt;0,'Outfall 1 Limits'!$AX$60="C1",$AE14&lt;&gt;""),$AE14*$G14*8.34,IF(AND($AE14&lt;&gt;"",'Outfall 1 Limits'!$AX$60="L"),$AE14,""))</f>
        <v/>
      </c>
      <c r="FS14" s="206" t="str">
        <f>IF(AND($G14&lt;&gt;"",$G14&gt;0,'Outfall 1 Limits'!$AX$64="C1",$AG14&lt;&gt;""),$AG14*$G14*8.34,IF(AND($AG14&lt;&gt;"",'Outfall 1 Limits'!$AX$64="L"),$AG14,""))</f>
        <v/>
      </c>
      <c r="FT14" s="206" t="str">
        <f>IF(AND($G14&lt;&gt;"",$G14&gt;0,'Outfall 1 Limits'!$AX$68="C1",$AI14&lt;&gt;""),$AI14*$G14*8.34,IF(AND($AI14&lt;&gt;"",'Outfall 1 Limits'!$AX$68="L"),$AI14,""))</f>
        <v/>
      </c>
      <c r="FU14" s="206" t="str">
        <f>IF(AND($G14&lt;&gt;"",$G14&gt;0,'Outfall 1 Limits'!$AX$72="C1",$AK14&lt;&gt;""),$AK14*$G14*8.34,IF(AND($AK14&lt;&gt;"",'Outfall 1 Limits'!$AX$72="L"),$AK14,""))</f>
        <v/>
      </c>
      <c r="FV14" s="206" t="str">
        <f>IF(AND($G14&lt;&gt;"",$G14&gt;0,'Outfall 1 Limits'!$AX$76="C1",$AM14&lt;&gt;""),$AM14*$G14*8.34,IF(AND($AM14&lt;&gt;"",'Outfall 1 Limits'!$AX$76="L"),$AM14,""))</f>
        <v/>
      </c>
      <c r="FW14" s="206" t="str">
        <f>IF(AND($G14&lt;&gt;"",$G14&gt;0,'Outfall 1 Limits'!$AX$80="C1",$AO14&lt;&gt;""),$AO14*$G14*8.34,IF(AND($AO14&lt;&gt;"",'Outfall 1 Limits'!$AX$80="L"),$AO14,""))</f>
        <v/>
      </c>
      <c r="FX14" s="206" t="str">
        <f>IF(AND($G14&lt;&gt;"",$G14&gt;0,'Outfall 1 Limits'!$AX$84="C1",$AQ14&lt;&gt;""),$AQ14*$G14*8.34,IF(AND($AQ14&lt;&gt;"",'Outfall 1 Limits'!$AX$84="L"),$AQ14,""))</f>
        <v/>
      </c>
      <c r="FY14" s="206" t="str">
        <f>IF(AND($G14&lt;&gt;"",$G14&gt;0,'Outfall 1 Limits'!$AX$88="C1",$AS14&lt;&gt;""),$AS14*$G14*8.34,IF(AND($AS14&lt;&gt;"",'Outfall 1 Limits'!$AX$88="L"),$AS14,""))</f>
        <v/>
      </c>
      <c r="FZ14" s="206" t="str">
        <f>IF(AND($G14&lt;&gt;"",$G14&gt;0,'Outfall 1 Limits'!$AX$92="C1",$AU14&lt;&gt;""),$AU14*$G14*8.34,IF(AND($AU14&lt;&gt;"",'Outfall 1 Limits'!$AX$92="L"),$AU14,""))</f>
        <v/>
      </c>
      <c r="GA14" s="206" t="str">
        <f>IF(AND($G14&lt;&gt;"",$G14&gt;0,'Outfall 1 Limits'!$AX$96="C1",$AW14&lt;&gt;""),$AW14*$G14*8.34,IF(AND($AW14&lt;&gt;"",'Outfall 1 Limits'!$AX$96="L"),$AW14,""))</f>
        <v/>
      </c>
      <c r="GB14" s="206" t="str">
        <f>IF(AND($G14&lt;&gt;"",$G14&gt;0,'Outfall 1 Limits'!$AX$100="C1",$AY14&lt;&gt;""),$AY14*$G14*8.34,IF(AND($AY14&lt;&gt;"",'Outfall 1 Limits'!$AX$100="L"),$AY14,""))</f>
        <v/>
      </c>
      <c r="GC14" s="206" t="str">
        <f>IF(AND($G14&lt;&gt;"",$G14&gt;0,'Outfall 1 Limits'!$AX$104="C1",$BA14&lt;&gt;""),$BA14*$G14*8.34,IF(AND($BA14&lt;&gt;"",'Outfall 1 Limits'!$AX$104="L"),$BA14,""))</f>
        <v/>
      </c>
      <c r="GD14" s="206" t="str">
        <f>IF(AND($G14&lt;&gt;"",$G14&gt;0,'Outfall 1 Limits'!$AX$108="C1",$BC14&lt;&gt;""),$BC14*$G14*8.34,IF(AND($BC14&lt;&gt;"",'Outfall 1 Limits'!$AX$108="L"),$BC14,""))</f>
        <v/>
      </c>
      <c r="GE14" s="206" t="str">
        <f>IF(AND($G14&lt;&gt;"",$G14&gt;0,'Outfall 1 Limits'!$AX$112="C1",$BE14&lt;&gt;""),$BE14*$G14*8.34,IF(AND($BE14&lt;&gt;"",'Outfall 1 Limits'!$AX$112="L"),$BE14,""))</f>
        <v/>
      </c>
      <c r="GF14" s="206" t="str">
        <f>IF(AND($G14&lt;&gt;"",$G14&gt;0,'Outfall 1 Limits'!$AX$116="C1",$BG14&lt;&gt;""),$BG14*$G14*8.34,IF(AND($BG14&lt;&gt;"",'Outfall 1 Limits'!$AX$116="L"),$BG14,""))</f>
        <v/>
      </c>
      <c r="GG14" s="206" t="str">
        <f>IF(AND($G14&lt;&gt;"",$G14&gt;0,'Outfall 1 Limits'!$AX$120="C1",$BI14&lt;&gt;""),$BI14*$G14*8.34,IF(AND($BI14&lt;&gt;"",'Outfall 1 Limits'!$AX$120="L"),$BI14,""))</f>
        <v/>
      </c>
      <c r="GH14" s="206" t="str">
        <f>IF(AND($G14&lt;&gt;"",$G14&gt;0,'Outfall 1 Limits'!$AX$124="C1",$BK14&lt;&gt;""),$BK14*$G14*8.34,IF(AND($BK14&lt;&gt;"",'Outfall 1 Limits'!$AX$124="L"),$BK14,""))</f>
        <v/>
      </c>
      <c r="GI14" s="223" t="str">
        <f>IF(AND($G14&lt;&gt;"",$G14&gt;0,'Outfall 1 Limits'!$AX$128="C1",$BM14&lt;&gt;""),$BM14*$G14*8.34,IF(AND($BM14&lt;&gt;"",'Outfall 1 Limits'!$AX$128="L"),$BM14,""))</f>
        <v/>
      </c>
      <c r="GJ14" s="172"/>
      <c r="GK14" s="212" t="str">
        <f>IF(AND($G14&lt;&gt;"",$G14&gt;0,'Outfall 1 Limits'!$AX$16="C1",CY14&lt;&gt;""),CY14*$G14*8.34,IF(AND(CY14&lt;&gt;"",'Outfall 1 Limits'!$AX$16="L"),CY14,""))</f>
        <v/>
      </c>
      <c r="GL14" s="206" t="str">
        <f>IF(AND($G14&lt;&gt;"",$G14&gt;0,'Outfall 1 Limits'!$AX$20="C1",CZ14&lt;&gt;""),CZ14*$G14*8.34,IF(AND(CZ14&lt;&gt;"",'Outfall 1 Limits'!$AX$20="L"),CZ14,""))</f>
        <v/>
      </c>
      <c r="GM14" s="206" t="str">
        <f>IF(AND($G14&lt;&gt;"",$G14&gt;0,'Outfall 1 Limits'!$AX$24="C1",DA14&lt;&gt;""),DA14*$G14*8.34,IF(AND(DA14&lt;&gt;"",'Outfall 1 Limits'!$AX$24="L"),DA14,""))</f>
        <v/>
      </c>
      <c r="GN14" s="206" t="str">
        <f>IF(AND($G14&lt;&gt;"",$G14&gt;0,'Outfall 1 Limits'!$AX$28="C1",DB14&lt;&gt;""),DB14*$G14*8.34,IF(AND(DB14&lt;&gt;"",'Outfall 1 Limits'!$AX$28="L"),DB14,""))</f>
        <v/>
      </c>
      <c r="GO14" s="206" t="str">
        <f>IF(AND($G14&lt;&gt;"",$G14&gt;0,'Outfall 1 Limits'!$AX$32="C1",DC14&lt;&gt;""),DC14*$G14*8.34,IF(AND(DC14&lt;&gt;"",'Outfall 1 Limits'!$AX$32="L"),DC14,""))</f>
        <v/>
      </c>
      <c r="GP14" s="206" t="str">
        <f>IF(AND($G14&lt;&gt;"",$G14&gt;0,'Outfall 1 Limits'!$AX$36="C1",DD14&lt;&gt;""),DD14*$G14*8.34,IF(AND(DD14&lt;&gt;"",'Outfall 1 Limits'!$AX$36="L"),DD14,""))</f>
        <v/>
      </c>
      <c r="GQ14" s="206" t="str">
        <f>IF(AND($G14&lt;&gt;"",$G14&gt;0,'Outfall 1 Limits'!$AX$40="C1",DE14&lt;&gt;""),DE14*$G14*8.34,IF(AND(DE14&lt;&gt;"",'Outfall 1 Limits'!$AX$40="L"),DE14,""))</f>
        <v/>
      </c>
      <c r="GR14" s="206" t="str">
        <f>IF(AND($G14&lt;&gt;"",$G14&gt;0,'Outfall 1 Limits'!$AX$44="C1",DF14&lt;&gt;""),DF14*$G14*8.34,IF(AND(DF14&lt;&gt;"",'Outfall 1 Limits'!$AX$44="L"),DF14,""))</f>
        <v/>
      </c>
      <c r="GS14" s="206" t="str">
        <f>IF(AND($G14&lt;&gt;"",$G14&gt;0,'Outfall 1 Limits'!$AX$48="C1",DG14&lt;&gt;""),DG14*$G14*8.34,IF(AND(DG14&lt;&gt;"",'Outfall 1 Limits'!$AX$48="L"),DG14,""))</f>
        <v/>
      </c>
      <c r="GT14" s="206" t="str">
        <f>IF(AND($G14&lt;&gt;"",$G14&gt;0,'Outfall 1 Limits'!$AX$52="C1",DH14&lt;&gt;""),DH14*$G14*8.34,IF(AND(DH14&lt;&gt;"",'Outfall 1 Limits'!$AX$52="L"),DH14,""))</f>
        <v/>
      </c>
      <c r="GU14" s="206" t="str">
        <f>IF(AND($G14&lt;&gt;"",$G14&gt;0,'Outfall 1 Limits'!$AX$56="C1",DI14&lt;&gt;""),DI14*$G14*8.34,IF(AND(DI14&lt;&gt;"",'Outfall 1 Limits'!$AX$56="L"),DI14,""))</f>
        <v/>
      </c>
      <c r="GV14" s="206" t="str">
        <f>IF(AND($G14&lt;&gt;"",$G14&gt;0,'Outfall 1 Limits'!$AX$60="C1",DJ14&lt;&gt;""),DJ14*$G14*8.34,IF(AND(DJ14&lt;&gt;"",'Outfall 1 Limits'!$AX$60="L"),DJ14,""))</f>
        <v/>
      </c>
      <c r="GW14" s="206" t="str">
        <f>IF(AND($G14&lt;&gt;"",$G14&gt;0,'Outfall 1 Limits'!$AX$64="C1",DK14&lt;&gt;""),DK14*$G14*8.34,IF(AND(DK14&lt;&gt;"",'Outfall 1 Limits'!$AX$64="L"),DK14,""))</f>
        <v/>
      </c>
      <c r="GX14" s="206" t="str">
        <f>IF(AND($G14&lt;&gt;"",$G14&gt;0,'Outfall 1 Limits'!$AX$68="C1",DL14&lt;&gt;""),DL14*$G14*8.34,IF(AND(DL14&lt;&gt;"",'Outfall 1 Limits'!$AX$68="L"),DL14,""))</f>
        <v/>
      </c>
      <c r="GY14" s="206" t="str">
        <f>IF(AND($G14&lt;&gt;"",$G14&gt;0,'Outfall 1 Limits'!$AX$72="C1",DM14&lt;&gt;""),DM14*$G14*8.34,IF(AND(DM14&lt;&gt;"",'Outfall 1 Limits'!$AX$72="L"),DM14,""))</f>
        <v/>
      </c>
      <c r="GZ14" s="206" t="str">
        <f>IF(AND($G14&lt;&gt;"",$G14&gt;0,'Outfall 1 Limits'!$AX$76="C1",DN14&lt;&gt;""),DN14*$G14*8.34,IF(AND(DN14&lt;&gt;"",'Outfall 1 Limits'!$AX$76="L"),DN14,""))</f>
        <v/>
      </c>
      <c r="HA14" s="206" t="str">
        <f>IF(AND($G14&lt;&gt;"",$G14&gt;0,'Outfall 1 Limits'!$AX$80="C1",DO14&lt;&gt;""),DO14*$G14*8.34,IF(AND(DO14&lt;&gt;"",'Outfall 1 Limits'!$AX$80="L"),DO14,""))</f>
        <v/>
      </c>
      <c r="HB14" s="206" t="str">
        <f>IF(AND($G14&lt;&gt;"",$G14&gt;0,'Outfall 1 Limits'!$AX$84="C1",DP14&lt;&gt;""),DP14*$G14*8.34,IF(AND(DP14&lt;&gt;"",'Outfall 1 Limits'!$AX$84="L"),DP14,""))</f>
        <v/>
      </c>
      <c r="HC14" s="206" t="str">
        <f>IF(AND($G14&lt;&gt;"",$G14&gt;0,'Outfall 1 Limits'!$AX$88="C1",DQ14&lt;&gt;""),DQ14*$G14*8.34,IF(AND(DQ14&lt;&gt;"",'Outfall 1 Limits'!$AX$88="L"),DQ14,""))</f>
        <v/>
      </c>
      <c r="HD14" s="206" t="str">
        <f>IF(AND($G14&lt;&gt;"",$G14&gt;0,'Outfall 1 Limits'!$AX$92="C1",DR14&lt;&gt;""),DR14*$G14*8.34,IF(AND(DR14&lt;&gt;"",'Outfall 1 Limits'!$AX$92="L"),DR14,""))</f>
        <v/>
      </c>
      <c r="HE14" s="206" t="str">
        <f>IF(AND($G14&lt;&gt;"",$G14&gt;0,'Outfall 1 Limits'!$AX$96="C1",DS14&lt;&gt;""),DS14*$G14*8.34,IF(AND(DS14&lt;&gt;"",'Outfall 1 Limits'!$AX$96="L"),DS14,""))</f>
        <v/>
      </c>
      <c r="HF14" s="206" t="str">
        <f>IF(AND($G14&lt;&gt;"",$G14&gt;0,'Outfall 1 Limits'!$AX$100="C1",DT14&lt;&gt;""),DT14*$G14*8.34,IF(AND(DT14&lt;&gt;"",'Outfall 1 Limits'!$AX$100="L"),DT14,""))</f>
        <v/>
      </c>
      <c r="HG14" s="206" t="str">
        <f>IF(AND($G14&lt;&gt;"",$G14&gt;0,'Outfall 1 Limits'!$AX$104="C1",DU14&lt;&gt;""),DU14*$G14*8.34,IF(AND(DU14&lt;&gt;"",'Outfall 1 Limits'!$AX$104="L"),DU14,""))</f>
        <v/>
      </c>
      <c r="HH14" s="206" t="str">
        <f>IF(AND($G14&lt;&gt;"",$G14&gt;0,'Outfall 1 Limits'!$AX$108="C1",DV14&lt;&gt;""),DV14*$G14*8.34,IF(AND(DV14&lt;&gt;"",'Outfall 1 Limits'!$AX$108="L"),DV14,""))</f>
        <v/>
      </c>
      <c r="HI14" s="206" t="str">
        <f>IF(AND($G14&lt;&gt;"",$G14&gt;0,'Outfall 1 Limits'!$AX$112="C1",DW14&lt;&gt;""),DW14*$G14*8.34,IF(AND(DW14&lt;&gt;"",'Outfall 1 Limits'!$AX$112="L"),DW14,""))</f>
        <v/>
      </c>
      <c r="HJ14" s="206" t="str">
        <f>IF(AND($G14&lt;&gt;"",$G14&gt;0,'Outfall 1 Limits'!$AX$116="C1",DX14&lt;&gt;""),DX14*$G14*8.34,IF(AND(DX14&lt;&gt;"",'Outfall 1 Limits'!$AX$116="L"),DX14,""))</f>
        <v/>
      </c>
      <c r="HK14" s="206" t="str">
        <f>IF(AND($G14&lt;&gt;"",$G14&gt;0,'Outfall 1 Limits'!$AX$120="C1",DY14&lt;&gt;""),DY14*$G14*8.34,IF(AND(DY14&lt;&gt;"",'Outfall 1 Limits'!$AX$120="L"),DY14,""))</f>
        <v/>
      </c>
      <c r="HL14" s="206" t="str">
        <f>IF(AND($G14&lt;&gt;"",$G14&gt;0,'Outfall 1 Limits'!$AX$124="C1",DZ14&lt;&gt;""),DZ14*$G14*8.34,IF(AND(DZ14&lt;&gt;"",'Outfall 1 Limits'!$AX$124="L"),DZ14,""))</f>
        <v/>
      </c>
      <c r="HM14" s="223" t="str">
        <f>IF(AND($G14&lt;&gt;"",$G14&gt;0,'Outfall 1 Limits'!$AX$128="C1",EA14&lt;&gt;""),EA14*$G14*8.34,IF(AND(EA14&lt;&gt;"",'Outfall 1 Limits'!$AX$128="L"),EA14,""))</f>
        <v/>
      </c>
      <c r="HN14" s="172"/>
      <c r="HO14" s="224" t="str">
        <f>IF(I14&lt;&gt;"",IF(H14="&gt;",(1.000001*I14),I14),"")</f>
        <v/>
      </c>
      <c r="HP14" s="172"/>
      <c r="HQ14" s="172"/>
      <c r="HR14" s="172"/>
      <c r="HS14" s="202" t="str">
        <f>IF($I14&lt;&gt;"",IF($H14="&lt;",($I14-0.01),$I14),"")</f>
        <v/>
      </c>
      <c r="HT14" s="196" t="str">
        <f>IF($K14&lt;&gt;"",IF($J14="&lt;",($K14-0.01),$K14),"")</f>
        <v/>
      </c>
      <c r="HU14" s="196" t="str">
        <f>IF($M14&lt;&gt;"",IF($L14="&lt;",($M14-0.01),$M14),"")</f>
        <v/>
      </c>
      <c r="HV14" s="196" t="str">
        <f>IF($O14&lt;&gt;"",IF($N14="&lt;",($O14-0.01),$O14),"")</f>
        <v/>
      </c>
      <c r="HW14" s="196" t="str">
        <f>IF($Q14&lt;&gt;"",IF($P14="&lt;",($Q14-0.01),$Q14),"")</f>
        <v/>
      </c>
      <c r="HX14" s="196" t="str">
        <f>IF($S14&lt;&gt;"",IF($R14="&lt;",($S14-0.01),$S14),"")</f>
        <v/>
      </c>
      <c r="HY14" s="196" t="str">
        <f>IF($U14&lt;&gt;"",IF($T14="&lt;",($U14-0.01),$U14),"")</f>
        <v/>
      </c>
      <c r="HZ14" s="196" t="str">
        <f>IF($W14&lt;&gt;"",IF($V14="&lt;",($W14-0.01),$W14),"")</f>
        <v/>
      </c>
      <c r="IA14" s="196" t="str">
        <f>IF($Y14&lt;&gt;"",IF($X14="&lt;",($Y14-0.01),$Y14),"")</f>
        <v/>
      </c>
      <c r="IB14" s="196" t="str">
        <f>IF($AA14&lt;&gt;"",IF($Z14="&lt;",($AA14-0.01),$AA14),"")</f>
        <v/>
      </c>
      <c r="IC14" s="196" t="str">
        <f>IF($AC14&lt;&gt;"",IF($AB14="&lt;",($AC14-0.01),$AC14),"")</f>
        <v/>
      </c>
      <c r="ID14" s="196" t="str">
        <f>IF($AE14&lt;&gt;"",IF($AD14="&lt;",($AE14-0.01),$AE14),"")</f>
        <v/>
      </c>
      <c r="IE14" s="196" t="str">
        <f>IF($AG14&lt;&gt;"",IF($AF14="&lt;",($AG14-0.01),$AG14),"")</f>
        <v/>
      </c>
      <c r="IF14" s="196" t="str">
        <f>IF($AI14&lt;&gt;"",IF($AH14="&lt;",($AI14-0.01),$AI14),"")</f>
        <v/>
      </c>
      <c r="IG14" s="196" t="str">
        <f>IF($AK14&lt;&gt;"",IF($AJ14="&lt;",($AK14-0.01),$AK14),"")</f>
        <v/>
      </c>
      <c r="IH14" s="196" t="str">
        <f>IF($AM14&lt;&gt;"",IF($AL14="&lt;",($AM14-0.01),$AM14),"")</f>
        <v/>
      </c>
      <c r="II14" s="196" t="str">
        <f>IF($AO14&lt;&gt;"",IF($AN14="&lt;",($AO14-0.01),$AO14),"")</f>
        <v/>
      </c>
      <c r="IJ14" s="196" t="str">
        <f>IF($AQ14&lt;&gt;"",IF($AP14="&lt;",($AQ14-0.01),$AQ14),"")</f>
        <v/>
      </c>
      <c r="IK14" s="217" t="str">
        <f>IF($AS14&lt;&gt;"",IF($AR14="&lt;",($AS14-0.01),$AS14),"")</f>
        <v/>
      </c>
      <c r="IL14" s="196" t="str">
        <f>IF($AU14&lt;&gt;"",IF($AT14="&lt;",($AU14-0.01),$AU14),"")</f>
        <v/>
      </c>
      <c r="IM14" s="196" t="str">
        <f>IF($AW14&lt;&gt;"",IF($AV14="&lt;",($AW14-0.01),$AW14),"")</f>
        <v/>
      </c>
      <c r="IN14" s="196" t="str">
        <f>IF($AY14&lt;&gt;"",IF($AX14="&lt;",($AY14-0.01),$AY14),"")</f>
        <v/>
      </c>
      <c r="IO14" s="196" t="str">
        <f>IF($BA14&lt;&gt;"",IF($AZ14="&lt;",($BA14-0.01),$BA14),"")</f>
        <v/>
      </c>
      <c r="IP14" s="196" t="str">
        <f>IF($BC14&lt;&gt;"",IF($BB14="&lt;",($BC14-0.01),$BC14),"")</f>
        <v/>
      </c>
      <c r="IQ14" s="196" t="str">
        <f>IF($BE14&lt;&gt;"",IF($BD14="&lt;",($BE14-0.01),$BE14),"")</f>
        <v/>
      </c>
      <c r="IR14" s="196" t="str">
        <f>IF($BG14&lt;&gt;"",IF($BF14="&lt;",($BG14-0.01),$BG14),"")</f>
        <v/>
      </c>
      <c r="IS14" s="196" t="str">
        <f>IF($BI14&lt;&gt;"",IF($BH14="&lt;",($BI14-0.01),$BI14),"")</f>
        <v/>
      </c>
      <c r="IT14" s="196" t="str">
        <f>IF($BK14&lt;&gt;"",IF($BJ14="&lt;",($BK14-0.01),$BK14),"")</f>
        <v/>
      </c>
      <c r="IU14" s="210" t="str">
        <f>IF($BM14&lt;&gt;"",IF($BL14="&lt;",($BM14-0.01),$BM14),"")</f>
        <v/>
      </c>
      <c r="IW14" s="172"/>
      <c r="IX14" s="202" t="str">
        <f>IF($FG14&lt;&gt;"",IF($H14="&lt;",($FG14-0.01),$FG14),"")</f>
        <v/>
      </c>
      <c r="IY14" s="196" t="str">
        <f>IF($FH14&lt;&gt;"",IF($J14="&lt;",($FH14-0.01),$FH14),"")</f>
        <v/>
      </c>
      <c r="IZ14" s="196" t="str">
        <f>IF($FI14&lt;&gt;"",IF($L14="&lt;",($FI14-0.01),$FI14),"")</f>
        <v/>
      </c>
      <c r="JA14" s="196" t="str">
        <f>IF($FJ14&lt;&gt;"",IF($N14="&lt;",($FJ14-0.01),$FJ14),"")</f>
        <v/>
      </c>
      <c r="JB14" s="196" t="str">
        <f>IF($FK14&lt;&gt;"",IF($P14="&lt;",($FK14-0.01),$FK14),"")</f>
        <v/>
      </c>
      <c r="JC14" s="196" t="str">
        <f>IF($FL14&lt;&gt;"",IF($R14="&lt;",($FL14-0.01),$FL14),"")</f>
        <v/>
      </c>
      <c r="JD14" s="196" t="str">
        <f>IF($FM14&lt;&gt;"",IF($T14="&lt;",($FM14-0.01),$FM14),"")</f>
        <v/>
      </c>
      <c r="JE14" s="196" t="str">
        <f>IF($FN14&lt;&gt;"",IF($V14="&lt;",($FN14-0.01),$FN14),"")</f>
        <v/>
      </c>
      <c r="JF14" s="196" t="str">
        <f>IF($FO14&lt;&gt;"",IF($X14="&lt;",($FO14-0.01),$FO14),"")</f>
        <v/>
      </c>
      <c r="JG14" s="196" t="str">
        <f>IF($FP14&lt;&gt;"",IF($Z14="&lt;",($FP14-0.01),$FP14),"")</f>
        <v/>
      </c>
      <c r="JH14" s="196" t="str">
        <f>IF($FQ14&lt;&gt;"",IF($AB14="&lt;",($FQ14-0.01),$FQ14),"")</f>
        <v/>
      </c>
      <c r="JI14" s="196" t="str">
        <f>IF($FR14&lt;&gt;"",IF($AD14="&lt;",($FR14-0.01),$FR14),"")</f>
        <v/>
      </c>
      <c r="JJ14" s="196" t="str">
        <f>IF($FS14&lt;&gt;"",IF($AF14="&lt;",($FS14-0.01),$FS14),"")</f>
        <v/>
      </c>
      <c r="JK14" s="196" t="str">
        <f>IF($FT14&lt;&gt;"",IF($AH14="&lt;",($FT14-0.01),$FT14),"")</f>
        <v/>
      </c>
      <c r="JL14" s="196" t="str">
        <f>IF($FU14&lt;&gt;"",IF($AJ14="&lt;",($FU14-0.01),$FU14),"")</f>
        <v/>
      </c>
      <c r="JM14" s="196" t="str">
        <f>IF($FV14&lt;&gt;"",IF($AL14="&lt;",($FV14-0.01),$FV14),"")</f>
        <v/>
      </c>
      <c r="JN14" s="196" t="str">
        <f>IF($FW14&lt;&gt;"",IF($AN14="&lt;",($FW14-0.01),$FW14),"")</f>
        <v/>
      </c>
      <c r="JO14" s="196" t="str">
        <f>IF($FX14&lt;&gt;"",IF($AP14="&lt;",($FX14-0.01),$FX14),"")</f>
        <v/>
      </c>
      <c r="JP14" s="225" t="str">
        <f>IF($FY14&lt;&gt;"",IF($AR14="&lt;",($FY14-0.01),$FY14),"")</f>
        <v/>
      </c>
      <c r="JQ14" s="196" t="str">
        <f>IF($FZ14&lt;&gt;"",IF($AT14="&lt;",($FZ14-0.01),$FZ14),"")</f>
        <v/>
      </c>
      <c r="JR14" s="196" t="str">
        <f>IF($GA14&lt;&gt;"",IF($AV14="&lt;",($GA14-0.01),$GA14),"")</f>
        <v/>
      </c>
      <c r="JS14" s="196" t="str">
        <f>IF($GB14&lt;&gt;"",IF($AX14="&lt;",($GB14-0.01),$GB14),"")</f>
        <v/>
      </c>
      <c r="JT14" s="196" t="str">
        <f>IF($GC14&lt;&gt;"",IF($AZ14="&lt;",($GC14-0.01),$GC14),"")</f>
        <v/>
      </c>
      <c r="JU14" s="196" t="str">
        <f>IF($GD14&lt;&gt;"",IF($BB14="&lt;",($GD14-0.01),$GD14),"")</f>
        <v/>
      </c>
      <c r="JV14" s="196" t="str">
        <f>IF($GE14&lt;&gt;"",IF($BD14="&lt;",($GE14-0.01),$GE14),"")</f>
        <v/>
      </c>
      <c r="JW14" s="196" t="str">
        <f>IF($GF14&lt;&gt;"",IF($BF14="&lt;",($GF14-0.01),$GF14),"")</f>
        <v/>
      </c>
      <c r="JX14" s="196" t="str">
        <f>IF($GG14&lt;&gt;"",IF($BH14="&lt;",($GG14-0.01),$GG14),"")</f>
        <v/>
      </c>
      <c r="JY14" s="196" t="str">
        <f>IF($GH14&lt;&gt;"",IF($BJ14="&lt;",($GH14-0.01),$GH14),"")</f>
        <v/>
      </c>
      <c r="JZ14" s="210" t="str">
        <f>IF($GI14&lt;&gt;"",IF($BL14="&lt;",($GI14-0.01),$GI14),"")</f>
        <v/>
      </c>
      <c r="KA14" s="196"/>
      <c r="KB14" s="174"/>
      <c r="KC14" s="178"/>
      <c r="KD14" s="218" t="str">
        <f t="shared" ref="KD14:KD51" si="2">IF(I14&lt;&gt;"",IF(KD$53="Y",IF(H14="&lt;",IF(I14&lt;=KD$54,"A","B"),"C"),""),"")</f>
        <v/>
      </c>
      <c r="KE14" s="196" t="str">
        <f t="shared" ref="KE14:KE51" si="3">IF(K14&lt;&gt;"",IF(KE$53="Y",IF(J14="&lt;",IF(K14&lt;=KE$54,"A","B"),"C"),""),"")</f>
        <v/>
      </c>
      <c r="KF14" s="203" t="str">
        <f t="shared" ref="KF14:KF51" si="4">IF(M14&lt;&gt;"",IF(KF$53="Y",IF(L14="&lt;",IF(M14&lt;=KF$54,"A","B"),"C"),""),"")</f>
        <v/>
      </c>
      <c r="KG14" s="203" t="str">
        <f t="shared" ref="KG14:KG51" si="5">IF(O14&lt;&gt;"",IF(KG$53="Y",IF(N14="&lt;",IF(O14&lt;=KG$54,"A","B"),"C"),""),"")</f>
        <v/>
      </c>
      <c r="KH14" s="203" t="str">
        <f t="shared" ref="KH14:KH51" si="6">IF(Q14&lt;&gt;"",IF(KH$53="Y",IF(P14="&lt;",IF(Q14&lt;=KH$54,"A","B"),"C"),""),"")</f>
        <v/>
      </c>
      <c r="KI14" s="203" t="str">
        <f t="shared" ref="KI14:KI51" si="7">IF(S14&lt;&gt;"",IF(KI$53="Y",IF(R14="&lt;",IF(S14&lt;=KI$54,"A","B"),"C"),""),"")</f>
        <v/>
      </c>
      <c r="KJ14" s="203" t="str">
        <f t="shared" ref="KJ14:KJ51" si="8">IF(U14&lt;&gt;"",IF(KJ$53="Y",IF(T14="&lt;",IF(U14&lt;=KJ$54,"A","B"),"C"),""),"")</f>
        <v/>
      </c>
      <c r="KK14" s="203" t="str">
        <f t="shared" ref="KK14:KK51" si="9">IF(W14&lt;&gt;"",IF(KK$53="Y",IF(V14="&lt;",IF(W14&lt;=KK$54,"A","B"),"C"),""),"")</f>
        <v/>
      </c>
      <c r="KL14" s="203" t="str">
        <f t="shared" ref="KL14:KL51" si="10">IF(Y14&lt;&gt;"",IF(KL$53="Y",IF(X14="&lt;",IF(Y14&lt;=KL$54,"A","B"),"C"),""),"")</f>
        <v/>
      </c>
      <c r="KM14" s="203" t="str">
        <f t="shared" ref="KM14:KM51" si="11">IF(AA14&lt;&gt;"",IF(KM$53="Y",IF(Z14="&lt;",IF(AA14&lt;=KM$54,"A","B"),"C"),""),"")</f>
        <v/>
      </c>
      <c r="KN14" s="203" t="str">
        <f t="shared" ref="KN14:KN51" si="12">IF(AC14&lt;&gt;"",IF(KN$53="Y",IF(AB14="&lt;",IF(AC14&lt;=KN$54,"A","B"),"C"),""),"")</f>
        <v/>
      </c>
      <c r="KO14" s="203" t="str">
        <f t="shared" ref="KO14:KO51" si="13">IF(AE14&lt;&gt;"",IF(KO$53="Y",IF(AD14="&lt;",IF(AE14&lt;=KO$54,"A","B"),"C"),""),"")</f>
        <v/>
      </c>
      <c r="KP14" s="203" t="str">
        <f t="shared" ref="KP14:KP51" si="14">IF(AG14&lt;&gt;"",IF(KP$53="Y",IF(AF14="&lt;",IF(AG14&lt;=KP$54,"A","B"),"C"),""),"")</f>
        <v/>
      </c>
      <c r="KQ14" s="203" t="str">
        <f t="shared" ref="KQ14:KQ51" si="15">IF(AI14&lt;&gt;"",IF(KQ$53="Y",IF(AH14="&lt;",IF(AI14&lt;=KQ$54,"A","B"),"C"),""),"")</f>
        <v/>
      </c>
      <c r="KR14" s="203" t="str">
        <f t="shared" ref="KR14:KR51" si="16">IF(AK14&lt;&gt;"",IF(KR$53="Y",IF(AJ14="&lt;",IF(AK14&lt;=KR$54,"A","B"),"C"),""),"")</f>
        <v/>
      </c>
      <c r="KS14" s="203" t="str">
        <f t="shared" ref="KS14:KS51" si="17">IF(AM14&lt;&gt;"",IF(KS$53="Y",IF(AL14="&lt;",IF(AM14&lt;=KS$54,"A","B"),"C"),""),"")</f>
        <v/>
      </c>
      <c r="KT14" s="203" t="str">
        <f t="shared" ref="KT14:KT51" si="18">IF(AO14&lt;&gt;"",IF(KT$53="Y",IF(AN14="&lt;",IF(AO14&lt;=KT$54,"A","B"),"C"),""),"")</f>
        <v/>
      </c>
      <c r="KU14" s="203" t="str">
        <f t="shared" ref="KU14:KU51" si="19">IF(AQ14&lt;&gt;"",IF(KU$53="Y",IF(AP14="&lt;",IF(AQ14&lt;=KU$54,"A","B"),"C"),""),"")</f>
        <v/>
      </c>
      <c r="KV14" s="203" t="str">
        <f t="shared" ref="KV14:KV51" si="20">IF(AS14&lt;&gt;"",IF(KV$53="Y",IF(AR14="&lt;",IF(AS14&lt;=KV$54,"A","B"),"C"),""),"")</f>
        <v/>
      </c>
      <c r="KW14" s="203" t="str">
        <f t="shared" ref="KW14:KW51" si="21">IF(AU14&lt;&gt;"",IF(KW$53="Y",IF(AT14="&lt;",IF(AU14&lt;=KW$54,"A","B"),"C"),""),"")</f>
        <v/>
      </c>
      <c r="KX14" s="203" t="str">
        <f t="shared" ref="KX14:KX51" si="22">IF(AW14&lt;&gt;"",IF(KX$53="Y",IF(AV14="&lt;",IF(AW14&lt;=KX$54,"A","B"),"C"),""),"")</f>
        <v/>
      </c>
      <c r="KY14" s="203" t="str">
        <f t="shared" ref="KY14:KY51" si="23">IF(AY14&lt;&gt;"",IF(KY$53="Y",IF(AX14="&lt;",IF(AY14&lt;=KY$54,"A","B"),"C"),""),"")</f>
        <v/>
      </c>
      <c r="KZ14" s="203" t="str">
        <f t="shared" ref="KZ14:KZ51" si="24">IF(BA14&lt;&gt;"",IF(KZ$53="Y",IF(AZ14="&lt;",IF(BA14&lt;=KZ$54,"A","B"),"C"),""),"")</f>
        <v/>
      </c>
      <c r="LA14" s="203" t="str">
        <f t="shared" ref="LA14:LA51" si="25">IF(BC14&lt;&gt;"",IF(LA$53="Y",IF(BB14="&lt;",IF(BC14&lt;=LA$54,"A","B"),"C"),""),"")</f>
        <v/>
      </c>
      <c r="LB14" s="203" t="str">
        <f t="shared" ref="LB14:LB51" si="26">IF(BE14&lt;&gt;"",IF(LB$53="Y",IF(BD14="&lt;",IF(BE14&lt;=LB$54,"A","B"),"C"),""),"")</f>
        <v/>
      </c>
      <c r="LC14" s="203" t="str">
        <f t="shared" ref="LC14:LC51" si="27">IF(BG14&lt;&gt;"",IF(LC$53="Y",IF(BF14="&lt;",IF(BG14&lt;=LC$54,"A","B"),"C"),""),"")</f>
        <v/>
      </c>
      <c r="LD14" s="203" t="str">
        <f t="shared" ref="LD14:LD51" si="28">IF(BI14&lt;&gt;"",IF(LD$53="Y",IF(BH14="&lt;",IF(BI14&lt;=LD$54,"A","B"),"C"),""),"")</f>
        <v/>
      </c>
      <c r="LE14" s="203" t="str">
        <f t="shared" ref="LE14:LE51" si="29">IF(BK14&lt;&gt;"",IF(LE$53="Y",IF(BJ14="&lt;",IF(BK14&lt;=LE$54,"A","B"),"C"),""),"")</f>
        <v/>
      </c>
      <c r="LF14" s="226" t="str">
        <f t="shared" ref="LF14:LF51" si="30">IF(BM14&lt;&gt;"",IF(LF$53="Y",IF(BL14="&lt;",IF(BM14&lt;=LF$54,"A","B"),"C"),""),"")</f>
        <v/>
      </c>
    </row>
    <row r="15" spans="1:318" s="172" customFormat="1" ht="11.45" customHeight="1" x14ac:dyDescent="0.2">
      <c r="A15" s="35"/>
      <c r="B15" s="54"/>
      <c r="C15" s="438" t="str">
        <f t="shared" si="0"/>
        <v/>
      </c>
      <c r="D15" s="438"/>
      <c r="E15" s="430" t="str">
        <f>IF($E16="","",IF(MONTH($E16-1)&lt;&gt;$P$6,"",$E16-1))</f>
        <v/>
      </c>
      <c r="F15" s="431"/>
      <c r="G15" s="26"/>
      <c r="H15" s="51"/>
      <c r="I15" s="50"/>
      <c r="J15" s="51"/>
      <c r="K15" s="50"/>
      <c r="L15" s="51"/>
      <c r="M15" s="50"/>
      <c r="N15" s="51"/>
      <c r="O15" s="50"/>
      <c r="P15" s="51"/>
      <c r="Q15" s="50"/>
      <c r="R15" s="51"/>
      <c r="S15" s="50"/>
      <c r="T15" s="51"/>
      <c r="U15" s="50"/>
      <c r="V15" s="51"/>
      <c r="W15" s="50"/>
      <c r="X15" s="276"/>
      <c r="Y15" s="50"/>
      <c r="Z15" s="51"/>
      <c r="AA15" s="50"/>
      <c r="AB15" s="51"/>
      <c r="AC15" s="50"/>
      <c r="AD15" s="51"/>
      <c r="AE15" s="50"/>
      <c r="AF15" s="51"/>
      <c r="AG15" s="50"/>
      <c r="AH15" s="51"/>
      <c r="AI15" s="50"/>
      <c r="AJ15" s="51"/>
      <c r="AK15" s="50"/>
      <c r="AL15" s="51"/>
      <c r="AM15" s="50"/>
      <c r="AN15" s="51"/>
      <c r="AO15" s="50"/>
      <c r="AP15" s="51"/>
      <c r="AQ15" s="50"/>
      <c r="AR15" s="51"/>
      <c r="AS15" s="50"/>
      <c r="AT15" s="51"/>
      <c r="AU15" s="50"/>
      <c r="AV15" s="51"/>
      <c r="AW15" s="50"/>
      <c r="AX15" s="51"/>
      <c r="AY15" s="50"/>
      <c r="AZ15" s="51"/>
      <c r="BA15" s="50"/>
      <c r="BB15" s="51"/>
      <c r="BC15" s="50"/>
      <c r="BD15" s="51"/>
      <c r="BE15" s="50"/>
      <c r="BF15" s="51"/>
      <c r="BG15" s="50"/>
      <c r="BH15" s="51"/>
      <c r="BI15" s="50"/>
      <c r="BJ15" s="51"/>
      <c r="BK15" s="50"/>
      <c r="BL15" s="51"/>
      <c r="BM15" s="109"/>
      <c r="BO15" s="174"/>
      <c r="BP15" s="174">
        <v>2034</v>
      </c>
      <c r="BQ15" s="221" t="s">
        <v>30</v>
      </c>
      <c r="BR15" s="222"/>
      <c r="BS15" s="174" t="s">
        <v>1103</v>
      </c>
      <c r="BU15" s="202" t="str">
        <f t="shared" ref="BU15:BU51" si="31">IF(I15&lt;&gt;"",IF(H15="&lt;",0.99,1),"")</f>
        <v/>
      </c>
      <c r="BV15" s="196" t="str">
        <f t="shared" ref="BV15:BV51" si="32">IF(K15&lt;&gt;"",IF(J15="&lt;",0.99,1),"")</f>
        <v/>
      </c>
      <c r="BW15" s="196" t="str">
        <f t="shared" ref="BW15:BW51" si="33">IF(M15&lt;&gt;"",IF(L15="&lt;",0.99,1),"")</f>
        <v/>
      </c>
      <c r="BX15" s="196" t="str">
        <f t="shared" ref="BX15:BX51" si="34">IF(O15&lt;&gt;"",IF(N15="&lt;",0.99,1),"")</f>
        <v/>
      </c>
      <c r="BY15" s="196" t="str">
        <f t="shared" ref="BY15:BY51" si="35">IF(Q15&lt;&gt;"",IF(P15="&lt;",0.99,1),"")</f>
        <v/>
      </c>
      <c r="BZ15" s="196" t="str">
        <f t="shared" ref="BZ15:BZ51" si="36">IF(S15&lt;&gt;"",IF(R15="&lt;",0.99,1),"")</f>
        <v/>
      </c>
      <c r="CA15" s="196" t="str">
        <f t="shared" ref="CA15:CA51" si="37">IF(U15&lt;&gt;"",IF(T15="&lt;",0.99,1),"")</f>
        <v/>
      </c>
      <c r="CB15" s="196" t="str">
        <f t="shared" ref="CB15:CB51" si="38">IF(W15&lt;&gt;"",IF(V15="&lt;",0.99,1),"")</f>
        <v/>
      </c>
      <c r="CC15" s="196" t="str">
        <f t="shared" ref="CC15:CC51" si="39">IF(Y15&lt;&gt;"",IF(X15="&lt;",0.99,1),"")</f>
        <v/>
      </c>
      <c r="CD15" s="196" t="str">
        <f t="shared" ref="CD15:CD51" si="40">IF(AA15&lt;&gt;"",IF(Z15="&lt;",0.99,1),"")</f>
        <v/>
      </c>
      <c r="CE15" s="196" t="str">
        <f t="shared" ref="CE15:CE51" si="41">IF(AC15&lt;&gt;"",IF(AB15="&lt;",0.99,1),"")</f>
        <v/>
      </c>
      <c r="CF15" s="196" t="str">
        <f t="shared" ref="CF15:CF51" si="42">IF(AE15&lt;&gt;"",IF(AD15="&lt;",0.99,1),"")</f>
        <v/>
      </c>
      <c r="CG15" s="196" t="str">
        <f t="shared" ref="CG15:CG51" si="43">IF(AG15&lt;&gt;"",IF(AF15="&lt;",0.99,1),"")</f>
        <v/>
      </c>
      <c r="CH15" s="196" t="str">
        <f t="shared" ref="CH15:CH51" si="44">IF(AI15&lt;&gt;"",IF(AH15="&lt;",0.99,1),"")</f>
        <v/>
      </c>
      <c r="CI15" s="196" t="str">
        <f t="shared" ref="CI15:CI51" si="45">IF(AK15&lt;&gt;"",IF(AJ15="&lt;",0.99,1),"")</f>
        <v/>
      </c>
      <c r="CJ15" s="196" t="str">
        <f t="shared" ref="CJ15:CJ51" si="46">IF(AM15&lt;&gt;"",IF(AL15="&lt;",0.99,1),"")</f>
        <v/>
      </c>
      <c r="CK15" s="196" t="str">
        <f t="shared" ref="CK15:CK51" si="47">IF(AO15&lt;&gt;"",IF(AN15="&lt;",0.99,1),"")</f>
        <v/>
      </c>
      <c r="CL15" s="196" t="str">
        <f t="shared" ref="CL15:CL51" si="48">IF(AQ15&lt;&gt;"",IF(AP15="&lt;",0.99,1),"")</f>
        <v/>
      </c>
      <c r="CM15" s="196" t="str">
        <f t="shared" si="1"/>
        <v/>
      </c>
      <c r="CN15" s="196" t="str">
        <f t="shared" ref="CN15:CN51" si="49">IF(AU15&lt;&gt;"",IF(AT15="&lt;",0.99,1),"")</f>
        <v/>
      </c>
      <c r="CO15" s="196" t="str">
        <f t="shared" ref="CO15:CO51" si="50">IF(AW15&lt;&gt;"",IF(AV15="&lt;",0.99,1),"")</f>
        <v/>
      </c>
      <c r="CP15" s="196" t="str">
        <f t="shared" ref="CP15:CP51" si="51">IF(AY15&lt;&gt;"",IF(AX15="&lt;",0.99,1),"")</f>
        <v/>
      </c>
      <c r="CQ15" s="196" t="str">
        <f t="shared" ref="CQ15:CQ51" si="52">IF(BA15&lt;&gt;"",IF(AZ15="&lt;",0.99,1),"")</f>
        <v/>
      </c>
      <c r="CR15" s="196" t="str">
        <f t="shared" ref="CR15:CR51" si="53">IF(BC15&lt;&gt;"",IF(BB15="&lt;",0.99,1),"")</f>
        <v/>
      </c>
      <c r="CS15" s="196" t="str">
        <f t="shared" ref="CS15:CS51" si="54">IF(BE15&lt;&gt;"",IF(BD15="&lt;",0.99,1),"")</f>
        <v/>
      </c>
      <c r="CT15" s="196" t="str">
        <f t="shared" ref="CT15:CT51" si="55">IF(BG15&lt;&gt;"",IF(BF15="&lt;",0.99,1),"")</f>
        <v/>
      </c>
      <c r="CU15" s="196" t="str">
        <f t="shared" ref="CU15:CU51" si="56">IF(BI15&lt;&gt;"",IF(BH15="&lt;",0.99,1),"")</f>
        <v/>
      </c>
      <c r="CV15" s="196" t="str">
        <f t="shared" ref="CV15:CV51" si="57">IF(BK15&lt;&gt;"",IF(BJ15="&lt;",0.99,1),"")</f>
        <v/>
      </c>
      <c r="CW15" s="210" t="str">
        <f t="shared" ref="CW15:CW51" si="58">IF(BM15&lt;&gt;"",IF(BL15="&lt;",0.99,1),"")</f>
        <v/>
      </c>
      <c r="CY15" s="212" t="str">
        <f>IF(I15&lt;&gt;"",IF(H15="&lt;",IF(AND('Outfall 1 Limits'!$AM$16="Y",$BU$54&lt;&gt;"Y",I15&lt;='Outfall 1 Limits'!$AL$16),0,(1*I15)),I15),"")</f>
        <v/>
      </c>
      <c r="CZ15" s="206" t="str">
        <f>IF(K15&lt;&gt;"",IF(J15="&lt;",IF(AND('Outfall 1 Limits'!$AM$20="Y",$BV$54&lt;&gt;"Y",K15&lt;='Outfall 1 Limits'!$AL$20),0,(1*K15)),K15),"")</f>
        <v/>
      </c>
      <c r="DA15" s="206" t="str">
        <f>IF(M15&lt;&gt;"",IF(L15="&lt;",IF(AND('Outfall 1 Limits'!$AM$24="Y",$BW$54&lt;&gt;"Y",M15&lt;='Outfall 1 Limits'!$AL$24),0,(1*M15)),M15),"")</f>
        <v/>
      </c>
      <c r="DB15" s="206" t="str">
        <f>IF(O15&lt;&gt;"",IF(N15="&lt;",IF(AND('Outfall 1 Limits'!$AM$28="Y",$BX$54&lt;&gt;"Y",O15&lt;='Outfall 1 Limits'!$AL$28),0,(1*O15)),O15),"")</f>
        <v/>
      </c>
      <c r="DC15" s="206" t="str">
        <f>IF(Q15&lt;&gt;"",IF(P15="&lt;",IF(AND('Outfall 1 Limits'!$AM$32="Y",$BY$54&lt;&gt;"Y",Q15&lt;='Outfall 1 Limits'!$AL$32),0,(1*Q15)),Q15),"")</f>
        <v/>
      </c>
      <c r="DD15" s="206" t="str">
        <f>IF(S15&lt;&gt;"",IF(R15="&lt;",IF(AND('Outfall 1 Limits'!$AM$36="Y",$BZ$54&lt;&gt;"Y",S15&lt;='Outfall 1 Limits'!$AL$36),0,(1*S15)),S15),"")</f>
        <v/>
      </c>
      <c r="DE15" s="206" t="str">
        <f>IF(U15&lt;&gt;"",IF(T15="&lt;",IF(AND('Outfall 1 Limits'!$AM$40="Y",$CA$54&lt;&gt;"Y",U15&lt;='Outfall 1 Limits'!$AL$40),0,(1*U15)),U15),"")</f>
        <v/>
      </c>
      <c r="DF15" s="206" t="str">
        <f>IF(W15&lt;&gt;"",IF(V15="&lt;",IF(AND('Outfall 1 Limits'!$AM$44="Y",$CB$54&lt;&gt;"Y",W15&lt;='Outfall 1 Limits'!$AL$44),0,(1*W15)),W15),"")</f>
        <v/>
      </c>
      <c r="DG15" s="206" t="str">
        <f>IF(Y15&lt;&gt;"",IF(X15="&lt;",IF(AND('Outfall 1 Limits'!$AM$48="Y",$CC$54&lt;&gt;"Y",Y15&lt;='Outfall 1 Limits'!$AL$48),0,(1*Y15)),Y15),"")</f>
        <v/>
      </c>
      <c r="DH15" s="206" t="str">
        <f>IF(AA15&lt;&gt;"",IF(Z15="&lt;",IF(AND('Outfall 1 Limits'!$AM$52="Y",$CD$54&lt;&gt;"Y",AA15&lt;='Outfall 1 Limits'!$AL$52),0,(1*AA15)),AA15),"")</f>
        <v/>
      </c>
      <c r="DI15" s="206" t="str">
        <f>IF(AC15&lt;&gt;"",IF(AB15="&lt;",IF(AND('Outfall 1 Limits'!$AM$56="Y",$CE$54&lt;&gt;"Y",AC15&lt;='Outfall 1 Limits'!$AL$56),0,(1*AC15)),AC15),"")</f>
        <v/>
      </c>
      <c r="DJ15" s="206" t="str">
        <f>IF(AE15&lt;&gt;"",IF(AD15="&lt;",IF(AND('Outfall 1 Limits'!$AM$60="Y",$CF$54&lt;&gt;"Y",AE15&lt;='Outfall 1 Limits'!$AL$60),0,(1*AE15)),AE15),"")</f>
        <v/>
      </c>
      <c r="DK15" s="206" t="str">
        <f>IF(AG15&lt;&gt;"",IF(AF15="&lt;",IF(AND('Outfall 1 Limits'!$AM$64="Y",$CG$54&lt;&gt;"Y",AG15&lt;='Outfall 1 Limits'!$AL$64),0,(1*AG15)),AG15),"")</f>
        <v/>
      </c>
      <c r="DL15" s="206" t="str">
        <f>IF(AI15&lt;&gt;"",IF(AH15="&lt;",IF(AND('Outfall 1 Limits'!$AM$68="Y",$CH$54&lt;&gt;"Y",AI15&lt;='Outfall 1 Limits'!$AL$68),0,(1*AI15)),AI15),"")</f>
        <v/>
      </c>
      <c r="DM15" s="206" t="str">
        <f>IF(AK15&lt;&gt;"",IF(AJ15="&lt;",IF(AND('Outfall 1 Limits'!$AM$72="Y",$CI$54&lt;&gt;"Y",AK15&lt;='Outfall 1 Limits'!$AL$72),0,(1*AK15)),AK15),"")</f>
        <v/>
      </c>
      <c r="DN15" s="206" t="str">
        <f>IF(AM15&lt;&gt;"",IF(AL15="&lt;",IF(AND('Outfall 1 Limits'!$AM$76="Y",$CJ$54&lt;&gt;"Y",AM15&lt;='Outfall 1 Limits'!$AL$76),0,(1*AM15)),AM15),"")</f>
        <v/>
      </c>
      <c r="DO15" s="206" t="str">
        <f>IF(AO15&lt;&gt;"",IF(AN15="&lt;",IF(AND('Outfall 1 Limits'!$AM$80="Y",$CK$54&lt;&gt;"Y",AO15&lt;='Outfall 1 Limits'!$AL$80),0,(1*AO15)),AO15),"")</f>
        <v/>
      </c>
      <c r="DP15" s="206" t="str">
        <f>IF(AQ15&lt;&gt;"",IF(AP15="&lt;",IF(AND('Outfall 1 Limits'!$AM$84="Y",$CL$54&lt;&gt;"Y",AQ15&lt;='Outfall 1 Limits'!$AL$84),0,(1*AQ15)),AQ15),"")</f>
        <v/>
      </c>
      <c r="DQ15" s="206" t="str">
        <f>IF(AS15&lt;&gt;"",IF(AR15="&lt;",IF(AND('Outfall 1 Limits'!$AM$88="Y",$CM$54&lt;&gt;"Y",AS15&lt;='Outfall 1 Limits'!$AL$88),0,(1*AS15)),AS15),"")</f>
        <v/>
      </c>
      <c r="DR15" s="206" t="str">
        <f>IF(AU15&lt;&gt;"",IF(AT15="&lt;",IF(AND('Outfall 1 Limits'!$AM$92="Y",$CN$54&lt;&gt;"Y",AU15&lt;='Outfall 1 Limits'!$AL$92),0,(1*AU15)),AU15),"")</f>
        <v/>
      </c>
      <c r="DS15" s="206" t="str">
        <f>IF(AW15&lt;&gt;"",IF(AV15="&lt;",IF(AND('Outfall 1 Limits'!$AM$96="Y",$CO$54&lt;&gt;"Y",AW15&lt;='Outfall 1 Limits'!$AL$96),0,(1*AW15)),AW15),"")</f>
        <v/>
      </c>
      <c r="DT15" s="206" t="str">
        <f>IF(AY15&lt;&gt;"",IF(AX15="&lt;",IF(AND('Outfall 1 Limits'!$AM$100="Y",$CP$54&lt;&gt;"Y",AY15&lt;='Outfall 1 Limits'!$AL$100),0,(1*AY15)),AY15),"")</f>
        <v/>
      </c>
      <c r="DU15" s="206" t="str">
        <f>IF(BA15&lt;&gt;"",IF(AZ15="&lt;",IF(AND('Outfall 1 Limits'!$AM$104="Y",$CQ$54&lt;&gt;"Y",BA15&lt;='Outfall 1 Limits'!$AL$104),0,(1*BA15)),BA15),"")</f>
        <v/>
      </c>
      <c r="DV15" s="206" t="str">
        <f>IF(BC15&lt;&gt;"",IF(BB15="&lt;",IF(AND('Outfall 1 Limits'!$AM$108="Y",$CR$54&lt;&gt;"Y",BC15&lt;='Outfall 1 Limits'!$AL$108),0,(1*BC15)),BC15),"")</f>
        <v/>
      </c>
      <c r="DW15" s="206" t="str">
        <f>IF(BE15&lt;&gt;"",IF(BD15="&lt;",IF(AND('Outfall 1 Limits'!$AM$112="Y",$CS$54&lt;&gt;"Y",BE15&lt;='Outfall 1 Limits'!$AL$112),0,(1*BE15)),BE15),"")</f>
        <v/>
      </c>
      <c r="DX15" s="206" t="str">
        <f>IF(BG15&lt;&gt;"",IF(BF15="&lt;",IF(AND('Outfall 1 Limits'!$AM$116="Y",$CT$54&lt;&gt;"Y",BG15&lt;='Outfall 1 Limits'!$AL$116),0,(1*BG15)),BG15),"")</f>
        <v/>
      </c>
      <c r="DY15" s="206" t="str">
        <f>IF(BI15&lt;&gt;"",IF(BH15="&lt;",IF(AND('Outfall 1 Limits'!$AM$120="Y",$CU$54&lt;&gt;"Y",BI15&lt;='Outfall 1 Limits'!$AL$120),0,(1*BI15)),BI15),"")</f>
        <v/>
      </c>
      <c r="DZ15" s="206" t="str">
        <f>IF(BK15&lt;&gt;"",IF(BJ15="&lt;",IF(AND('Outfall 1 Limits'!$AM$124="Y",$CV$54&lt;&gt;"Y",BK15&lt;='Outfall 1 Limits'!$AL$124),0,(1*BK15)),BK15),"")</f>
        <v/>
      </c>
      <c r="EA15" s="223" t="str">
        <f>IF(BM15&lt;&gt;"",IF(BL15="&lt;",IF(AND('Outfall 1 Limits'!$AM$128="Y",$CW$54&lt;&gt;"Y",BM15&lt;='Outfall 1 Limits'!$AL$128),0,(1*BM15)),BM15),"")</f>
        <v/>
      </c>
      <c r="EB15" s="209" t="s">
        <v>379</v>
      </c>
      <c r="EC15" s="202" t="str">
        <f>IF(SUM(I31:I37)&gt;0,IF(BU72="Y",AVERAGE(I31:I37),AVERAGE(CY31:CY37)),"")</f>
        <v/>
      </c>
      <c r="ED15" s="196" t="str">
        <f>IF(SUM(K31:K37)&gt;0,IF(BV72="Y",AVERAGE(K31:K37),AVERAGE(CZ31:CZ37)),"")</f>
        <v/>
      </c>
      <c r="EE15" s="196" t="str">
        <f>IF(SUM(M31:M37)&gt;0,IF(BW72="Y",AVERAGE(M31:M37),AVERAGE(DA31:DA37)),"")</f>
        <v/>
      </c>
      <c r="EF15" s="196" t="str">
        <f>IF(SUM(O31:O37)&gt;0,IF(BX72="Y",AVERAGE(O31:O37),AVERAGE(DB31:DB37)),"")</f>
        <v/>
      </c>
      <c r="EG15" s="196" t="str">
        <f>IF(SUM(Q31:Q37)&gt;0,IF(BY72="Y",AVERAGE(Q31:Q37),AVERAGE(DC31:DC37)),"")</f>
        <v/>
      </c>
      <c r="EH15" s="196" t="str">
        <f>IF(SUM(S31:S37)&gt;0,IF(BZ72="Y",AVERAGE(S31:S37),AVERAGE(DD31:DD37)),"")</f>
        <v/>
      </c>
      <c r="EI15" s="196" t="str">
        <f>IF(SUM(U31:U37)&gt;0,IF(CA72="Y",AVERAGE(U31:U37),AVERAGE(DE31:DE37)),"")</f>
        <v/>
      </c>
      <c r="EJ15" s="196" t="str">
        <f>IF(SUM(W31:W37)&gt;0,IF(CB72="Y",AVERAGE(W31:W37),AVERAGE(DF31:DF37)),"")</f>
        <v/>
      </c>
      <c r="EK15" s="196" t="str">
        <f>IF(SUM(Y31:Y37)&gt;0,IF(CC72="Y",AVERAGE(Y31:Y37),AVERAGE(DG31:DG37)),"")</f>
        <v/>
      </c>
      <c r="EL15" s="196" t="str">
        <f>IF(SUM(AA31:AA37)&gt;0,IF(CD72="Y",AVERAGE(AA31:AA37),AVERAGE(DH31:DH37)),"")</f>
        <v/>
      </c>
      <c r="EM15" s="196" t="str">
        <f>IF(SUM(AC31:AC37)&gt;0,IF(CE72="Y",AVERAGE(AC31:AC37),AVERAGE(DI31:DI37)),"")</f>
        <v/>
      </c>
      <c r="EN15" s="196" t="str">
        <f>IF(SUM(AE31:AE37)&gt;0,IF(CF72="Y",AVERAGE(AE31:AE37),AVERAGE(DJ31:DJ37)),"")</f>
        <v/>
      </c>
      <c r="EO15" s="196" t="str">
        <f>IF(SUM(AG31:AG37)&gt;0,IF(CG72="Y",AVERAGE(AG31:AG37),AVERAGE(DK31:DK37)),"")</f>
        <v/>
      </c>
      <c r="EP15" s="196" t="str">
        <f>IF(SUM(AI31:AI37)&gt;0,IF(CH72="Y",AVERAGE(AI31:AI37),AVERAGE(DL31:DL37)),"")</f>
        <v/>
      </c>
      <c r="EQ15" s="196" t="str">
        <f>IF(SUM(AK31:AK37)&gt;0,IF(CI72="Y",AVERAGE(AK31:AK37),AVERAGE(DM31:DM37)),"")</f>
        <v/>
      </c>
      <c r="ER15" s="196" t="str">
        <f>IF(SUM(AM31:AM37)&gt;0,IF(CJ72="Y",AVERAGE(AM31:AM37),AVERAGE(DN31:DN37)),"")</f>
        <v/>
      </c>
      <c r="ES15" s="196" t="str">
        <f>IF(SUM(AO31:AO37)&gt;0,IF(CK72="Y",AVERAGE(AO31:AO37),AVERAGE(DO31:DO37)),"")</f>
        <v/>
      </c>
      <c r="ET15" s="196" t="str">
        <f>IF(SUM(AQ31:AQ37)&gt;0,IF(CL72="Y",AVERAGE(AQ31:AQ37),AVERAGE(DP31:DP37)),"")</f>
        <v/>
      </c>
      <c r="EU15" s="196" t="str">
        <f>IF(SUM(AS31:AS37)&gt;0,IF(CM72="Y",AVERAGE(AS31:AS37),AVERAGE(DQ31:DQ37)),"")</f>
        <v/>
      </c>
      <c r="EV15" s="196" t="str">
        <f>IF(SUM(AU31:AU37)&gt;0,IF(CN72="Y",AVERAGE(AU31:AU37),AVERAGE(DR31:DR37)),"")</f>
        <v/>
      </c>
      <c r="EW15" s="196" t="str">
        <f>IF(SUM(AW31:AW37)&gt;0,IF(CO72="Y",AVERAGE(AW31:AW37),AVERAGE(DS31:DS37)),"")</f>
        <v/>
      </c>
      <c r="EX15" s="196" t="str">
        <f>IF(SUM(AY31:AY37)&gt;0,IF(CP72="Y",AVERAGE(AY31:AY37),AVERAGE(DT31:DT37)),"")</f>
        <v/>
      </c>
      <c r="EY15" s="196" t="str">
        <f>IF(SUM(BA31:BA37)&gt;0,IF(CQ72="Y",AVERAGE(BA31:BA37),AVERAGE(DU31:DU37)),"")</f>
        <v/>
      </c>
      <c r="EZ15" s="196" t="str">
        <f>IF(SUM(BC31:BC37)&gt;0,IF(CR72="Y",AVERAGE(BC31:BC37),AVERAGE(DV31:DV37)),"")</f>
        <v/>
      </c>
      <c r="FA15" s="196" t="str">
        <f>IF(SUM(BE31:BE37)&gt;0,IF(CS72="Y",AVERAGE(BE31:BE37),AVERAGE(DW31:DW37)),"")</f>
        <v/>
      </c>
      <c r="FB15" s="196" t="str">
        <f>IF(SUM(BG31:BG37)&gt;0,IF(CT72="Y",AVERAGE(BG31:BG37),AVERAGE(DX31:DX37)),"")</f>
        <v/>
      </c>
      <c r="FC15" s="196" t="str">
        <f>IF(SUM(BI31:BI37)&gt;0,IF(CU72="Y",AVERAGE(BI31:BI37),AVERAGE(DY31:DY37)),"")</f>
        <v/>
      </c>
      <c r="FD15" s="196" t="str">
        <f>IF(SUM(BK31:BK37)&gt;0,IF(CV72="Y",AVERAGE(BK31:BK37),AVERAGE(DZ31:DZ37)),"")</f>
        <v/>
      </c>
      <c r="FE15" s="210" t="str">
        <f>IF(SUM(BM31:BM37)&gt;0,IF(CW72="Y",AVERAGE(BM31:BM37),AVERAGE(EA31:EA37)),"")</f>
        <v/>
      </c>
      <c r="FG15" s="212" t="str">
        <f>IF(AND($G15&lt;&gt;"",$G15&gt;0,'Outfall 1 Limits'!$AX$16="C1",I15&lt;&gt;""),I15*$G15*8.34,IF(AND($I15&lt;&gt;"",'Outfall 1 Limits'!$AX$16="L"),I15,""))</f>
        <v/>
      </c>
      <c r="FH15" s="206" t="str">
        <f>IF(AND($G15&lt;&gt;"",$G15&gt;0,'Outfall 1 Limits'!$AX$20="C1",$K15&lt;&gt;""),$K15*$G15*8.34,IF(AND($K15&lt;&gt;"",'Outfall 1 Limits'!$AX$20="L"),$K15,""))</f>
        <v/>
      </c>
      <c r="FI15" s="206" t="str">
        <f>IF(AND($G15&lt;&gt;"",$G15&gt;0,'Outfall 1 Limits'!$AX$24="C1",$M15&lt;&gt;""),$M15*$G15*8.34,IF(AND($M15&lt;&gt;"",'Outfall 1 Limits'!$AX$24="L"),$M15,""))</f>
        <v/>
      </c>
      <c r="FJ15" s="206" t="str">
        <f>IF(AND($G15&lt;&gt;"",$G15&gt;0,'Outfall 1 Limits'!$AX$28="C1",$O15&lt;&gt;""),$O15*$G15*8.34,IF(AND($O15&lt;&gt;"",'Outfall 1 Limits'!$AX$28="L"),$O15,""))</f>
        <v/>
      </c>
      <c r="FK15" s="206" t="str">
        <f>IF(AND($G15&lt;&gt;"",$G15&gt;0,'Outfall 1 Limits'!$AX$32="C1",$Q15&lt;&gt;""),$Q15*$G15*8.34,IF(AND($Q15&lt;&gt;"",'Outfall 1 Limits'!$AX$32="L"),$Q15,""))</f>
        <v/>
      </c>
      <c r="FL15" s="206" t="str">
        <f>IF(AND($G15&lt;&gt;"",$G15&gt;0,'Outfall 1 Limits'!$AX$36="C1",$S15&lt;&gt;""),$S15*$G15*8.34,IF(AND($S15&lt;&gt;"",'Outfall 1 Limits'!$AX$36="L"),$S15,""))</f>
        <v/>
      </c>
      <c r="FM15" s="206" t="str">
        <f>IF(AND($G15&lt;&gt;"",$G15&gt;0,'Outfall 1 Limits'!$AX$40="C1",$U15&lt;&gt;""),$U15*$G15*8.34,IF(AND($U15&lt;&gt;"",'Outfall 1 Limits'!$AX$40="L"),$U15,""))</f>
        <v/>
      </c>
      <c r="FN15" s="206" t="str">
        <f>IF(AND($G15&lt;&gt;"",$G15&gt;0,'Outfall 1 Limits'!$AX$44="C1",$W15&lt;&gt;""),$W15*$G15*8.34,IF(AND($W15&lt;&gt;"",'Outfall 1 Limits'!$AX$44="L"),$W15,""))</f>
        <v/>
      </c>
      <c r="FO15" s="206" t="str">
        <f>IF(AND($G15&lt;&gt;"",$G15&gt;0,'Outfall 1 Limits'!$AX$48="C1",$Y15&lt;&gt;""),$Y15*$G15*8.34,IF(AND($Y15&lt;&gt;"",'Outfall 1 Limits'!$AX$48="L"),$Y15,""))</f>
        <v/>
      </c>
      <c r="FP15" s="206" t="str">
        <f>IF(AND($G15&lt;&gt;"",$G15&gt;0,'Outfall 1 Limits'!$AX$52="C1",$AA15&lt;&gt;""),$AA15*$G15*8.34,IF(AND($AA15&lt;&gt;"",'Outfall 1 Limits'!$AX$52="L"),$AA15,""))</f>
        <v/>
      </c>
      <c r="FQ15" s="206" t="str">
        <f>IF(AND($G15&lt;&gt;"",$G15&gt;0,'Outfall 1 Limits'!$AX$56="C1",$AC15&lt;&gt;""),$AC15*$G15*8.34,IF(AND($AC15&lt;&gt;"",'Outfall 1 Limits'!$AX$56="L"),$AC15,""))</f>
        <v/>
      </c>
      <c r="FR15" s="206" t="str">
        <f>IF(AND($G15&lt;&gt;"",$G15&gt;0,'Outfall 1 Limits'!$AX$60="C1",$AE15&lt;&gt;""),$AE15*$G15*8.34,IF(AND($AE15&lt;&gt;"",'Outfall 1 Limits'!$AX$60="L"),$AE15,""))</f>
        <v/>
      </c>
      <c r="FS15" s="206" t="str">
        <f>IF(AND($G15&lt;&gt;"",$G15&gt;0,'Outfall 1 Limits'!$AX$64="C1",$AG15&lt;&gt;""),$AG15*$G15*8.34,IF(AND($AG15&lt;&gt;"",'Outfall 1 Limits'!$AX$64="L"),$AG15,""))</f>
        <v/>
      </c>
      <c r="FT15" s="206" t="str">
        <f>IF(AND($G15&lt;&gt;"",$G15&gt;0,'Outfall 1 Limits'!$AX$68="C1",$AI15&lt;&gt;""),$AI15*$G15*8.34,IF(AND($AI15&lt;&gt;"",'Outfall 1 Limits'!$AX$68="L"),$AI15,""))</f>
        <v/>
      </c>
      <c r="FU15" s="206" t="str">
        <f>IF(AND($G15&lt;&gt;"",$G15&gt;0,'Outfall 1 Limits'!$AX$72="C1",$AK15&lt;&gt;""),$AK15*$G15*8.34,IF(AND($AK15&lt;&gt;"",'Outfall 1 Limits'!$AX$72="L"),$AK15,""))</f>
        <v/>
      </c>
      <c r="FV15" s="206" t="str">
        <f>IF(AND($G15&lt;&gt;"",$G15&gt;0,'Outfall 1 Limits'!$AX$76="C1",$AM15&lt;&gt;""),$AM15*$G15*8.34,IF(AND($AM15&lt;&gt;"",'Outfall 1 Limits'!$AX$76="L"),$AM15,""))</f>
        <v/>
      </c>
      <c r="FW15" s="206" t="str">
        <f>IF(AND($G15&lt;&gt;"",$G15&gt;0,'Outfall 1 Limits'!$AX$80="C1",$AO15&lt;&gt;""),$AO15*$G15*8.34,IF(AND($AO15&lt;&gt;"",'Outfall 1 Limits'!$AX$80="L"),$AO15,""))</f>
        <v/>
      </c>
      <c r="FX15" s="206" t="str">
        <f>IF(AND($G15&lt;&gt;"",$G15&gt;0,'Outfall 1 Limits'!$AX$84="C1",$AQ15&lt;&gt;""),$AQ15*$G15*8.34,IF(AND($AQ15&lt;&gt;"",'Outfall 1 Limits'!$AX$84="L"),$AQ15,""))</f>
        <v/>
      </c>
      <c r="FY15" s="206" t="str">
        <f>IF(AND($G15&lt;&gt;"",$G15&gt;0,'Outfall 1 Limits'!$AX$88="C1",$AS15&lt;&gt;""),$AS15*$G15*8.34,IF(AND($AS15&lt;&gt;"",'Outfall 1 Limits'!$AX$88="L"),$AS15,""))</f>
        <v/>
      </c>
      <c r="FZ15" s="206" t="str">
        <f>IF(AND($G15&lt;&gt;"",$G15&gt;0,'Outfall 1 Limits'!$AX$92="C1",$AU15&lt;&gt;""),$AU15*$G15*8.34,IF(AND($AU15&lt;&gt;"",'Outfall 1 Limits'!$AX$92="L"),$AU15,""))</f>
        <v/>
      </c>
      <c r="GA15" s="206" t="str">
        <f>IF(AND($G15&lt;&gt;"",$G15&gt;0,'Outfall 1 Limits'!$AX$96="C1",$AW15&lt;&gt;""),$AW15*$G15*8.34,IF(AND($AW15&lt;&gt;"",'Outfall 1 Limits'!$AX$96="L"),$AW15,""))</f>
        <v/>
      </c>
      <c r="GB15" s="206" t="str">
        <f>IF(AND($G15&lt;&gt;"",$G15&gt;0,'Outfall 1 Limits'!$AX$100="C1",$AY15&lt;&gt;""),$AY15*$G15*8.34,IF(AND($AY15&lt;&gt;"",'Outfall 1 Limits'!$AX$100="L"),$AY15,""))</f>
        <v/>
      </c>
      <c r="GC15" s="206" t="str">
        <f>IF(AND($G15&lt;&gt;"",$G15&gt;0,'Outfall 1 Limits'!$AX$104="C1",$BA15&lt;&gt;""),$BA15*$G15*8.34,IF(AND($BA15&lt;&gt;"",'Outfall 1 Limits'!$AX$104="L"),$BA15,""))</f>
        <v/>
      </c>
      <c r="GD15" s="206" t="str">
        <f>IF(AND($G15&lt;&gt;"",$G15&gt;0,'Outfall 1 Limits'!$AX$108="C1",$BC15&lt;&gt;""),$BC15*$G15*8.34,IF(AND($BC15&lt;&gt;"",'Outfall 1 Limits'!$AX$108="L"),$BC15,""))</f>
        <v/>
      </c>
      <c r="GE15" s="206" t="str">
        <f>IF(AND($G15&lt;&gt;"",$G15&gt;0,'Outfall 1 Limits'!$AX$112="C1",$BE15&lt;&gt;""),$BE15*$G15*8.34,IF(AND($BE15&lt;&gt;"",'Outfall 1 Limits'!$AX$112="L"),$BE15,""))</f>
        <v/>
      </c>
      <c r="GF15" s="206" t="str">
        <f>IF(AND($G15&lt;&gt;"",$G15&gt;0,'Outfall 1 Limits'!$AX$116="C1",$BG15&lt;&gt;""),$BG15*$G15*8.34,IF(AND($BG15&lt;&gt;"",'Outfall 1 Limits'!$AX$116="L"),$BG15,""))</f>
        <v/>
      </c>
      <c r="GG15" s="206" t="str">
        <f>IF(AND($G15&lt;&gt;"",$G15&gt;0,'Outfall 1 Limits'!$AX$120="C1",$BI15&lt;&gt;""),$BI15*$G15*8.34,IF(AND($BI15&lt;&gt;"",'Outfall 1 Limits'!$AX$120="L"),$BI15,""))</f>
        <v/>
      </c>
      <c r="GH15" s="206" t="str">
        <f>IF(AND($G15&lt;&gt;"",$G15&gt;0,'Outfall 1 Limits'!$AX$124="C1",$BK15&lt;&gt;""),$BK15*$G15*8.34,IF(AND($BK15&lt;&gt;"",'Outfall 1 Limits'!$AX$124="L"),$BK15,""))</f>
        <v/>
      </c>
      <c r="GI15" s="223" t="str">
        <f>IF(AND($G15&lt;&gt;"",$G15&gt;0,'Outfall 1 Limits'!$AX$128="C1",$BM15&lt;&gt;""),$BM15*$G15*8.34,IF(AND($BM15&lt;&gt;"",'Outfall 1 Limits'!$AX$128="L"),$BM15,""))</f>
        <v/>
      </c>
      <c r="GJ15" s="177" t="str">
        <f t="shared" ref="GJ15:GJ52" si="59">IF(AG14&lt;&gt;"",IF(AF14="&lt;",1,0.99),"")</f>
        <v/>
      </c>
      <c r="GK15" s="212" t="str">
        <f>IF(AND($G15&lt;&gt;"",$G15&gt;0,'Outfall 1 Limits'!$AX$16="C1",CY15&lt;&gt;""),CY15*$G15*8.34,IF(AND(CY15&lt;&gt;"",'Outfall 1 Limits'!$AX$16="L"),CY15,""))</f>
        <v/>
      </c>
      <c r="GL15" s="206" t="str">
        <f>IF(AND($G15&lt;&gt;"",$G15&gt;0,'Outfall 1 Limits'!$AX$20="C1",CZ15&lt;&gt;""),CZ15*$G15*8.34,IF(AND(CZ15&lt;&gt;"",'Outfall 1 Limits'!$AX$20="L"),CZ15,""))</f>
        <v/>
      </c>
      <c r="GM15" s="206" t="str">
        <f>IF(AND($G15&lt;&gt;"",$G15&gt;0,'Outfall 1 Limits'!$AX$24="C1",DA15&lt;&gt;""),DA15*$G15*8.34,IF(AND(DA15&lt;&gt;"",'Outfall 1 Limits'!$AX$24="L"),DA15,""))</f>
        <v/>
      </c>
      <c r="GN15" s="206" t="str">
        <f>IF(AND($G15&lt;&gt;"",$G15&gt;0,'Outfall 1 Limits'!$AX$28="C1",DB15&lt;&gt;""),DB15*$G15*8.34,IF(AND(DB15&lt;&gt;"",'Outfall 1 Limits'!$AX$28="L"),DB15,""))</f>
        <v/>
      </c>
      <c r="GO15" s="206" t="str">
        <f>IF(AND($G15&lt;&gt;"",$G15&gt;0,'Outfall 1 Limits'!$AX$32="C1",DC15&lt;&gt;""),DC15*$G15*8.34,IF(AND(DC15&lt;&gt;"",'Outfall 1 Limits'!$AX$32="L"),DC15,""))</f>
        <v/>
      </c>
      <c r="GP15" s="206" t="str">
        <f>IF(AND($G15&lt;&gt;"",$G15&gt;0,'Outfall 1 Limits'!$AX$36="C1",DD15&lt;&gt;""),DD15*$G15*8.34,IF(AND(DD15&lt;&gt;"",'Outfall 1 Limits'!$AX$36="L"),DD15,""))</f>
        <v/>
      </c>
      <c r="GQ15" s="206" t="str">
        <f>IF(AND($G15&lt;&gt;"",$G15&gt;0,'Outfall 1 Limits'!$AX$40="C1",DE15&lt;&gt;""),DE15*$G15*8.34,IF(AND(DE15&lt;&gt;"",'Outfall 1 Limits'!$AX$40="L"),DE15,""))</f>
        <v/>
      </c>
      <c r="GR15" s="206" t="str">
        <f>IF(AND($G15&lt;&gt;"",$G15&gt;0,'Outfall 1 Limits'!$AX$44="C1",DF15&lt;&gt;""),DF15*$G15*8.34,IF(AND(DF15&lt;&gt;"",'Outfall 1 Limits'!$AX$44="L"),DF15,""))</f>
        <v/>
      </c>
      <c r="GS15" s="206" t="str">
        <f>IF(AND($G15&lt;&gt;"",$G15&gt;0,'Outfall 1 Limits'!$AX$48="C1",DG15&lt;&gt;""),DG15*$G15*8.34,IF(AND(DG15&lt;&gt;"",'Outfall 1 Limits'!$AX$48="L"),DG15,""))</f>
        <v/>
      </c>
      <c r="GT15" s="206" t="str">
        <f>IF(AND($G15&lt;&gt;"",$G15&gt;0,'Outfall 1 Limits'!$AX$52="C1",DH15&lt;&gt;""),DH15*$G15*8.34,IF(AND(DH15&lt;&gt;"",'Outfall 1 Limits'!$AX$52="L"),DH15,""))</f>
        <v/>
      </c>
      <c r="GU15" s="206" t="str">
        <f>IF(AND($G15&lt;&gt;"",$G15&gt;0,'Outfall 1 Limits'!$AX$56="C1",DI15&lt;&gt;""),DI15*$G15*8.34,IF(AND(DI15&lt;&gt;"",'Outfall 1 Limits'!$AX$56="L"),DI15,""))</f>
        <v/>
      </c>
      <c r="GV15" s="206" t="str">
        <f>IF(AND($G15&lt;&gt;"",$G15&gt;0,'Outfall 1 Limits'!$AX$60="C1",DJ15&lt;&gt;""),DJ15*$G15*8.34,IF(AND(DJ15&lt;&gt;"",'Outfall 1 Limits'!$AX$60="L"),DJ15,""))</f>
        <v/>
      </c>
      <c r="GW15" s="206" t="str">
        <f>IF(AND($G15&lt;&gt;"",$G15&gt;0,'Outfall 1 Limits'!$AX$64="C1",DK15&lt;&gt;""),DK15*$G15*8.34,IF(AND(DK15&lt;&gt;"",'Outfall 1 Limits'!$AX$64="L"),DK15,""))</f>
        <v/>
      </c>
      <c r="GX15" s="206" t="str">
        <f>IF(AND($G15&lt;&gt;"",$G15&gt;0,'Outfall 1 Limits'!$AX$68="C1",DL15&lt;&gt;""),DL15*$G15*8.34,IF(AND(DL15&lt;&gt;"",'Outfall 1 Limits'!$AX$68="L"),DL15,""))</f>
        <v/>
      </c>
      <c r="GY15" s="206" t="str">
        <f>IF(AND($G15&lt;&gt;"",$G15&gt;0,'Outfall 1 Limits'!$AX$72="C1",DM15&lt;&gt;""),DM15*$G15*8.34,IF(AND(DM15&lt;&gt;"",'Outfall 1 Limits'!$AX$72="L"),DM15,""))</f>
        <v/>
      </c>
      <c r="GZ15" s="206" t="str">
        <f>IF(AND($G15&lt;&gt;"",$G15&gt;0,'Outfall 1 Limits'!$AX$76="C1",DN15&lt;&gt;""),DN15*$G15*8.34,IF(AND(DN15&lt;&gt;"",'Outfall 1 Limits'!$AX$76="L"),DN15,""))</f>
        <v/>
      </c>
      <c r="HA15" s="206" t="str">
        <f>IF(AND($G15&lt;&gt;"",$G15&gt;0,'Outfall 1 Limits'!$AX$80="C1",DO15&lt;&gt;""),DO15*$G15*8.34,IF(AND(DO15&lt;&gt;"",'Outfall 1 Limits'!$AX$80="L"),DO15,""))</f>
        <v/>
      </c>
      <c r="HB15" s="206" t="str">
        <f>IF(AND($G15&lt;&gt;"",$G15&gt;0,'Outfall 1 Limits'!$AX$84="C1",DP15&lt;&gt;""),DP15*$G15*8.34,IF(AND(DP15&lt;&gt;"",'Outfall 1 Limits'!$AX$84="L"),DP15,""))</f>
        <v/>
      </c>
      <c r="HC15" s="206" t="str">
        <f>IF(AND($G15&lt;&gt;"",$G15&gt;0,'Outfall 1 Limits'!$AX$88="C1",DQ15&lt;&gt;""),DQ15*$G15*8.34,IF(AND(DQ15&lt;&gt;"",'Outfall 1 Limits'!$AX$88="L"),DQ15,""))</f>
        <v/>
      </c>
      <c r="HD15" s="206" t="str">
        <f>IF(AND($G15&lt;&gt;"",$G15&gt;0,'Outfall 1 Limits'!$AX$92="C1",DR15&lt;&gt;""),DR15*$G15*8.34,IF(AND(DR15&lt;&gt;"",'Outfall 1 Limits'!$AX$92="L"),DR15,""))</f>
        <v/>
      </c>
      <c r="HE15" s="206" t="str">
        <f>IF(AND($G15&lt;&gt;"",$G15&gt;0,'Outfall 1 Limits'!$AX$96="C1",DS15&lt;&gt;""),DS15*$G15*8.34,IF(AND(DS15&lt;&gt;"",'Outfall 1 Limits'!$AX$96="L"),DS15,""))</f>
        <v/>
      </c>
      <c r="HF15" s="206" t="str">
        <f>IF(AND($G15&lt;&gt;"",$G15&gt;0,'Outfall 1 Limits'!$AX$100="C1",DT15&lt;&gt;""),DT15*$G15*8.34,IF(AND(DT15&lt;&gt;"",'Outfall 1 Limits'!$AX$100="L"),DT15,""))</f>
        <v/>
      </c>
      <c r="HG15" s="206" t="str">
        <f>IF(AND($G15&lt;&gt;"",$G15&gt;0,'Outfall 1 Limits'!$AX$104="C1",DU15&lt;&gt;""),DU15*$G15*8.34,IF(AND(DU15&lt;&gt;"",'Outfall 1 Limits'!$AX$104="L"),DU15,""))</f>
        <v/>
      </c>
      <c r="HH15" s="206" t="str">
        <f>IF(AND($G15&lt;&gt;"",$G15&gt;0,'Outfall 1 Limits'!$AX$108="C1",DV15&lt;&gt;""),DV15*$G15*8.34,IF(AND(DV15&lt;&gt;"",'Outfall 1 Limits'!$AX$108="L"),DV15,""))</f>
        <v/>
      </c>
      <c r="HI15" s="206" t="str">
        <f>IF(AND($G15&lt;&gt;"",$G15&gt;0,'Outfall 1 Limits'!$AX$112="C1",DW15&lt;&gt;""),DW15*$G15*8.34,IF(AND(DW15&lt;&gt;"",'Outfall 1 Limits'!$AX$112="L"),DW15,""))</f>
        <v/>
      </c>
      <c r="HJ15" s="206" t="str">
        <f>IF(AND($G15&lt;&gt;"",$G15&gt;0,'Outfall 1 Limits'!$AX$116="C1",DX15&lt;&gt;""),DX15*$G15*8.34,IF(AND(DX15&lt;&gt;"",'Outfall 1 Limits'!$AX$116="L"),DX15,""))</f>
        <v/>
      </c>
      <c r="HK15" s="206" t="str">
        <f>IF(AND($G15&lt;&gt;"",$G15&gt;0,'Outfall 1 Limits'!$AX$120="C1",DY15&lt;&gt;""),DY15*$G15*8.34,IF(AND(DY15&lt;&gt;"",'Outfall 1 Limits'!$AX$120="L"),DY15,""))</f>
        <v/>
      </c>
      <c r="HL15" s="206" t="str">
        <f>IF(AND($G15&lt;&gt;"",$G15&gt;0,'Outfall 1 Limits'!$AX$124="C1",DZ15&lt;&gt;""),DZ15*$G15*8.34,IF(AND(DZ15&lt;&gt;"",'Outfall 1 Limits'!$AX$124="L"),DZ15,""))</f>
        <v/>
      </c>
      <c r="HM15" s="223" t="str">
        <f>IF(AND($G15&lt;&gt;"",$G15&gt;0,'Outfall 1 Limits'!$AX$128="C1",EA15&lt;&gt;""),EA15*$G15*8.34,IF(AND(EA15&lt;&gt;"",'Outfall 1 Limits'!$AX$128="L"),EA15,""))</f>
        <v/>
      </c>
      <c r="HO15" s="224" t="str">
        <f t="shared" ref="HO15:HO51" si="60">IF(I15&lt;&gt;"",IF(H15="&gt;",(1.000001*I15),I15),"")</f>
        <v/>
      </c>
      <c r="HS15" s="202" t="str">
        <f t="shared" ref="HS15:HS51" si="61">IF(I15&lt;&gt;"",IF(H15="&lt;",(I15-0.01),I15),"")</f>
        <v/>
      </c>
      <c r="HT15" s="196" t="str">
        <f t="shared" ref="HT15:HT51" si="62">IF(K15&lt;&gt;"",IF(J15="&lt;",(K15-0.01),K15),"")</f>
        <v/>
      </c>
      <c r="HU15" s="196" t="str">
        <f t="shared" ref="HU15:HU51" si="63">IF(M15&lt;&gt;"",IF(L15="&lt;",(M15-0.01),M15),"")</f>
        <v/>
      </c>
      <c r="HV15" s="196" t="str">
        <f t="shared" ref="HV15:HV51" si="64">IF(O15&lt;&gt;"",IF(N15="&lt;",(O15-0.01),O15),"")</f>
        <v/>
      </c>
      <c r="HW15" s="196" t="str">
        <f t="shared" ref="HW15:HW51" si="65">IF(Q15&lt;&gt;"",IF(P15="&lt;",(Q15-0.01),Q15),"")</f>
        <v/>
      </c>
      <c r="HX15" s="196" t="str">
        <f t="shared" ref="HX15:HX51" si="66">IF(S15&lt;&gt;"",IF(R15="&lt;",(S15-0.01),S15),"")</f>
        <v/>
      </c>
      <c r="HY15" s="196" t="str">
        <f t="shared" ref="HY15:HY51" si="67">IF(U15&lt;&gt;"",IF(T15="&lt;",(U15-0.01),U15),"")</f>
        <v/>
      </c>
      <c r="HZ15" s="196" t="str">
        <f t="shared" ref="HZ15:HZ51" si="68">IF(W15&lt;&gt;"",IF(V15="&lt;",(W15-0.01),W15),"")</f>
        <v/>
      </c>
      <c r="IA15" s="196" t="str">
        <f t="shared" ref="IA15:IA51" si="69">IF(Y15&lt;&gt;"",IF(X15="&lt;",(Y15-0.01),Y15),"")</f>
        <v/>
      </c>
      <c r="IB15" s="196" t="str">
        <f t="shared" ref="IB15:IB51" si="70">IF(AA15&lt;&gt;"",IF(Z15="&lt;",(AA15-0.01),AA15),"")</f>
        <v/>
      </c>
      <c r="IC15" s="196" t="str">
        <f t="shared" ref="IC15:IC51" si="71">IF(AC15&lt;&gt;"",IF(AB15="&lt;",(AC15-0.01),AC15),"")</f>
        <v/>
      </c>
      <c r="ID15" s="196" t="str">
        <f t="shared" ref="ID15:ID51" si="72">IF(AE15&lt;&gt;"",IF(AD15="&lt;",(AE15-0.01),AE15),"")</f>
        <v/>
      </c>
      <c r="IE15" s="196" t="str">
        <f t="shared" ref="IE15:IE51" si="73">IF(AG15&lt;&gt;"",IF(AF15="&lt;",(AG15-0.01),AG15),"")</f>
        <v/>
      </c>
      <c r="IF15" s="196" t="str">
        <f t="shared" ref="IF15:IF51" si="74">IF(AI15&lt;&gt;"",IF(AH15="&lt;",(AI15-0.01),AI15),"")</f>
        <v/>
      </c>
      <c r="IG15" s="196" t="str">
        <f t="shared" ref="IG15:IG51" si="75">IF(AK15&lt;&gt;"",IF(AJ15="&lt;",(AK15-0.01),AK15),"")</f>
        <v/>
      </c>
      <c r="IH15" s="196" t="str">
        <f t="shared" ref="IH15:IH51" si="76">IF(AM15&lt;&gt;"",IF(AL15="&lt;",(AM15-0.01),AM15),"")</f>
        <v/>
      </c>
      <c r="II15" s="196" t="str">
        <f t="shared" ref="II15:II51" si="77">IF(AO15&lt;&gt;"",IF(AN15="&lt;",(AO15-0.01),AO15),"")</f>
        <v/>
      </c>
      <c r="IJ15" s="196" t="str">
        <f t="shared" ref="IJ15:IJ51" si="78">IF(AQ15&lt;&gt;"",IF(AP15="&lt;",(AQ15-0.01),AQ15),"")</f>
        <v/>
      </c>
      <c r="IK15" s="196" t="str">
        <f t="shared" ref="IK15:IK51" si="79">IF(AS15&lt;&gt;"",IF(AR15="&lt;",(AS15-0.01),AS15),"")</f>
        <v/>
      </c>
      <c r="IL15" s="196" t="str">
        <f t="shared" ref="IL15:IL51" si="80">IF(AU15&lt;&gt;"",IF(AT15="&lt;",(AU15-0.01),AU15),"")</f>
        <v/>
      </c>
      <c r="IM15" s="196" t="str">
        <f t="shared" ref="IM15:IM51" si="81">IF(AW15&lt;&gt;"",IF(AV15="&lt;",(AW15-0.01),AW15),"")</f>
        <v/>
      </c>
      <c r="IN15" s="196" t="str">
        <f t="shared" ref="IN15:IN51" si="82">IF(AY15&lt;&gt;"",IF(AX15="&lt;",(AY15-0.01),AY15),"")</f>
        <v/>
      </c>
      <c r="IO15" s="196" t="str">
        <f t="shared" ref="IO15:IO51" si="83">IF(BA15&lt;&gt;"",IF(AZ15="&lt;",(BA15-0.01),BA15),"")</f>
        <v/>
      </c>
      <c r="IP15" s="196" t="str">
        <f t="shared" ref="IP15:IP51" si="84">IF(BC15&lt;&gt;"",IF(BB15="&lt;",(BC15-0.01),BC15),"")</f>
        <v/>
      </c>
      <c r="IQ15" s="196" t="str">
        <f t="shared" ref="IQ15:IQ51" si="85">IF(BE15&lt;&gt;"",IF(BD15="&lt;",(BE15-0.01),BE15),"")</f>
        <v/>
      </c>
      <c r="IR15" s="196" t="str">
        <f t="shared" ref="IR15:IR51" si="86">IF(BG15&lt;&gt;"",IF(BF15="&lt;",(BG15-0.01),BG15),"")</f>
        <v/>
      </c>
      <c r="IS15" s="196" t="str">
        <f t="shared" ref="IS15:IS51" si="87">IF(BI15&lt;&gt;"",IF(BH15="&lt;",(BI15-0.01),BI15),"")</f>
        <v/>
      </c>
      <c r="IT15" s="196" t="str">
        <f t="shared" ref="IT15:IT51" si="88">IF(BK15&lt;&gt;"",IF(BJ15="&lt;",(BK15-0.01),BK15),"")</f>
        <v/>
      </c>
      <c r="IU15" s="210" t="str">
        <f t="shared" ref="IU15:IU51" si="89">IF(BM15&lt;&gt;"",IF(BL15="&lt;",(BM15-0.01),BM15),"")</f>
        <v/>
      </c>
      <c r="IX15" s="202" t="str">
        <f t="shared" ref="IX15:IX51" si="90">IF($FG15&lt;&gt;"",IF($H15="&lt;",($FG15-0.01),$FG15),"")</f>
        <v/>
      </c>
      <c r="IY15" s="196" t="str">
        <f t="shared" ref="IY15:IY51" si="91">IF($FH15&lt;&gt;"",IF($J15="&lt;",($FH15-0.01),$FH15),"")</f>
        <v/>
      </c>
      <c r="IZ15" s="196" t="str">
        <f t="shared" ref="IZ15:IZ51" si="92">IF($FI15&lt;&gt;"",IF($L15="&lt;",($FI15-0.01),$FI15),"")</f>
        <v/>
      </c>
      <c r="JA15" s="196" t="str">
        <f t="shared" ref="JA15:JA51" si="93">IF($FJ15&lt;&gt;"",IF($N15="&lt;",($FJ15-0.01),$FJ15),"")</f>
        <v/>
      </c>
      <c r="JB15" s="196" t="str">
        <f t="shared" ref="JB15:JB51" si="94">IF($FK15&lt;&gt;"",IF($P15="&lt;",($FK15-0.01),$FK15),"")</f>
        <v/>
      </c>
      <c r="JC15" s="196" t="str">
        <f t="shared" ref="JC15:JC51" si="95">IF($FL15&lt;&gt;"",IF($R15="&lt;",($FL15-0.01),$FL15),"")</f>
        <v/>
      </c>
      <c r="JD15" s="196" t="str">
        <f t="shared" ref="JD15:JD51" si="96">IF($FM15&lt;&gt;"",IF($T15="&lt;",($FM15-0.01),$FM15),"")</f>
        <v/>
      </c>
      <c r="JE15" s="196" t="str">
        <f t="shared" ref="JE15:JE51" si="97">IF($FN15&lt;&gt;"",IF($V15="&lt;",($FN15-0.01),$FN15),"")</f>
        <v/>
      </c>
      <c r="JF15" s="196" t="str">
        <f t="shared" ref="JF15:JF51" si="98">IF($FO15&lt;&gt;"",IF($X15="&lt;",($FO15-0.01),$FO15),"")</f>
        <v/>
      </c>
      <c r="JG15" s="196" t="str">
        <f t="shared" ref="JG15:JG51" si="99">IF($FP15&lt;&gt;"",IF($Z15="&lt;",($FP15-0.01),$FP15),"")</f>
        <v/>
      </c>
      <c r="JH15" s="196" t="str">
        <f t="shared" ref="JH15:JH51" si="100">IF($FQ15&lt;&gt;"",IF($AB15="&lt;",($FQ15-0.01),$FQ15),"")</f>
        <v/>
      </c>
      <c r="JI15" s="196" t="str">
        <f t="shared" ref="JI15:JI51" si="101">IF($FR15&lt;&gt;"",IF($AD15="&lt;",($FR15-0.01),$FR15),"")</f>
        <v/>
      </c>
      <c r="JJ15" s="196" t="str">
        <f t="shared" ref="JJ15:JJ51" si="102">IF($FS15&lt;&gt;"",IF($AF15="&lt;",($FS15-0.01),$FS15),"")</f>
        <v/>
      </c>
      <c r="JK15" s="196" t="str">
        <f t="shared" ref="JK15:JK51" si="103">IF($FT15&lt;&gt;"",IF($AH15="&lt;",($FT15-0.01),$FT15),"")</f>
        <v/>
      </c>
      <c r="JL15" s="196" t="str">
        <f t="shared" ref="JL15:JL51" si="104">IF($FU15&lt;&gt;"",IF($AJ15="&lt;",($FU15-0.01),$FU15),"")</f>
        <v/>
      </c>
      <c r="JM15" s="196" t="str">
        <f t="shared" ref="JM15:JM51" si="105">IF($FV15&lt;&gt;"",IF($AL15="&lt;",($FV15-0.01),$FV15),"")</f>
        <v/>
      </c>
      <c r="JN15" s="196" t="str">
        <f t="shared" ref="JN15:JN51" si="106">IF($FW15&lt;&gt;"",IF($AN15="&lt;",($FW15-0.01),$FW15),"")</f>
        <v/>
      </c>
      <c r="JO15" s="196" t="str">
        <f t="shared" ref="JO15:JO51" si="107">IF($FX15&lt;&gt;"",IF($AP15="&lt;",($FX15-0.01),$FX15),"")</f>
        <v/>
      </c>
      <c r="JP15" s="196" t="str">
        <f t="shared" ref="JP15:JP51" si="108">IF($FY15&lt;&gt;"",IF($AR15="&lt;",($FY15-0.01),$FY15),"")</f>
        <v/>
      </c>
      <c r="JQ15" s="196" t="str">
        <f t="shared" ref="JQ15:JQ51" si="109">IF($FZ15&lt;&gt;"",IF($AT15="&lt;",($FZ15-0.01),$FZ15),"")</f>
        <v/>
      </c>
      <c r="JR15" s="196" t="str">
        <f t="shared" ref="JR15:JR51" si="110">IF($GA15&lt;&gt;"",IF($AV15="&lt;",($GA15-0.01),$GA15),"")</f>
        <v/>
      </c>
      <c r="JS15" s="196" t="str">
        <f t="shared" ref="JS15:JS51" si="111">IF($GB15&lt;&gt;"",IF($AX15="&lt;",($GB15-0.01),$GB15),"")</f>
        <v/>
      </c>
      <c r="JT15" s="196" t="str">
        <f t="shared" ref="JT15:JT51" si="112">IF($GC15&lt;&gt;"",IF($AZ15="&lt;",($GC15-0.01),$GC15),"")</f>
        <v/>
      </c>
      <c r="JU15" s="196" t="str">
        <f t="shared" ref="JU15:JU51" si="113">IF($GD15&lt;&gt;"",IF($BB15="&lt;",($GD15-0.01),$GD15),"")</f>
        <v/>
      </c>
      <c r="JV15" s="196" t="str">
        <f t="shared" ref="JV15:JV51" si="114">IF($GE15&lt;&gt;"",IF($BD15="&lt;",($GE15-0.01),$GE15),"")</f>
        <v/>
      </c>
      <c r="JW15" s="196" t="str">
        <f t="shared" ref="JW15:JW51" si="115">IF($GF15&lt;&gt;"",IF($BF15="&lt;",($GF15-0.01),$GF15),"")</f>
        <v/>
      </c>
      <c r="JX15" s="196" t="str">
        <f t="shared" ref="JX15:JX51" si="116">IF($GG15&lt;&gt;"",IF($BH15="&lt;",($GG15-0.01),$GG15),"")</f>
        <v/>
      </c>
      <c r="JY15" s="196" t="str">
        <f t="shared" ref="JY15:JY51" si="117">IF($GH15&lt;&gt;"",IF($BJ15="&lt;",($GH15-0.01),$GH15),"")</f>
        <v/>
      </c>
      <c r="JZ15" s="210" t="str">
        <f t="shared" ref="JZ15:JZ51" si="118">IF($GI15&lt;&gt;"",IF($BL15="&lt;",($GI15-0.01),$GI15),"")</f>
        <v/>
      </c>
      <c r="KA15" s="196"/>
      <c r="KB15" s="176"/>
      <c r="KC15" s="178"/>
      <c r="KD15" s="218" t="str">
        <f t="shared" si="2"/>
        <v/>
      </c>
      <c r="KE15" s="196" t="str">
        <f t="shared" si="3"/>
        <v/>
      </c>
      <c r="KF15" s="203" t="str">
        <f t="shared" si="4"/>
        <v/>
      </c>
      <c r="KG15" s="203" t="str">
        <f t="shared" si="5"/>
        <v/>
      </c>
      <c r="KH15" s="203" t="str">
        <f t="shared" si="6"/>
        <v/>
      </c>
      <c r="KI15" s="203" t="str">
        <f t="shared" si="7"/>
        <v/>
      </c>
      <c r="KJ15" s="203" t="str">
        <f t="shared" si="8"/>
        <v/>
      </c>
      <c r="KK15" s="203" t="str">
        <f t="shared" si="9"/>
        <v/>
      </c>
      <c r="KL15" s="203" t="str">
        <f t="shared" si="10"/>
        <v/>
      </c>
      <c r="KM15" s="203" t="str">
        <f t="shared" si="11"/>
        <v/>
      </c>
      <c r="KN15" s="203" t="str">
        <f t="shared" si="12"/>
        <v/>
      </c>
      <c r="KO15" s="203" t="str">
        <f t="shared" si="13"/>
        <v/>
      </c>
      <c r="KP15" s="203" t="str">
        <f t="shared" si="14"/>
        <v/>
      </c>
      <c r="KQ15" s="203" t="str">
        <f t="shared" si="15"/>
        <v/>
      </c>
      <c r="KR15" s="203" t="str">
        <f t="shared" si="16"/>
        <v/>
      </c>
      <c r="KS15" s="203" t="str">
        <f t="shared" si="17"/>
        <v/>
      </c>
      <c r="KT15" s="203" t="str">
        <f t="shared" si="18"/>
        <v/>
      </c>
      <c r="KU15" s="203" t="str">
        <f t="shared" si="19"/>
        <v/>
      </c>
      <c r="KV15" s="203" t="str">
        <f t="shared" si="20"/>
        <v/>
      </c>
      <c r="KW15" s="203" t="str">
        <f t="shared" si="21"/>
        <v/>
      </c>
      <c r="KX15" s="203" t="str">
        <f t="shared" si="22"/>
        <v/>
      </c>
      <c r="KY15" s="203" t="str">
        <f t="shared" si="23"/>
        <v/>
      </c>
      <c r="KZ15" s="203" t="str">
        <f t="shared" si="24"/>
        <v/>
      </c>
      <c r="LA15" s="203" t="str">
        <f t="shared" si="25"/>
        <v/>
      </c>
      <c r="LB15" s="203" t="str">
        <f t="shared" si="26"/>
        <v/>
      </c>
      <c r="LC15" s="203" t="str">
        <f t="shared" si="27"/>
        <v/>
      </c>
      <c r="LD15" s="203" t="str">
        <f t="shared" si="28"/>
        <v/>
      </c>
      <c r="LE15" s="203" t="str">
        <f t="shared" si="29"/>
        <v/>
      </c>
      <c r="LF15" s="226" t="str">
        <f t="shared" si="30"/>
        <v/>
      </c>
    </row>
    <row r="16" spans="1:318" s="172" customFormat="1" ht="11.45" customHeight="1" x14ac:dyDescent="0.2">
      <c r="A16" s="35"/>
      <c r="B16" s="54"/>
      <c r="C16" s="438" t="str">
        <f t="shared" si="0"/>
        <v/>
      </c>
      <c r="D16" s="438"/>
      <c r="E16" s="430" t="str">
        <f>IF($E17="","",IF(MONTH($E17-1)&lt;&gt;$P$6,"",$E17-1))</f>
        <v/>
      </c>
      <c r="F16" s="431"/>
      <c r="G16" s="26"/>
      <c r="H16" s="51"/>
      <c r="I16" s="50"/>
      <c r="J16" s="51"/>
      <c r="K16" s="50"/>
      <c r="L16" s="51"/>
      <c r="M16" s="50"/>
      <c r="N16" s="51"/>
      <c r="O16" s="50"/>
      <c r="P16" s="51"/>
      <c r="Q16" s="50"/>
      <c r="R16" s="51"/>
      <c r="S16" s="50"/>
      <c r="T16" s="51"/>
      <c r="U16" s="50"/>
      <c r="V16" s="51"/>
      <c r="W16" s="50"/>
      <c r="X16" s="276"/>
      <c r="Y16" s="50"/>
      <c r="Z16" s="51"/>
      <c r="AA16" s="50"/>
      <c r="AB16" s="51"/>
      <c r="AC16" s="50"/>
      <c r="AD16" s="51"/>
      <c r="AE16" s="50"/>
      <c r="AF16" s="51"/>
      <c r="AG16" s="50"/>
      <c r="AH16" s="51"/>
      <c r="AI16" s="50"/>
      <c r="AJ16" s="51"/>
      <c r="AK16" s="50"/>
      <c r="AL16" s="51"/>
      <c r="AM16" s="50"/>
      <c r="AN16" s="51"/>
      <c r="AO16" s="50"/>
      <c r="AP16" s="51"/>
      <c r="AQ16" s="50"/>
      <c r="AR16" s="51"/>
      <c r="AS16" s="50"/>
      <c r="AT16" s="51"/>
      <c r="AU16" s="50"/>
      <c r="AV16" s="51"/>
      <c r="AW16" s="50"/>
      <c r="AX16" s="51"/>
      <c r="AY16" s="50"/>
      <c r="AZ16" s="51"/>
      <c r="BA16" s="50"/>
      <c r="BB16" s="51"/>
      <c r="BC16" s="50"/>
      <c r="BD16" s="51"/>
      <c r="BE16" s="50"/>
      <c r="BF16" s="51"/>
      <c r="BG16" s="50"/>
      <c r="BH16" s="51"/>
      <c r="BI16" s="50"/>
      <c r="BJ16" s="51"/>
      <c r="BK16" s="50"/>
      <c r="BL16" s="51"/>
      <c r="BM16" s="109"/>
      <c r="BO16" s="174"/>
      <c r="BP16" s="174">
        <v>2035</v>
      </c>
      <c r="BQ16" s="221" t="s">
        <v>31</v>
      </c>
      <c r="BR16" s="222"/>
      <c r="BS16" s="174" t="s">
        <v>1104</v>
      </c>
      <c r="BU16" s="202" t="str">
        <f t="shared" si="31"/>
        <v/>
      </c>
      <c r="BV16" s="196" t="str">
        <f t="shared" si="32"/>
        <v/>
      </c>
      <c r="BW16" s="196" t="str">
        <f t="shared" si="33"/>
        <v/>
      </c>
      <c r="BX16" s="196" t="str">
        <f t="shared" si="34"/>
        <v/>
      </c>
      <c r="BY16" s="196" t="str">
        <f t="shared" si="35"/>
        <v/>
      </c>
      <c r="BZ16" s="196" t="str">
        <f t="shared" si="36"/>
        <v/>
      </c>
      <c r="CA16" s="196" t="str">
        <f t="shared" si="37"/>
        <v/>
      </c>
      <c r="CB16" s="196" t="str">
        <f t="shared" si="38"/>
        <v/>
      </c>
      <c r="CC16" s="196" t="str">
        <f t="shared" si="39"/>
        <v/>
      </c>
      <c r="CD16" s="196" t="str">
        <f t="shared" si="40"/>
        <v/>
      </c>
      <c r="CE16" s="196" t="str">
        <f t="shared" si="41"/>
        <v/>
      </c>
      <c r="CF16" s="196" t="str">
        <f t="shared" si="42"/>
        <v/>
      </c>
      <c r="CG16" s="196" t="str">
        <f t="shared" si="43"/>
        <v/>
      </c>
      <c r="CH16" s="196" t="str">
        <f t="shared" si="44"/>
        <v/>
      </c>
      <c r="CI16" s="196" t="str">
        <f t="shared" si="45"/>
        <v/>
      </c>
      <c r="CJ16" s="196" t="str">
        <f t="shared" si="46"/>
        <v/>
      </c>
      <c r="CK16" s="196" t="str">
        <f t="shared" si="47"/>
        <v/>
      </c>
      <c r="CL16" s="196" t="str">
        <f t="shared" si="48"/>
        <v/>
      </c>
      <c r="CM16" s="196" t="str">
        <f t="shared" si="1"/>
        <v/>
      </c>
      <c r="CN16" s="196" t="str">
        <f t="shared" si="49"/>
        <v/>
      </c>
      <c r="CO16" s="196" t="str">
        <f t="shared" si="50"/>
        <v/>
      </c>
      <c r="CP16" s="196" t="str">
        <f t="shared" si="51"/>
        <v/>
      </c>
      <c r="CQ16" s="196" t="str">
        <f t="shared" si="52"/>
        <v/>
      </c>
      <c r="CR16" s="196" t="str">
        <f t="shared" si="53"/>
        <v/>
      </c>
      <c r="CS16" s="196" t="str">
        <f t="shared" si="54"/>
        <v/>
      </c>
      <c r="CT16" s="196" t="str">
        <f t="shared" si="55"/>
        <v/>
      </c>
      <c r="CU16" s="196" t="str">
        <f t="shared" si="56"/>
        <v/>
      </c>
      <c r="CV16" s="196" t="str">
        <f t="shared" si="57"/>
        <v/>
      </c>
      <c r="CW16" s="210" t="str">
        <f t="shared" si="58"/>
        <v/>
      </c>
      <c r="CY16" s="212" t="str">
        <f>IF(I16&lt;&gt;"",IF(H16="&lt;",IF(AND('Outfall 1 Limits'!$AM$16="Y",$BU$54&lt;&gt;"Y",I16&lt;='Outfall 1 Limits'!$AL$16),0,(1*I16)),I16),"")</f>
        <v/>
      </c>
      <c r="CZ16" s="206" t="str">
        <f>IF(K16&lt;&gt;"",IF(J16="&lt;",IF(AND('Outfall 1 Limits'!$AM$20="Y",$BV$54&lt;&gt;"Y",K16&lt;='Outfall 1 Limits'!$AL$20),0,(1*K16)),K16),"")</f>
        <v/>
      </c>
      <c r="DA16" s="206" t="str">
        <f>IF(M16&lt;&gt;"",IF(L16="&lt;",IF(AND('Outfall 1 Limits'!$AM$24="Y",$BW$54&lt;&gt;"Y",M16&lt;='Outfall 1 Limits'!$AL$24),0,(1*M16)),M16),"")</f>
        <v/>
      </c>
      <c r="DB16" s="206" t="str">
        <f>IF(O16&lt;&gt;"",IF(N16="&lt;",IF(AND('Outfall 1 Limits'!$AM$28="Y",$BX$54&lt;&gt;"Y",O16&lt;='Outfall 1 Limits'!$AL$28),0,(1*O16)),O16),"")</f>
        <v/>
      </c>
      <c r="DC16" s="206" t="str">
        <f>IF(Q16&lt;&gt;"",IF(P16="&lt;",IF(AND('Outfall 1 Limits'!$AM$32="Y",$BY$54&lt;&gt;"Y",Q16&lt;='Outfall 1 Limits'!$AL$32),0,(1*Q16)),Q16),"")</f>
        <v/>
      </c>
      <c r="DD16" s="206" t="str">
        <f>IF(S16&lt;&gt;"",IF(R16="&lt;",IF(AND('Outfall 1 Limits'!$AM$36="Y",$BZ$54&lt;&gt;"Y",S16&lt;='Outfall 1 Limits'!$AL$36),0,(1*S16)),S16),"")</f>
        <v/>
      </c>
      <c r="DE16" s="206" t="str">
        <f>IF(U16&lt;&gt;"",IF(T16="&lt;",IF(AND('Outfall 1 Limits'!$AM$40="Y",$CA$54&lt;&gt;"Y",U16&lt;='Outfall 1 Limits'!$AL$40),0,(1*U16)),U16),"")</f>
        <v/>
      </c>
      <c r="DF16" s="206" t="str">
        <f>IF(W16&lt;&gt;"",IF(V16="&lt;",IF(AND('Outfall 1 Limits'!$AM$44="Y",$CB$54&lt;&gt;"Y",W16&lt;='Outfall 1 Limits'!$AL$44),0,(1*W16)),W16),"")</f>
        <v/>
      </c>
      <c r="DG16" s="206" t="str">
        <f>IF(Y16&lt;&gt;"",IF(X16="&lt;",IF(AND('Outfall 1 Limits'!$AM$48="Y",$CC$54&lt;&gt;"Y",Y16&lt;='Outfall 1 Limits'!$AL$48),0,(1*Y16)),Y16),"")</f>
        <v/>
      </c>
      <c r="DH16" s="206" t="str">
        <f>IF(AA16&lt;&gt;"",IF(Z16="&lt;",IF(AND('Outfall 1 Limits'!$AM$52="Y",$CD$54&lt;&gt;"Y",AA16&lt;='Outfall 1 Limits'!$AL$52),0,(1*AA16)),AA16),"")</f>
        <v/>
      </c>
      <c r="DI16" s="206" t="str">
        <f>IF(AC16&lt;&gt;"",IF(AB16="&lt;",IF(AND('Outfall 1 Limits'!$AM$56="Y",$CE$54&lt;&gt;"Y",AC16&lt;='Outfall 1 Limits'!$AL$56),0,(1*AC16)),AC16),"")</f>
        <v/>
      </c>
      <c r="DJ16" s="206" t="str">
        <f>IF(AE16&lt;&gt;"",IF(AD16="&lt;",IF(AND('Outfall 1 Limits'!$AM$60="Y",$CF$54&lt;&gt;"Y",AE16&lt;='Outfall 1 Limits'!$AL$60),0,(1*AE16)),AE16),"")</f>
        <v/>
      </c>
      <c r="DK16" s="206" t="str">
        <f>IF(AG16&lt;&gt;"",IF(AF16="&lt;",IF(AND('Outfall 1 Limits'!$AM$64="Y",$CG$54&lt;&gt;"Y",AG16&lt;='Outfall 1 Limits'!$AL$64),0,(1*AG16)),AG16),"")</f>
        <v/>
      </c>
      <c r="DL16" s="206" t="str">
        <f>IF(AI16&lt;&gt;"",IF(AH16="&lt;",IF(AND('Outfall 1 Limits'!$AM$68="Y",$CH$54&lt;&gt;"Y",AI16&lt;='Outfall 1 Limits'!$AL$68),0,(1*AI16)),AI16),"")</f>
        <v/>
      </c>
      <c r="DM16" s="206" t="str">
        <f>IF(AK16&lt;&gt;"",IF(AJ16="&lt;",IF(AND('Outfall 1 Limits'!$AM$72="Y",$CI$54&lt;&gt;"Y",AK16&lt;='Outfall 1 Limits'!$AL$72),0,(1*AK16)),AK16),"")</f>
        <v/>
      </c>
      <c r="DN16" s="206" t="str">
        <f>IF(AM16&lt;&gt;"",IF(AL16="&lt;",IF(AND('Outfall 1 Limits'!$AM$76="Y",$CJ$54&lt;&gt;"Y",AM16&lt;='Outfall 1 Limits'!$AL$76),0,(1*AM16)),AM16),"")</f>
        <v/>
      </c>
      <c r="DO16" s="206" t="str">
        <f>IF(AO16&lt;&gt;"",IF(AN16="&lt;",IF(AND('Outfall 1 Limits'!$AM$80="Y",$CK$54&lt;&gt;"Y",AO16&lt;='Outfall 1 Limits'!$AL$80),0,(1*AO16)),AO16),"")</f>
        <v/>
      </c>
      <c r="DP16" s="206" t="str">
        <f>IF(AQ16&lt;&gt;"",IF(AP16="&lt;",IF(AND('Outfall 1 Limits'!$AM$84="Y",$CL$54&lt;&gt;"Y",AQ16&lt;='Outfall 1 Limits'!$AL$84),0,(1*AQ16)),AQ16),"")</f>
        <v/>
      </c>
      <c r="DQ16" s="206" t="str">
        <f>IF(AS16&lt;&gt;"",IF(AR16="&lt;",IF(AND('Outfall 1 Limits'!$AM$88="Y",$CM$54&lt;&gt;"Y",AS16&lt;='Outfall 1 Limits'!$AL$88),0,(1*AS16)),AS16),"")</f>
        <v/>
      </c>
      <c r="DR16" s="206" t="str">
        <f>IF(AU16&lt;&gt;"",IF(AT16="&lt;",IF(AND('Outfall 1 Limits'!$AM$92="Y",$CN$54&lt;&gt;"Y",AU16&lt;='Outfall 1 Limits'!$AL$92),0,(1*AU16)),AU16),"")</f>
        <v/>
      </c>
      <c r="DS16" s="206" t="str">
        <f>IF(AW16&lt;&gt;"",IF(AV16="&lt;",IF(AND('Outfall 1 Limits'!$AM$96="Y",$CO$54&lt;&gt;"Y",AW16&lt;='Outfall 1 Limits'!$AL$96),0,(1*AW16)),AW16),"")</f>
        <v/>
      </c>
      <c r="DT16" s="206" t="str">
        <f>IF(AY16&lt;&gt;"",IF(AX16="&lt;",IF(AND('Outfall 1 Limits'!$AM$100="Y",$CP$54&lt;&gt;"Y",AY16&lt;='Outfall 1 Limits'!$AL$100),0,(1*AY16)),AY16),"")</f>
        <v/>
      </c>
      <c r="DU16" s="206" t="str">
        <f>IF(BA16&lt;&gt;"",IF(AZ16="&lt;",IF(AND('Outfall 1 Limits'!$AM$104="Y",$CQ$54&lt;&gt;"Y",BA16&lt;='Outfall 1 Limits'!$AL$104),0,(1*BA16)),BA16),"")</f>
        <v/>
      </c>
      <c r="DV16" s="206" t="str">
        <f>IF(BC16&lt;&gt;"",IF(BB16="&lt;",IF(AND('Outfall 1 Limits'!$AM$108="Y",$CR$54&lt;&gt;"Y",BC16&lt;='Outfall 1 Limits'!$AL$108),0,(1*BC16)),BC16),"")</f>
        <v/>
      </c>
      <c r="DW16" s="206" t="str">
        <f>IF(BE16&lt;&gt;"",IF(BD16="&lt;",IF(AND('Outfall 1 Limits'!$AM$112="Y",$CS$54&lt;&gt;"Y",BE16&lt;='Outfall 1 Limits'!$AL$112),0,(1*BE16)),BE16),"")</f>
        <v/>
      </c>
      <c r="DX16" s="206" t="str">
        <f>IF(BG16&lt;&gt;"",IF(BF16="&lt;",IF(AND('Outfall 1 Limits'!$AM$116="Y",$CT$54&lt;&gt;"Y",BG16&lt;='Outfall 1 Limits'!$AL$116),0,(1*BG16)),BG16),"")</f>
        <v/>
      </c>
      <c r="DY16" s="206" t="str">
        <f>IF(BI16&lt;&gt;"",IF(BH16="&lt;",IF(AND('Outfall 1 Limits'!$AM$120="Y",$CU$54&lt;&gt;"Y",BI16&lt;='Outfall 1 Limits'!$AL$120),0,(1*BI16)),BI16),"")</f>
        <v/>
      </c>
      <c r="DZ16" s="206" t="str">
        <f>IF(BK16&lt;&gt;"",IF(BJ16="&lt;",IF(AND('Outfall 1 Limits'!$AM$124="Y",$CV$54&lt;&gt;"Y",BK16&lt;='Outfall 1 Limits'!$AL$124),0,(1*BK16)),BK16),"")</f>
        <v/>
      </c>
      <c r="EA16" s="223" t="str">
        <f>IF(BM16&lt;&gt;"",IF(BL16="&lt;",IF(AND('Outfall 1 Limits'!$AM$128="Y",$CW$54&lt;&gt;"Y",BM16&lt;='Outfall 1 Limits'!$AL$128),0,(1*BM16)),BM16),"")</f>
        <v/>
      </c>
      <c r="EB16" s="209" t="s">
        <v>380</v>
      </c>
      <c r="EC16" s="202" t="str">
        <f>IF(SUM(I38:I44)&gt;0,IF(BU74="Y",AVERAGE(I38:I44),AVERAGE(CY38:CY44)),"")</f>
        <v/>
      </c>
      <c r="ED16" s="196" t="str">
        <f>IF(SUM(K38:K44)&gt;0,IF(BV74="Y",AVERAGE(K38:K44),AVERAGE(CZ38:CZ44)),"")</f>
        <v/>
      </c>
      <c r="EE16" s="196" t="str">
        <f>IF(SUM(M38:M44)&gt;0,IF(BW74="Y",AVERAGE(M38:M44),AVERAGE(DA38:DA44)),"")</f>
        <v/>
      </c>
      <c r="EF16" s="196" t="str">
        <f>IF(SUM(O38:O44)&gt;0,IF(BX74="Y",AVERAGE(O38:O44),AVERAGE(DB38:DB44)),"")</f>
        <v/>
      </c>
      <c r="EG16" s="196" t="str">
        <f>IF(SUM(Q38:Q44)&gt;0,IF(BY74="Y",AVERAGE(Q38:Q44),AVERAGE(DC38:DC44)),"")</f>
        <v/>
      </c>
      <c r="EH16" s="196" t="str">
        <f>IF(SUM(S38:S44)&gt;0,IF(BZ74="Y",AVERAGE(S38:S44),AVERAGE(DD38:DD44)),"")</f>
        <v/>
      </c>
      <c r="EI16" s="196" t="str">
        <f>IF(SUM(U38:U44)&gt;0,IF(CA74="Y",AVERAGE(U38:U44),AVERAGE(DE38:DE44)),"")</f>
        <v/>
      </c>
      <c r="EJ16" s="196" t="str">
        <f>IF(SUM(W38:W44)&gt;0,IF(CB74="Y",AVERAGE(W38:W44),AVERAGE(DF38:DF44)),"")</f>
        <v/>
      </c>
      <c r="EK16" s="196" t="str">
        <f>IF(SUM(Y38:Y44)&gt;0,IF(CC74="Y",AVERAGE(Y38:Y44),AVERAGE(DG38:DG44)),"")</f>
        <v/>
      </c>
      <c r="EL16" s="196" t="str">
        <f>IF(SUM(AA38:AA44)&gt;0,IF(CD74="Y",AVERAGE(AA38:AA44),AVERAGE(DH38:DH44)),"")</f>
        <v/>
      </c>
      <c r="EM16" s="196" t="str">
        <f>IF(SUM(AC38:AC44)&gt;0,IF(CE74="Y",AVERAGE(AC38:AC44),AVERAGE(DI38:DI44)),"")</f>
        <v/>
      </c>
      <c r="EN16" s="196" t="str">
        <f>IF(SUM(AE38:AE44)&gt;0,IF(CF74="Y",AVERAGE(AE38:AE44),AVERAGE(DJ38:DJ44)),"")</f>
        <v/>
      </c>
      <c r="EO16" s="196" t="str">
        <f>IF(SUM(AG38:AG44)&gt;0,IF(CG74="Y",AVERAGE(AG38:AG44),AVERAGE(DK38:DK44)),"")</f>
        <v/>
      </c>
      <c r="EP16" s="196" t="str">
        <f>IF(SUM(AI38:AI44)&gt;0,IF(CH74="Y",AVERAGE(AI38:AI44),AVERAGE(DL38:DL44)),"")</f>
        <v/>
      </c>
      <c r="EQ16" s="196" t="str">
        <f>IF(SUM(AK38:AK44)&gt;0,IF(CI74="Y",AVERAGE(AK38:AK44),AVERAGE(DM38:DM44)),"")</f>
        <v/>
      </c>
      <c r="ER16" s="196" t="str">
        <f>IF(SUM(AM38:AM44)&gt;0,IF(CJ74="Y",AVERAGE(AM38:AM44),AVERAGE(DN38:DN44)),"")</f>
        <v/>
      </c>
      <c r="ES16" s="196" t="str">
        <f>IF(SUM(AO38:AO44)&gt;0,IF(CK74="Y",AVERAGE(AO38:AO44),AVERAGE(DO38:DO44)),"")</f>
        <v/>
      </c>
      <c r="ET16" s="196" t="str">
        <f>IF(SUM(AQ38:AQ44)&gt;0,IF(CL74="Y",AVERAGE(AQ38:AQ44),AVERAGE(DP38:DP44)),"")</f>
        <v/>
      </c>
      <c r="EU16" s="196" t="str">
        <f>IF(SUM(AS38:AS44)&gt;0,IF(CM74="Y",AVERAGE(AS38:AS44),AVERAGE(DQ38:DQ44)),"")</f>
        <v/>
      </c>
      <c r="EV16" s="196" t="str">
        <f>IF(SUM(AU38:AU44)&gt;0,IF(CN74="Y",AVERAGE(AU38:AU44),AVERAGE(DR38:DR44)),"")</f>
        <v/>
      </c>
      <c r="EW16" s="196" t="str">
        <f>IF(SUM(AW38:AW44)&gt;0,IF(CO74="Y",AVERAGE(AW38:AW44),AVERAGE(DS38:DS44)),"")</f>
        <v/>
      </c>
      <c r="EX16" s="196" t="str">
        <f>IF(SUM(AY38:AY44)&gt;0,IF(CP74="Y",AVERAGE(AY38:AY44),AVERAGE(DT38:DT44)),"")</f>
        <v/>
      </c>
      <c r="EY16" s="196" t="str">
        <f>IF(SUM(BA38:BA44)&gt;0,IF(CQ74="Y",AVERAGE(BA38:BA44),AVERAGE(DU38:DU44)),"")</f>
        <v/>
      </c>
      <c r="EZ16" s="196" t="str">
        <f>IF(SUM(BC38:BC44)&gt;0,IF(CR74="Y",AVERAGE(BC38:BC44),AVERAGE(DV38:DV44)),"")</f>
        <v/>
      </c>
      <c r="FA16" s="196" t="str">
        <f>IF(SUM(BE38:BE44)&gt;0,IF(CS74="Y",AVERAGE(BE38:BE44),AVERAGE(DW38:DW44)),"")</f>
        <v/>
      </c>
      <c r="FB16" s="196" t="str">
        <f>IF(SUM(BG38:BG44)&gt;0,IF(CT74="Y",AVERAGE(BG38:BG44),AVERAGE(DX38:DX44)),"")</f>
        <v/>
      </c>
      <c r="FC16" s="196" t="str">
        <f>IF(SUM(BI38:BI44)&gt;0,IF(CU74="Y",AVERAGE(BI38:BI44),AVERAGE(DY38:DY44)),"")</f>
        <v/>
      </c>
      <c r="FD16" s="196" t="str">
        <f>IF(SUM(BK38:BK44)&gt;0,IF(CV74="Y",AVERAGE(BK38:BK44),AVERAGE(DZ38:DZ44)),"")</f>
        <v/>
      </c>
      <c r="FE16" s="210" t="str">
        <f>IF(SUM(BM38:BM44)&gt;0,IF(CW74="Y",AVERAGE(BM38:BM44),AVERAGE(EA38:EA44)),"")</f>
        <v/>
      </c>
      <c r="FG16" s="212" t="str">
        <f>IF(AND($G16&lt;&gt;"",$G16&gt;0,'Outfall 1 Limits'!$AX$16="C1",I16&lt;&gt;""),I16*$G16*8.34,IF(AND($I16&lt;&gt;"",'Outfall 1 Limits'!$AX$16="L"),I16,""))</f>
        <v/>
      </c>
      <c r="FH16" s="206" t="str">
        <f>IF(AND($G16&lt;&gt;"",$G16&gt;0,'Outfall 1 Limits'!$AX$20="C1",$K16&lt;&gt;""),$K16*$G16*8.34,IF(AND($K16&lt;&gt;"",'Outfall 1 Limits'!$AX$20="L"),$K16,""))</f>
        <v/>
      </c>
      <c r="FI16" s="206" t="str">
        <f>IF(AND($G16&lt;&gt;"",$G16&gt;0,'Outfall 1 Limits'!$AX$24="C1",$M16&lt;&gt;""),$M16*$G16*8.34,IF(AND($M16&lt;&gt;"",'Outfall 1 Limits'!$AX$24="L"),$M16,""))</f>
        <v/>
      </c>
      <c r="FJ16" s="206" t="str">
        <f>IF(AND($G16&lt;&gt;"",$G16&gt;0,'Outfall 1 Limits'!$AX$28="C1",$O16&lt;&gt;""),$O16*$G16*8.34,IF(AND($O16&lt;&gt;"",'Outfall 1 Limits'!$AX$28="L"),$O16,""))</f>
        <v/>
      </c>
      <c r="FK16" s="206" t="str">
        <f>IF(AND($G16&lt;&gt;"",$G16&gt;0,'Outfall 1 Limits'!$AX$32="C1",$Q16&lt;&gt;""),$Q16*$G16*8.34,IF(AND($Q16&lt;&gt;"",'Outfall 1 Limits'!$AX$32="L"),$Q16,""))</f>
        <v/>
      </c>
      <c r="FL16" s="206" t="str">
        <f>IF(AND($G16&lt;&gt;"",$G16&gt;0,'Outfall 1 Limits'!$AX$36="C1",$S16&lt;&gt;""),$S16*$G16*8.34,IF(AND($S16&lt;&gt;"",'Outfall 1 Limits'!$AX$36="L"),$S16,""))</f>
        <v/>
      </c>
      <c r="FM16" s="206" t="str">
        <f>IF(AND($G16&lt;&gt;"",$G16&gt;0,'Outfall 1 Limits'!$AX$40="C1",$U16&lt;&gt;""),$U16*$G16*8.34,IF(AND($U16&lt;&gt;"",'Outfall 1 Limits'!$AX$40="L"),$U16,""))</f>
        <v/>
      </c>
      <c r="FN16" s="206" t="str">
        <f>IF(AND($G16&lt;&gt;"",$G16&gt;0,'Outfall 1 Limits'!$AX$44="C1",$W16&lt;&gt;""),$W16*$G16*8.34,IF(AND($W16&lt;&gt;"",'Outfall 1 Limits'!$AX$44="L"),$W16,""))</f>
        <v/>
      </c>
      <c r="FO16" s="206" t="str">
        <f>IF(AND($G16&lt;&gt;"",$G16&gt;0,'Outfall 1 Limits'!$AX$48="C1",$Y16&lt;&gt;""),$Y16*$G16*8.34,IF(AND($Y16&lt;&gt;"",'Outfall 1 Limits'!$AX$48="L"),$Y16,""))</f>
        <v/>
      </c>
      <c r="FP16" s="206" t="str">
        <f>IF(AND($G16&lt;&gt;"",$G16&gt;0,'Outfall 1 Limits'!$AX$52="C1",$AA16&lt;&gt;""),$AA16*$G16*8.34,IF(AND($AA16&lt;&gt;"",'Outfall 1 Limits'!$AX$52="L"),$AA16,""))</f>
        <v/>
      </c>
      <c r="FQ16" s="206" t="str">
        <f>IF(AND($G16&lt;&gt;"",$G16&gt;0,'Outfall 1 Limits'!$AX$56="C1",$AC16&lt;&gt;""),$AC16*$G16*8.34,IF(AND($AC16&lt;&gt;"",'Outfall 1 Limits'!$AX$56="L"),$AC16,""))</f>
        <v/>
      </c>
      <c r="FR16" s="206" t="str">
        <f>IF(AND($G16&lt;&gt;"",$G16&gt;0,'Outfall 1 Limits'!$AX$60="C1",$AE16&lt;&gt;""),$AE16*$G16*8.34,IF(AND($AE16&lt;&gt;"",'Outfall 1 Limits'!$AX$60="L"),$AE16,""))</f>
        <v/>
      </c>
      <c r="FS16" s="206" t="str">
        <f>IF(AND($G16&lt;&gt;"",$G16&gt;0,'Outfall 1 Limits'!$AX$64="C1",$AG16&lt;&gt;""),$AG16*$G16*8.34,IF(AND($AG16&lt;&gt;"",'Outfall 1 Limits'!$AX$64="L"),$AG16,""))</f>
        <v/>
      </c>
      <c r="FT16" s="206" t="str">
        <f>IF(AND($G16&lt;&gt;"",$G16&gt;0,'Outfall 1 Limits'!$AX$68="C1",$AI16&lt;&gt;""),$AI16*$G16*8.34,IF(AND($AI16&lt;&gt;"",'Outfall 1 Limits'!$AX$68="L"),$AI16,""))</f>
        <v/>
      </c>
      <c r="FU16" s="206" t="str">
        <f>IF(AND($G16&lt;&gt;"",$G16&gt;0,'Outfall 1 Limits'!$AX$72="C1",$AK16&lt;&gt;""),$AK16*$G16*8.34,IF(AND($AK16&lt;&gt;"",'Outfall 1 Limits'!$AX$72="L"),$AK16,""))</f>
        <v/>
      </c>
      <c r="FV16" s="206" t="str">
        <f>IF(AND($G16&lt;&gt;"",$G16&gt;0,'Outfall 1 Limits'!$AX$76="C1",$AM16&lt;&gt;""),$AM16*$G16*8.34,IF(AND($AM16&lt;&gt;"",'Outfall 1 Limits'!$AX$76="L"),$AM16,""))</f>
        <v/>
      </c>
      <c r="FW16" s="206" t="str">
        <f>IF(AND($G16&lt;&gt;"",$G16&gt;0,'Outfall 1 Limits'!$AX$80="C1",$AO16&lt;&gt;""),$AO16*$G16*8.34,IF(AND($AO16&lt;&gt;"",'Outfall 1 Limits'!$AX$80="L"),$AO16,""))</f>
        <v/>
      </c>
      <c r="FX16" s="206" t="str">
        <f>IF(AND($G16&lt;&gt;"",$G16&gt;0,'Outfall 1 Limits'!$AX$84="C1",$AQ16&lt;&gt;""),$AQ16*$G16*8.34,IF(AND($AQ16&lt;&gt;"",'Outfall 1 Limits'!$AX$84="L"),$AQ16,""))</f>
        <v/>
      </c>
      <c r="FY16" s="206" t="str">
        <f>IF(AND($G16&lt;&gt;"",$G16&gt;0,'Outfall 1 Limits'!$AX$88="C1",$AS16&lt;&gt;""),$AS16*$G16*8.34,IF(AND($AS16&lt;&gt;"",'Outfall 1 Limits'!$AX$88="L"),$AS16,""))</f>
        <v/>
      </c>
      <c r="FZ16" s="206" t="str">
        <f>IF(AND($G16&lt;&gt;"",$G16&gt;0,'Outfall 1 Limits'!$AX$92="C1",$AU16&lt;&gt;""),$AU16*$G16*8.34,IF(AND($AU16&lt;&gt;"",'Outfall 1 Limits'!$AX$92="L"),$AU16,""))</f>
        <v/>
      </c>
      <c r="GA16" s="206" t="str">
        <f>IF(AND($G16&lt;&gt;"",$G16&gt;0,'Outfall 1 Limits'!$AX$96="C1",$AW16&lt;&gt;""),$AW16*$G16*8.34,IF(AND($AW16&lt;&gt;"",'Outfall 1 Limits'!$AX$96="L"),$AW16,""))</f>
        <v/>
      </c>
      <c r="GB16" s="206" t="str">
        <f>IF(AND($G16&lt;&gt;"",$G16&gt;0,'Outfall 1 Limits'!$AX$100="C1",$AY16&lt;&gt;""),$AY16*$G16*8.34,IF(AND($AY16&lt;&gt;"",'Outfall 1 Limits'!$AX$100="L"),$AY16,""))</f>
        <v/>
      </c>
      <c r="GC16" s="206" t="str">
        <f>IF(AND($G16&lt;&gt;"",$G16&gt;0,'Outfall 1 Limits'!$AX$104="C1",$BA16&lt;&gt;""),$BA16*$G16*8.34,IF(AND($BA16&lt;&gt;"",'Outfall 1 Limits'!$AX$104="L"),$BA16,""))</f>
        <v/>
      </c>
      <c r="GD16" s="206" t="str">
        <f>IF(AND($G16&lt;&gt;"",$G16&gt;0,'Outfall 1 Limits'!$AX$108="C1",$BC16&lt;&gt;""),$BC16*$G16*8.34,IF(AND($BC16&lt;&gt;"",'Outfall 1 Limits'!$AX$108="L"),$BC16,""))</f>
        <v/>
      </c>
      <c r="GE16" s="206" t="str">
        <f>IF(AND($G16&lt;&gt;"",$G16&gt;0,'Outfall 1 Limits'!$AX$112="C1",$BE16&lt;&gt;""),$BE16*$G16*8.34,IF(AND($BE16&lt;&gt;"",'Outfall 1 Limits'!$AX$112="L"),$BE16,""))</f>
        <v/>
      </c>
      <c r="GF16" s="206" t="str">
        <f>IF(AND($G16&lt;&gt;"",$G16&gt;0,'Outfall 1 Limits'!$AX$116="C1",$BG16&lt;&gt;""),$BG16*$G16*8.34,IF(AND($BG16&lt;&gt;"",'Outfall 1 Limits'!$AX$116="L"),$BG16,""))</f>
        <v/>
      </c>
      <c r="GG16" s="206" t="str">
        <f>IF(AND($G16&lt;&gt;"",$G16&gt;0,'Outfall 1 Limits'!$AX$120="C1",$BI16&lt;&gt;""),$BI16*$G16*8.34,IF(AND($BI16&lt;&gt;"",'Outfall 1 Limits'!$AX$120="L"),$BI16,""))</f>
        <v/>
      </c>
      <c r="GH16" s="206" t="str">
        <f>IF(AND($G16&lt;&gt;"",$G16&gt;0,'Outfall 1 Limits'!$AX$124="C1",$BK16&lt;&gt;""),$BK16*$G16*8.34,IF(AND($BK16&lt;&gt;"",'Outfall 1 Limits'!$AX$124="L"),$BK16,""))</f>
        <v/>
      </c>
      <c r="GI16" s="223" t="str">
        <f>IF(AND($G16&lt;&gt;"",$G16&gt;0,'Outfall 1 Limits'!$AX$128="C1",$BM16&lt;&gt;""),$BM16*$G16*8.34,IF(AND($BM16&lt;&gt;"",'Outfall 1 Limits'!$AX$128="L"),$BM16,""))</f>
        <v/>
      </c>
      <c r="GJ16" s="177" t="str">
        <f t="shared" si="59"/>
        <v/>
      </c>
      <c r="GK16" s="212" t="str">
        <f>IF(AND($G16&lt;&gt;"",$G16&gt;0,'Outfall 1 Limits'!$AX$16="C1",CY16&lt;&gt;""),CY16*$G16*8.34,IF(AND(CY16&lt;&gt;"",'Outfall 1 Limits'!$AX$16="L"),CY16,""))</f>
        <v/>
      </c>
      <c r="GL16" s="206" t="str">
        <f>IF(AND($G16&lt;&gt;"",$G16&gt;0,'Outfall 1 Limits'!$AX$20="C1",CZ16&lt;&gt;""),CZ16*$G16*8.34,IF(AND(CZ16&lt;&gt;"",'Outfall 1 Limits'!$AX$20="L"),CZ16,""))</f>
        <v/>
      </c>
      <c r="GM16" s="206" t="str">
        <f>IF(AND($G16&lt;&gt;"",$G16&gt;0,'Outfall 1 Limits'!$AX$24="C1",DA16&lt;&gt;""),DA16*$G16*8.34,IF(AND(DA16&lt;&gt;"",'Outfall 1 Limits'!$AX$24="L"),DA16,""))</f>
        <v/>
      </c>
      <c r="GN16" s="206" t="str">
        <f>IF(AND($G16&lt;&gt;"",$G16&gt;0,'Outfall 1 Limits'!$AX$28="C1",DB16&lt;&gt;""),DB16*$G16*8.34,IF(AND(DB16&lt;&gt;"",'Outfall 1 Limits'!$AX$28="L"),DB16,""))</f>
        <v/>
      </c>
      <c r="GO16" s="206" t="str">
        <f>IF(AND($G16&lt;&gt;"",$G16&gt;0,'Outfall 1 Limits'!$AX$32="C1",DC16&lt;&gt;""),DC16*$G16*8.34,IF(AND(DC16&lt;&gt;"",'Outfall 1 Limits'!$AX$32="L"),DC16,""))</f>
        <v/>
      </c>
      <c r="GP16" s="206" t="str">
        <f>IF(AND($G16&lt;&gt;"",$G16&gt;0,'Outfall 1 Limits'!$AX$36="C1",DD16&lt;&gt;""),DD16*$G16*8.34,IF(AND(DD16&lt;&gt;"",'Outfall 1 Limits'!$AX$36="L"),DD16,""))</f>
        <v/>
      </c>
      <c r="GQ16" s="206" t="str">
        <f>IF(AND($G16&lt;&gt;"",$G16&gt;0,'Outfall 1 Limits'!$AX$40="C1",DE16&lt;&gt;""),DE16*$G16*8.34,IF(AND(DE16&lt;&gt;"",'Outfall 1 Limits'!$AX$40="L"),DE16,""))</f>
        <v/>
      </c>
      <c r="GR16" s="206" t="str">
        <f>IF(AND($G16&lt;&gt;"",$G16&gt;0,'Outfall 1 Limits'!$AX$44="C1",DF16&lt;&gt;""),DF16*$G16*8.34,IF(AND(DF16&lt;&gt;"",'Outfall 1 Limits'!$AX$44="L"),DF16,""))</f>
        <v/>
      </c>
      <c r="GS16" s="206" t="str">
        <f>IF(AND($G16&lt;&gt;"",$G16&gt;0,'Outfall 1 Limits'!$AX$48="C1",DG16&lt;&gt;""),DG16*$G16*8.34,IF(AND(DG16&lt;&gt;"",'Outfall 1 Limits'!$AX$48="L"),DG16,""))</f>
        <v/>
      </c>
      <c r="GT16" s="206" t="str">
        <f>IF(AND($G16&lt;&gt;"",$G16&gt;0,'Outfall 1 Limits'!$AX$52="C1",DH16&lt;&gt;""),DH16*$G16*8.34,IF(AND(DH16&lt;&gt;"",'Outfall 1 Limits'!$AX$52="L"),DH16,""))</f>
        <v/>
      </c>
      <c r="GU16" s="206" t="str">
        <f>IF(AND($G16&lt;&gt;"",$G16&gt;0,'Outfall 1 Limits'!$AX$56="C1",DI16&lt;&gt;""),DI16*$G16*8.34,IF(AND(DI16&lt;&gt;"",'Outfall 1 Limits'!$AX$56="L"),DI16,""))</f>
        <v/>
      </c>
      <c r="GV16" s="206" t="str">
        <f>IF(AND($G16&lt;&gt;"",$G16&gt;0,'Outfall 1 Limits'!$AX$60="C1",DJ16&lt;&gt;""),DJ16*$G16*8.34,IF(AND(DJ16&lt;&gt;"",'Outfall 1 Limits'!$AX$60="L"),DJ16,""))</f>
        <v/>
      </c>
      <c r="GW16" s="206" t="str">
        <f>IF(AND($G16&lt;&gt;"",$G16&gt;0,'Outfall 1 Limits'!$AX$64="C1",DK16&lt;&gt;""),DK16*$G16*8.34,IF(AND(DK16&lt;&gt;"",'Outfall 1 Limits'!$AX$64="L"),DK16,""))</f>
        <v/>
      </c>
      <c r="GX16" s="206" t="str">
        <f>IF(AND($G16&lt;&gt;"",$G16&gt;0,'Outfall 1 Limits'!$AX$68="C1",DL16&lt;&gt;""),DL16*$G16*8.34,IF(AND(DL16&lt;&gt;"",'Outfall 1 Limits'!$AX$68="L"),DL16,""))</f>
        <v/>
      </c>
      <c r="GY16" s="206" t="str">
        <f>IF(AND($G16&lt;&gt;"",$G16&gt;0,'Outfall 1 Limits'!$AX$72="C1",DM16&lt;&gt;""),DM16*$G16*8.34,IF(AND(DM16&lt;&gt;"",'Outfall 1 Limits'!$AX$72="L"),DM16,""))</f>
        <v/>
      </c>
      <c r="GZ16" s="206" t="str">
        <f>IF(AND($G16&lt;&gt;"",$G16&gt;0,'Outfall 1 Limits'!$AX$76="C1",DN16&lt;&gt;""),DN16*$G16*8.34,IF(AND(DN16&lt;&gt;"",'Outfall 1 Limits'!$AX$76="L"),DN16,""))</f>
        <v/>
      </c>
      <c r="HA16" s="206" t="str">
        <f>IF(AND($G16&lt;&gt;"",$G16&gt;0,'Outfall 1 Limits'!$AX$80="C1",DO16&lt;&gt;""),DO16*$G16*8.34,IF(AND(DO16&lt;&gt;"",'Outfall 1 Limits'!$AX$80="L"),DO16,""))</f>
        <v/>
      </c>
      <c r="HB16" s="206" t="str">
        <f>IF(AND($G16&lt;&gt;"",$G16&gt;0,'Outfall 1 Limits'!$AX$84="C1",DP16&lt;&gt;""),DP16*$G16*8.34,IF(AND(DP16&lt;&gt;"",'Outfall 1 Limits'!$AX$84="L"),DP16,""))</f>
        <v/>
      </c>
      <c r="HC16" s="206" t="str">
        <f>IF(AND($G16&lt;&gt;"",$G16&gt;0,'Outfall 1 Limits'!$AX$88="C1",DQ16&lt;&gt;""),DQ16*$G16*8.34,IF(AND(DQ16&lt;&gt;"",'Outfall 1 Limits'!$AX$88="L"),DQ16,""))</f>
        <v/>
      </c>
      <c r="HD16" s="206" t="str">
        <f>IF(AND($G16&lt;&gt;"",$G16&gt;0,'Outfall 1 Limits'!$AX$92="C1",DR16&lt;&gt;""),DR16*$G16*8.34,IF(AND(DR16&lt;&gt;"",'Outfall 1 Limits'!$AX$92="L"),DR16,""))</f>
        <v/>
      </c>
      <c r="HE16" s="206" t="str">
        <f>IF(AND($G16&lt;&gt;"",$G16&gt;0,'Outfall 1 Limits'!$AX$96="C1",DS16&lt;&gt;""),DS16*$G16*8.34,IF(AND(DS16&lt;&gt;"",'Outfall 1 Limits'!$AX$96="L"),DS16,""))</f>
        <v/>
      </c>
      <c r="HF16" s="206" t="str">
        <f>IF(AND($G16&lt;&gt;"",$G16&gt;0,'Outfall 1 Limits'!$AX$100="C1",DT16&lt;&gt;""),DT16*$G16*8.34,IF(AND(DT16&lt;&gt;"",'Outfall 1 Limits'!$AX$100="L"),DT16,""))</f>
        <v/>
      </c>
      <c r="HG16" s="206" t="str">
        <f>IF(AND($G16&lt;&gt;"",$G16&gt;0,'Outfall 1 Limits'!$AX$104="C1",DU16&lt;&gt;""),DU16*$G16*8.34,IF(AND(DU16&lt;&gt;"",'Outfall 1 Limits'!$AX$104="L"),DU16,""))</f>
        <v/>
      </c>
      <c r="HH16" s="206" t="str">
        <f>IF(AND($G16&lt;&gt;"",$G16&gt;0,'Outfall 1 Limits'!$AX$108="C1",DV16&lt;&gt;""),DV16*$G16*8.34,IF(AND(DV16&lt;&gt;"",'Outfall 1 Limits'!$AX$108="L"),DV16,""))</f>
        <v/>
      </c>
      <c r="HI16" s="206" t="str">
        <f>IF(AND($G16&lt;&gt;"",$G16&gt;0,'Outfall 1 Limits'!$AX$112="C1",DW16&lt;&gt;""),DW16*$G16*8.34,IF(AND(DW16&lt;&gt;"",'Outfall 1 Limits'!$AX$112="L"),DW16,""))</f>
        <v/>
      </c>
      <c r="HJ16" s="206" t="str">
        <f>IF(AND($G16&lt;&gt;"",$G16&gt;0,'Outfall 1 Limits'!$AX$116="C1",DX16&lt;&gt;""),DX16*$G16*8.34,IF(AND(DX16&lt;&gt;"",'Outfall 1 Limits'!$AX$116="L"),DX16,""))</f>
        <v/>
      </c>
      <c r="HK16" s="206" t="str">
        <f>IF(AND($G16&lt;&gt;"",$G16&gt;0,'Outfall 1 Limits'!$AX$120="C1",DY16&lt;&gt;""),DY16*$G16*8.34,IF(AND(DY16&lt;&gt;"",'Outfall 1 Limits'!$AX$120="L"),DY16,""))</f>
        <v/>
      </c>
      <c r="HL16" s="206" t="str">
        <f>IF(AND($G16&lt;&gt;"",$G16&gt;0,'Outfall 1 Limits'!$AX$124="C1",DZ16&lt;&gt;""),DZ16*$G16*8.34,IF(AND(DZ16&lt;&gt;"",'Outfall 1 Limits'!$AX$124="L"),DZ16,""))</f>
        <v/>
      </c>
      <c r="HM16" s="223" t="str">
        <f>IF(AND($G16&lt;&gt;"",$G16&gt;0,'Outfall 1 Limits'!$AX$128="C1",EA16&lt;&gt;""),EA16*$G16*8.34,IF(AND(EA16&lt;&gt;"",'Outfall 1 Limits'!$AX$128="L"),EA16,""))</f>
        <v/>
      </c>
      <c r="HO16" s="224" t="str">
        <f t="shared" si="60"/>
        <v/>
      </c>
      <c r="HS16" s="202" t="str">
        <f t="shared" si="61"/>
        <v/>
      </c>
      <c r="HT16" s="196" t="str">
        <f t="shared" si="62"/>
        <v/>
      </c>
      <c r="HU16" s="196" t="str">
        <f t="shared" si="63"/>
        <v/>
      </c>
      <c r="HV16" s="196" t="str">
        <f t="shared" si="64"/>
        <v/>
      </c>
      <c r="HW16" s="196" t="str">
        <f t="shared" si="65"/>
        <v/>
      </c>
      <c r="HX16" s="196" t="str">
        <f t="shared" si="66"/>
        <v/>
      </c>
      <c r="HY16" s="196" t="str">
        <f t="shared" si="67"/>
        <v/>
      </c>
      <c r="HZ16" s="196" t="str">
        <f t="shared" si="68"/>
        <v/>
      </c>
      <c r="IA16" s="196" t="str">
        <f t="shared" si="69"/>
        <v/>
      </c>
      <c r="IB16" s="196" t="str">
        <f t="shared" si="70"/>
        <v/>
      </c>
      <c r="IC16" s="196" t="str">
        <f t="shared" si="71"/>
        <v/>
      </c>
      <c r="ID16" s="196" t="str">
        <f t="shared" si="72"/>
        <v/>
      </c>
      <c r="IE16" s="196" t="str">
        <f t="shared" si="73"/>
        <v/>
      </c>
      <c r="IF16" s="196" t="str">
        <f t="shared" si="74"/>
        <v/>
      </c>
      <c r="IG16" s="196" t="str">
        <f t="shared" si="75"/>
        <v/>
      </c>
      <c r="IH16" s="196" t="str">
        <f t="shared" si="76"/>
        <v/>
      </c>
      <c r="II16" s="196" t="str">
        <f t="shared" si="77"/>
        <v/>
      </c>
      <c r="IJ16" s="196" t="str">
        <f t="shared" si="78"/>
        <v/>
      </c>
      <c r="IK16" s="196" t="str">
        <f t="shared" si="79"/>
        <v/>
      </c>
      <c r="IL16" s="196" t="str">
        <f t="shared" si="80"/>
        <v/>
      </c>
      <c r="IM16" s="196" t="str">
        <f t="shared" si="81"/>
        <v/>
      </c>
      <c r="IN16" s="196" t="str">
        <f t="shared" si="82"/>
        <v/>
      </c>
      <c r="IO16" s="196" t="str">
        <f t="shared" si="83"/>
        <v/>
      </c>
      <c r="IP16" s="196" t="str">
        <f t="shared" si="84"/>
        <v/>
      </c>
      <c r="IQ16" s="196" t="str">
        <f t="shared" si="85"/>
        <v/>
      </c>
      <c r="IR16" s="196" t="str">
        <f t="shared" si="86"/>
        <v/>
      </c>
      <c r="IS16" s="196" t="str">
        <f t="shared" si="87"/>
        <v/>
      </c>
      <c r="IT16" s="196" t="str">
        <f t="shared" si="88"/>
        <v/>
      </c>
      <c r="IU16" s="210" t="str">
        <f t="shared" si="89"/>
        <v/>
      </c>
      <c r="IX16" s="202" t="str">
        <f t="shared" si="90"/>
        <v/>
      </c>
      <c r="IY16" s="196" t="str">
        <f t="shared" si="91"/>
        <v/>
      </c>
      <c r="IZ16" s="196" t="str">
        <f t="shared" si="92"/>
        <v/>
      </c>
      <c r="JA16" s="196" t="str">
        <f t="shared" si="93"/>
        <v/>
      </c>
      <c r="JB16" s="196" t="str">
        <f t="shared" si="94"/>
        <v/>
      </c>
      <c r="JC16" s="196" t="str">
        <f t="shared" si="95"/>
        <v/>
      </c>
      <c r="JD16" s="196" t="str">
        <f t="shared" si="96"/>
        <v/>
      </c>
      <c r="JE16" s="196" t="str">
        <f t="shared" si="97"/>
        <v/>
      </c>
      <c r="JF16" s="196" t="str">
        <f t="shared" si="98"/>
        <v/>
      </c>
      <c r="JG16" s="196" t="str">
        <f t="shared" si="99"/>
        <v/>
      </c>
      <c r="JH16" s="196" t="str">
        <f t="shared" si="100"/>
        <v/>
      </c>
      <c r="JI16" s="196" t="str">
        <f t="shared" si="101"/>
        <v/>
      </c>
      <c r="JJ16" s="196" t="str">
        <f t="shared" si="102"/>
        <v/>
      </c>
      <c r="JK16" s="196" t="str">
        <f t="shared" si="103"/>
        <v/>
      </c>
      <c r="JL16" s="196" t="str">
        <f t="shared" si="104"/>
        <v/>
      </c>
      <c r="JM16" s="196" t="str">
        <f t="shared" si="105"/>
        <v/>
      </c>
      <c r="JN16" s="196" t="str">
        <f t="shared" si="106"/>
        <v/>
      </c>
      <c r="JO16" s="196" t="str">
        <f t="shared" si="107"/>
        <v/>
      </c>
      <c r="JP16" s="196" t="str">
        <f t="shared" si="108"/>
        <v/>
      </c>
      <c r="JQ16" s="196" t="str">
        <f t="shared" si="109"/>
        <v/>
      </c>
      <c r="JR16" s="196" t="str">
        <f t="shared" si="110"/>
        <v/>
      </c>
      <c r="JS16" s="196" t="str">
        <f t="shared" si="111"/>
        <v/>
      </c>
      <c r="JT16" s="196" t="str">
        <f t="shared" si="112"/>
        <v/>
      </c>
      <c r="JU16" s="196" t="str">
        <f t="shared" si="113"/>
        <v/>
      </c>
      <c r="JV16" s="196" t="str">
        <f t="shared" si="114"/>
        <v/>
      </c>
      <c r="JW16" s="196" t="str">
        <f t="shared" si="115"/>
        <v/>
      </c>
      <c r="JX16" s="196" t="str">
        <f t="shared" si="116"/>
        <v/>
      </c>
      <c r="JY16" s="196" t="str">
        <f t="shared" si="117"/>
        <v/>
      </c>
      <c r="JZ16" s="210" t="str">
        <f t="shared" si="118"/>
        <v/>
      </c>
      <c r="KA16" s="196"/>
      <c r="KB16" s="176"/>
      <c r="KC16" s="178"/>
      <c r="KD16" s="218" t="str">
        <f t="shared" si="2"/>
        <v/>
      </c>
      <c r="KE16" s="196" t="str">
        <f t="shared" si="3"/>
        <v/>
      </c>
      <c r="KF16" s="203" t="str">
        <f t="shared" si="4"/>
        <v/>
      </c>
      <c r="KG16" s="203" t="str">
        <f t="shared" si="5"/>
        <v/>
      </c>
      <c r="KH16" s="203" t="str">
        <f t="shared" si="6"/>
        <v/>
      </c>
      <c r="KI16" s="203" t="str">
        <f t="shared" si="7"/>
        <v/>
      </c>
      <c r="KJ16" s="203" t="str">
        <f t="shared" si="8"/>
        <v/>
      </c>
      <c r="KK16" s="203" t="str">
        <f t="shared" si="9"/>
        <v/>
      </c>
      <c r="KL16" s="203" t="str">
        <f t="shared" si="10"/>
        <v/>
      </c>
      <c r="KM16" s="203" t="str">
        <f t="shared" si="11"/>
        <v/>
      </c>
      <c r="KN16" s="203" t="str">
        <f t="shared" si="12"/>
        <v/>
      </c>
      <c r="KO16" s="203" t="str">
        <f t="shared" si="13"/>
        <v/>
      </c>
      <c r="KP16" s="203" t="str">
        <f t="shared" si="14"/>
        <v/>
      </c>
      <c r="KQ16" s="203" t="str">
        <f t="shared" si="15"/>
        <v/>
      </c>
      <c r="KR16" s="203" t="str">
        <f t="shared" si="16"/>
        <v/>
      </c>
      <c r="KS16" s="203" t="str">
        <f t="shared" si="17"/>
        <v/>
      </c>
      <c r="KT16" s="203" t="str">
        <f t="shared" si="18"/>
        <v/>
      </c>
      <c r="KU16" s="203" t="str">
        <f t="shared" si="19"/>
        <v/>
      </c>
      <c r="KV16" s="203" t="str">
        <f t="shared" si="20"/>
        <v/>
      </c>
      <c r="KW16" s="203" t="str">
        <f t="shared" si="21"/>
        <v/>
      </c>
      <c r="KX16" s="203" t="str">
        <f t="shared" si="22"/>
        <v/>
      </c>
      <c r="KY16" s="203" t="str">
        <f t="shared" si="23"/>
        <v/>
      </c>
      <c r="KZ16" s="203" t="str">
        <f t="shared" si="24"/>
        <v/>
      </c>
      <c r="LA16" s="203" t="str">
        <f t="shared" si="25"/>
        <v/>
      </c>
      <c r="LB16" s="203" t="str">
        <f t="shared" si="26"/>
        <v/>
      </c>
      <c r="LC16" s="203" t="str">
        <f t="shared" si="27"/>
        <v/>
      </c>
      <c r="LD16" s="203" t="str">
        <f t="shared" si="28"/>
        <v/>
      </c>
      <c r="LE16" s="203" t="str">
        <f t="shared" si="29"/>
        <v/>
      </c>
      <c r="LF16" s="226" t="str">
        <f t="shared" si="30"/>
        <v/>
      </c>
    </row>
    <row r="17" spans="1:318" s="172" customFormat="1" ht="11.45" customHeight="1" x14ac:dyDescent="0.2">
      <c r="A17" s="35"/>
      <c r="B17" s="54">
        <v>1</v>
      </c>
      <c r="C17" s="438">
        <f t="shared" si="0"/>
        <v>45291</v>
      </c>
      <c r="D17" s="438"/>
      <c r="E17" s="430">
        <f>IF((P6*T6)&gt;0,$E$10,"")</f>
        <v>45291</v>
      </c>
      <c r="F17" s="431"/>
      <c r="G17" s="26"/>
      <c r="H17" s="51"/>
      <c r="I17" s="50"/>
      <c r="J17" s="51"/>
      <c r="K17" s="50"/>
      <c r="L17" s="51"/>
      <c r="M17" s="50"/>
      <c r="N17" s="51"/>
      <c r="O17" s="50"/>
      <c r="P17" s="51"/>
      <c r="Q17" s="50"/>
      <c r="R17" s="51"/>
      <c r="S17" s="50"/>
      <c r="T17" s="51"/>
      <c r="U17" s="50"/>
      <c r="V17" s="51"/>
      <c r="W17" s="50"/>
      <c r="X17" s="276"/>
      <c r="Y17" s="50"/>
      <c r="Z17" s="51"/>
      <c r="AA17" s="50"/>
      <c r="AB17" s="51"/>
      <c r="AC17" s="50"/>
      <c r="AD17" s="51"/>
      <c r="AE17" s="50"/>
      <c r="AF17" s="51"/>
      <c r="AG17" s="50"/>
      <c r="AH17" s="51"/>
      <c r="AI17" s="50"/>
      <c r="AJ17" s="51"/>
      <c r="AK17" s="50"/>
      <c r="AL17" s="51"/>
      <c r="AM17" s="50"/>
      <c r="AN17" s="51"/>
      <c r="AO17" s="50"/>
      <c r="AP17" s="51"/>
      <c r="AQ17" s="50"/>
      <c r="AR17" s="51"/>
      <c r="AS17" s="50"/>
      <c r="AT17" s="51"/>
      <c r="AU17" s="50"/>
      <c r="AV17" s="51"/>
      <c r="AW17" s="50"/>
      <c r="AX17" s="51"/>
      <c r="AY17" s="50"/>
      <c r="AZ17" s="51"/>
      <c r="BA17" s="50"/>
      <c r="BB17" s="51"/>
      <c r="BC17" s="50"/>
      <c r="BD17" s="51"/>
      <c r="BE17" s="50"/>
      <c r="BF17" s="51"/>
      <c r="BG17" s="50"/>
      <c r="BH17" s="51"/>
      <c r="BI17" s="50"/>
      <c r="BJ17" s="51"/>
      <c r="BK17" s="50"/>
      <c r="BL17" s="51"/>
      <c r="BM17" s="109"/>
      <c r="BO17" s="174"/>
      <c r="BP17" s="174">
        <v>2036</v>
      </c>
      <c r="BQ17" s="221" t="s">
        <v>32</v>
      </c>
      <c r="BR17" s="222"/>
      <c r="BS17" s="174" t="s">
        <v>1105</v>
      </c>
      <c r="BU17" s="202" t="str">
        <f t="shared" si="31"/>
        <v/>
      </c>
      <c r="BV17" s="196" t="str">
        <f t="shared" si="32"/>
        <v/>
      </c>
      <c r="BW17" s="196" t="str">
        <f t="shared" si="33"/>
        <v/>
      </c>
      <c r="BX17" s="196" t="str">
        <f t="shared" si="34"/>
        <v/>
      </c>
      <c r="BY17" s="196" t="str">
        <f t="shared" si="35"/>
        <v/>
      </c>
      <c r="BZ17" s="196" t="str">
        <f t="shared" si="36"/>
        <v/>
      </c>
      <c r="CA17" s="196" t="str">
        <f t="shared" si="37"/>
        <v/>
      </c>
      <c r="CB17" s="196" t="str">
        <f t="shared" si="38"/>
        <v/>
      </c>
      <c r="CC17" s="196" t="str">
        <f t="shared" si="39"/>
        <v/>
      </c>
      <c r="CD17" s="196" t="str">
        <f t="shared" si="40"/>
        <v/>
      </c>
      <c r="CE17" s="196" t="str">
        <f t="shared" si="41"/>
        <v/>
      </c>
      <c r="CF17" s="196" t="str">
        <f t="shared" si="42"/>
        <v/>
      </c>
      <c r="CG17" s="196" t="str">
        <f t="shared" si="43"/>
        <v/>
      </c>
      <c r="CH17" s="196" t="str">
        <f t="shared" si="44"/>
        <v/>
      </c>
      <c r="CI17" s="196" t="str">
        <f t="shared" si="45"/>
        <v/>
      </c>
      <c r="CJ17" s="196" t="str">
        <f t="shared" si="46"/>
        <v/>
      </c>
      <c r="CK17" s="196" t="str">
        <f t="shared" si="47"/>
        <v/>
      </c>
      <c r="CL17" s="196" t="str">
        <f t="shared" si="48"/>
        <v/>
      </c>
      <c r="CM17" s="196" t="str">
        <f>IF(AS17&lt;&gt;"",IF(AR17="&lt;",0.99,1),"")</f>
        <v/>
      </c>
      <c r="CN17" s="196" t="str">
        <f t="shared" si="49"/>
        <v/>
      </c>
      <c r="CO17" s="196" t="str">
        <f t="shared" si="50"/>
        <v/>
      </c>
      <c r="CP17" s="196" t="str">
        <f t="shared" si="51"/>
        <v/>
      </c>
      <c r="CQ17" s="196" t="str">
        <f t="shared" si="52"/>
        <v/>
      </c>
      <c r="CR17" s="196" t="str">
        <f t="shared" si="53"/>
        <v/>
      </c>
      <c r="CS17" s="196" t="str">
        <f t="shared" si="54"/>
        <v/>
      </c>
      <c r="CT17" s="196" t="str">
        <f t="shared" si="55"/>
        <v/>
      </c>
      <c r="CU17" s="196" t="str">
        <f t="shared" si="56"/>
        <v/>
      </c>
      <c r="CV17" s="196" t="str">
        <f t="shared" si="57"/>
        <v/>
      </c>
      <c r="CW17" s="210" t="str">
        <f t="shared" si="58"/>
        <v/>
      </c>
      <c r="CY17" s="212" t="str">
        <f>IF(I17&lt;&gt;"",IF(H17="&lt;",IF(AND('Outfall 1 Limits'!$AM$16="Y",$BU$54&lt;&gt;"Y",I17&lt;='Outfall 1 Limits'!$AL$16),0,(1*I17)),I17),"")</f>
        <v/>
      </c>
      <c r="CZ17" s="206" t="str">
        <f>IF(K17&lt;&gt;"",IF(J17="&lt;",IF(AND('Outfall 1 Limits'!$AM$20="Y",$BV$54&lt;&gt;"Y",K17&lt;='Outfall 1 Limits'!$AL$20),0,(1*K17)),K17),"")</f>
        <v/>
      </c>
      <c r="DA17" s="206" t="str">
        <f>IF(M17&lt;&gt;"",IF(L17="&lt;",IF(AND('Outfall 1 Limits'!$AM$24="Y",$BW$54&lt;&gt;"Y",M17&lt;='Outfall 1 Limits'!$AL$24),0,(1*M17)),M17),"")</f>
        <v/>
      </c>
      <c r="DB17" s="206" t="str">
        <f>IF(O17&lt;&gt;"",IF(N17="&lt;",IF(AND('Outfall 1 Limits'!$AM$28="Y",$BX$54&lt;&gt;"Y",O17&lt;='Outfall 1 Limits'!$AL$28),0,(1*O17)),O17),"")</f>
        <v/>
      </c>
      <c r="DC17" s="206" t="str">
        <f>IF(Q17&lt;&gt;"",IF(P17="&lt;",IF(AND('Outfall 1 Limits'!$AM$32="Y",$BY$54&lt;&gt;"Y",Q17&lt;='Outfall 1 Limits'!$AL$32),0,(1*Q17)),Q17),"")</f>
        <v/>
      </c>
      <c r="DD17" s="206" t="str">
        <f>IF(S17&lt;&gt;"",IF(R17="&lt;",IF(AND('Outfall 1 Limits'!$AM$36="Y",$BZ$54&lt;&gt;"Y",S17&lt;='Outfall 1 Limits'!$AL$36),0,(1*S17)),S17),"")</f>
        <v/>
      </c>
      <c r="DE17" s="206" t="str">
        <f>IF(U17&lt;&gt;"",IF(T17="&lt;",IF(AND('Outfall 1 Limits'!$AM$40="Y",$CA$54&lt;&gt;"Y",U17&lt;='Outfall 1 Limits'!$AL$40),0,(1*U17)),U17),"")</f>
        <v/>
      </c>
      <c r="DF17" s="206" t="str">
        <f>IF(W17&lt;&gt;"",IF(V17="&lt;",IF(AND('Outfall 1 Limits'!$AM$44="Y",$CB$54&lt;&gt;"Y",W17&lt;='Outfall 1 Limits'!$AL$44),0,(1*W17)),W17),"")</f>
        <v/>
      </c>
      <c r="DG17" s="206" t="str">
        <f>IF(Y17&lt;&gt;"",IF(X17="&lt;",IF(AND('Outfall 1 Limits'!$AM$48="Y",$CC$54&lt;&gt;"Y",Y17&lt;='Outfall 1 Limits'!$AL$48),0,(1*Y17)),Y17),"")</f>
        <v/>
      </c>
      <c r="DH17" s="206" t="str">
        <f>IF(AA17&lt;&gt;"",IF(Z17="&lt;",IF(AND('Outfall 1 Limits'!$AM$52="Y",$CD$54&lt;&gt;"Y",AA17&lt;='Outfall 1 Limits'!$AL$52),0,(1*AA17)),AA17),"")</f>
        <v/>
      </c>
      <c r="DI17" s="206" t="str">
        <f>IF(AC17&lt;&gt;"",IF(AB17="&lt;",IF(AND('Outfall 1 Limits'!$AM$56="Y",$CE$54&lt;&gt;"Y",AC17&lt;='Outfall 1 Limits'!$AL$56),0,(1*AC17)),AC17),"")</f>
        <v/>
      </c>
      <c r="DJ17" s="206" t="str">
        <f>IF(AE17&lt;&gt;"",IF(AD17="&lt;",IF(AND('Outfall 1 Limits'!$AM$60="Y",$CF$54&lt;&gt;"Y",AE17&lt;='Outfall 1 Limits'!$AL$60),0,(1*AE17)),AE17),"")</f>
        <v/>
      </c>
      <c r="DK17" s="206" t="str">
        <f>IF(AG17&lt;&gt;"",IF(AF17="&lt;",IF(AND('Outfall 1 Limits'!$AM$64="Y",$CG$54&lt;&gt;"Y",AG17&lt;='Outfall 1 Limits'!$AL$64),0,(1*AG17)),AG17),"")</f>
        <v/>
      </c>
      <c r="DL17" s="206" t="str">
        <f>IF(AI17&lt;&gt;"",IF(AH17="&lt;",IF(AND('Outfall 1 Limits'!$AM$68="Y",$CH$54&lt;&gt;"Y",AI17&lt;='Outfall 1 Limits'!$AL$68),0,(1*AI17)),AI17),"")</f>
        <v/>
      </c>
      <c r="DM17" s="206" t="str">
        <f>IF(AK17&lt;&gt;"",IF(AJ17="&lt;",IF(AND('Outfall 1 Limits'!$AM$72="Y",$CI$54&lt;&gt;"Y",AK17&lt;='Outfall 1 Limits'!$AL$72),0,(1*AK17)),AK17),"")</f>
        <v/>
      </c>
      <c r="DN17" s="206" t="str">
        <f>IF(AM17&lt;&gt;"",IF(AL17="&lt;",IF(AND('Outfall 1 Limits'!$AM$76="Y",$CJ$54&lt;&gt;"Y",AM17&lt;='Outfall 1 Limits'!$AL$76),0,(1*AM17)),AM17),"")</f>
        <v/>
      </c>
      <c r="DO17" s="206" t="str">
        <f>IF(AO17&lt;&gt;"",IF(AN17="&lt;",IF(AND('Outfall 1 Limits'!$AM$80="Y",$CK$54&lt;&gt;"Y",AO17&lt;='Outfall 1 Limits'!$AL$80),0,(1*AO17)),AO17),"")</f>
        <v/>
      </c>
      <c r="DP17" s="206" t="str">
        <f>IF(AQ17&lt;&gt;"",IF(AP17="&lt;",IF(AND('Outfall 1 Limits'!$AM$84="Y",$CL$54&lt;&gt;"Y",AQ17&lt;='Outfall 1 Limits'!$AL$84),0,(1*AQ17)),AQ17),"")</f>
        <v/>
      </c>
      <c r="DQ17" s="206" t="str">
        <f>IF(AS17&lt;&gt;"",IF(AR17="&lt;",IF(AND('Outfall 1 Limits'!$AM$88="Y",$CM$54&lt;&gt;"Y",AS17&lt;='Outfall 1 Limits'!$AL$88),0,(1*AS17)),AS17),"")</f>
        <v/>
      </c>
      <c r="DR17" s="206" t="str">
        <f>IF(AU17&lt;&gt;"",IF(AT17="&lt;",IF(AND('Outfall 1 Limits'!$AM$92="Y",$CN$54&lt;&gt;"Y",AU17&lt;='Outfall 1 Limits'!$AL$92),0,(1*AU17)),AU17),"")</f>
        <v/>
      </c>
      <c r="DS17" s="206" t="str">
        <f>IF(AW17&lt;&gt;"",IF(AV17="&lt;",IF(AND('Outfall 1 Limits'!$AM$96="Y",$CO$54&lt;&gt;"Y",AW17&lt;='Outfall 1 Limits'!$AL$96),0,(1*AW17)),AW17),"")</f>
        <v/>
      </c>
      <c r="DT17" s="206" t="str">
        <f>IF(AY17&lt;&gt;"",IF(AX17="&lt;",IF(AND('Outfall 1 Limits'!$AM$100="Y",$CP$54&lt;&gt;"Y",AY17&lt;='Outfall 1 Limits'!$AL$100),0,(1*AY17)),AY17),"")</f>
        <v/>
      </c>
      <c r="DU17" s="206" t="str">
        <f>IF(BA17&lt;&gt;"",IF(AZ17="&lt;",IF(AND('Outfall 1 Limits'!$AM$104="Y",$CQ$54&lt;&gt;"Y",BA17&lt;='Outfall 1 Limits'!$AL$104),0,(1*BA17)),BA17),"")</f>
        <v/>
      </c>
      <c r="DV17" s="206" t="str">
        <f>IF(BC17&lt;&gt;"",IF(BB17="&lt;",IF(AND('Outfall 1 Limits'!$AM$108="Y",$CR$54&lt;&gt;"Y",BC17&lt;='Outfall 1 Limits'!$AL$108),0,(1*BC17)),BC17),"")</f>
        <v/>
      </c>
      <c r="DW17" s="206" t="str">
        <f>IF(BE17&lt;&gt;"",IF(BD17="&lt;",IF(AND('Outfall 1 Limits'!$AM$112="Y",$CS$54&lt;&gt;"Y",BE17&lt;='Outfall 1 Limits'!$AL$112),0,(1*BE17)),BE17),"")</f>
        <v/>
      </c>
      <c r="DX17" s="206" t="str">
        <f>IF(BG17&lt;&gt;"",IF(BF17="&lt;",IF(AND('Outfall 1 Limits'!$AM$116="Y",$CT$54&lt;&gt;"Y",BG17&lt;='Outfall 1 Limits'!$AL$116),0,(1*BG17)),BG17),"")</f>
        <v/>
      </c>
      <c r="DY17" s="206" t="str">
        <f>IF(BI17&lt;&gt;"",IF(BH17="&lt;",IF(AND('Outfall 1 Limits'!$AM$120="Y",$CU$54&lt;&gt;"Y",BI17&lt;='Outfall 1 Limits'!$AL$120),0,(1*BI17)),BI17),"")</f>
        <v/>
      </c>
      <c r="DZ17" s="206" t="str">
        <f>IF(BK17&lt;&gt;"",IF(BJ17="&lt;",IF(AND('Outfall 1 Limits'!$AM$124="Y",$CV$54&lt;&gt;"Y",BK17&lt;='Outfall 1 Limits'!$AL$124),0,(1*BK17)),BK17),"")</f>
        <v/>
      </c>
      <c r="EA17" s="223" t="str">
        <f>IF(BM17&lt;&gt;"",IF(BL17="&lt;",IF(AND('Outfall 1 Limits'!$AM$128="Y",$CW$54&lt;&gt;"Y",BM17&lt;='Outfall 1 Limits'!$AL$128),0,(1*BM17)),BM17),"")</f>
        <v/>
      </c>
      <c r="EB17" s="209" t="s">
        <v>381</v>
      </c>
      <c r="EC17" s="202" t="str">
        <f>IF(E51&lt;&gt;"",IF(SUM(I45:I51)&gt;0,IF(BU76="Y",AVERAGE(I45:I51),AVERAGE(CY45:CY51)),""),"")</f>
        <v/>
      </c>
      <c r="ED17" s="196" t="str">
        <f>IF(E51&lt;&gt;"",IF(SUM(K45:K51)&gt;0,IF(BV76="Y",AVERAGE(K45:K51),AVERAGE(CZ45:CZ51)),""),"")</f>
        <v/>
      </c>
      <c r="EE17" s="196" t="str">
        <f>IF(E51&lt;&gt;"",IF(SUM(M45:M51)&gt;0,IF(BW76="Y",AVERAGE(M45:M51),AVERAGE(DA45:DA51)),""),"")</f>
        <v/>
      </c>
      <c r="EF17" s="196" t="str">
        <f>IF(E51&lt;&gt;"",IF(SUM(O45:O51)&gt;0,IF(BX76="Y",AVERAGE(O45:O51),AVERAGE(DB45:DB51)),""),"")</f>
        <v/>
      </c>
      <c r="EG17" s="196" t="str">
        <f>IF(E51&lt;&gt;"",IF(SUM(Q45:Q51)&gt;0,IF(BY76="Y",AVERAGE(Q45:Q51),AVERAGE(DC45:DC51)),""),"")</f>
        <v/>
      </c>
      <c r="EH17" s="196" t="str">
        <f>IF(E51&lt;&gt;"",IF(SUM(S45:S51)&gt;0,IF(BZ76="Y",AVERAGE(S45:S51),AVERAGE(DD45:DD51)),""),"")</f>
        <v/>
      </c>
      <c r="EI17" s="196" t="str">
        <f>IF(E51&lt;&gt;"",IF(SUM(U45:U51)&gt;0,IF(CA76="Y",AVERAGE(U45:U51),AVERAGE(DE45:DE51)),""),"")</f>
        <v/>
      </c>
      <c r="EJ17" s="196" t="str">
        <f>IF(E51&lt;&gt;"",IF(SUM(W45:W51)&gt;0,IF(CB76="Y",AVERAGE(W45:W51),AVERAGE(DF45:DF51)),""),"")</f>
        <v/>
      </c>
      <c r="EK17" s="196" t="str">
        <f>IF(E51&lt;&gt;"",IF(SUM(Y45:Y51)&gt;0,IF(CC76="Y",AVERAGE(Y45:Y51),AVERAGE(DG45:DG51)),""),"")</f>
        <v/>
      </c>
      <c r="EL17" s="196" t="str">
        <f>IF(E51&lt;&gt;"",IF(SUM(AA45:AA51)&gt;0,IF(CD76="Y",AVERAGE(AA45:AA51),AVERAGE(DH45:DH51)),""),"")</f>
        <v/>
      </c>
      <c r="EM17" s="196" t="str">
        <f>IF(E51&lt;&gt;"",IF(SUM(AC45:AC51)&gt;0,IF(CE76="Y",AVERAGE(AC45:AC51),AVERAGE(DI45:DI51)),""),"")</f>
        <v/>
      </c>
      <c r="EN17" s="196" t="str">
        <f>IF(E51&lt;&gt;"",IF(SUM(AE45:AE51)&gt;0,IF(CF76="Y",AVERAGE(AE45:AE51),AVERAGE(DJ45:DJ51)),""),"")</f>
        <v/>
      </c>
      <c r="EO17" s="196" t="str">
        <f>IF(E51&lt;&gt;"",IF(SUM(AG45:AG51)&gt;0,IF(CG76="Y",AVERAGE(AG45:AG51),AVERAGE(DK45:DK51)),""),"")</f>
        <v/>
      </c>
      <c r="EP17" s="196" t="str">
        <f>IF(E51&lt;&gt;"",IF(SUM(AI45:AI51)&gt;0,IF(CH76="Y",AVERAGE(AI45:AI51),AVERAGE(DL45:DL51)),""),"")</f>
        <v/>
      </c>
      <c r="EQ17" s="196" t="str">
        <f>IF(E51&lt;&gt;"",IF(SUM(AK45:AK51)&gt;0,IF(CI76="Y",AVERAGE(AK45:AK51),AVERAGE(DM45:DM51)),""),"")</f>
        <v/>
      </c>
      <c r="ER17" s="196" t="str">
        <f>IF(E51&lt;&gt;"",IF(SUM(AM45:AM51)&gt;0,IF(CJ76="Y",AVERAGE(AM45:AM51),AVERAGE(DN45:DN51)),""),"")</f>
        <v/>
      </c>
      <c r="ES17" s="196" t="str">
        <f>IF(E51&lt;&gt;"",IF(SUM(AO45:AO51)&gt;0,IF(CK76="Y",AVERAGE(AO45:AO51),AVERAGE(DO45:DO51)),""),"")</f>
        <v/>
      </c>
      <c r="ET17" s="196" t="str">
        <f>IF(E51&lt;&gt;"",IF(SUM(AQ45:AQ51)&gt;0,IF(CL76="Y",AVERAGE(AQ45:AQ51),AVERAGE(DP45:DP51)),""),"")</f>
        <v/>
      </c>
      <c r="EU17" s="196" t="str">
        <f>IF(E51&lt;&gt;"",IF(SUM(AS45:AS51)&gt;0,IF(CM76="Y",AVERAGE(AS45:AS51),AVERAGE(DQ45:DQ51)),""),"")</f>
        <v/>
      </c>
      <c r="EV17" s="196" t="str">
        <f>IF(E51&lt;&gt;"",IF(SUM(AU45:AU51)&gt;0,IF(CN76="Y",AVERAGE(AU45:AU51),AVERAGE(DR45:DR51)),""),"")</f>
        <v/>
      </c>
      <c r="EW17" s="196" t="str">
        <f>IF(E51&lt;&gt;"",IF(SUM(AW45:AW51)&gt;0,IF(CO76="Y",AVERAGE(AW45:AW51),AVERAGE(DS45:DS51)),""),"")</f>
        <v/>
      </c>
      <c r="EX17" s="196" t="str">
        <f>IF(E51&lt;&gt;"",IF(SUM(AY45:AY51)&gt;0,IF(CP76="Y",AVERAGE(AY45:AY51),AVERAGE(DT45:DT51)),""),"")</f>
        <v/>
      </c>
      <c r="EY17" s="196" t="str">
        <f>IF(E51&lt;&gt;"",IF(SUM(BA45:BA51)&gt;0,IF(CQ76="Y",AVERAGE(BA45:BA51),AVERAGE(DU45:DU51)),""),"")</f>
        <v/>
      </c>
      <c r="EZ17" s="196" t="str">
        <f>IF(E51&lt;&gt;"",IF(SUM(BC45:BC51)&gt;0,IF(CR76="Y",AVERAGE(BC45:BC51),AVERAGE(DV45:DV51)),""),"")</f>
        <v/>
      </c>
      <c r="FA17" s="196" t="str">
        <f>IF(E51&lt;&gt;"",IF(SUM(BE45:BE51)&gt;0,IF(CS76="Y",AVERAGE(BE45:BE51),AVERAGE(DW45:DW51)),""),"")</f>
        <v/>
      </c>
      <c r="FB17" s="196" t="str">
        <f>IF(E51&lt;&gt;"",IF(SUM(BG45:BG51)&gt;0,IF(CT76="Y",AVERAGE(BG45:BG51),AVERAGE(DX45:DX51)),""),"")</f>
        <v/>
      </c>
      <c r="FC17" s="196" t="str">
        <f>IF(E51&lt;&gt;"",IF(SUM(BI45:BI51)&gt;0,IF(CU76="Y",AVERAGE(BI45:BI51),AVERAGE(DY45:DY51)),""),"")</f>
        <v/>
      </c>
      <c r="FD17" s="196" t="str">
        <f>IF(E51&lt;&gt;"",IF(SUM(BK45:BK51)&gt;0,IF(CV76="Y",AVERAGE(BK45:BK51),AVERAGE(DZ45:DZ51)),""),"")</f>
        <v/>
      </c>
      <c r="FE17" s="210" t="str">
        <f>IF(E51&lt;&gt;"",IF(SUM(BM45:BM51)&gt;0,IF(CW76="Y",AVERAGE(BM45:BM51),AVERAGE(EA45:EA51)),""),"")</f>
        <v/>
      </c>
      <c r="FG17" s="212" t="str">
        <f>IF(AND($G17&lt;&gt;"",$G17&gt;0,'Outfall 1 Limits'!$AX$16="C1",I17&lt;&gt;""),I17*$G17*8.34,IF(AND($I17&lt;&gt;"",'Outfall 1 Limits'!$AX$16="L"),I17,""))</f>
        <v/>
      </c>
      <c r="FH17" s="206" t="str">
        <f>IF(AND($G17&lt;&gt;"",$G17&gt;0,'Outfall 1 Limits'!$AX$20="C1",$K17&lt;&gt;""),$K17*$G17*8.34,IF(AND($K17&lt;&gt;"",'Outfall 1 Limits'!$AX$20="L"),$K17,""))</f>
        <v/>
      </c>
      <c r="FI17" s="206" t="str">
        <f>IF(AND($G17&lt;&gt;"",$G17&gt;0,'Outfall 1 Limits'!$AX$24="C1",$M17&lt;&gt;""),$M17*$G17*8.34,IF(AND($M17&lt;&gt;"",'Outfall 1 Limits'!$AX$24="L"),$M17,""))</f>
        <v/>
      </c>
      <c r="FJ17" s="206" t="str">
        <f>IF(AND($G17&lt;&gt;"",$G17&gt;0,'Outfall 1 Limits'!$AX$28="C1",$O17&lt;&gt;""),$O17*$G17*8.34,IF(AND($O17&lt;&gt;"",'Outfall 1 Limits'!$AX$28="L"),$O17,""))</f>
        <v/>
      </c>
      <c r="FK17" s="206" t="str">
        <f>IF(AND($G17&lt;&gt;"",$G17&gt;0,'Outfall 1 Limits'!$AX$32="C1",$Q17&lt;&gt;""),$Q17*$G17*8.34,IF(AND($Q17&lt;&gt;"",'Outfall 1 Limits'!$AX$32="L"),$Q17,""))</f>
        <v/>
      </c>
      <c r="FL17" s="206" t="str">
        <f>IF(AND($G17&lt;&gt;"",$G17&gt;0,'Outfall 1 Limits'!$AX$36="C1",$S17&lt;&gt;""),$S17*$G17*8.34,IF(AND($S17&lt;&gt;"",'Outfall 1 Limits'!$AX$36="L"),$S17,""))</f>
        <v/>
      </c>
      <c r="FM17" s="206" t="str">
        <f>IF(AND($G17&lt;&gt;"",$G17&gt;0,'Outfall 1 Limits'!$AX$40="C1",$U17&lt;&gt;""),$U17*$G17*8.34,IF(AND($U17&lt;&gt;"",'Outfall 1 Limits'!$AX$40="L"),$U17,""))</f>
        <v/>
      </c>
      <c r="FN17" s="206" t="str">
        <f>IF(AND($G17&lt;&gt;"",$G17&gt;0,'Outfall 1 Limits'!$AX$44="C1",$W17&lt;&gt;""),$W17*$G17*8.34,IF(AND($W17&lt;&gt;"",'Outfall 1 Limits'!$AX$44="L"),$W17,""))</f>
        <v/>
      </c>
      <c r="FO17" s="206" t="str">
        <f>IF(AND($G17&lt;&gt;"",$G17&gt;0,'Outfall 1 Limits'!$AX$48="C1",$Y17&lt;&gt;""),$Y17*$G17*8.34,IF(AND($Y17&lt;&gt;"",'Outfall 1 Limits'!$AX$48="L"),$Y17,""))</f>
        <v/>
      </c>
      <c r="FP17" s="206" t="str">
        <f>IF(AND($G17&lt;&gt;"",$G17&gt;0,'Outfall 1 Limits'!$AX$52="C1",$AA17&lt;&gt;""),$AA17*$G17*8.34,IF(AND($AA17&lt;&gt;"",'Outfall 1 Limits'!$AX$52="L"),$AA17,""))</f>
        <v/>
      </c>
      <c r="FQ17" s="206" t="str">
        <f>IF(AND($G17&lt;&gt;"",$G17&gt;0,'Outfall 1 Limits'!$AX$56="C1",$AC17&lt;&gt;""),$AC17*$G17*8.34,IF(AND($AC17&lt;&gt;"",'Outfall 1 Limits'!$AX$56="L"),$AC17,""))</f>
        <v/>
      </c>
      <c r="FR17" s="206" t="str">
        <f>IF(AND($G17&lt;&gt;"",$G17&gt;0,'Outfall 1 Limits'!$AX$60="C1",$AE17&lt;&gt;""),$AE17*$G17*8.34,IF(AND($AE17&lt;&gt;"",'Outfall 1 Limits'!$AX$60="L"),$AE17,""))</f>
        <v/>
      </c>
      <c r="FS17" s="206" t="str">
        <f>IF(AND($G17&lt;&gt;"",$G17&gt;0,'Outfall 1 Limits'!$AX$64="C1",$AG17&lt;&gt;""),$AG17*$G17*8.34,IF(AND($AG17&lt;&gt;"",'Outfall 1 Limits'!$AX$64="L"),$AG17,""))</f>
        <v/>
      </c>
      <c r="FT17" s="206" t="str">
        <f>IF(AND($G17&lt;&gt;"",$G17&gt;0,'Outfall 1 Limits'!$AX$68="C1",$AI17&lt;&gt;""),$AI17*$G17*8.34,IF(AND($AI17&lt;&gt;"",'Outfall 1 Limits'!$AX$68="L"),$AI17,""))</f>
        <v/>
      </c>
      <c r="FU17" s="206" t="str">
        <f>IF(AND($G17&lt;&gt;"",$G17&gt;0,'Outfall 1 Limits'!$AX$72="C1",$AK17&lt;&gt;""),$AK17*$G17*8.34,IF(AND($AK17&lt;&gt;"",'Outfall 1 Limits'!$AX$72="L"),$AK17,""))</f>
        <v/>
      </c>
      <c r="FV17" s="206" t="str">
        <f>IF(AND($G17&lt;&gt;"",$G17&gt;0,'Outfall 1 Limits'!$AX$76="C1",$AM17&lt;&gt;""),$AM17*$G17*8.34,IF(AND($AM17&lt;&gt;"",'Outfall 1 Limits'!$AX$76="L"),$AM17,""))</f>
        <v/>
      </c>
      <c r="FW17" s="206" t="str">
        <f>IF(AND($G17&lt;&gt;"",$G17&gt;0,'Outfall 1 Limits'!$AX$80="C1",$AO17&lt;&gt;""),$AO17*$G17*8.34,IF(AND($AO17&lt;&gt;"",'Outfall 1 Limits'!$AX$80="L"),$AO17,""))</f>
        <v/>
      </c>
      <c r="FX17" s="206" t="str">
        <f>IF(AND($G17&lt;&gt;"",$G17&gt;0,'Outfall 1 Limits'!$AX$84="C1",$AQ17&lt;&gt;""),$AQ17*$G17*8.34,IF(AND($AQ17&lt;&gt;"",'Outfall 1 Limits'!$AX$84="L"),$AQ17,""))</f>
        <v/>
      </c>
      <c r="FY17" s="206" t="str">
        <f>IF(AND($G17&lt;&gt;"",$G17&gt;0,'Outfall 1 Limits'!$AX$88="C1",$AS17&lt;&gt;""),$AS17*$G17*8.34,IF(AND($AS17&lt;&gt;"",'Outfall 1 Limits'!$AX$88="L"),$AS17,""))</f>
        <v/>
      </c>
      <c r="FZ17" s="206" t="str">
        <f>IF(AND($G17&lt;&gt;"",$G17&gt;0,'Outfall 1 Limits'!$AX$92="C1",$AU17&lt;&gt;""),$AU17*$G17*8.34,IF(AND($AU17&lt;&gt;"",'Outfall 1 Limits'!$AX$92="L"),$AU17,""))</f>
        <v/>
      </c>
      <c r="GA17" s="206" t="str">
        <f>IF(AND($G17&lt;&gt;"",$G17&gt;0,'Outfall 1 Limits'!$AX$96="C1",$AW17&lt;&gt;""),$AW17*$G17*8.34,IF(AND($AW17&lt;&gt;"",'Outfall 1 Limits'!$AX$96="L"),$AW17,""))</f>
        <v/>
      </c>
      <c r="GB17" s="206" t="str">
        <f>IF(AND($G17&lt;&gt;"",$G17&gt;0,'Outfall 1 Limits'!$AX$100="C1",$AY17&lt;&gt;""),$AY17*$G17*8.34,IF(AND($AY17&lt;&gt;"",'Outfall 1 Limits'!$AX$100="L"),$AY17,""))</f>
        <v/>
      </c>
      <c r="GC17" s="206" t="str">
        <f>IF(AND($G17&lt;&gt;"",$G17&gt;0,'Outfall 1 Limits'!$AX$104="C1",$BA17&lt;&gt;""),$BA17*$G17*8.34,IF(AND($BA17&lt;&gt;"",'Outfall 1 Limits'!$AX$104="L"),$BA17,""))</f>
        <v/>
      </c>
      <c r="GD17" s="206" t="str">
        <f>IF(AND($G17&lt;&gt;"",$G17&gt;0,'Outfall 1 Limits'!$AX$108="C1",$BC17&lt;&gt;""),$BC17*$G17*8.34,IF(AND($BC17&lt;&gt;"",'Outfall 1 Limits'!$AX$108="L"),$BC17,""))</f>
        <v/>
      </c>
      <c r="GE17" s="206" t="str">
        <f>IF(AND($G17&lt;&gt;"",$G17&gt;0,'Outfall 1 Limits'!$AX$112="C1",$BE17&lt;&gt;""),$BE17*$G17*8.34,IF(AND($BE17&lt;&gt;"",'Outfall 1 Limits'!$AX$112="L"),$BE17,""))</f>
        <v/>
      </c>
      <c r="GF17" s="206" t="str">
        <f>IF(AND($G17&lt;&gt;"",$G17&gt;0,'Outfall 1 Limits'!$AX$116="C1",$BG17&lt;&gt;""),$BG17*$G17*8.34,IF(AND($BG17&lt;&gt;"",'Outfall 1 Limits'!$AX$116="L"),$BG17,""))</f>
        <v/>
      </c>
      <c r="GG17" s="206" t="str">
        <f>IF(AND($G17&lt;&gt;"",$G17&gt;0,'Outfall 1 Limits'!$AX$120="C1",$BI17&lt;&gt;""),$BI17*$G17*8.34,IF(AND($BI17&lt;&gt;"",'Outfall 1 Limits'!$AX$120="L"),$BI17,""))</f>
        <v/>
      </c>
      <c r="GH17" s="206" t="str">
        <f>IF(AND($G17&lt;&gt;"",$G17&gt;0,'Outfall 1 Limits'!$AX$124="C1",$BK17&lt;&gt;""),$BK17*$G17*8.34,IF(AND($BK17&lt;&gt;"",'Outfall 1 Limits'!$AX$124="L"),$BK17,""))</f>
        <v/>
      </c>
      <c r="GI17" s="223" t="str">
        <f>IF(AND($G17&lt;&gt;"",$G17&gt;0,'Outfall 1 Limits'!$AX$128="C1",$BM17&lt;&gt;""),$BM17*$G17*8.34,IF(AND($BM17&lt;&gt;"",'Outfall 1 Limits'!$AX$128="L"),$BM17,""))</f>
        <v/>
      </c>
      <c r="GJ17" s="177" t="str">
        <f t="shared" si="59"/>
        <v/>
      </c>
      <c r="GK17" s="212" t="str">
        <f>IF(AND($G17&lt;&gt;"",$G17&gt;0,'Outfall 1 Limits'!$AX$16="C1",CY17&lt;&gt;""),CY17*$G17*8.34,IF(AND(CY17&lt;&gt;"",'Outfall 1 Limits'!$AX$16="L"),CY17,""))</f>
        <v/>
      </c>
      <c r="GL17" s="206" t="str">
        <f>IF(AND($G17&lt;&gt;"",$G17&gt;0,'Outfall 1 Limits'!$AX$20="C1",CZ17&lt;&gt;""),CZ17*$G17*8.34,IF(AND(CZ17&lt;&gt;"",'Outfall 1 Limits'!$AX$20="L"),CZ17,""))</f>
        <v/>
      </c>
      <c r="GM17" s="206" t="str">
        <f>IF(AND($G17&lt;&gt;"",$G17&gt;0,'Outfall 1 Limits'!$AX$24="C1",DA17&lt;&gt;""),DA17*$G17*8.34,IF(AND(DA17&lt;&gt;"",'Outfall 1 Limits'!$AX$24="L"),DA17,""))</f>
        <v/>
      </c>
      <c r="GN17" s="206" t="str">
        <f>IF(AND($G17&lt;&gt;"",$G17&gt;0,'Outfall 1 Limits'!$AX$28="C1",DB17&lt;&gt;""),DB17*$G17*8.34,IF(AND(DB17&lt;&gt;"",'Outfall 1 Limits'!$AX$28="L"),DB17,""))</f>
        <v/>
      </c>
      <c r="GO17" s="206" t="str">
        <f>IF(AND($G17&lt;&gt;"",$G17&gt;0,'Outfall 1 Limits'!$AX$32="C1",DC17&lt;&gt;""),DC17*$G17*8.34,IF(AND(DC17&lt;&gt;"",'Outfall 1 Limits'!$AX$32="L"),DC17,""))</f>
        <v/>
      </c>
      <c r="GP17" s="206" t="str">
        <f>IF(AND($G17&lt;&gt;"",$G17&gt;0,'Outfall 1 Limits'!$AX$36="C1",DD17&lt;&gt;""),DD17*$G17*8.34,IF(AND(DD17&lt;&gt;"",'Outfall 1 Limits'!$AX$36="L"),DD17,""))</f>
        <v/>
      </c>
      <c r="GQ17" s="206" t="str">
        <f>IF(AND($G17&lt;&gt;"",$G17&gt;0,'Outfall 1 Limits'!$AX$40="C1",DE17&lt;&gt;""),DE17*$G17*8.34,IF(AND(DE17&lt;&gt;"",'Outfall 1 Limits'!$AX$40="L"),DE17,""))</f>
        <v/>
      </c>
      <c r="GR17" s="206" t="str">
        <f>IF(AND($G17&lt;&gt;"",$G17&gt;0,'Outfall 1 Limits'!$AX$44="C1",DF17&lt;&gt;""),DF17*$G17*8.34,IF(AND(DF17&lt;&gt;"",'Outfall 1 Limits'!$AX$44="L"),DF17,""))</f>
        <v/>
      </c>
      <c r="GS17" s="206" t="str">
        <f>IF(AND($G17&lt;&gt;"",$G17&gt;0,'Outfall 1 Limits'!$AX$48="C1",DG17&lt;&gt;""),DG17*$G17*8.34,IF(AND(DG17&lt;&gt;"",'Outfall 1 Limits'!$AX$48="L"),DG17,""))</f>
        <v/>
      </c>
      <c r="GT17" s="206" t="str">
        <f>IF(AND($G17&lt;&gt;"",$G17&gt;0,'Outfall 1 Limits'!$AX$52="C1",DH17&lt;&gt;""),DH17*$G17*8.34,IF(AND(DH17&lt;&gt;"",'Outfall 1 Limits'!$AX$52="L"),DH17,""))</f>
        <v/>
      </c>
      <c r="GU17" s="206" t="str">
        <f>IF(AND($G17&lt;&gt;"",$G17&gt;0,'Outfall 1 Limits'!$AX$56="C1",DI17&lt;&gt;""),DI17*$G17*8.34,IF(AND(DI17&lt;&gt;"",'Outfall 1 Limits'!$AX$56="L"),DI17,""))</f>
        <v/>
      </c>
      <c r="GV17" s="206" t="str">
        <f>IF(AND($G17&lt;&gt;"",$G17&gt;0,'Outfall 1 Limits'!$AX$60="C1",DJ17&lt;&gt;""),DJ17*$G17*8.34,IF(AND(DJ17&lt;&gt;"",'Outfall 1 Limits'!$AX$60="L"),DJ17,""))</f>
        <v/>
      </c>
      <c r="GW17" s="206" t="str">
        <f>IF(AND($G17&lt;&gt;"",$G17&gt;0,'Outfall 1 Limits'!$AX$64="C1",DK17&lt;&gt;""),DK17*$G17*8.34,IF(AND(DK17&lt;&gt;"",'Outfall 1 Limits'!$AX$64="L"),DK17,""))</f>
        <v/>
      </c>
      <c r="GX17" s="206" t="str">
        <f>IF(AND($G17&lt;&gt;"",$G17&gt;0,'Outfall 1 Limits'!$AX$68="C1",DL17&lt;&gt;""),DL17*$G17*8.34,IF(AND(DL17&lt;&gt;"",'Outfall 1 Limits'!$AX$68="L"),DL17,""))</f>
        <v/>
      </c>
      <c r="GY17" s="206" t="str">
        <f>IF(AND($G17&lt;&gt;"",$G17&gt;0,'Outfall 1 Limits'!$AX$72="C1",DM17&lt;&gt;""),DM17*$G17*8.34,IF(AND(DM17&lt;&gt;"",'Outfall 1 Limits'!$AX$72="L"),DM17,""))</f>
        <v/>
      </c>
      <c r="GZ17" s="206" t="str">
        <f>IF(AND($G17&lt;&gt;"",$G17&gt;0,'Outfall 1 Limits'!$AX$76="C1",DN17&lt;&gt;""),DN17*$G17*8.34,IF(AND(DN17&lt;&gt;"",'Outfall 1 Limits'!$AX$76="L"),DN17,""))</f>
        <v/>
      </c>
      <c r="HA17" s="206" t="str">
        <f>IF(AND($G17&lt;&gt;"",$G17&gt;0,'Outfall 1 Limits'!$AX$80="C1",DO17&lt;&gt;""),DO17*$G17*8.34,IF(AND(DO17&lt;&gt;"",'Outfall 1 Limits'!$AX$80="L"),DO17,""))</f>
        <v/>
      </c>
      <c r="HB17" s="206" t="str">
        <f>IF(AND($G17&lt;&gt;"",$G17&gt;0,'Outfall 1 Limits'!$AX$84="C1",DP17&lt;&gt;""),DP17*$G17*8.34,IF(AND(DP17&lt;&gt;"",'Outfall 1 Limits'!$AX$84="L"),DP17,""))</f>
        <v/>
      </c>
      <c r="HC17" s="206" t="str">
        <f>IF(AND($G17&lt;&gt;"",$G17&gt;0,'Outfall 1 Limits'!$AX$88="C1",DQ17&lt;&gt;""),DQ17*$G17*8.34,IF(AND(DQ17&lt;&gt;"",'Outfall 1 Limits'!$AX$88="L"),DQ17,""))</f>
        <v/>
      </c>
      <c r="HD17" s="206" t="str">
        <f>IF(AND($G17&lt;&gt;"",$G17&gt;0,'Outfall 1 Limits'!$AX$92="C1",DR17&lt;&gt;""),DR17*$G17*8.34,IF(AND(DR17&lt;&gt;"",'Outfall 1 Limits'!$AX$92="L"),DR17,""))</f>
        <v/>
      </c>
      <c r="HE17" s="206" t="str">
        <f>IF(AND($G17&lt;&gt;"",$G17&gt;0,'Outfall 1 Limits'!$AX$96="C1",DS17&lt;&gt;""),DS17*$G17*8.34,IF(AND(DS17&lt;&gt;"",'Outfall 1 Limits'!$AX$96="L"),DS17,""))</f>
        <v/>
      </c>
      <c r="HF17" s="206" t="str">
        <f>IF(AND($G17&lt;&gt;"",$G17&gt;0,'Outfall 1 Limits'!$AX$100="C1",DT17&lt;&gt;""),DT17*$G17*8.34,IF(AND(DT17&lt;&gt;"",'Outfall 1 Limits'!$AX$100="L"),DT17,""))</f>
        <v/>
      </c>
      <c r="HG17" s="206" t="str">
        <f>IF(AND($G17&lt;&gt;"",$G17&gt;0,'Outfall 1 Limits'!$AX$104="C1",DU17&lt;&gt;""),DU17*$G17*8.34,IF(AND(DU17&lt;&gt;"",'Outfall 1 Limits'!$AX$104="L"),DU17,""))</f>
        <v/>
      </c>
      <c r="HH17" s="206" t="str">
        <f>IF(AND($G17&lt;&gt;"",$G17&gt;0,'Outfall 1 Limits'!$AX$108="C1",DV17&lt;&gt;""),DV17*$G17*8.34,IF(AND(DV17&lt;&gt;"",'Outfall 1 Limits'!$AX$108="L"),DV17,""))</f>
        <v/>
      </c>
      <c r="HI17" s="206" t="str">
        <f>IF(AND($G17&lt;&gt;"",$G17&gt;0,'Outfall 1 Limits'!$AX$112="C1",DW17&lt;&gt;""),DW17*$G17*8.34,IF(AND(DW17&lt;&gt;"",'Outfall 1 Limits'!$AX$112="L"),DW17,""))</f>
        <v/>
      </c>
      <c r="HJ17" s="206" t="str">
        <f>IF(AND($G17&lt;&gt;"",$G17&gt;0,'Outfall 1 Limits'!$AX$116="C1",DX17&lt;&gt;""),DX17*$G17*8.34,IF(AND(DX17&lt;&gt;"",'Outfall 1 Limits'!$AX$116="L"),DX17,""))</f>
        <v/>
      </c>
      <c r="HK17" s="206" t="str">
        <f>IF(AND($G17&lt;&gt;"",$G17&gt;0,'Outfall 1 Limits'!$AX$120="C1",DY17&lt;&gt;""),DY17*$G17*8.34,IF(AND(DY17&lt;&gt;"",'Outfall 1 Limits'!$AX$120="L"),DY17,""))</f>
        <v/>
      </c>
      <c r="HL17" s="206" t="str">
        <f>IF(AND($G17&lt;&gt;"",$G17&gt;0,'Outfall 1 Limits'!$AX$124="C1",DZ17&lt;&gt;""),DZ17*$G17*8.34,IF(AND(DZ17&lt;&gt;"",'Outfall 1 Limits'!$AX$124="L"),DZ17,""))</f>
        <v/>
      </c>
      <c r="HM17" s="223" t="str">
        <f>IF(AND($G17&lt;&gt;"",$G17&gt;0,'Outfall 1 Limits'!$AX$128="C1",EA17&lt;&gt;""),EA17*$G17*8.34,IF(AND(EA17&lt;&gt;"",'Outfall 1 Limits'!$AX$128="L"),EA17,""))</f>
        <v/>
      </c>
      <c r="HO17" s="224" t="str">
        <f t="shared" si="60"/>
        <v/>
      </c>
      <c r="HS17" s="202" t="str">
        <f t="shared" si="61"/>
        <v/>
      </c>
      <c r="HT17" s="196" t="str">
        <f t="shared" si="62"/>
        <v/>
      </c>
      <c r="HU17" s="196" t="str">
        <f t="shared" si="63"/>
        <v/>
      </c>
      <c r="HV17" s="196" t="str">
        <f t="shared" si="64"/>
        <v/>
      </c>
      <c r="HW17" s="196" t="str">
        <f t="shared" si="65"/>
        <v/>
      </c>
      <c r="HX17" s="196" t="str">
        <f t="shared" si="66"/>
        <v/>
      </c>
      <c r="HY17" s="196" t="str">
        <f t="shared" si="67"/>
        <v/>
      </c>
      <c r="HZ17" s="196" t="str">
        <f t="shared" si="68"/>
        <v/>
      </c>
      <c r="IA17" s="196" t="str">
        <f t="shared" si="69"/>
        <v/>
      </c>
      <c r="IB17" s="196" t="str">
        <f t="shared" si="70"/>
        <v/>
      </c>
      <c r="IC17" s="196" t="str">
        <f t="shared" si="71"/>
        <v/>
      </c>
      <c r="ID17" s="196" t="str">
        <f t="shared" si="72"/>
        <v/>
      </c>
      <c r="IE17" s="196" t="str">
        <f t="shared" si="73"/>
        <v/>
      </c>
      <c r="IF17" s="196" t="str">
        <f t="shared" si="74"/>
        <v/>
      </c>
      <c r="IG17" s="196" t="str">
        <f t="shared" si="75"/>
        <v/>
      </c>
      <c r="IH17" s="196" t="str">
        <f t="shared" si="76"/>
        <v/>
      </c>
      <c r="II17" s="196" t="str">
        <f t="shared" si="77"/>
        <v/>
      </c>
      <c r="IJ17" s="196" t="str">
        <f t="shared" si="78"/>
        <v/>
      </c>
      <c r="IK17" s="196" t="str">
        <f t="shared" si="79"/>
        <v/>
      </c>
      <c r="IL17" s="196" t="str">
        <f t="shared" si="80"/>
        <v/>
      </c>
      <c r="IM17" s="196" t="str">
        <f t="shared" si="81"/>
        <v/>
      </c>
      <c r="IN17" s="196" t="str">
        <f t="shared" si="82"/>
        <v/>
      </c>
      <c r="IO17" s="196" t="str">
        <f t="shared" si="83"/>
        <v/>
      </c>
      <c r="IP17" s="196" t="str">
        <f t="shared" si="84"/>
        <v/>
      </c>
      <c r="IQ17" s="196" t="str">
        <f t="shared" si="85"/>
        <v/>
      </c>
      <c r="IR17" s="196" t="str">
        <f t="shared" si="86"/>
        <v/>
      </c>
      <c r="IS17" s="196" t="str">
        <f t="shared" si="87"/>
        <v/>
      </c>
      <c r="IT17" s="196" t="str">
        <f t="shared" si="88"/>
        <v/>
      </c>
      <c r="IU17" s="210" t="str">
        <f t="shared" si="89"/>
        <v/>
      </c>
      <c r="IX17" s="202" t="str">
        <f t="shared" si="90"/>
        <v/>
      </c>
      <c r="IY17" s="196" t="str">
        <f t="shared" si="91"/>
        <v/>
      </c>
      <c r="IZ17" s="196" t="str">
        <f t="shared" si="92"/>
        <v/>
      </c>
      <c r="JA17" s="196" t="str">
        <f t="shared" si="93"/>
        <v/>
      </c>
      <c r="JB17" s="196" t="str">
        <f t="shared" si="94"/>
        <v/>
      </c>
      <c r="JC17" s="196" t="str">
        <f t="shared" si="95"/>
        <v/>
      </c>
      <c r="JD17" s="196" t="str">
        <f t="shared" si="96"/>
        <v/>
      </c>
      <c r="JE17" s="196" t="str">
        <f t="shared" si="97"/>
        <v/>
      </c>
      <c r="JF17" s="196" t="str">
        <f t="shared" si="98"/>
        <v/>
      </c>
      <c r="JG17" s="196" t="str">
        <f t="shared" si="99"/>
        <v/>
      </c>
      <c r="JH17" s="196" t="str">
        <f t="shared" si="100"/>
        <v/>
      </c>
      <c r="JI17" s="196" t="str">
        <f t="shared" si="101"/>
        <v/>
      </c>
      <c r="JJ17" s="196" t="str">
        <f t="shared" si="102"/>
        <v/>
      </c>
      <c r="JK17" s="196" t="str">
        <f t="shared" si="103"/>
        <v/>
      </c>
      <c r="JL17" s="196" t="str">
        <f t="shared" si="104"/>
        <v/>
      </c>
      <c r="JM17" s="196" t="str">
        <f t="shared" si="105"/>
        <v/>
      </c>
      <c r="JN17" s="196" t="str">
        <f t="shared" si="106"/>
        <v/>
      </c>
      <c r="JO17" s="196" t="str">
        <f t="shared" si="107"/>
        <v/>
      </c>
      <c r="JP17" s="196" t="str">
        <f t="shared" si="108"/>
        <v/>
      </c>
      <c r="JQ17" s="196" t="str">
        <f t="shared" si="109"/>
        <v/>
      </c>
      <c r="JR17" s="196" t="str">
        <f t="shared" si="110"/>
        <v/>
      </c>
      <c r="JS17" s="196" t="str">
        <f t="shared" si="111"/>
        <v/>
      </c>
      <c r="JT17" s="196" t="str">
        <f t="shared" si="112"/>
        <v/>
      </c>
      <c r="JU17" s="196" t="str">
        <f t="shared" si="113"/>
        <v/>
      </c>
      <c r="JV17" s="196" t="str">
        <f t="shared" si="114"/>
        <v/>
      </c>
      <c r="JW17" s="196" t="str">
        <f t="shared" si="115"/>
        <v/>
      </c>
      <c r="JX17" s="196" t="str">
        <f t="shared" si="116"/>
        <v/>
      </c>
      <c r="JY17" s="196" t="str">
        <f t="shared" si="117"/>
        <v/>
      </c>
      <c r="JZ17" s="210" t="str">
        <f t="shared" si="118"/>
        <v/>
      </c>
      <c r="KA17" s="196"/>
      <c r="KB17" s="176"/>
      <c r="KC17" s="227"/>
      <c r="KD17" s="218" t="str">
        <f t="shared" si="2"/>
        <v/>
      </c>
      <c r="KE17" s="196" t="str">
        <f t="shared" si="3"/>
        <v/>
      </c>
      <c r="KF17" s="196" t="str">
        <f t="shared" si="4"/>
        <v/>
      </c>
      <c r="KG17" s="196" t="str">
        <f t="shared" si="5"/>
        <v/>
      </c>
      <c r="KH17" s="196" t="str">
        <f t="shared" si="6"/>
        <v/>
      </c>
      <c r="KI17" s="196" t="str">
        <f t="shared" si="7"/>
        <v/>
      </c>
      <c r="KJ17" s="196" t="str">
        <f t="shared" si="8"/>
        <v/>
      </c>
      <c r="KK17" s="196" t="str">
        <f t="shared" si="9"/>
        <v/>
      </c>
      <c r="KL17" s="196" t="str">
        <f t="shared" si="10"/>
        <v/>
      </c>
      <c r="KM17" s="196" t="str">
        <f t="shared" si="11"/>
        <v/>
      </c>
      <c r="KN17" s="196" t="str">
        <f t="shared" si="12"/>
        <v/>
      </c>
      <c r="KO17" s="196" t="str">
        <f t="shared" si="13"/>
        <v/>
      </c>
      <c r="KP17" s="196" t="str">
        <f t="shared" si="14"/>
        <v/>
      </c>
      <c r="KQ17" s="196" t="str">
        <f t="shared" si="15"/>
        <v/>
      </c>
      <c r="KR17" s="196" t="str">
        <f t="shared" si="16"/>
        <v/>
      </c>
      <c r="KS17" s="196" t="str">
        <f t="shared" si="17"/>
        <v/>
      </c>
      <c r="KT17" s="196" t="str">
        <f t="shared" si="18"/>
        <v/>
      </c>
      <c r="KU17" s="196" t="str">
        <f t="shared" si="19"/>
        <v/>
      </c>
      <c r="KV17" s="196" t="str">
        <f t="shared" si="20"/>
        <v/>
      </c>
      <c r="KW17" s="196" t="str">
        <f t="shared" si="21"/>
        <v/>
      </c>
      <c r="KX17" s="196" t="str">
        <f t="shared" si="22"/>
        <v/>
      </c>
      <c r="KY17" s="196" t="str">
        <f t="shared" si="23"/>
        <v/>
      </c>
      <c r="KZ17" s="196" t="str">
        <f t="shared" si="24"/>
        <v/>
      </c>
      <c r="LA17" s="196" t="str">
        <f t="shared" si="25"/>
        <v/>
      </c>
      <c r="LB17" s="196" t="str">
        <f t="shared" si="26"/>
        <v/>
      </c>
      <c r="LC17" s="196" t="str">
        <f t="shared" si="27"/>
        <v/>
      </c>
      <c r="LD17" s="196" t="str">
        <f t="shared" si="28"/>
        <v/>
      </c>
      <c r="LE17" s="196" t="str">
        <f t="shared" si="29"/>
        <v/>
      </c>
      <c r="LF17" s="226" t="str">
        <f t="shared" si="30"/>
        <v/>
      </c>
    </row>
    <row r="18" spans="1:318" s="172" customFormat="1" ht="11.45" customHeight="1" x14ac:dyDescent="0.2">
      <c r="A18" s="35"/>
      <c r="B18" s="54"/>
      <c r="C18" s="438">
        <f t="shared" si="0"/>
        <v>45292</v>
      </c>
      <c r="D18" s="438"/>
      <c r="E18" s="430">
        <f t="shared" ref="E18:E51" si="119">IF($E17 = "", "", IF(OR((MONTH($E17+1) = $P$6),($E17+1) &lt;=$C$10), $E17+1,""))</f>
        <v>45292</v>
      </c>
      <c r="F18" s="431"/>
      <c r="G18" s="26"/>
      <c r="H18" s="51"/>
      <c r="I18" s="50"/>
      <c r="J18" s="51"/>
      <c r="K18" s="50"/>
      <c r="L18" s="51"/>
      <c r="M18" s="50"/>
      <c r="N18" s="51"/>
      <c r="O18" s="50"/>
      <c r="P18" s="51"/>
      <c r="Q18" s="50"/>
      <c r="R18" s="51"/>
      <c r="S18" s="50"/>
      <c r="T18" s="51"/>
      <c r="U18" s="50"/>
      <c r="V18" s="51"/>
      <c r="W18" s="50"/>
      <c r="X18" s="276"/>
      <c r="Y18" s="50"/>
      <c r="Z18" s="51"/>
      <c r="AA18" s="50"/>
      <c r="AB18" s="51"/>
      <c r="AC18" s="50"/>
      <c r="AD18" s="51"/>
      <c r="AE18" s="50"/>
      <c r="AF18" s="51"/>
      <c r="AG18" s="50"/>
      <c r="AH18" s="51"/>
      <c r="AI18" s="50"/>
      <c r="AJ18" s="51"/>
      <c r="AK18" s="50"/>
      <c r="AL18" s="51"/>
      <c r="AM18" s="50"/>
      <c r="AN18" s="51"/>
      <c r="AO18" s="50"/>
      <c r="AP18" s="51"/>
      <c r="AQ18" s="50"/>
      <c r="AR18" s="51"/>
      <c r="AS18" s="50"/>
      <c r="AT18" s="51"/>
      <c r="AU18" s="50"/>
      <c r="AV18" s="51"/>
      <c r="AW18" s="50"/>
      <c r="AX18" s="51"/>
      <c r="AY18" s="50"/>
      <c r="AZ18" s="51"/>
      <c r="BA18" s="50"/>
      <c r="BB18" s="51"/>
      <c r="BC18" s="50"/>
      <c r="BD18" s="51"/>
      <c r="BE18" s="50"/>
      <c r="BF18" s="51"/>
      <c r="BG18" s="50"/>
      <c r="BH18" s="51"/>
      <c r="BI18" s="50"/>
      <c r="BJ18" s="51"/>
      <c r="BK18" s="50"/>
      <c r="BL18" s="51"/>
      <c r="BM18" s="109"/>
      <c r="BO18" s="174"/>
      <c r="BP18" s="174">
        <v>2037</v>
      </c>
      <c r="BQ18" s="221" t="s">
        <v>33</v>
      </c>
      <c r="BR18" s="222"/>
      <c r="BS18" s="174" t="s">
        <v>10</v>
      </c>
      <c r="BU18" s="202" t="str">
        <f t="shared" si="31"/>
        <v/>
      </c>
      <c r="BV18" s="196" t="str">
        <f t="shared" si="32"/>
        <v/>
      </c>
      <c r="BW18" s="196" t="str">
        <f t="shared" si="33"/>
        <v/>
      </c>
      <c r="BX18" s="196" t="str">
        <f t="shared" si="34"/>
        <v/>
      </c>
      <c r="BY18" s="196" t="str">
        <f t="shared" si="35"/>
        <v/>
      </c>
      <c r="BZ18" s="196" t="str">
        <f t="shared" si="36"/>
        <v/>
      </c>
      <c r="CA18" s="196" t="str">
        <f t="shared" si="37"/>
        <v/>
      </c>
      <c r="CB18" s="196" t="str">
        <f t="shared" si="38"/>
        <v/>
      </c>
      <c r="CC18" s="196" t="str">
        <f t="shared" si="39"/>
        <v/>
      </c>
      <c r="CD18" s="196" t="str">
        <f t="shared" si="40"/>
        <v/>
      </c>
      <c r="CE18" s="196" t="str">
        <f t="shared" si="41"/>
        <v/>
      </c>
      <c r="CF18" s="196" t="str">
        <f t="shared" si="42"/>
        <v/>
      </c>
      <c r="CG18" s="196" t="str">
        <f t="shared" si="43"/>
        <v/>
      </c>
      <c r="CH18" s="196" t="str">
        <f t="shared" si="44"/>
        <v/>
      </c>
      <c r="CI18" s="196" t="str">
        <f t="shared" si="45"/>
        <v/>
      </c>
      <c r="CJ18" s="196" t="str">
        <f t="shared" si="46"/>
        <v/>
      </c>
      <c r="CK18" s="196" t="str">
        <f t="shared" si="47"/>
        <v/>
      </c>
      <c r="CL18" s="196" t="str">
        <f t="shared" si="48"/>
        <v/>
      </c>
      <c r="CM18" s="196" t="str">
        <f t="shared" ref="CM18:CM51" si="120">IF(AS18&lt;&gt;"",IF(AR18="&lt;",0.99,1),"")</f>
        <v/>
      </c>
      <c r="CN18" s="196" t="str">
        <f t="shared" si="49"/>
        <v/>
      </c>
      <c r="CO18" s="196" t="str">
        <f t="shared" si="50"/>
        <v/>
      </c>
      <c r="CP18" s="196" t="str">
        <f t="shared" si="51"/>
        <v/>
      </c>
      <c r="CQ18" s="196" t="str">
        <f t="shared" si="52"/>
        <v/>
      </c>
      <c r="CR18" s="196" t="str">
        <f t="shared" si="53"/>
        <v/>
      </c>
      <c r="CS18" s="196" t="str">
        <f t="shared" si="54"/>
        <v/>
      </c>
      <c r="CT18" s="196" t="str">
        <f t="shared" si="55"/>
        <v/>
      </c>
      <c r="CU18" s="196" t="str">
        <f t="shared" si="56"/>
        <v/>
      </c>
      <c r="CV18" s="196" t="str">
        <f t="shared" si="57"/>
        <v/>
      </c>
      <c r="CW18" s="210" t="str">
        <f t="shared" si="58"/>
        <v/>
      </c>
      <c r="CY18" s="212" t="str">
        <f>IF(I18&lt;&gt;"",IF(H18="&lt;",IF(AND('Outfall 1 Limits'!$AM$16="Y",$BU$54&lt;&gt;"Y",I18&lt;='Outfall 1 Limits'!$AL$16),0,(1*I18)),I18),"")</f>
        <v/>
      </c>
      <c r="CZ18" s="206" t="str">
        <f>IF(K18&lt;&gt;"",IF(J18="&lt;",IF(AND('Outfall 1 Limits'!$AM$20="Y",$BV$54&lt;&gt;"Y",K18&lt;='Outfall 1 Limits'!$AL$20),0,(1*K18)),K18),"")</f>
        <v/>
      </c>
      <c r="DA18" s="206" t="str">
        <f>IF(M18&lt;&gt;"",IF(L18="&lt;",IF(AND('Outfall 1 Limits'!$AM$24="Y",$BW$54&lt;&gt;"Y",M18&lt;='Outfall 1 Limits'!$AL$24),0,(1*M18)),M18),"")</f>
        <v/>
      </c>
      <c r="DB18" s="206" t="str">
        <f>IF(O18&lt;&gt;"",IF(N18="&lt;",IF(AND('Outfall 1 Limits'!$AM$28="Y",$BX$54&lt;&gt;"Y",O18&lt;='Outfall 1 Limits'!$AL$28),0,(1*O18)),O18),"")</f>
        <v/>
      </c>
      <c r="DC18" s="206" t="str">
        <f>IF(Q18&lt;&gt;"",IF(P18="&lt;",IF(AND('Outfall 1 Limits'!$AM$32="Y",$BY$54&lt;&gt;"Y",Q18&lt;='Outfall 1 Limits'!$AL$32),0,(1*Q18)),Q18),"")</f>
        <v/>
      </c>
      <c r="DD18" s="206" t="str">
        <f>IF(S18&lt;&gt;"",IF(R18="&lt;",IF(AND('Outfall 1 Limits'!$AM$36="Y",$BZ$54&lt;&gt;"Y",S18&lt;='Outfall 1 Limits'!$AL$36),0,(1*S18)),S18),"")</f>
        <v/>
      </c>
      <c r="DE18" s="206" t="str">
        <f>IF(U18&lt;&gt;"",IF(T18="&lt;",IF(AND('Outfall 1 Limits'!$AM$40="Y",$CA$54&lt;&gt;"Y",U18&lt;='Outfall 1 Limits'!$AL$40),0,(1*U18)),U18),"")</f>
        <v/>
      </c>
      <c r="DF18" s="206" t="str">
        <f>IF(W18&lt;&gt;"",IF(V18="&lt;",IF(AND('Outfall 1 Limits'!$AM$44="Y",$CB$54&lt;&gt;"Y",W18&lt;='Outfall 1 Limits'!$AL$44),0,(1*W18)),W18),"")</f>
        <v/>
      </c>
      <c r="DG18" s="206" t="str">
        <f>IF(Y18&lt;&gt;"",IF(X18="&lt;",IF(AND('Outfall 1 Limits'!$AM$48="Y",$CC$54&lt;&gt;"Y",Y18&lt;='Outfall 1 Limits'!$AL$48),0,(1*Y18)),Y18),"")</f>
        <v/>
      </c>
      <c r="DH18" s="206" t="str">
        <f>IF(AA18&lt;&gt;"",IF(Z18="&lt;",IF(AND('Outfall 1 Limits'!$AM$52="Y",$CD$54&lt;&gt;"Y",AA18&lt;='Outfall 1 Limits'!$AL$52),0,(1*AA18)),AA18),"")</f>
        <v/>
      </c>
      <c r="DI18" s="206" t="str">
        <f>IF(AC18&lt;&gt;"",IF(AB18="&lt;",IF(AND('Outfall 1 Limits'!$AM$56="Y",$CE$54&lt;&gt;"Y",AC18&lt;='Outfall 1 Limits'!$AL$56),0,(1*AC18)),AC18),"")</f>
        <v/>
      </c>
      <c r="DJ18" s="206" t="str">
        <f>IF(AE18&lt;&gt;"",IF(AD18="&lt;",IF(AND('Outfall 1 Limits'!$AM$60="Y",$CF$54&lt;&gt;"Y",AE18&lt;='Outfall 1 Limits'!$AL$60),0,(1*AE18)),AE18),"")</f>
        <v/>
      </c>
      <c r="DK18" s="206" t="str">
        <f>IF(AG18&lt;&gt;"",IF(AF18="&lt;",IF(AND('Outfall 1 Limits'!$AM$64="Y",$CG$54&lt;&gt;"Y",AG18&lt;='Outfall 1 Limits'!$AL$64),0,(1*AG18)),AG18),"")</f>
        <v/>
      </c>
      <c r="DL18" s="206" t="str">
        <f>IF(AI18&lt;&gt;"",IF(AH18="&lt;",IF(AND('Outfall 1 Limits'!$AM$68="Y",$CH$54&lt;&gt;"Y",AI18&lt;='Outfall 1 Limits'!$AL$68),0,(1*AI18)),AI18),"")</f>
        <v/>
      </c>
      <c r="DM18" s="206" t="str">
        <f>IF(AK18&lt;&gt;"",IF(AJ18="&lt;",IF(AND('Outfall 1 Limits'!$AM$72="Y",$CI$54&lt;&gt;"Y",AK18&lt;='Outfall 1 Limits'!$AL$72),0,(1*AK18)),AK18),"")</f>
        <v/>
      </c>
      <c r="DN18" s="206" t="str">
        <f>IF(AM18&lt;&gt;"",IF(AL18="&lt;",IF(AND('Outfall 1 Limits'!$AM$76="Y",$CJ$54&lt;&gt;"Y",AM18&lt;='Outfall 1 Limits'!$AL$76),0,(1*AM18)),AM18),"")</f>
        <v/>
      </c>
      <c r="DO18" s="206" t="str">
        <f>IF(AO18&lt;&gt;"",IF(AN18="&lt;",IF(AND('Outfall 1 Limits'!$AM$80="Y",$CK$54&lt;&gt;"Y",AO18&lt;='Outfall 1 Limits'!$AL$80),0,(1*AO18)),AO18),"")</f>
        <v/>
      </c>
      <c r="DP18" s="206" t="str">
        <f>IF(AQ18&lt;&gt;"",IF(AP18="&lt;",IF(AND('Outfall 1 Limits'!$AM$84="Y",$CL$54&lt;&gt;"Y",AQ18&lt;='Outfall 1 Limits'!$AL$84),0,(1*AQ18)),AQ18),"")</f>
        <v/>
      </c>
      <c r="DQ18" s="206" t="str">
        <f>IF(AS18&lt;&gt;"",IF(AR18="&lt;",IF(AND('Outfall 1 Limits'!$AM$88="Y",$CM$54&lt;&gt;"Y",AS18&lt;='Outfall 1 Limits'!$AL$88),0,(1*AS18)),AS18),"")</f>
        <v/>
      </c>
      <c r="DR18" s="206" t="str">
        <f>IF(AU18&lt;&gt;"",IF(AT18="&lt;",IF(AND('Outfall 1 Limits'!$AM$92="Y",$CN$54&lt;&gt;"Y",AU18&lt;='Outfall 1 Limits'!$AL$92),0,(1*AU18)),AU18),"")</f>
        <v/>
      </c>
      <c r="DS18" s="206" t="str">
        <f>IF(AW18&lt;&gt;"",IF(AV18="&lt;",IF(AND('Outfall 1 Limits'!$AM$96="Y",$CO$54&lt;&gt;"Y",AW18&lt;='Outfall 1 Limits'!$AL$96),0,(1*AW18)),AW18),"")</f>
        <v/>
      </c>
      <c r="DT18" s="206" t="str">
        <f>IF(AY18&lt;&gt;"",IF(AX18="&lt;",IF(AND('Outfall 1 Limits'!$AM$100="Y",$CP$54&lt;&gt;"Y",AY18&lt;='Outfall 1 Limits'!$AL$100),0,(1*AY18)),AY18),"")</f>
        <v/>
      </c>
      <c r="DU18" s="206" t="str">
        <f>IF(BA18&lt;&gt;"",IF(AZ18="&lt;",IF(AND('Outfall 1 Limits'!$AM$104="Y",$CQ$54&lt;&gt;"Y",BA18&lt;='Outfall 1 Limits'!$AL$104),0,(1*BA18)),BA18),"")</f>
        <v/>
      </c>
      <c r="DV18" s="206" t="str">
        <f>IF(BC18&lt;&gt;"",IF(BB18="&lt;",IF(AND('Outfall 1 Limits'!$AM$108="Y",$CR$54&lt;&gt;"Y",BC18&lt;='Outfall 1 Limits'!$AL$108),0,(1*BC18)),BC18),"")</f>
        <v/>
      </c>
      <c r="DW18" s="206" t="str">
        <f>IF(BE18&lt;&gt;"",IF(BD18="&lt;",IF(AND('Outfall 1 Limits'!$AM$112="Y",$CS$54&lt;&gt;"Y",BE18&lt;='Outfall 1 Limits'!$AL$112),0,(1*BE18)),BE18),"")</f>
        <v/>
      </c>
      <c r="DX18" s="206" t="str">
        <f>IF(BG18&lt;&gt;"",IF(BF18="&lt;",IF(AND('Outfall 1 Limits'!$AM$116="Y",$CT$54&lt;&gt;"Y",BG18&lt;='Outfall 1 Limits'!$AL$116),0,(1*BG18)),BG18),"")</f>
        <v/>
      </c>
      <c r="DY18" s="206" t="str">
        <f>IF(BI18&lt;&gt;"",IF(BH18="&lt;",IF(AND('Outfall 1 Limits'!$AM$120="Y",$CU$54&lt;&gt;"Y",BI18&lt;='Outfall 1 Limits'!$AL$120),0,(1*BI18)),BI18),"")</f>
        <v/>
      </c>
      <c r="DZ18" s="206" t="str">
        <f>IF(BK18&lt;&gt;"",IF(BJ18="&lt;",IF(AND('Outfall 1 Limits'!$AM$124="Y",$CV$54&lt;&gt;"Y",BK18&lt;='Outfall 1 Limits'!$AL$124),0,(1*BK18)),BK18),"")</f>
        <v/>
      </c>
      <c r="EA18" s="223" t="str">
        <f>IF(BM18&lt;&gt;"",IF(BL18="&lt;",IF(AND('Outfall 1 Limits'!$AM$128="Y",$CW$54&lt;&gt;"Y",BM18&lt;='Outfall 1 Limits'!$AL$128),0,(1*BM18)),BM18),"")</f>
        <v/>
      </c>
      <c r="EB18" s="209" t="s">
        <v>382</v>
      </c>
      <c r="EC18" s="228" t="str">
        <f t="shared" ref="EC18:FE18" si="121">IF(SUM(EC13:EC17)&gt;0,MAX(EC13:EC17),"")</f>
        <v/>
      </c>
      <c r="ED18" s="229" t="str">
        <f t="shared" si="121"/>
        <v/>
      </c>
      <c r="EE18" s="229" t="str">
        <f t="shared" si="121"/>
        <v/>
      </c>
      <c r="EF18" s="229" t="str">
        <f t="shared" si="121"/>
        <v/>
      </c>
      <c r="EG18" s="229" t="str">
        <f t="shared" si="121"/>
        <v/>
      </c>
      <c r="EH18" s="229" t="str">
        <f t="shared" si="121"/>
        <v/>
      </c>
      <c r="EI18" s="229" t="str">
        <f t="shared" si="121"/>
        <v/>
      </c>
      <c r="EJ18" s="229" t="str">
        <f t="shared" si="121"/>
        <v/>
      </c>
      <c r="EK18" s="229" t="str">
        <f t="shared" si="121"/>
        <v/>
      </c>
      <c r="EL18" s="229" t="str">
        <f t="shared" si="121"/>
        <v/>
      </c>
      <c r="EM18" s="229" t="str">
        <f t="shared" si="121"/>
        <v/>
      </c>
      <c r="EN18" s="229" t="str">
        <f t="shared" si="121"/>
        <v/>
      </c>
      <c r="EO18" s="229" t="str">
        <f t="shared" si="121"/>
        <v/>
      </c>
      <c r="EP18" s="229" t="str">
        <f t="shared" si="121"/>
        <v/>
      </c>
      <c r="EQ18" s="229" t="str">
        <f t="shared" si="121"/>
        <v/>
      </c>
      <c r="ER18" s="229" t="str">
        <f t="shared" si="121"/>
        <v/>
      </c>
      <c r="ES18" s="229" t="str">
        <f t="shared" si="121"/>
        <v/>
      </c>
      <c r="ET18" s="229" t="str">
        <f t="shared" si="121"/>
        <v/>
      </c>
      <c r="EU18" s="229" t="str">
        <f t="shared" si="121"/>
        <v/>
      </c>
      <c r="EV18" s="229" t="str">
        <f t="shared" si="121"/>
        <v/>
      </c>
      <c r="EW18" s="229" t="str">
        <f t="shared" si="121"/>
        <v/>
      </c>
      <c r="EX18" s="229" t="str">
        <f t="shared" si="121"/>
        <v/>
      </c>
      <c r="EY18" s="229" t="str">
        <f t="shared" si="121"/>
        <v/>
      </c>
      <c r="EZ18" s="229" t="str">
        <f t="shared" si="121"/>
        <v/>
      </c>
      <c r="FA18" s="229" t="str">
        <f t="shared" si="121"/>
        <v/>
      </c>
      <c r="FB18" s="229" t="str">
        <f t="shared" si="121"/>
        <v/>
      </c>
      <c r="FC18" s="229" t="str">
        <f t="shared" si="121"/>
        <v/>
      </c>
      <c r="FD18" s="229" t="str">
        <f t="shared" si="121"/>
        <v/>
      </c>
      <c r="FE18" s="230" t="str">
        <f t="shared" si="121"/>
        <v/>
      </c>
      <c r="FG18" s="212" t="str">
        <f>IF(AND($G18&lt;&gt;"",$G18&gt;0,'Outfall 1 Limits'!$AX$16="C1",I18&lt;&gt;""),I18*$G18*8.34,IF(AND($I18&lt;&gt;"",'Outfall 1 Limits'!$AX$16="L"),I18,""))</f>
        <v/>
      </c>
      <c r="FH18" s="206" t="str">
        <f>IF(AND($G18&lt;&gt;"",$G18&gt;0,'Outfall 1 Limits'!$AX$20="C1",$K18&lt;&gt;""),$K18*$G18*8.34,IF(AND($K18&lt;&gt;"",'Outfall 1 Limits'!$AX$20="L"),$K18,""))</f>
        <v/>
      </c>
      <c r="FI18" s="206" t="str">
        <f>IF(AND($G18&lt;&gt;"",$G18&gt;0,'Outfall 1 Limits'!$AX$24="C1",$M18&lt;&gt;""),$M18*$G18*8.34,IF(AND($M18&lt;&gt;"",'Outfall 1 Limits'!$AX$24="L"),$M18,""))</f>
        <v/>
      </c>
      <c r="FJ18" s="206" t="str">
        <f>IF(AND($G18&lt;&gt;"",$G18&gt;0,'Outfall 1 Limits'!$AX$28="C1",$O18&lt;&gt;""),$O18*$G18*8.34,IF(AND($O18&lt;&gt;"",'Outfall 1 Limits'!$AX$28="L"),$O18,""))</f>
        <v/>
      </c>
      <c r="FK18" s="206" t="str">
        <f>IF(AND($G18&lt;&gt;"",$G18&gt;0,'Outfall 1 Limits'!$AX$32="C1",$Q18&lt;&gt;""),$Q18*$G18*8.34,IF(AND($Q18&lt;&gt;"",'Outfall 1 Limits'!$AX$32="L"),$Q18,""))</f>
        <v/>
      </c>
      <c r="FL18" s="206" t="str">
        <f>IF(AND($G18&lt;&gt;"",$G18&gt;0,'Outfall 1 Limits'!$AX$36="C1",$S18&lt;&gt;""),$S18*$G18*8.34,IF(AND($S18&lt;&gt;"",'Outfall 1 Limits'!$AX$36="L"),$S18,""))</f>
        <v/>
      </c>
      <c r="FM18" s="206" t="str">
        <f>IF(AND($G18&lt;&gt;"",$G18&gt;0,'Outfall 1 Limits'!$AX$40="C1",$U18&lt;&gt;""),$U18*$G18*8.34,IF(AND($U18&lt;&gt;"",'Outfall 1 Limits'!$AX$40="L"),$U18,""))</f>
        <v/>
      </c>
      <c r="FN18" s="206" t="str">
        <f>IF(AND($G18&lt;&gt;"",$G18&gt;0,'Outfall 1 Limits'!$AX$44="C1",$W18&lt;&gt;""),$W18*$G18*8.34,IF(AND($W18&lt;&gt;"",'Outfall 1 Limits'!$AX$44="L"),$W18,""))</f>
        <v/>
      </c>
      <c r="FO18" s="206" t="str">
        <f>IF(AND($G18&lt;&gt;"",$G18&gt;0,'Outfall 1 Limits'!$AX$48="C1",$Y18&lt;&gt;""),$Y18*$G18*8.34,IF(AND($Y18&lt;&gt;"",'Outfall 1 Limits'!$AX$48="L"),$Y18,""))</f>
        <v/>
      </c>
      <c r="FP18" s="206" t="str">
        <f>IF(AND($G18&lt;&gt;"",$G18&gt;0,'Outfall 1 Limits'!$AX$52="C1",$AA18&lt;&gt;""),$AA18*$G18*8.34,IF(AND($AA18&lt;&gt;"",'Outfall 1 Limits'!$AX$52="L"),$AA18,""))</f>
        <v/>
      </c>
      <c r="FQ18" s="206" t="str">
        <f>IF(AND($G18&lt;&gt;"",$G18&gt;0,'Outfall 1 Limits'!$AX$56="C1",$AC18&lt;&gt;""),$AC18*$G18*8.34,IF(AND($AC18&lt;&gt;"",'Outfall 1 Limits'!$AX$56="L"),$AC18,""))</f>
        <v/>
      </c>
      <c r="FR18" s="206" t="str">
        <f>IF(AND($G18&lt;&gt;"",$G18&gt;0,'Outfall 1 Limits'!$AX$60="C1",$AE18&lt;&gt;""),$AE18*$G18*8.34,IF(AND($AE18&lt;&gt;"",'Outfall 1 Limits'!$AX$60="L"),$AE18,""))</f>
        <v/>
      </c>
      <c r="FS18" s="206" t="str">
        <f>IF(AND($G18&lt;&gt;"",$G18&gt;0,'Outfall 1 Limits'!$AX$64="C1",$AG18&lt;&gt;""),$AG18*$G18*8.34,IF(AND($AG18&lt;&gt;"",'Outfall 1 Limits'!$AX$64="L"),$AG18,""))</f>
        <v/>
      </c>
      <c r="FT18" s="206" t="str">
        <f>IF(AND($G18&lt;&gt;"",$G18&gt;0,'Outfall 1 Limits'!$AX$68="C1",$AI18&lt;&gt;""),$AI18*$G18*8.34,IF(AND($AI18&lt;&gt;"",'Outfall 1 Limits'!$AX$68="L"),$AI18,""))</f>
        <v/>
      </c>
      <c r="FU18" s="206" t="str">
        <f>IF(AND($G18&lt;&gt;"",$G18&gt;0,'Outfall 1 Limits'!$AX$72="C1",$AK18&lt;&gt;""),$AK18*$G18*8.34,IF(AND($AK18&lt;&gt;"",'Outfall 1 Limits'!$AX$72="L"),$AK18,""))</f>
        <v/>
      </c>
      <c r="FV18" s="206" t="str">
        <f>IF(AND($G18&lt;&gt;"",$G18&gt;0,'Outfall 1 Limits'!$AX$76="C1",$AM18&lt;&gt;""),$AM18*$G18*8.34,IF(AND($AM18&lt;&gt;"",'Outfall 1 Limits'!$AX$76="L"),$AM18,""))</f>
        <v/>
      </c>
      <c r="FW18" s="206" t="str">
        <f>IF(AND($G18&lt;&gt;"",$G18&gt;0,'Outfall 1 Limits'!$AX$80="C1",$AO18&lt;&gt;""),$AO18*$G18*8.34,IF(AND($AO18&lt;&gt;"",'Outfall 1 Limits'!$AX$80="L"),$AO18,""))</f>
        <v/>
      </c>
      <c r="FX18" s="206" t="str">
        <f>IF(AND($G18&lt;&gt;"",$G18&gt;0,'Outfall 1 Limits'!$AX$84="C1",$AQ18&lt;&gt;""),$AQ18*$G18*8.34,IF(AND($AQ18&lt;&gt;"",'Outfall 1 Limits'!$AX$84="L"),$AQ18,""))</f>
        <v/>
      </c>
      <c r="FY18" s="206" t="str">
        <f>IF(AND($G18&lt;&gt;"",$G18&gt;0,'Outfall 1 Limits'!$AX$88="C1",$AS18&lt;&gt;""),$AS18*$G18*8.34,IF(AND($AS18&lt;&gt;"",'Outfall 1 Limits'!$AX$88="L"),$AS18,""))</f>
        <v/>
      </c>
      <c r="FZ18" s="206" t="str">
        <f>IF(AND($G18&lt;&gt;"",$G18&gt;0,'Outfall 1 Limits'!$AX$92="C1",$AU18&lt;&gt;""),$AU18*$G18*8.34,IF(AND($AU18&lt;&gt;"",'Outfall 1 Limits'!$AX$92="L"),$AU18,""))</f>
        <v/>
      </c>
      <c r="GA18" s="206" t="str">
        <f>IF(AND($G18&lt;&gt;"",$G18&gt;0,'Outfall 1 Limits'!$AX$96="C1",$AW18&lt;&gt;""),$AW18*$G18*8.34,IF(AND($AW18&lt;&gt;"",'Outfall 1 Limits'!$AX$96="L"),$AW18,""))</f>
        <v/>
      </c>
      <c r="GB18" s="206" t="str">
        <f>IF(AND($G18&lt;&gt;"",$G18&gt;0,'Outfall 1 Limits'!$AX$100="C1",$AY18&lt;&gt;""),$AY18*$G18*8.34,IF(AND($AY18&lt;&gt;"",'Outfall 1 Limits'!$AX$100="L"),$AY18,""))</f>
        <v/>
      </c>
      <c r="GC18" s="206" t="str">
        <f>IF(AND($G18&lt;&gt;"",$G18&gt;0,'Outfall 1 Limits'!$AX$104="C1",$BA18&lt;&gt;""),$BA18*$G18*8.34,IF(AND($BA18&lt;&gt;"",'Outfall 1 Limits'!$AX$104="L"),$BA18,""))</f>
        <v/>
      </c>
      <c r="GD18" s="206" t="str">
        <f>IF(AND($G18&lt;&gt;"",$G18&gt;0,'Outfall 1 Limits'!$AX$108="C1",$BC18&lt;&gt;""),$BC18*$G18*8.34,IF(AND($BC18&lt;&gt;"",'Outfall 1 Limits'!$AX$108="L"),$BC18,""))</f>
        <v/>
      </c>
      <c r="GE18" s="206" t="str">
        <f>IF(AND($G18&lt;&gt;"",$G18&gt;0,'Outfall 1 Limits'!$AX$112="C1",$BE18&lt;&gt;""),$BE18*$G18*8.34,IF(AND($BE18&lt;&gt;"",'Outfall 1 Limits'!$AX$112="L"),$BE18,""))</f>
        <v/>
      </c>
      <c r="GF18" s="206" t="str">
        <f>IF(AND($G18&lt;&gt;"",$G18&gt;0,'Outfall 1 Limits'!$AX$116="C1",$BG18&lt;&gt;""),$BG18*$G18*8.34,IF(AND($BG18&lt;&gt;"",'Outfall 1 Limits'!$AX$116="L"),$BG18,""))</f>
        <v/>
      </c>
      <c r="GG18" s="206" t="str">
        <f>IF(AND($G18&lt;&gt;"",$G18&gt;0,'Outfall 1 Limits'!$AX$120="C1",$BI18&lt;&gt;""),$BI18*$G18*8.34,IF(AND($BI18&lt;&gt;"",'Outfall 1 Limits'!$AX$120="L"),$BI18,""))</f>
        <v/>
      </c>
      <c r="GH18" s="206" t="str">
        <f>IF(AND($G18&lt;&gt;"",$G18&gt;0,'Outfall 1 Limits'!$AX$124="C1",$BK18&lt;&gt;""),$BK18*$G18*8.34,IF(AND($BK18&lt;&gt;"",'Outfall 1 Limits'!$AX$124="L"),$BK18,""))</f>
        <v/>
      </c>
      <c r="GI18" s="223" t="str">
        <f>IF(AND($G18&lt;&gt;"",$G18&gt;0,'Outfall 1 Limits'!$AX$128="C1",$BM18&lt;&gt;""),$BM18*$G18*8.34,IF(AND($BM18&lt;&gt;"",'Outfall 1 Limits'!$AX$128="L"),$BM18,""))</f>
        <v/>
      </c>
      <c r="GJ18" s="177" t="str">
        <f t="shared" si="59"/>
        <v/>
      </c>
      <c r="GK18" s="212" t="str">
        <f>IF(AND($G18&lt;&gt;"",$G18&gt;0,'Outfall 1 Limits'!$AX$16="C1",CY18&lt;&gt;""),CY18*$G18*8.34,IF(AND(CY18&lt;&gt;"",'Outfall 1 Limits'!$AX$16="L"),CY18,""))</f>
        <v/>
      </c>
      <c r="GL18" s="206" t="str">
        <f>IF(AND($G18&lt;&gt;"",$G18&gt;0,'Outfall 1 Limits'!$AX$20="C1",CZ18&lt;&gt;""),CZ18*$G18*8.34,IF(AND(CZ18&lt;&gt;"",'Outfall 1 Limits'!$AX$20="L"),CZ18,""))</f>
        <v/>
      </c>
      <c r="GM18" s="206" t="str">
        <f>IF(AND($G18&lt;&gt;"",$G18&gt;0,'Outfall 1 Limits'!$AX$24="C1",DA18&lt;&gt;""),DA18*$G18*8.34,IF(AND(DA18&lt;&gt;"",'Outfall 1 Limits'!$AX$24="L"),DA18,""))</f>
        <v/>
      </c>
      <c r="GN18" s="206" t="str">
        <f>IF(AND($G18&lt;&gt;"",$G18&gt;0,'Outfall 1 Limits'!$AX$28="C1",DB18&lt;&gt;""),DB18*$G18*8.34,IF(AND(DB18&lt;&gt;"",'Outfall 1 Limits'!$AX$28="L"),DB18,""))</f>
        <v/>
      </c>
      <c r="GO18" s="206" t="str">
        <f>IF(AND($G18&lt;&gt;"",$G18&gt;0,'Outfall 1 Limits'!$AX$32="C1",DC18&lt;&gt;""),DC18*$G18*8.34,IF(AND(DC18&lt;&gt;"",'Outfall 1 Limits'!$AX$32="L"),DC18,""))</f>
        <v/>
      </c>
      <c r="GP18" s="206" t="str">
        <f>IF(AND($G18&lt;&gt;"",$G18&gt;0,'Outfall 1 Limits'!$AX$36="C1",DD18&lt;&gt;""),DD18*$G18*8.34,IF(AND(DD18&lt;&gt;"",'Outfall 1 Limits'!$AX$36="L"),DD18,""))</f>
        <v/>
      </c>
      <c r="GQ18" s="206" t="str">
        <f>IF(AND($G18&lt;&gt;"",$G18&gt;0,'Outfall 1 Limits'!$AX$40="C1",DE18&lt;&gt;""),DE18*$G18*8.34,IF(AND(DE18&lt;&gt;"",'Outfall 1 Limits'!$AX$40="L"),DE18,""))</f>
        <v/>
      </c>
      <c r="GR18" s="206" t="str">
        <f>IF(AND($G18&lt;&gt;"",$G18&gt;0,'Outfall 1 Limits'!$AX$44="C1",DF18&lt;&gt;""),DF18*$G18*8.34,IF(AND(DF18&lt;&gt;"",'Outfall 1 Limits'!$AX$44="L"),DF18,""))</f>
        <v/>
      </c>
      <c r="GS18" s="206" t="str">
        <f>IF(AND($G18&lt;&gt;"",$G18&gt;0,'Outfall 1 Limits'!$AX$48="C1",DG18&lt;&gt;""),DG18*$G18*8.34,IF(AND(DG18&lt;&gt;"",'Outfall 1 Limits'!$AX$48="L"),DG18,""))</f>
        <v/>
      </c>
      <c r="GT18" s="206" t="str">
        <f>IF(AND($G18&lt;&gt;"",$G18&gt;0,'Outfall 1 Limits'!$AX$52="C1",DH18&lt;&gt;""),DH18*$G18*8.34,IF(AND(DH18&lt;&gt;"",'Outfall 1 Limits'!$AX$52="L"),DH18,""))</f>
        <v/>
      </c>
      <c r="GU18" s="206" t="str">
        <f>IF(AND($G18&lt;&gt;"",$G18&gt;0,'Outfall 1 Limits'!$AX$56="C1",DI18&lt;&gt;""),DI18*$G18*8.34,IF(AND(DI18&lt;&gt;"",'Outfall 1 Limits'!$AX$56="L"),DI18,""))</f>
        <v/>
      </c>
      <c r="GV18" s="206" t="str">
        <f>IF(AND($G18&lt;&gt;"",$G18&gt;0,'Outfall 1 Limits'!$AX$60="C1",DJ18&lt;&gt;""),DJ18*$G18*8.34,IF(AND(DJ18&lt;&gt;"",'Outfall 1 Limits'!$AX$60="L"),DJ18,""))</f>
        <v/>
      </c>
      <c r="GW18" s="206" t="str">
        <f>IF(AND($G18&lt;&gt;"",$G18&gt;0,'Outfall 1 Limits'!$AX$64="C1",DK18&lt;&gt;""),DK18*$G18*8.34,IF(AND(DK18&lt;&gt;"",'Outfall 1 Limits'!$AX$64="L"),DK18,""))</f>
        <v/>
      </c>
      <c r="GX18" s="206" t="str">
        <f>IF(AND($G18&lt;&gt;"",$G18&gt;0,'Outfall 1 Limits'!$AX$68="C1",DL18&lt;&gt;""),DL18*$G18*8.34,IF(AND(DL18&lt;&gt;"",'Outfall 1 Limits'!$AX$68="L"),DL18,""))</f>
        <v/>
      </c>
      <c r="GY18" s="206" t="str">
        <f>IF(AND($G18&lt;&gt;"",$G18&gt;0,'Outfall 1 Limits'!$AX$72="C1",DM18&lt;&gt;""),DM18*$G18*8.34,IF(AND(DM18&lt;&gt;"",'Outfall 1 Limits'!$AX$72="L"),DM18,""))</f>
        <v/>
      </c>
      <c r="GZ18" s="206" t="str">
        <f>IF(AND($G18&lt;&gt;"",$G18&gt;0,'Outfall 1 Limits'!$AX$76="C1",DN18&lt;&gt;""),DN18*$G18*8.34,IF(AND(DN18&lt;&gt;"",'Outfall 1 Limits'!$AX$76="L"),DN18,""))</f>
        <v/>
      </c>
      <c r="HA18" s="206" t="str">
        <f>IF(AND($G18&lt;&gt;"",$G18&gt;0,'Outfall 1 Limits'!$AX$80="C1",DO18&lt;&gt;""),DO18*$G18*8.34,IF(AND(DO18&lt;&gt;"",'Outfall 1 Limits'!$AX$80="L"),DO18,""))</f>
        <v/>
      </c>
      <c r="HB18" s="206" t="str">
        <f>IF(AND($G18&lt;&gt;"",$G18&gt;0,'Outfall 1 Limits'!$AX$84="C1",DP18&lt;&gt;""),DP18*$G18*8.34,IF(AND(DP18&lt;&gt;"",'Outfall 1 Limits'!$AX$84="L"),DP18,""))</f>
        <v/>
      </c>
      <c r="HC18" s="206" t="str">
        <f>IF(AND($G18&lt;&gt;"",$G18&gt;0,'Outfall 1 Limits'!$AX$88="C1",DQ18&lt;&gt;""),DQ18*$G18*8.34,IF(AND(DQ18&lt;&gt;"",'Outfall 1 Limits'!$AX$88="L"),DQ18,""))</f>
        <v/>
      </c>
      <c r="HD18" s="206" t="str">
        <f>IF(AND($G18&lt;&gt;"",$G18&gt;0,'Outfall 1 Limits'!$AX$92="C1",DR18&lt;&gt;""),DR18*$G18*8.34,IF(AND(DR18&lt;&gt;"",'Outfall 1 Limits'!$AX$92="L"),DR18,""))</f>
        <v/>
      </c>
      <c r="HE18" s="206" t="str">
        <f>IF(AND($G18&lt;&gt;"",$G18&gt;0,'Outfall 1 Limits'!$AX$96="C1",DS18&lt;&gt;""),DS18*$G18*8.34,IF(AND(DS18&lt;&gt;"",'Outfall 1 Limits'!$AX$96="L"),DS18,""))</f>
        <v/>
      </c>
      <c r="HF18" s="206" t="str">
        <f>IF(AND($G18&lt;&gt;"",$G18&gt;0,'Outfall 1 Limits'!$AX$100="C1",DT18&lt;&gt;""),DT18*$G18*8.34,IF(AND(DT18&lt;&gt;"",'Outfall 1 Limits'!$AX$100="L"),DT18,""))</f>
        <v/>
      </c>
      <c r="HG18" s="206" t="str">
        <f>IF(AND($G18&lt;&gt;"",$G18&gt;0,'Outfall 1 Limits'!$AX$104="C1",DU18&lt;&gt;""),DU18*$G18*8.34,IF(AND(DU18&lt;&gt;"",'Outfall 1 Limits'!$AX$104="L"),DU18,""))</f>
        <v/>
      </c>
      <c r="HH18" s="206" t="str">
        <f>IF(AND($G18&lt;&gt;"",$G18&gt;0,'Outfall 1 Limits'!$AX$108="C1",DV18&lt;&gt;""),DV18*$G18*8.34,IF(AND(DV18&lt;&gt;"",'Outfall 1 Limits'!$AX$108="L"),DV18,""))</f>
        <v/>
      </c>
      <c r="HI18" s="206" t="str">
        <f>IF(AND($G18&lt;&gt;"",$G18&gt;0,'Outfall 1 Limits'!$AX$112="C1",DW18&lt;&gt;""),DW18*$G18*8.34,IF(AND(DW18&lt;&gt;"",'Outfall 1 Limits'!$AX$112="L"),DW18,""))</f>
        <v/>
      </c>
      <c r="HJ18" s="206" t="str">
        <f>IF(AND($G18&lt;&gt;"",$G18&gt;0,'Outfall 1 Limits'!$AX$116="C1",DX18&lt;&gt;""),DX18*$G18*8.34,IF(AND(DX18&lt;&gt;"",'Outfall 1 Limits'!$AX$116="L"),DX18,""))</f>
        <v/>
      </c>
      <c r="HK18" s="206" t="str">
        <f>IF(AND($G18&lt;&gt;"",$G18&gt;0,'Outfall 1 Limits'!$AX$120="C1",DY18&lt;&gt;""),DY18*$G18*8.34,IF(AND(DY18&lt;&gt;"",'Outfall 1 Limits'!$AX$120="L"),DY18,""))</f>
        <v/>
      </c>
      <c r="HL18" s="206" t="str">
        <f>IF(AND($G18&lt;&gt;"",$G18&gt;0,'Outfall 1 Limits'!$AX$124="C1",DZ18&lt;&gt;""),DZ18*$G18*8.34,IF(AND(DZ18&lt;&gt;"",'Outfall 1 Limits'!$AX$124="L"),DZ18,""))</f>
        <v/>
      </c>
      <c r="HM18" s="223" t="str">
        <f>IF(AND($G18&lt;&gt;"",$G18&gt;0,'Outfall 1 Limits'!$AX$128="C1",EA18&lt;&gt;""),EA18*$G18*8.34,IF(AND(EA18&lt;&gt;"",'Outfall 1 Limits'!$AX$128="L"),EA18,""))</f>
        <v/>
      </c>
      <c r="HO18" s="224" t="str">
        <f t="shared" si="60"/>
        <v/>
      </c>
      <c r="HS18" s="202" t="str">
        <f t="shared" si="61"/>
        <v/>
      </c>
      <c r="HT18" s="196" t="str">
        <f t="shared" si="62"/>
        <v/>
      </c>
      <c r="HU18" s="196" t="str">
        <f t="shared" si="63"/>
        <v/>
      </c>
      <c r="HV18" s="196" t="str">
        <f t="shared" si="64"/>
        <v/>
      </c>
      <c r="HW18" s="196" t="str">
        <f t="shared" si="65"/>
        <v/>
      </c>
      <c r="HX18" s="196" t="str">
        <f t="shared" si="66"/>
        <v/>
      </c>
      <c r="HY18" s="196" t="str">
        <f t="shared" si="67"/>
        <v/>
      </c>
      <c r="HZ18" s="196" t="str">
        <f t="shared" si="68"/>
        <v/>
      </c>
      <c r="IA18" s="196" t="str">
        <f t="shared" si="69"/>
        <v/>
      </c>
      <c r="IB18" s="196" t="str">
        <f t="shared" si="70"/>
        <v/>
      </c>
      <c r="IC18" s="196" t="str">
        <f t="shared" si="71"/>
        <v/>
      </c>
      <c r="ID18" s="196" t="str">
        <f t="shared" si="72"/>
        <v/>
      </c>
      <c r="IE18" s="196" t="str">
        <f t="shared" si="73"/>
        <v/>
      </c>
      <c r="IF18" s="196" t="str">
        <f t="shared" si="74"/>
        <v/>
      </c>
      <c r="IG18" s="196" t="str">
        <f t="shared" si="75"/>
        <v/>
      </c>
      <c r="IH18" s="196" t="str">
        <f t="shared" si="76"/>
        <v/>
      </c>
      <c r="II18" s="196" t="str">
        <f t="shared" si="77"/>
        <v/>
      </c>
      <c r="IJ18" s="196" t="str">
        <f t="shared" si="78"/>
        <v/>
      </c>
      <c r="IK18" s="196" t="str">
        <f t="shared" si="79"/>
        <v/>
      </c>
      <c r="IL18" s="196" t="str">
        <f t="shared" si="80"/>
        <v/>
      </c>
      <c r="IM18" s="196" t="str">
        <f t="shared" si="81"/>
        <v/>
      </c>
      <c r="IN18" s="196" t="str">
        <f t="shared" si="82"/>
        <v/>
      </c>
      <c r="IO18" s="196" t="str">
        <f t="shared" si="83"/>
        <v/>
      </c>
      <c r="IP18" s="196" t="str">
        <f t="shared" si="84"/>
        <v/>
      </c>
      <c r="IQ18" s="196" t="str">
        <f t="shared" si="85"/>
        <v/>
      </c>
      <c r="IR18" s="196" t="str">
        <f t="shared" si="86"/>
        <v/>
      </c>
      <c r="IS18" s="196" t="str">
        <f t="shared" si="87"/>
        <v/>
      </c>
      <c r="IT18" s="196" t="str">
        <f t="shared" si="88"/>
        <v/>
      </c>
      <c r="IU18" s="210" t="str">
        <f t="shared" si="89"/>
        <v/>
      </c>
      <c r="IX18" s="202" t="str">
        <f t="shared" si="90"/>
        <v/>
      </c>
      <c r="IY18" s="196" t="str">
        <f t="shared" si="91"/>
        <v/>
      </c>
      <c r="IZ18" s="196" t="str">
        <f t="shared" si="92"/>
        <v/>
      </c>
      <c r="JA18" s="196" t="str">
        <f t="shared" si="93"/>
        <v/>
      </c>
      <c r="JB18" s="196" t="str">
        <f t="shared" si="94"/>
        <v/>
      </c>
      <c r="JC18" s="196" t="str">
        <f t="shared" si="95"/>
        <v/>
      </c>
      <c r="JD18" s="196" t="str">
        <f t="shared" si="96"/>
        <v/>
      </c>
      <c r="JE18" s="196" t="str">
        <f t="shared" si="97"/>
        <v/>
      </c>
      <c r="JF18" s="196" t="str">
        <f t="shared" si="98"/>
        <v/>
      </c>
      <c r="JG18" s="196" t="str">
        <f t="shared" si="99"/>
        <v/>
      </c>
      <c r="JH18" s="196" t="str">
        <f t="shared" si="100"/>
        <v/>
      </c>
      <c r="JI18" s="196" t="str">
        <f t="shared" si="101"/>
        <v/>
      </c>
      <c r="JJ18" s="196" t="str">
        <f t="shared" si="102"/>
        <v/>
      </c>
      <c r="JK18" s="196" t="str">
        <f t="shared" si="103"/>
        <v/>
      </c>
      <c r="JL18" s="196" t="str">
        <f t="shared" si="104"/>
        <v/>
      </c>
      <c r="JM18" s="196" t="str">
        <f t="shared" si="105"/>
        <v/>
      </c>
      <c r="JN18" s="196" t="str">
        <f t="shared" si="106"/>
        <v/>
      </c>
      <c r="JO18" s="196" t="str">
        <f t="shared" si="107"/>
        <v/>
      </c>
      <c r="JP18" s="196" t="str">
        <f t="shared" si="108"/>
        <v/>
      </c>
      <c r="JQ18" s="196" t="str">
        <f t="shared" si="109"/>
        <v/>
      </c>
      <c r="JR18" s="196" t="str">
        <f t="shared" si="110"/>
        <v/>
      </c>
      <c r="JS18" s="196" t="str">
        <f t="shared" si="111"/>
        <v/>
      </c>
      <c r="JT18" s="196" t="str">
        <f t="shared" si="112"/>
        <v/>
      </c>
      <c r="JU18" s="196" t="str">
        <f t="shared" si="113"/>
        <v/>
      </c>
      <c r="JV18" s="196" t="str">
        <f t="shared" si="114"/>
        <v/>
      </c>
      <c r="JW18" s="196" t="str">
        <f t="shared" si="115"/>
        <v/>
      </c>
      <c r="JX18" s="196" t="str">
        <f t="shared" si="116"/>
        <v/>
      </c>
      <c r="JY18" s="196" t="str">
        <f t="shared" si="117"/>
        <v/>
      </c>
      <c r="JZ18" s="210" t="str">
        <f t="shared" si="118"/>
        <v/>
      </c>
      <c r="KA18" s="196"/>
      <c r="KB18" s="176"/>
      <c r="KC18" s="227"/>
      <c r="KD18" s="218" t="str">
        <f t="shared" si="2"/>
        <v/>
      </c>
      <c r="KE18" s="196" t="str">
        <f t="shared" si="3"/>
        <v/>
      </c>
      <c r="KF18" s="196" t="str">
        <f t="shared" si="4"/>
        <v/>
      </c>
      <c r="KG18" s="196" t="str">
        <f t="shared" si="5"/>
        <v/>
      </c>
      <c r="KH18" s="196" t="str">
        <f t="shared" si="6"/>
        <v/>
      </c>
      <c r="KI18" s="196" t="str">
        <f t="shared" si="7"/>
        <v/>
      </c>
      <c r="KJ18" s="196" t="str">
        <f t="shared" si="8"/>
        <v/>
      </c>
      <c r="KK18" s="196" t="str">
        <f t="shared" si="9"/>
        <v/>
      </c>
      <c r="KL18" s="196" t="str">
        <f t="shared" si="10"/>
        <v/>
      </c>
      <c r="KM18" s="196" t="str">
        <f t="shared" si="11"/>
        <v/>
      </c>
      <c r="KN18" s="196" t="str">
        <f t="shared" si="12"/>
        <v/>
      </c>
      <c r="KO18" s="196" t="str">
        <f t="shared" si="13"/>
        <v/>
      </c>
      <c r="KP18" s="196" t="str">
        <f t="shared" si="14"/>
        <v/>
      </c>
      <c r="KQ18" s="196" t="str">
        <f t="shared" si="15"/>
        <v/>
      </c>
      <c r="KR18" s="196" t="str">
        <f t="shared" si="16"/>
        <v/>
      </c>
      <c r="KS18" s="196" t="str">
        <f t="shared" si="17"/>
        <v/>
      </c>
      <c r="KT18" s="196" t="str">
        <f t="shared" si="18"/>
        <v/>
      </c>
      <c r="KU18" s="196" t="str">
        <f t="shared" si="19"/>
        <v/>
      </c>
      <c r="KV18" s="196" t="str">
        <f t="shared" si="20"/>
        <v/>
      </c>
      <c r="KW18" s="196" t="str">
        <f t="shared" si="21"/>
        <v/>
      </c>
      <c r="KX18" s="196" t="str">
        <f t="shared" si="22"/>
        <v/>
      </c>
      <c r="KY18" s="196" t="str">
        <f t="shared" si="23"/>
        <v/>
      </c>
      <c r="KZ18" s="196" t="str">
        <f t="shared" si="24"/>
        <v/>
      </c>
      <c r="LA18" s="196" t="str">
        <f t="shared" si="25"/>
        <v/>
      </c>
      <c r="LB18" s="196" t="str">
        <f t="shared" si="26"/>
        <v/>
      </c>
      <c r="LC18" s="196" t="str">
        <f t="shared" si="27"/>
        <v/>
      </c>
      <c r="LD18" s="196" t="str">
        <f t="shared" si="28"/>
        <v/>
      </c>
      <c r="LE18" s="196" t="str">
        <f t="shared" si="29"/>
        <v/>
      </c>
      <c r="LF18" s="226" t="str">
        <f t="shared" si="30"/>
        <v/>
      </c>
    </row>
    <row r="19" spans="1:318" s="172" customFormat="1" ht="11.45" customHeight="1" x14ac:dyDescent="0.2">
      <c r="A19" s="35"/>
      <c r="B19" s="54"/>
      <c r="C19" s="438">
        <f t="shared" si="0"/>
        <v>45293</v>
      </c>
      <c r="D19" s="438"/>
      <c r="E19" s="430">
        <f t="shared" si="119"/>
        <v>45293</v>
      </c>
      <c r="F19" s="431"/>
      <c r="G19" s="26"/>
      <c r="H19" s="51"/>
      <c r="I19" s="50"/>
      <c r="J19" s="51"/>
      <c r="K19" s="50"/>
      <c r="L19" s="51"/>
      <c r="M19" s="50"/>
      <c r="N19" s="51"/>
      <c r="O19" s="50"/>
      <c r="P19" s="51"/>
      <c r="Q19" s="50"/>
      <c r="R19" s="51"/>
      <c r="S19" s="50"/>
      <c r="T19" s="51"/>
      <c r="U19" s="50"/>
      <c r="V19" s="51"/>
      <c r="W19" s="50"/>
      <c r="X19" s="276"/>
      <c r="Y19" s="50"/>
      <c r="Z19" s="51"/>
      <c r="AA19" s="50"/>
      <c r="AB19" s="51"/>
      <c r="AC19" s="50"/>
      <c r="AD19" s="51"/>
      <c r="AE19" s="50"/>
      <c r="AF19" s="51"/>
      <c r="AG19" s="50"/>
      <c r="AH19" s="51"/>
      <c r="AI19" s="50"/>
      <c r="AJ19" s="51"/>
      <c r="AK19" s="50"/>
      <c r="AL19" s="51"/>
      <c r="AM19" s="50"/>
      <c r="AN19" s="51"/>
      <c r="AO19" s="50"/>
      <c r="AP19" s="51"/>
      <c r="AQ19" s="50"/>
      <c r="AR19" s="51"/>
      <c r="AS19" s="50"/>
      <c r="AT19" s="51"/>
      <c r="AU19" s="50"/>
      <c r="AV19" s="51"/>
      <c r="AW19" s="50"/>
      <c r="AX19" s="51"/>
      <c r="AY19" s="50"/>
      <c r="AZ19" s="51"/>
      <c r="BA19" s="50"/>
      <c r="BB19" s="51"/>
      <c r="BC19" s="50"/>
      <c r="BD19" s="51"/>
      <c r="BE19" s="50"/>
      <c r="BF19" s="51"/>
      <c r="BG19" s="50"/>
      <c r="BH19" s="51"/>
      <c r="BI19" s="50"/>
      <c r="BJ19" s="51"/>
      <c r="BK19" s="50"/>
      <c r="BL19" s="51"/>
      <c r="BM19" s="109"/>
      <c r="BO19" s="174"/>
      <c r="BP19" s="174">
        <v>2038</v>
      </c>
      <c r="BQ19" s="179" t="s">
        <v>34</v>
      </c>
      <c r="BR19" s="174"/>
      <c r="BS19" s="174" t="s">
        <v>1106</v>
      </c>
      <c r="BU19" s="202" t="str">
        <f t="shared" si="31"/>
        <v/>
      </c>
      <c r="BV19" s="196" t="str">
        <f t="shared" si="32"/>
        <v/>
      </c>
      <c r="BW19" s="196" t="str">
        <f t="shared" si="33"/>
        <v/>
      </c>
      <c r="BX19" s="196" t="str">
        <f t="shared" si="34"/>
        <v/>
      </c>
      <c r="BY19" s="196" t="str">
        <f t="shared" si="35"/>
        <v/>
      </c>
      <c r="BZ19" s="196" t="str">
        <f t="shared" si="36"/>
        <v/>
      </c>
      <c r="CA19" s="196" t="str">
        <f t="shared" si="37"/>
        <v/>
      </c>
      <c r="CB19" s="196" t="str">
        <f t="shared" si="38"/>
        <v/>
      </c>
      <c r="CC19" s="196" t="str">
        <f t="shared" si="39"/>
        <v/>
      </c>
      <c r="CD19" s="196" t="str">
        <f t="shared" si="40"/>
        <v/>
      </c>
      <c r="CE19" s="196" t="str">
        <f t="shared" si="41"/>
        <v/>
      </c>
      <c r="CF19" s="196" t="str">
        <f t="shared" si="42"/>
        <v/>
      </c>
      <c r="CG19" s="196" t="str">
        <f t="shared" si="43"/>
        <v/>
      </c>
      <c r="CH19" s="196" t="str">
        <f t="shared" si="44"/>
        <v/>
      </c>
      <c r="CI19" s="196" t="str">
        <f t="shared" si="45"/>
        <v/>
      </c>
      <c r="CJ19" s="196" t="str">
        <f t="shared" si="46"/>
        <v/>
      </c>
      <c r="CK19" s="196" t="str">
        <f t="shared" si="47"/>
        <v/>
      </c>
      <c r="CL19" s="196" t="str">
        <f t="shared" si="48"/>
        <v/>
      </c>
      <c r="CM19" s="196" t="str">
        <f t="shared" si="120"/>
        <v/>
      </c>
      <c r="CN19" s="196" t="str">
        <f t="shared" si="49"/>
        <v/>
      </c>
      <c r="CO19" s="196" t="str">
        <f t="shared" si="50"/>
        <v/>
      </c>
      <c r="CP19" s="196" t="str">
        <f t="shared" si="51"/>
        <v/>
      </c>
      <c r="CQ19" s="196" t="str">
        <f t="shared" si="52"/>
        <v/>
      </c>
      <c r="CR19" s="196" t="str">
        <f t="shared" si="53"/>
        <v/>
      </c>
      <c r="CS19" s="196" t="str">
        <f t="shared" si="54"/>
        <v/>
      </c>
      <c r="CT19" s="196" t="str">
        <f t="shared" si="55"/>
        <v/>
      </c>
      <c r="CU19" s="196" t="str">
        <f t="shared" si="56"/>
        <v/>
      </c>
      <c r="CV19" s="196" t="str">
        <f t="shared" si="57"/>
        <v/>
      </c>
      <c r="CW19" s="210" t="str">
        <f t="shared" si="58"/>
        <v/>
      </c>
      <c r="CY19" s="212" t="str">
        <f>IF(I19&lt;&gt;"",IF(H19="&lt;",IF(AND('Outfall 1 Limits'!$AM$16="Y",$BU$54&lt;&gt;"Y",I19&lt;='Outfall 1 Limits'!$AL$16),0,(1*I19)),I19),"")</f>
        <v/>
      </c>
      <c r="CZ19" s="206" t="str">
        <f>IF(K19&lt;&gt;"",IF(J19="&lt;",IF(AND('Outfall 1 Limits'!$AM$20="Y",$BV$54&lt;&gt;"Y",K19&lt;='Outfall 1 Limits'!$AL$20),0,(1*K19)),K19),"")</f>
        <v/>
      </c>
      <c r="DA19" s="206" t="str">
        <f>IF(M19&lt;&gt;"",IF(L19="&lt;",IF(AND('Outfall 1 Limits'!$AM$24="Y",$BW$54&lt;&gt;"Y",M19&lt;='Outfall 1 Limits'!$AL$24),0,(1*M19)),M19),"")</f>
        <v/>
      </c>
      <c r="DB19" s="206" t="str">
        <f>IF(O19&lt;&gt;"",IF(N19="&lt;",IF(AND('Outfall 1 Limits'!$AM$28="Y",$BX$54&lt;&gt;"Y",O19&lt;='Outfall 1 Limits'!$AL$28),0,(1*O19)),O19),"")</f>
        <v/>
      </c>
      <c r="DC19" s="206" t="str">
        <f>IF(Q19&lt;&gt;"",IF(P19="&lt;",IF(AND('Outfall 1 Limits'!$AM$32="Y",$BY$54&lt;&gt;"Y",Q19&lt;='Outfall 1 Limits'!$AL$32),0,(1*Q19)),Q19),"")</f>
        <v/>
      </c>
      <c r="DD19" s="206" t="str">
        <f>IF(S19&lt;&gt;"",IF(R19="&lt;",IF(AND('Outfall 1 Limits'!$AM$36="Y",$BZ$54&lt;&gt;"Y",S19&lt;='Outfall 1 Limits'!$AL$36),0,(1*S19)),S19),"")</f>
        <v/>
      </c>
      <c r="DE19" s="206" t="str">
        <f>IF(U19&lt;&gt;"",IF(T19="&lt;",IF(AND('Outfall 1 Limits'!$AM$40="Y",$CA$54&lt;&gt;"Y",U19&lt;='Outfall 1 Limits'!$AL$40),0,(1*U19)),U19),"")</f>
        <v/>
      </c>
      <c r="DF19" s="206" t="str">
        <f>IF(W19&lt;&gt;"",IF(V19="&lt;",IF(AND('Outfall 1 Limits'!$AM$44="Y",$CB$54&lt;&gt;"Y",W19&lt;='Outfall 1 Limits'!$AL$44),0,(1*W19)),W19),"")</f>
        <v/>
      </c>
      <c r="DG19" s="206" t="str">
        <f>IF(Y19&lt;&gt;"",IF(X19="&lt;",IF(AND('Outfall 1 Limits'!$AM$48="Y",$CC$54&lt;&gt;"Y",Y19&lt;='Outfall 1 Limits'!$AL$48),0,(1*Y19)),Y19),"")</f>
        <v/>
      </c>
      <c r="DH19" s="206" t="str">
        <f>IF(AA19&lt;&gt;"",IF(Z19="&lt;",IF(AND('Outfall 1 Limits'!$AM$52="Y",$CD$54&lt;&gt;"Y",AA19&lt;='Outfall 1 Limits'!$AL$52),0,(1*AA19)),AA19),"")</f>
        <v/>
      </c>
      <c r="DI19" s="206" t="str">
        <f>IF(AC19&lt;&gt;"",IF(AB19="&lt;",IF(AND('Outfall 1 Limits'!$AM$56="Y",$CE$54&lt;&gt;"Y",AC19&lt;='Outfall 1 Limits'!$AL$56),0,(1*AC19)),AC19),"")</f>
        <v/>
      </c>
      <c r="DJ19" s="206" t="str">
        <f>IF(AE19&lt;&gt;"",IF(AD19="&lt;",IF(AND('Outfall 1 Limits'!$AM$60="Y",$CF$54&lt;&gt;"Y",AE19&lt;='Outfall 1 Limits'!$AL$60),0,(1*AE19)),AE19),"")</f>
        <v/>
      </c>
      <c r="DK19" s="206" t="str">
        <f>IF(AG19&lt;&gt;"",IF(AF19="&lt;",IF(AND('Outfall 1 Limits'!$AM$64="Y",$CG$54&lt;&gt;"Y",AG19&lt;='Outfall 1 Limits'!$AL$64),0,(1*AG19)),AG19),"")</f>
        <v/>
      </c>
      <c r="DL19" s="206" t="str">
        <f>IF(AI19&lt;&gt;"",IF(AH19="&lt;",IF(AND('Outfall 1 Limits'!$AM$68="Y",$CH$54&lt;&gt;"Y",AI19&lt;='Outfall 1 Limits'!$AL$68),0,(1*AI19)),AI19),"")</f>
        <v/>
      </c>
      <c r="DM19" s="206" t="str">
        <f>IF(AK19&lt;&gt;"",IF(AJ19="&lt;",IF(AND('Outfall 1 Limits'!$AM$72="Y",$CI$54&lt;&gt;"Y",AK19&lt;='Outfall 1 Limits'!$AL$72),0,(1*AK19)),AK19),"")</f>
        <v/>
      </c>
      <c r="DN19" s="206" t="str">
        <f>IF(AM19&lt;&gt;"",IF(AL19="&lt;",IF(AND('Outfall 1 Limits'!$AM$76="Y",$CJ$54&lt;&gt;"Y",AM19&lt;='Outfall 1 Limits'!$AL$76),0,(1*AM19)),AM19),"")</f>
        <v/>
      </c>
      <c r="DO19" s="206" t="str">
        <f>IF(AO19&lt;&gt;"",IF(AN19="&lt;",IF(AND('Outfall 1 Limits'!$AM$80="Y",$CK$54&lt;&gt;"Y",AO19&lt;='Outfall 1 Limits'!$AL$80),0,(1*AO19)),AO19),"")</f>
        <v/>
      </c>
      <c r="DP19" s="206" t="str">
        <f>IF(AQ19&lt;&gt;"",IF(AP19="&lt;",IF(AND('Outfall 1 Limits'!$AM$84="Y",$CL$54&lt;&gt;"Y",AQ19&lt;='Outfall 1 Limits'!$AL$84),0,(1*AQ19)),AQ19),"")</f>
        <v/>
      </c>
      <c r="DQ19" s="206" t="str">
        <f>IF(AS19&lt;&gt;"",IF(AR19="&lt;",IF(AND('Outfall 1 Limits'!$AM$88="Y",$CM$54&lt;&gt;"Y",AS19&lt;='Outfall 1 Limits'!$AL$88),0,(1*AS19)),AS19),"")</f>
        <v/>
      </c>
      <c r="DR19" s="206" t="str">
        <f>IF(AU19&lt;&gt;"",IF(AT19="&lt;",IF(AND('Outfall 1 Limits'!$AM$92="Y",$CN$54&lt;&gt;"Y",AU19&lt;='Outfall 1 Limits'!$AL$92),0,(1*AU19)),AU19),"")</f>
        <v/>
      </c>
      <c r="DS19" s="206" t="str">
        <f>IF(AW19&lt;&gt;"",IF(AV19="&lt;",IF(AND('Outfall 1 Limits'!$AM$96="Y",$CO$54&lt;&gt;"Y",AW19&lt;='Outfall 1 Limits'!$AL$96),0,(1*AW19)),AW19),"")</f>
        <v/>
      </c>
      <c r="DT19" s="206" t="str">
        <f>IF(AY19&lt;&gt;"",IF(AX19="&lt;",IF(AND('Outfall 1 Limits'!$AM$100="Y",$CP$54&lt;&gt;"Y",AY19&lt;='Outfall 1 Limits'!$AL$100),0,(1*AY19)),AY19),"")</f>
        <v/>
      </c>
      <c r="DU19" s="206" t="str">
        <f>IF(BA19&lt;&gt;"",IF(AZ19="&lt;",IF(AND('Outfall 1 Limits'!$AM$104="Y",$CQ$54&lt;&gt;"Y",BA19&lt;='Outfall 1 Limits'!$AL$104),0,(1*BA19)),BA19),"")</f>
        <v/>
      </c>
      <c r="DV19" s="206" t="str">
        <f>IF(BC19&lt;&gt;"",IF(BB19="&lt;",IF(AND('Outfall 1 Limits'!$AM$108="Y",$CR$54&lt;&gt;"Y",BC19&lt;='Outfall 1 Limits'!$AL$108),0,(1*BC19)),BC19),"")</f>
        <v/>
      </c>
      <c r="DW19" s="206" t="str">
        <f>IF(BE19&lt;&gt;"",IF(BD19="&lt;",IF(AND('Outfall 1 Limits'!$AM$112="Y",$CS$54&lt;&gt;"Y",BE19&lt;='Outfall 1 Limits'!$AL$112),0,(1*BE19)),BE19),"")</f>
        <v/>
      </c>
      <c r="DX19" s="206" t="str">
        <f>IF(BG19&lt;&gt;"",IF(BF19="&lt;",IF(AND('Outfall 1 Limits'!$AM$116="Y",$CT$54&lt;&gt;"Y",BG19&lt;='Outfall 1 Limits'!$AL$116),0,(1*BG19)),BG19),"")</f>
        <v/>
      </c>
      <c r="DY19" s="206" t="str">
        <f>IF(BI19&lt;&gt;"",IF(BH19="&lt;",IF(AND('Outfall 1 Limits'!$AM$120="Y",$CU$54&lt;&gt;"Y",BI19&lt;='Outfall 1 Limits'!$AL$120),0,(1*BI19)),BI19),"")</f>
        <v/>
      </c>
      <c r="DZ19" s="206" t="str">
        <f>IF(BK19&lt;&gt;"",IF(BJ19="&lt;",IF(AND('Outfall 1 Limits'!$AM$124="Y",$CV$54&lt;&gt;"Y",BK19&lt;='Outfall 1 Limits'!$AL$124),0,(1*BK19)),BK19),"")</f>
        <v/>
      </c>
      <c r="EA19" s="223" t="str">
        <f>IF(BM19&lt;&gt;"",IF(BL19="&lt;",IF(AND('Outfall 1 Limits'!$AM$128="Y",$CW$54&lt;&gt;"Y",BM19&lt;='Outfall 1 Limits'!$AL$128),0,(1*BM19)),BM19),"")</f>
        <v/>
      </c>
      <c r="EB19" s="209"/>
      <c r="EC19" s="202" t="str">
        <f>IF(W22&lt;&gt;"",IF(V22="&lt;",1,0.99),"")</f>
        <v/>
      </c>
      <c r="ED19" s="196" t="str">
        <f>IF(X22&lt;&gt;"",IF(W22="&lt;",1,0.99),"")</f>
        <v/>
      </c>
      <c r="EE19" s="196" t="str">
        <f t="shared" ref="EE19:FE19" si="122">IF(Y22&lt;&gt;"",IF(X22="&lt;",1,0.99),"")</f>
        <v/>
      </c>
      <c r="EF19" s="196" t="str">
        <f t="shared" si="122"/>
        <v/>
      </c>
      <c r="EG19" s="196" t="str">
        <f t="shared" si="122"/>
        <v/>
      </c>
      <c r="EH19" s="196" t="str">
        <f t="shared" si="122"/>
        <v/>
      </c>
      <c r="EI19" s="196" t="str">
        <f t="shared" si="122"/>
        <v/>
      </c>
      <c r="EJ19" s="196" t="str">
        <f t="shared" si="122"/>
        <v/>
      </c>
      <c r="EK19" s="196" t="str">
        <f t="shared" si="122"/>
        <v/>
      </c>
      <c r="EL19" s="196" t="str">
        <f t="shared" si="122"/>
        <v/>
      </c>
      <c r="EM19" s="196" t="str">
        <f t="shared" si="122"/>
        <v/>
      </c>
      <c r="EN19" s="196" t="str">
        <f t="shared" si="122"/>
        <v/>
      </c>
      <c r="EO19" s="196" t="str">
        <f t="shared" si="122"/>
        <v/>
      </c>
      <c r="EP19" s="196" t="str">
        <f t="shared" si="122"/>
        <v/>
      </c>
      <c r="EQ19" s="196" t="str">
        <f t="shared" si="122"/>
        <v/>
      </c>
      <c r="ER19" s="196" t="str">
        <f t="shared" si="122"/>
        <v/>
      </c>
      <c r="ES19" s="196" t="str">
        <f t="shared" si="122"/>
        <v/>
      </c>
      <c r="ET19" s="196" t="str">
        <f t="shared" si="122"/>
        <v/>
      </c>
      <c r="EU19" s="196" t="str">
        <f t="shared" si="122"/>
        <v/>
      </c>
      <c r="EV19" s="196" t="str">
        <f t="shared" si="122"/>
        <v/>
      </c>
      <c r="EW19" s="196" t="str">
        <f t="shared" si="122"/>
        <v/>
      </c>
      <c r="EX19" s="196" t="str">
        <f t="shared" si="122"/>
        <v/>
      </c>
      <c r="EY19" s="196" t="str">
        <f t="shared" si="122"/>
        <v/>
      </c>
      <c r="EZ19" s="196" t="str">
        <f t="shared" si="122"/>
        <v/>
      </c>
      <c r="FA19" s="196" t="str">
        <f t="shared" si="122"/>
        <v/>
      </c>
      <c r="FB19" s="196" t="str">
        <f t="shared" si="122"/>
        <v/>
      </c>
      <c r="FC19" s="196" t="str">
        <f t="shared" si="122"/>
        <v/>
      </c>
      <c r="FD19" s="196" t="str">
        <f t="shared" si="122"/>
        <v/>
      </c>
      <c r="FE19" s="210" t="str">
        <f t="shared" si="122"/>
        <v/>
      </c>
      <c r="FG19" s="212" t="str">
        <f>IF(AND($G19&lt;&gt;"",$G19&gt;0,'Outfall 1 Limits'!$AX$16="C1",I19&lt;&gt;""),I19*$G19*8.34,IF(AND($I19&lt;&gt;"",'Outfall 1 Limits'!$AX$16="L"),I19,""))</f>
        <v/>
      </c>
      <c r="FH19" s="206" t="str">
        <f>IF(AND($G19&lt;&gt;"",$G19&gt;0,'Outfall 1 Limits'!$AX$20="C1",$K19&lt;&gt;""),$K19*$G19*8.34,IF(AND($K19&lt;&gt;"",'Outfall 1 Limits'!$AX$20="L"),$K19,""))</f>
        <v/>
      </c>
      <c r="FI19" s="206" t="str">
        <f>IF(AND($G19&lt;&gt;"",$G19&gt;0,'Outfall 1 Limits'!$AX$24="C1",$M19&lt;&gt;""),$M19*$G19*8.34,IF(AND($M19&lt;&gt;"",'Outfall 1 Limits'!$AX$24="L"),$M19,""))</f>
        <v/>
      </c>
      <c r="FJ19" s="206" t="str">
        <f>IF(AND($G19&lt;&gt;"",$G19&gt;0,'Outfall 1 Limits'!$AX$28="C1",$O19&lt;&gt;""),$O19*$G19*8.34,IF(AND($O19&lt;&gt;"",'Outfall 1 Limits'!$AX$28="L"),$O19,""))</f>
        <v/>
      </c>
      <c r="FK19" s="206" t="str">
        <f>IF(AND($G19&lt;&gt;"",$G19&gt;0,'Outfall 1 Limits'!$AX$32="C1",$Q19&lt;&gt;""),$Q19*$G19*8.34,IF(AND($Q19&lt;&gt;"",'Outfall 1 Limits'!$AX$32="L"),$Q19,""))</f>
        <v/>
      </c>
      <c r="FL19" s="206" t="str">
        <f>IF(AND($G19&lt;&gt;"",$G19&gt;0,'Outfall 1 Limits'!$AX$36="C1",$S19&lt;&gt;""),$S19*$G19*8.34,IF(AND($S19&lt;&gt;"",'Outfall 1 Limits'!$AX$36="L"),$S19,""))</f>
        <v/>
      </c>
      <c r="FM19" s="206" t="str">
        <f>IF(AND($G19&lt;&gt;"",$G19&gt;0,'Outfall 1 Limits'!$AX$40="C1",$U19&lt;&gt;""),$U19*$G19*8.34,IF(AND($U19&lt;&gt;"",'Outfall 1 Limits'!$AX$40="L"),$U19,""))</f>
        <v/>
      </c>
      <c r="FN19" s="206" t="str">
        <f>IF(AND($G19&lt;&gt;"",$G19&gt;0,'Outfall 1 Limits'!$AX$44="C1",$W19&lt;&gt;""),$W19*$G19*8.34,IF(AND($W19&lt;&gt;"",'Outfall 1 Limits'!$AX$44="L"),$W19,""))</f>
        <v/>
      </c>
      <c r="FO19" s="206" t="str">
        <f>IF(AND($G19&lt;&gt;"",$G19&gt;0,'Outfall 1 Limits'!$AX$48="C1",$Y19&lt;&gt;""),$Y19*$G19*8.34,IF(AND($Y19&lt;&gt;"",'Outfall 1 Limits'!$AX$48="L"),$Y19,""))</f>
        <v/>
      </c>
      <c r="FP19" s="206" t="str">
        <f>IF(AND($G19&lt;&gt;"",$G19&gt;0,'Outfall 1 Limits'!$AX$52="C1",$AA19&lt;&gt;""),$AA19*$G19*8.34,IF(AND($AA19&lt;&gt;"",'Outfall 1 Limits'!$AX$52="L"),$AA19,""))</f>
        <v/>
      </c>
      <c r="FQ19" s="206" t="str">
        <f>IF(AND($G19&lt;&gt;"",$G19&gt;0,'Outfall 1 Limits'!$AX$56="C1",$AC19&lt;&gt;""),$AC19*$G19*8.34,IF(AND($AC19&lt;&gt;"",'Outfall 1 Limits'!$AX$56="L"),$AC19,""))</f>
        <v/>
      </c>
      <c r="FR19" s="206" t="str">
        <f>IF(AND($G19&lt;&gt;"",$G19&gt;0,'Outfall 1 Limits'!$AX$60="C1",$AE19&lt;&gt;""),$AE19*$G19*8.34,IF(AND($AE19&lt;&gt;"",'Outfall 1 Limits'!$AX$60="L"),$AE19,""))</f>
        <v/>
      </c>
      <c r="FS19" s="206" t="str">
        <f>IF(AND($G19&lt;&gt;"",$G19&gt;0,'Outfall 1 Limits'!$AX$64="C1",$AG19&lt;&gt;""),$AG19*$G19*8.34,IF(AND($AG19&lt;&gt;"",'Outfall 1 Limits'!$AX$64="L"),$AG19,""))</f>
        <v/>
      </c>
      <c r="FT19" s="206" t="str">
        <f>IF(AND($G19&lt;&gt;"",$G19&gt;0,'Outfall 1 Limits'!$AX$68="C1",$AI19&lt;&gt;""),$AI19*$G19*8.34,IF(AND($AI19&lt;&gt;"",'Outfall 1 Limits'!$AX$68="L"),$AI19,""))</f>
        <v/>
      </c>
      <c r="FU19" s="206" t="str">
        <f>IF(AND($G19&lt;&gt;"",$G19&gt;0,'Outfall 1 Limits'!$AX$72="C1",$AK19&lt;&gt;""),$AK19*$G19*8.34,IF(AND($AK19&lt;&gt;"",'Outfall 1 Limits'!$AX$72="L"),$AK19,""))</f>
        <v/>
      </c>
      <c r="FV19" s="206" t="str">
        <f>IF(AND($G19&lt;&gt;"",$G19&gt;0,'Outfall 1 Limits'!$AX$76="C1",$AM19&lt;&gt;""),$AM19*$G19*8.34,IF(AND($AM19&lt;&gt;"",'Outfall 1 Limits'!$AX$76="L"),$AM19,""))</f>
        <v/>
      </c>
      <c r="FW19" s="206" t="str">
        <f>IF(AND($G19&lt;&gt;"",$G19&gt;0,'Outfall 1 Limits'!$AX$80="C1",$AO19&lt;&gt;""),$AO19*$G19*8.34,IF(AND($AO19&lt;&gt;"",'Outfall 1 Limits'!$AX$80="L"),$AO19,""))</f>
        <v/>
      </c>
      <c r="FX19" s="206" t="str">
        <f>IF(AND($G19&lt;&gt;"",$G19&gt;0,'Outfall 1 Limits'!$AX$84="C1",$AQ19&lt;&gt;""),$AQ19*$G19*8.34,IF(AND($AQ19&lt;&gt;"",'Outfall 1 Limits'!$AX$84="L"),$AQ19,""))</f>
        <v/>
      </c>
      <c r="FY19" s="206" t="str">
        <f>IF(AND($G19&lt;&gt;"",$G19&gt;0,'Outfall 1 Limits'!$AX$88="C1",$AS19&lt;&gt;""),$AS19*$G19*8.34,IF(AND($AS19&lt;&gt;"",'Outfall 1 Limits'!$AX$88="L"),$AS19,""))</f>
        <v/>
      </c>
      <c r="FZ19" s="206" t="str">
        <f>IF(AND($G19&lt;&gt;"",$G19&gt;0,'Outfall 1 Limits'!$AX$92="C1",$AU19&lt;&gt;""),$AU19*$G19*8.34,IF(AND($AU19&lt;&gt;"",'Outfall 1 Limits'!$AX$92="L"),$AU19,""))</f>
        <v/>
      </c>
      <c r="GA19" s="206" t="str">
        <f>IF(AND($G19&lt;&gt;"",$G19&gt;0,'Outfall 1 Limits'!$AX$96="C1",$AW19&lt;&gt;""),$AW19*$G19*8.34,IF(AND($AW19&lt;&gt;"",'Outfall 1 Limits'!$AX$96="L"),$AW19,""))</f>
        <v/>
      </c>
      <c r="GB19" s="206" t="str">
        <f>IF(AND($G19&lt;&gt;"",$G19&gt;0,'Outfall 1 Limits'!$AX$100="C1",$AY19&lt;&gt;""),$AY19*$G19*8.34,IF(AND($AY19&lt;&gt;"",'Outfall 1 Limits'!$AX$100="L"),$AY19,""))</f>
        <v/>
      </c>
      <c r="GC19" s="206" t="str">
        <f>IF(AND($G19&lt;&gt;"",$G19&gt;0,'Outfall 1 Limits'!$AX$104="C1",$BA19&lt;&gt;""),$BA19*$G19*8.34,IF(AND($BA19&lt;&gt;"",'Outfall 1 Limits'!$AX$104="L"),$BA19,""))</f>
        <v/>
      </c>
      <c r="GD19" s="206" t="str">
        <f>IF(AND($G19&lt;&gt;"",$G19&gt;0,'Outfall 1 Limits'!$AX$108="C1",$BC19&lt;&gt;""),$BC19*$G19*8.34,IF(AND($BC19&lt;&gt;"",'Outfall 1 Limits'!$AX$108="L"),$BC19,""))</f>
        <v/>
      </c>
      <c r="GE19" s="206" t="str">
        <f>IF(AND($G19&lt;&gt;"",$G19&gt;0,'Outfall 1 Limits'!$AX$112="C1",$BE19&lt;&gt;""),$BE19*$G19*8.34,IF(AND($BE19&lt;&gt;"",'Outfall 1 Limits'!$AX$112="L"),$BE19,""))</f>
        <v/>
      </c>
      <c r="GF19" s="206" t="str">
        <f>IF(AND($G19&lt;&gt;"",$G19&gt;0,'Outfall 1 Limits'!$AX$116="C1",$BG19&lt;&gt;""),$BG19*$G19*8.34,IF(AND($BG19&lt;&gt;"",'Outfall 1 Limits'!$AX$116="L"),$BG19,""))</f>
        <v/>
      </c>
      <c r="GG19" s="206" t="str">
        <f>IF(AND($G19&lt;&gt;"",$G19&gt;0,'Outfall 1 Limits'!$AX$120="C1",$BI19&lt;&gt;""),$BI19*$G19*8.34,IF(AND($BI19&lt;&gt;"",'Outfall 1 Limits'!$AX$120="L"),$BI19,""))</f>
        <v/>
      </c>
      <c r="GH19" s="206" t="str">
        <f>IF(AND($G19&lt;&gt;"",$G19&gt;0,'Outfall 1 Limits'!$AX$124="C1",$BK19&lt;&gt;""),$BK19*$G19*8.34,IF(AND($BK19&lt;&gt;"",'Outfall 1 Limits'!$AX$124="L"),$BK19,""))</f>
        <v/>
      </c>
      <c r="GI19" s="223" t="str">
        <f>IF(AND($G19&lt;&gt;"",$G19&gt;0,'Outfall 1 Limits'!$AX$128="C1",$BM19&lt;&gt;""),$BM19*$G19*8.34,IF(AND($BM19&lt;&gt;"",'Outfall 1 Limits'!$AX$128="L"),$BM19,""))</f>
        <v/>
      </c>
      <c r="GJ19" s="177" t="str">
        <f t="shared" si="59"/>
        <v/>
      </c>
      <c r="GK19" s="212" t="str">
        <f>IF(AND($G19&lt;&gt;"",$G19&gt;0,'Outfall 1 Limits'!$AX$16="C1",CY19&lt;&gt;""),CY19*$G19*8.34,IF(AND(CY19&lt;&gt;"",'Outfall 1 Limits'!$AX$16="L"),CY19,""))</f>
        <v/>
      </c>
      <c r="GL19" s="206" t="str">
        <f>IF(AND($G19&lt;&gt;"",$G19&gt;0,'Outfall 1 Limits'!$AX$20="C1",CZ19&lt;&gt;""),CZ19*$G19*8.34,IF(AND(CZ19&lt;&gt;"",'Outfall 1 Limits'!$AX$20="L"),CZ19,""))</f>
        <v/>
      </c>
      <c r="GM19" s="206" t="str">
        <f>IF(AND($G19&lt;&gt;"",$G19&gt;0,'Outfall 1 Limits'!$AX$24="C1",DA19&lt;&gt;""),DA19*$G19*8.34,IF(AND(DA19&lt;&gt;"",'Outfall 1 Limits'!$AX$24="L"),DA19,""))</f>
        <v/>
      </c>
      <c r="GN19" s="206" t="str">
        <f>IF(AND($G19&lt;&gt;"",$G19&gt;0,'Outfall 1 Limits'!$AX$28="C1",DB19&lt;&gt;""),DB19*$G19*8.34,IF(AND(DB19&lt;&gt;"",'Outfall 1 Limits'!$AX$28="L"),DB19,""))</f>
        <v/>
      </c>
      <c r="GO19" s="206" t="str">
        <f>IF(AND($G19&lt;&gt;"",$G19&gt;0,'Outfall 1 Limits'!$AX$32="C1",DC19&lt;&gt;""),DC19*$G19*8.34,IF(AND(DC19&lt;&gt;"",'Outfall 1 Limits'!$AX$32="L"),DC19,""))</f>
        <v/>
      </c>
      <c r="GP19" s="206" t="str">
        <f>IF(AND($G19&lt;&gt;"",$G19&gt;0,'Outfall 1 Limits'!$AX$36="C1",DD19&lt;&gt;""),DD19*$G19*8.34,IF(AND(DD19&lt;&gt;"",'Outfall 1 Limits'!$AX$36="L"),DD19,""))</f>
        <v/>
      </c>
      <c r="GQ19" s="206" t="str">
        <f>IF(AND($G19&lt;&gt;"",$G19&gt;0,'Outfall 1 Limits'!$AX$40="C1",DE19&lt;&gt;""),DE19*$G19*8.34,IF(AND(DE19&lt;&gt;"",'Outfall 1 Limits'!$AX$40="L"),DE19,""))</f>
        <v/>
      </c>
      <c r="GR19" s="206" t="str">
        <f>IF(AND($G19&lt;&gt;"",$G19&gt;0,'Outfall 1 Limits'!$AX$44="C1",DF19&lt;&gt;""),DF19*$G19*8.34,IF(AND(DF19&lt;&gt;"",'Outfall 1 Limits'!$AX$44="L"),DF19,""))</f>
        <v/>
      </c>
      <c r="GS19" s="206" t="str">
        <f>IF(AND($G19&lt;&gt;"",$G19&gt;0,'Outfall 1 Limits'!$AX$48="C1",DG19&lt;&gt;""),DG19*$G19*8.34,IF(AND(DG19&lt;&gt;"",'Outfall 1 Limits'!$AX$48="L"),DG19,""))</f>
        <v/>
      </c>
      <c r="GT19" s="206" t="str">
        <f>IF(AND($G19&lt;&gt;"",$G19&gt;0,'Outfall 1 Limits'!$AX$52="C1",DH19&lt;&gt;""),DH19*$G19*8.34,IF(AND(DH19&lt;&gt;"",'Outfall 1 Limits'!$AX$52="L"),DH19,""))</f>
        <v/>
      </c>
      <c r="GU19" s="206" t="str">
        <f>IF(AND($G19&lt;&gt;"",$G19&gt;0,'Outfall 1 Limits'!$AX$56="C1",DI19&lt;&gt;""),DI19*$G19*8.34,IF(AND(DI19&lt;&gt;"",'Outfall 1 Limits'!$AX$56="L"),DI19,""))</f>
        <v/>
      </c>
      <c r="GV19" s="206" t="str">
        <f>IF(AND($G19&lt;&gt;"",$G19&gt;0,'Outfall 1 Limits'!$AX$60="C1",DJ19&lt;&gt;""),DJ19*$G19*8.34,IF(AND(DJ19&lt;&gt;"",'Outfall 1 Limits'!$AX$60="L"),DJ19,""))</f>
        <v/>
      </c>
      <c r="GW19" s="206" t="str">
        <f>IF(AND($G19&lt;&gt;"",$G19&gt;0,'Outfall 1 Limits'!$AX$64="C1",DK19&lt;&gt;""),DK19*$G19*8.34,IF(AND(DK19&lt;&gt;"",'Outfall 1 Limits'!$AX$64="L"),DK19,""))</f>
        <v/>
      </c>
      <c r="GX19" s="206" t="str">
        <f>IF(AND($G19&lt;&gt;"",$G19&gt;0,'Outfall 1 Limits'!$AX$68="C1",DL19&lt;&gt;""),DL19*$G19*8.34,IF(AND(DL19&lt;&gt;"",'Outfall 1 Limits'!$AX$68="L"),DL19,""))</f>
        <v/>
      </c>
      <c r="GY19" s="206" t="str">
        <f>IF(AND($G19&lt;&gt;"",$G19&gt;0,'Outfall 1 Limits'!$AX$72="C1",DM19&lt;&gt;""),DM19*$G19*8.34,IF(AND(DM19&lt;&gt;"",'Outfall 1 Limits'!$AX$72="L"),DM19,""))</f>
        <v/>
      </c>
      <c r="GZ19" s="206" t="str">
        <f>IF(AND($G19&lt;&gt;"",$G19&gt;0,'Outfall 1 Limits'!$AX$76="C1",DN19&lt;&gt;""),DN19*$G19*8.34,IF(AND(DN19&lt;&gt;"",'Outfall 1 Limits'!$AX$76="L"),DN19,""))</f>
        <v/>
      </c>
      <c r="HA19" s="206" t="str">
        <f>IF(AND($G19&lt;&gt;"",$G19&gt;0,'Outfall 1 Limits'!$AX$80="C1",DO19&lt;&gt;""),DO19*$G19*8.34,IF(AND(DO19&lt;&gt;"",'Outfall 1 Limits'!$AX$80="L"),DO19,""))</f>
        <v/>
      </c>
      <c r="HB19" s="206" t="str">
        <f>IF(AND($G19&lt;&gt;"",$G19&gt;0,'Outfall 1 Limits'!$AX$84="C1",DP19&lt;&gt;""),DP19*$G19*8.34,IF(AND(DP19&lt;&gt;"",'Outfall 1 Limits'!$AX$84="L"),DP19,""))</f>
        <v/>
      </c>
      <c r="HC19" s="206" t="str">
        <f>IF(AND($G19&lt;&gt;"",$G19&gt;0,'Outfall 1 Limits'!$AX$88="C1",DQ19&lt;&gt;""),DQ19*$G19*8.34,IF(AND(DQ19&lt;&gt;"",'Outfall 1 Limits'!$AX$88="L"),DQ19,""))</f>
        <v/>
      </c>
      <c r="HD19" s="206" t="str">
        <f>IF(AND($G19&lt;&gt;"",$G19&gt;0,'Outfall 1 Limits'!$AX$92="C1",DR19&lt;&gt;""),DR19*$G19*8.34,IF(AND(DR19&lt;&gt;"",'Outfall 1 Limits'!$AX$92="L"),DR19,""))</f>
        <v/>
      </c>
      <c r="HE19" s="206" t="str">
        <f>IF(AND($G19&lt;&gt;"",$G19&gt;0,'Outfall 1 Limits'!$AX$96="C1",DS19&lt;&gt;""),DS19*$G19*8.34,IF(AND(DS19&lt;&gt;"",'Outfall 1 Limits'!$AX$96="L"),DS19,""))</f>
        <v/>
      </c>
      <c r="HF19" s="206" t="str">
        <f>IF(AND($G19&lt;&gt;"",$G19&gt;0,'Outfall 1 Limits'!$AX$100="C1",DT19&lt;&gt;""),DT19*$G19*8.34,IF(AND(DT19&lt;&gt;"",'Outfall 1 Limits'!$AX$100="L"),DT19,""))</f>
        <v/>
      </c>
      <c r="HG19" s="206" t="str">
        <f>IF(AND($G19&lt;&gt;"",$G19&gt;0,'Outfall 1 Limits'!$AX$104="C1",DU19&lt;&gt;""),DU19*$G19*8.34,IF(AND(DU19&lt;&gt;"",'Outfall 1 Limits'!$AX$104="L"),DU19,""))</f>
        <v/>
      </c>
      <c r="HH19" s="206" t="str">
        <f>IF(AND($G19&lt;&gt;"",$G19&gt;0,'Outfall 1 Limits'!$AX$108="C1",DV19&lt;&gt;""),DV19*$G19*8.34,IF(AND(DV19&lt;&gt;"",'Outfall 1 Limits'!$AX$108="L"),DV19,""))</f>
        <v/>
      </c>
      <c r="HI19" s="206" t="str">
        <f>IF(AND($G19&lt;&gt;"",$G19&gt;0,'Outfall 1 Limits'!$AX$112="C1",DW19&lt;&gt;""),DW19*$G19*8.34,IF(AND(DW19&lt;&gt;"",'Outfall 1 Limits'!$AX$112="L"),DW19,""))</f>
        <v/>
      </c>
      <c r="HJ19" s="206" t="str">
        <f>IF(AND($G19&lt;&gt;"",$G19&gt;0,'Outfall 1 Limits'!$AX$116="C1",DX19&lt;&gt;""),DX19*$G19*8.34,IF(AND(DX19&lt;&gt;"",'Outfall 1 Limits'!$AX$116="L"),DX19,""))</f>
        <v/>
      </c>
      <c r="HK19" s="206" t="str">
        <f>IF(AND($G19&lt;&gt;"",$G19&gt;0,'Outfall 1 Limits'!$AX$120="C1",DY19&lt;&gt;""),DY19*$G19*8.34,IF(AND(DY19&lt;&gt;"",'Outfall 1 Limits'!$AX$120="L"),DY19,""))</f>
        <v/>
      </c>
      <c r="HL19" s="206" t="str">
        <f>IF(AND($G19&lt;&gt;"",$G19&gt;0,'Outfall 1 Limits'!$AX$124="C1",DZ19&lt;&gt;""),DZ19*$G19*8.34,IF(AND(DZ19&lt;&gt;"",'Outfall 1 Limits'!$AX$124="L"),DZ19,""))</f>
        <v/>
      </c>
      <c r="HM19" s="223" t="str">
        <f>IF(AND($G19&lt;&gt;"",$G19&gt;0,'Outfall 1 Limits'!$AX$128="C1",EA19&lt;&gt;""),EA19*$G19*8.34,IF(AND(EA19&lt;&gt;"",'Outfall 1 Limits'!$AX$128="L"),EA19,""))</f>
        <v/>
      </c>
      <c r="HO19" s="224" t="str">
        <f t="shared" si="60"/>
        <v/>
      </c>
      <c r="HS19" s="202" t="str">
        <f t="shared" si="61"/>
        <v/>
      </c>
      <c r="HT19" s="196" t="str">
        <f t="shared" si="62"/>
        <v/>
      </c>
      <c r="HU19" s="196" t="str">
        <f t="shared" si="63"/>
        <v/>
      </c>
      <c r="HV19" s="196" t="str">
        <f t="shared" si="64"/>
        <v/>
      </c>
      <c r="HW19" s="196" t="str">
        <f t="shared" si="65"/>
        <v/>
      </c>
      <c r="HX19" s="196" t="str">
        <f t="shared" si="66"/>
        <v/>
      </c>
      <c r="HY19" s="196" t="str">
        <f t="shared" si="67"/>
        <v/>
      </c>
      <c r="HZ19" s="196" t="str">
        <f t="shared" si="68"/>
        <v/>
      </c>
      <c r="IA19" s="196" t="str">
        <f t="shared" si="69"/>
        <v/>
      </c>
      <c r="IB19" s="196" t="str">
        <f t="shared" si="70"/>
        <v/>
      </c>
      <c r="IC19" s="196" t="str">
        <f t="shared" si="71"/>
        <v/>
      </c>
      <c r="ID19" s="196" t="str">
        <f t="shared" si="72"/>
        <v/>
      </c>
      <c r="IE19" s="196" t="str">
        <f t="shared" si="73"/>
        <v/>
      </c>
      <c r="IF19" s="196" t="str">
        <f t="shared" si="74"/>
        <v/>
      </c>
      <c r="IG19" s="196" t="str">
        <f t="shared" si="75"/>
        <v/>
      </c>
      <c r="IH19" s="196" t="str">
        <f t="shared" si="76"/>
        <v/>
      </c>
      <c r="II19" s="196" t="str">
        <f t="shared" si="77"/>
        <v/>
      </c>
      <c r="IJ19" s="196" t="str">
        <f t="shared" si="78"/>
        <v/>
      </c>
      <c r="IK19" s="196" t="str">
        <f t="shared" si="79"/>
        <v/>
      </c>
      <c r="IL19" s="196" t="str">
        <f t="shared" si="80"/>
        <v/>
      </c>
      <c r="IM19" s="196" t="str">
        <f t="shared" si="81"/>
        <v/>
      </c>
      <c r="IN19" s="196" t="str">
        <f t="shared" si="82"/>
        <v/>
      </c>
      <c r="IO19" s="196" t="str">
        <f t="shared" si="83"/>
        <v/>
      </c>
      <c r="IP19" s="196" t="str">
        <f t="shared" si="84"/>
        <v/>
      </c>
      <c r="IQ19" s="196" t="str">
        <f t="shared" si="85"/>
        <v/>
      </c>
      <c r="IR19" s="196" t="str">
        <f t="shared" si="86"/>
        <v/>
      </c>
      <c r="IS19" s="196" t="str">
        <f t="shared" si="87"/>
        <v/>
      </c>
      <c r="IT19" s="196" t="str">
        <f t="shared" si="88"/>
        <v/>
      </c>
      <c r="IU19" s="210" t="str">
        <f t="shared" si="89"/>
        <v/>
      </c>
      <c r="IX19" s="202" t="str">
        <f t="shared" si="90"/>
        <v/>
      </c>
      <c r="IY19" s="196" t="str">
        <f t="shared" si="91"/>
        <v/>
      </c>
      <c r="IZ19" s="196" t="str">
        <f t="shared" si="92"/>
        <v/>
      </c>
      <c r="JA19" s="196" t="str">
        <f t="shared" si="93"/>
        <v/>
      </c>
      <c r="JB19" s="196" t="str">
        <f t="shared" si="94"/>
        <v/>
      </c>
      <c r="JC19" s="196" t="str">
        <f t="shared" si="95"/>
        <v/>
      </c>
      <c r="JD19" s="196" t="str">
        <f t="shared" si="96"/>
        <v/>
      </c>
      <c r="JE19" s="196" t="str">
        <f t="shared" si="97"/>
        <v/>
      </c>
      <c r="JF19" s="196" t="str">
        <f t="shared" si="98"/>
        <v/>
      </c>
      <c r="JG19" s="196" t="str">
        <f t="shared" si="99"/>
        <v/>
      </c>
      <c r="JH19" s="196" t="str">
        <f t="shared" si="100"/>
        <v/>
      </c>
      <c r="JI19" s="196" t="str">
        <f t="shared" si="101"/>
        <v/>
      </c>
      <c r="JJ19" s="196" t="str">
        <f t="shared" si="102"/>
        <v/>
      </c>
      <c r="JK19" s="196" t="str">
        <f t="shared" si="103"/>
        <v/>
      </c>
      <c r="JL19" s="196" t="str">
        <f t="shared" si="104"/>
        <v/>
      </c>
      <c r="JM19" s="196" t="str">
        <f t="shared" si="105"/>
        <v/>
      </c>
      <c r="JN19" s="196" t="str">
        <f t="shared" si="106"/>
        <v/>
      </c>
      <c r="JO19" s="196" t="str">
        <f t="shared" si="107"/>
        <v/>
      </c>
      <c r="JP19" s="196" t="str">
        <f t="shared" si="108"/>
        <v/>
      </c>
      <c r="JQ19" s="196" t="str">
        <f t="shared" si="109"/>
        <v/>
      </c>
      <c r="JR19" s="196" t="str">
        <f t="shared" si="110"/>
        <v/>
      </c>
      <c r="JS19" s="196" t="str">
        <f t="shared" si="111"/>
        <v/>
      </c>
      <c r="JT19" s="196" t="str">
        <f t="shared" si="112"/>
        <v/>
      </c>
      <c r="JU19" s="196" t="str">
        <f t="shared" si="113"/>
        <v/>
      </c>
      <c r="JV19" s="196" t="str">
        <f t="shared" si="114"/>
        <v/>
      </c>
      <c r="JW19" s="196" t="str">
        <f t="shared" si="115"/>
        <v/>
      </c>
      <c r="JX19" s="196" t="str">
        <f t="shared" si="116"/>
        <v/>
      </c>
      <c r="JY19" s="196" t="str">
        <f t="shared" si="117"/>
        <v/>
      </c>
      <c r="JZ19" s="210" t="str">
        <f t="shared" si="118"/>
        <v/>
      </c>
      <c r="KA19" s="196"/>
      <c r="KB19" s="176"/>
      <c r="KC19" s="227"/>
      <c r="KD19" s="218" t="str">
        <f t="shared" si="2"/>
        <v/>
      </c>
      <c r="KE19" s="196" t="str">
        <f t="shared" si="3"/>
        <v/>
      </c>
      <c r="KF19" s="196" t="str">
        <f t="shared" si="4"/>
        <v/>
      </c>
      <c r="KG19" s="196" t="str">
        <f t="shared" si="5"/>
        <v/>
      </c>
      <c r="KH19" s="196" t="str">
        <f t="shared" si="6"/>
        <v/>
      </c>
      <c r="KI19" s="196" t="str">
        <f t="shared" si="7"/>
        <v/>
      </c>
      <c r="KJ19" s="196" t="str">
        <f t="shared" si="8"/>
        <v/>
      </c>
      <c r="KK19" s="196" t="str">
        <f t="shared" si="9"/>
        <v/>
      </c>
      <c r="KL19" s="196" t="str">
        <f t="shared" si="10"/>
        <v/>
      </c>
      <c r="KM19" s="196" t="str">
        <f t="shared" si="11"/>
        <v/>
      </c>
      <c r="KN19" s="196" t="str">
        <f t="shared" si="12"/>
        <v/>
      </c>
      <c r="KO19" s="196" t="str">
        <f t="shared" si="13"/>
        <v/>
      </c>
      <c r="KP19" s="196" t="str">
        <f t="shared" si="14"/>
        <v/>
      </c>
      <c r="KQ19" s="196" t="str">
        <f t="shared" si="15"/>
        <v/>
      </c>
      <c r="KR19" s="196" t="str">
        <f t="shared" si="16"/>
        <v/>
      </c>
      <c r="KS19" s="196" t="str">
        <f t="shared" si="17"/>
        <v/>
      </c>
      <c r="KT19" s="196" t="str">
        <f t="shared" si="18"/>
        <v/>
      </c>
      <c r="KU19" s="196" t="str">
        <f t="shared" si="19"/>
        <v/>
      </c>
      <c r="KV19" s="196" t="str">
        <f t="shared" si="20"/>
        <v/>
      </c>
      <c r="KW19" s="196" t="str">
        <f t="shared" si="21"/>
        <v/>
      </c>
      <c r="KX19" s="196" t="str">
        <f t="shared" si="22"/>
        <v/>
      </c>
      <c r="KY19" s="196" t="str">
        <f t="shared" si="23"/>
        <v/>
      </c>
      <c r="KZ19" s="196" t="str">
        <f t="shared" si="24"/>
        <v/>
      </c>
      <c r="LA19" s="196" t="str">
        <f t="shared" si="25"/>
        <v/>
      </c>
      <c r="LB19" s="196" t="str">
        <f t="shared" si="26"/>
        <v/>
      </c>
      <c r="LC19" s="196" t="str">
        <f t="shared" si="27"/>
        <v/>
      </c>
      <c r="LD19" s="196" t="str">
        <f t="shared" si="28"/>
        <v/>
      </c>
      <c r="LE19" s="196" t="str">
        <f t="shared" si="29"/>
        <v/>
      </c>
      <c r="LF19" s="226" t="str">
        <f t="shared" si="30"/>
        <v/>
      </c>
    </row>
    <row r="20" spans="1:318" s="172" customFormat="1" ht="11.45" customHeight="1" x14ac:dyDescent="0.2">
      <c r="A20" s="35"/>
      <c r="B20" s="54"/>
      <c r="C20" s="438">
        <f t="shared" si="0"/>
        <v>45294</v>
      </c>
      <c r="D20" s="438"/>
      <c r="E20" s="430">
        <f t="shared" si="119"/>
        <v>45294</v>
      </c>
      <c r="F20" s="431"/>
      <c r="G20" s="26"/>
      <c r="H20" s="51"/>
      <c r="I20" s="50"/>
      <c r="J20" s="51"/>
      <c r="K20" s="50"/>
      <c r="L20" s="51"/>
      <c r="M20" s="50"/>
      <c r="N20" s="51"/>
      <c r="O20" s="50"/>
      <c r="P20" s="51"/>
      <c r="Q20" s="50"/>
      <c r="R20" s="51"/>
      <c r="S20" s="50"/>
      <c r="T20" s="51"/>
      <c r="U20" s="50"/>
      <c r="V20" s="51"/>
      <c r="W20" s="50"/>
      <c r="X20" s="276"/>
      <c r="Y20" s="50"/>
      <c r="Z20" s="51"/>
      <c r="AA20" s="50"/>
      <c r="AB20" s="51"/>
      <c r="AC20" s="50"/>
      <c r="AD20" s="51"/>
      <c r="AE20" s="50"/>
      <c r="AF20" s="51"/>
      <c r="AG20" s="50"/>
      <c r="AH20" s="51"/>
      <c r="AI20" s="50"/>
      <c r="AJ20" s="51"/>
      <c r="AK20" s="50"/>
      <c r="AL20" s="51"/>
      <c r="AM20" s="50"/>
      <c r="AN20" s="51"/>
      <c r="AO20" s="50"/>
      <c r="AP20" s="51"/>
      <c r="AQ20" s="50"/>
      <c r="AR20" s="51"/>
      <c r="AS20" s="50"/>
      <c r="AT20" s="51"/>
      <c r="AU20" s="50"/>
      <c r="AV20" s="51"/>
      <c r="AW20" s="50"/>
      <c r="AX20" s="51"/>
      <c r="AY20" s="50"/>
      <c r="AZ20" s="51"/>
      <c r="BA20" s="50"/>
      <c r="BB20" s="51"/>
      <c r="BC20" s="50"/>
      <c r="BD20" s="51"/>
      <c r="BE20" s="50"/>
      <c r="BF20" s="51"/>
      <c r="BG20" s="50"/>
      <c r="BH20" s="51"/>
      <c r="BI20" s="50"/>
      <c r="BJ20" s="51"/>
      <c r="BK20" s="50"/>
      <c r="BL20" s="51"/>
      <c r="BM20" s="109"/>
      <c r="BO20" s="174"/>
      <c r="BP20" s="174">
        <v>2039</v>
      </c>
      <c r="BQ20" s="179" t="s">
        <v>35</v>
      </c>
      <c r="BR20" s="174"/>
      <c r="BS20" s="174" t="s">
        <v>1107</v>
      </c>
      <c r="BU20" s="202" t="str">
        <f t="shared" si="31"/>
        <v/>
      </c>
      <c r="BV20" s="196" t="str">
        <f t="shared" si="32"/>
        <v/>
      </c>
      <c r="BW20" s="196" t="str">
        <f t="shared" si="33"/>
        <v/>
      </c>
      <c r="BX20" s="196" t="str">
        <f t="shared" si="34"/>
        <v/>
      </c>
      <c r="BY20" s="196" t="str">
        <f t="shared" si="35"/>
        <v/>
      </c>
      <c r="BZ20" s="196" t="str">
        <f t="shared" si="36"/>
        <v/>
      </c>
      <c r="CA20" s="196" t="str">
        <f t="shared" si="37"/>
        <v/>
      </c>
      <c r="CB20" s="196" t="str">
        <f t="shared" si="38"/>
        <v/>
      </c>
      <c r="CC20" s="196" t="str">
        <f t="shared" si="39"/>
        <v/>
      </c>
      <c r="CD20" s="196" t="str">
        <f t="shared" si="40"/>
        <v/>
      </c>
      <c r="CE20" s="196" t="str">
        <f t="shared" si="41"/>
        <v/>
      </c>
      <c r="CF20" s="196" t="str">
        <f t="shared" si="42"/>
        <v/>
      </c>
      <c r="CG20" s="196" t="str">
        <f t="shared" si="43"/>
        <v/>
      </c>
      <c r="CH20" s="196" t="str">
        <f t="shared" si="44"/>
        <v/>
      </c>
      <c r="CI20" s="196" t="str">
        <f t="shared" si="45"/>
        <v/>
      </c>
      <c r="CJ20" s="196" t="str">
        <f t="shared" si="46"/>
        <v/>
      </c>
      <c r="CK20" s="196" t="str">
        <f t="shared" si="47"/>
        <v/>
      </c>
      <c r="CL20" s="196" t="str">
        <f t="shared" si="48"/>
        <v/>
      </c>
      <c r="CM20" s="196" t="str">
        <f t="shared" si="120"/>
        <v/>
      </c>
      <c r="CN20" s="196" t="str">
        <f t="shared" si="49"/>
        <v/>
      </c>
      <c r="CO20" s="196" t="str">
        <f t="shared" si="50"/>
        <v/>
      </c>
      <c r="CP20" s="196" t="str">
        <f t="shared" si="51"/>
        <v/>
      </c>
      <c r="CQ20" s="196" t="str">
        <f t="shared" si="52"/>
        <v/>
      </c>
      <c r="CR20" s="196" t="str">
        <f t="shared" si="53"/>
        <v/>
      </c>
      <c r="CS20" s="196" t="str">
        <f t="shared" si="54"/>
        <v/>
      </c>
      <c r="CT20" s="196" t="str">
        <f t="shared" si="55"/>
        <v/>
      </c>
      <c r="CU20" s="196" t="str">
        <f t="shared" si="56"/>
        <v/>
      </c>
      <c r="CV20" s="196" t="str">
        <f t="shared" si="57"/>
        <v/>
      </c>
      <c r="CW20" s="210" t="str">
        <f t="shared" si="58"/>
        <v/>
      </c>
      <c r="CY20" s="212" t="str">
        <f>IF(I20&lt;&gt;"",IF(H20="&lt;",IF(AND('Outfall 1 Limits'!$AM$16="Y",$BU$54&lt;&gt;"Y",I20&lt;='Outfall 1 Limits'!$AL$16),0,(1*I20)),I20),"")</f>
        <v/>
      </c>
      <c r="CZ20" s="206" t="str">
        <f>IF(K20&lt;&gt;"",IF(J20="&lt;",IF(AND('Outfall 1 Limits'!$AM$20="Y",$BV$54&lt;&gt;"Y",K20&lt;='Outfall 1 Limits'!$AL$20),0,(1*K20)),K20),"")</f>
        <v/>
      </c>
      <c r="DA20" s="206" t="str">
        <f>IF(M20&lt;&gt;"",IF(L20="&lt;",IF(AND('Outfall 1 Limits'!$AM$24="Y",$BW$54&lt;&gt;"Y",M20&lt;='Outfall 1 Limits'!$AL$24),0,(1*M20)),M20),"")</f>
        <v/>
      </c>
      <c r="DB20" s="206" t="str">
        <f>IF(O20&lt;&gt;"",IF(N20="&lt;",IF(AND('Outfall 1 Limits'!$AM$28="Y",$BX$54&lt;&gt;"Y",O20&lt;='Outfall 1 Limits'!$AL$28),0,(1*O20)),O20),"")</f>
        <v/>
      </c>
      <c r="DC20" s="206" t="str">
        <f>IF(Q20&lt;&gt;"",IF(P20="&lt;",IF(AND('Outfall 1 Limits'!$AM$32="Y",$BY$54&lt;&gt;"Y",Q20&lt;='Outfall 1 Limits'!$AL$32),0,(1*Q20)),Q20),"")</f>
        <v/>
      </c>
      <c r="DD20" s="206" t="str">
        <f>IF(S20&lt;&gt;"",IF(R20="&lt;",IF(AND('Outfall 1 Limits'!$AM$36="Y",$BZ$54&lt;&gt;"Y",S20&lt;='Outfall 1 Limits'!$AL$36),0,(1*S20)),S20),"")</f>
        <v/>
      </c>
      <c r="DE20" s="206" t="str">
        <f>IF(U20&lt;&gt;"",IF(T20="&lt;",IF(AND('Outfall 1 Limits'!$AM$40="Y",$CA$54&lt;&gt;"Y",U20&lt;='Outfall 1 Limits'!$AL$40),0,(1*U20)),U20),"")</f>
        <v/>
      </c>
      <c r="DF20" s="206" t="str">
        <f>IF(W20&lt;&gt;"",IF(V20="&lt;",IF(AND('Outfall 1 Limits'!$AM$44="Y",$CB$54&lt;&gt;"Y",W20&lt;='Outfall 1 Limits'!$AL$44),0,(1*W20)),W20),"")</f>
        <v/>
      </c>
      <c r="DG20" s="206" t="str">
        <f>IF(Y20&lt;&gt;"",IF(X20="&lt;",IF(AND('Outfall 1 Limits'!$AM$48="Y",$CC$54&lt;&gt;"Y",Y20&lt;='Outfall 1 Limits'!$AL$48),0,(1*Y20)),Y20),"")</f>
        <v/>
      </c>
      <c r="DH20" s="206" t="str">
        <f>IF(AA20&lt;&gt;"",IF(Z20="&lt;",IF(AND('Outfall 1 Limits'!$AM$52="Y",$CD$54&lt;&gt;"Y",AA20&lt;='Outfall 1 Limits'!$AL$52),0,(1*AA20)),AA20),"")</f>
        <v/>
      </c>
      <c r="DI20" s="206" t="str">
        <f>IF(AC20&lt;&gt;"",IF(AB20="&lt;",IF(AND('Outfall 1 Limits'!$AM$56="Y",$CE$54&lt;&gt;"Y",AC20&lt;='Outfall 1 Limits'!$AL$56),0,(1*AC20)),AC20),"")</f>
        <v/>
      </c>
      <c r="DJ20" s="206" t="str">
        <f>IF(AE20&lt;&gt;"",IF(AD20="&lt;",IF(AND('Outfall 1 Limits'!$AM$60="Y",$CF$54&lt;&gt;"Y",AE20&lt;='Outfall 1 Limits'!$AL$60),0,(1*AE20)),AE20),"")</f>
        <v/>
      </c>
      <c r="DK20" s="206" t="str">
        <f>IF(AG20&lt;&gt;"",IF(AF20="&lt;",IF(AND('Outfall 1 Limits'!$AM$64="Y",$CG$54&lt;&gt;"Y",AG20&lt;='Outfall 1 Limits'!$AL$64),0,(1*AG20)),AG20),"")</f>
        <v/>
      </c>
      <c r="DL20" s="206" t="str">
        <f>IF(AI20&lt;&gt;"",IF(AH20="&lt;",IF(AND('Outfall 1 Limits'!$AM$68="Y",$CH$54&lt;&gt;"Y",AI20&lt;='Outfall 1 Limits'!$AL$68),0,(1*AI20)),AI20),"")</f>
        <v/>
      </c>
      <c r="DM20" s="206" t="str">
        <f>IF(AK20&lt;&gt;"",IF(AJ20="&lt;",IF(AND('Outfall 1 Limits'!$AM$72="Y",$CI$54&lt;&gt;"Y",AK20&lt;='Outfall 1 Limits'!$AL$72),0,(1*AK20)),AK20),"")</f>
        <v/>
      </c>
      <c r="DN20" s="206" t="str">
        <f>IF(AM20&lt;&gt;"",IF(AL20="&lt;",IF(AND('Outfall 1 Limits'!$AM$76="Y",$CJ$54&lt;&gt;"Y",AM20&lt;='Outfall 1 Limits'!$AL$76),0,(1*AM20)),AM20),"")</f>
        <v/>
      </c>
      <c r="DO20" s="206" t="str">
        <f>IF(AO20&lt;&gt;"",IF(AN20="&lt;",IF(AND('Outfall 1 Limits'!$AM$80="Y",$CK$54&lt;&gt;"Y",AO20&lt;='Outfall 1 Limits'!$AL$80),0,(1*AO20)),AO20),"")</f>
        <v/>
      </c>
      <c r="DP20" s="206" t="str">
        <f>IF(AQ20&lt;&gt;"",IF(AP20="&lt;",IF(AND('Outfall 1 Limits'!$AM$84="Y",$CL$54&lt;&gt;"Y",AQ20&lt;='Outfall 1 Limits'!$AL$84),0,(1*AQ20)),AQ20),"")</f>
        <v/>
      </c>
      <c r="DQ20" s="206" t="str">
        <f>IF(AS20&lt;&gt;"",IF(AR20="&lt;",IF(AND('Outfall 1 Limits'!$AM$88="Y",$CM$54&lt;&gt;"Y",AS20&lt;='Outfall 1 Limits'!$AL$88),0,(1*AS20)),AS20),"")</f>
        <v/>
      </c>
      <c r="DR20" s="206" t="str">
        <f>IF(AU20&lt;&gt;"",IF(AT20="&lt;",IF(AND('Outfall 1 Limits'!$AM$92="Y",$CN$54&lt;&gt;"Y",AU20&lt;='Outfall 1 Limits'!$AL$92),0,(1*AU20)),AU20),"")</f>
        <v/>
      </c>
      <c r="DS20" s="206" t="str">
        <f>IF(AW20&lt;&gt;"",IF(AV20="&lt;",IF(AND('Outfall 1 Limits'!$AM$96="Y",$CO$54&lt;&gt;"Y",AW20&lt;='Outfall 1 Limits'!$AL$96),0,(1*AW20)),AW20),"")</f>
        <v/>
      </c>
      <c r="DT20" s="206" t="str">
        <f>IF(AY20&lt;&gt;"",IF(AX20="&lt;",IF(AND('Outfall 1 Limits'!$AM$100="Y",$CP$54&lt;&gt;"Y",AY20&lt;='Outfall 1 Limits'!$AL$100),0,(1*AY20)),AY20),"")</f>
        <v/>
      </c>
      <c r="DU20" s="206" t="str">
        <f>IF(BA20&lt;&gt;"",IF(AZ20="&lt;",IF(AND('Outfall 1 Limits'!$AM$104="Y",$CQ$54&lt;&gt;"Y",BA20&lt;='Outfall 1 Limits'!$AL$104),0,(1*BA20)),BA20),"")</f>
        <v/>
      </c>
      <c r="DV20" s="206" t="str">
        <f>IF(BC20&lt;&gt;"",IF(BB20="&lt;",IF(AND('Outfall 1 Limits'!$AM$108="Y",$CR$54&lt;&gt;"Y",BC20&lt;='Outfall 1 Limits'!$AL$108),0,(1*BC20)),BC20),"")</f>
        <v/>
      </c>
      <c r="DW20" s="206" t="str">
        <f>IF(BE20&lt;&gt;"",IF(BD20="&lt;",IF(AND('Outfall 1 Limits'!$AM$112="Y",$CS$54&lt;&gt;"Y",BE20&lt;='Outfall 1 Limits'!$AL$112),0,(1*BE20)),BE20),"")</f>
        <v/>
      </c>
      <c r="DX20" s="206" t="str">
        <f>IF(BG20&lt;&gt;"",IF(BF20="&lt;",IF(AND('Outfall 1 Limits'!$AM$116="Y",$CT$54&lt;&gt;"Y",BG20&lt;='Outfall 1 Limits'!$AL$116),0,(1*BG20)),BG20),"")</f>
        <v/>
      </c>
      <c r="DY20" s="206" t="str">
        <f>IF(BI20&lt;&gt;"",IF(BH20="&lt;",IF(AND('Outfall 1 Limits'!$AM$120="Y",$CU$54&lt;&gt;"Y",BI20&lt;='Outfall 1 Limits'!$AL$120),0,(1*BI20)),BI20),"")</f>
        <v/>
      </c>
      <c r="DZ20" s="206" t="str">
        <f>IF(BK20&lt;&gt;"",IF(BJ20="&lt;",IF(AND('Outfall 1 Limits'!$AM$124="Y",$CV$54&lt;&gt;"Y",BK20&lt;='Outfall 1 Limits'!$AL$124),0,(1*BK20)),BK20),"")</f>
        <v/>
      </c>
      <c r="EA20" s="223" t="str">
        <f>IF(BM20&lt;&gt;"",IF(BL20="&lt;",IF(AND('Outfall 1 Limits'!$AM$128="Y",$CW$54&lt;&gt;"Y",BM20&lt;='Outfall 1 Limits'!$AL$128),0,(1*BM20)),BM20),"")</f>
        <v/>
      </c>
      <c r="EB20" s="209" t="s">
        <v>1141</v>
      </c>
      <c r="EC20" s="231" t="str">
        <f>IF(EC13&lt;&gt;"",IF(BU58="Y",EC13-0.1,EC13),"")</f>
        <v/>
      </c>
      <c r="ED20" s="232" t="str">
        <f t="shared" ref="ED20:FE20" si="123">IF(ED13&lt;&gt;"",IF(BV58="Y",ED13-0.1,ED13),"")</f>
        <v/>
      </c>
      <c r="EE20" s="232" t="str">
        <f t="shared" si="123"/>
        <v/>
      </c>
      <c r="EF20" s="232" t="str">
        <f t="shared" si="123"/>
        <v/>
      </c>
      <c r="EG20" s="232" t="str">
        <f t="shared" si="123"/>
        <v/>
      </c>
      <c r="EH20" s="232" t="str">
        <f t="shared" si="123"/>
        <v/>
      </c>
      <c r="EI20" s="232" t="str">
        <f t="shared" si="123"/>
        <v/>
      </c>
      <c r="EJ20" s="232" t="str">
        <f t="shared" si="123"/>
        <v/>
      </c>
      <c r="EK20" s="232" t="str">
        <f t="shared" si="123"/>
        <v/>
      </c>
      <c r="EL20" s="232" t="str">
        <f t="shared" si="123"/>
        <v/>
      </c>
      <c r="EM20" s="232" t="str">
        <f t="shared" si="123"/>
        <v/>
      </c>
      <c r="EN20" s="232" t="str">
        <f t="shared" si="123"/>
        <v/>
      </c>
      <c r="EO20" s="232" t="str">
        <f t="shared" si="123"/>
        <v/>
      </c>
      <c r="EP20" s="232" t="str">
        <f t="shared" si="123"/>
        <v/>
      </c>
      <c r="EQ20" s="232" t="str">
        <f t="shared" si="123"/>
        <v/>
      </c>
      <c r="ER20" s="232" t="str">
        <f t="shared" si="123"/>
        <v/>
      </c>
      <c r="ES20" s="232" t="str">
        <f t="shared" si="123"/>
        <v/>
      </c>
      <c r="ET20" s="232" t="str">
        <f t="shared" si="123"/>
        <v/>
      </c>
      <c r="EU20" s="232" t="str">
        <f t="shared" si="123"/>
        <v/>
      </c>
      <c r="EV20" s="232" t="str">
        <f t="shared" si="123"/>
        <v/>
      </c>
      <c r="EW20" s="232" t="str">
        <f t="shared" si="123"/>
        <v/>
      </c>
      <c r="EX20" s="232" t="str">
        <f t="shared" si="123"/>
        <v/>
      </c>
      <c r="EY20" s="232" t="str">
        <f t="shared" si="123"/>
        <v/>
      </c>
      <c r="EZ20" s="232" t="str">
        <f t="shared" si="123"/>
        <v/>
      </c>
      <c r="FA20" s="232" t="str">
        <f t="shared" si="123"/>
        <v/>
      </c>
      <c r="FB20" s="232" t="str">
        <f t="shared" si="123"/>
        <v/>
      </c>
      <c r="FC20" s="232" t="str">
        <f t="shared" si="123"/>
        <v/>
      </c>
      <c r="FD20" s="232" t="str">
        <f t="shared" si="123"/>
        <v/>
      </c>
      <c r="FE20" s="233" t="str">
        <f t="shared" si="123"/>
        <v/>
      </c>
      <c r="FG20" s="212" t="str">
        <f>IF(AND($G20&lt;&gt;"",$G20&gt;0,'Outfall 1 Limits'!$AX$16="C1",I20&lt;&gt;""),I20*$G20*8.34,IF(AND($I20&lt;&gt;"",'Outfall 1 Limits'!$AX$16="L"),I20,""))</f>
        <v/>
      </c>
      <c r="FH20" s="206" t="str">
        <f>IF(AND($G20&lt;&gt;"",$G20&gt;0,'Outfall 1 Limits'!$AX$20="C1",$K20&lt;&gt;""),$K20*$G20*8.34,IF(AND($K20&lt;&gt;"",'Outfall 1 Limits'!$AX$20="L"),$K20,""))</f>
        <v/>
      </c>
      <c r="FI20" s="206" t="str">
        <f>IF(AND($G20&lt;&gt;"",$G20&gt;0,'Outfall 1 Limits'!$AX$24="C1",$M20&lt;&gt;""),$M20*$G20*8.34,IF(AND($M20&lt;&gt;"",'Outfall 1 Limits'!$AX$24="L"),$M20,""))</f>
        <v/>
      </c>
      <c r="FJ20" s="206" t="str">
        <f>IF(AND($G20&lt;&gt;"",$G20&gt;0,'Outfall 1 Limits'!$AX$28="C1",$O20&lt;&gt;""),$O20*$G20*8.34,IF(AND($O20&lt;&gt;"",'Outfall 1 Limits'!$AX$28="L"),$O20,""))</f>
        <v/>
      </c>
      <c r="FK20" s="206" t="str">
        <f>IF(AND($G20&lt;&gt;"",$G20&gt;0,'Outfall 1 Limits'!$AX$32="C1",$Q20&lt;&gt;""),$Q20*$G20*8.34,IF(AND($Q20&lt;&gt;"",'Outfall 1 Limits'!$AX$32="L"),$Q20,""))</f>
        <v/>
      </c>
      <c r="FL20" s="206" t="str">
        <f>IF(AND($G20&lt;&gt;"",$G20&gt;0,'Outfall 1 Limits'!$AX$36="C1",$S20&lt;&gt;""),$S20*$G20*8.34,IF(AND($S20&lt;&gt;"",'Outfall 1 Limits'!$AX$36="L"),$S20,""))</f>
        <v/>
      </c>
      <c r="FM20" s="206" t="str">
        <f>IF(AND($G20&lt;&gt;"",$G20&gt;0,'Outfall 1 Limits'!$AX$40="C1",$U20&lt;&gt;""),$U20*$G20*8.34,IF(AND($U20&lt;&gt;"",'Outfall 1 Limits'!$AX$40="L"),$U20,""))</f>
        <v/>
      </c>
      <c r="FN20" s="206" t="str">
        <f>IF(AND($G20&lt;&gt;"",$G20&gt;0,'Outfall 1 Limits'!$AX$44="C1",$W20&lt;&gt;""),$W20*$G20*8.34,IF(AND($W20&lt;&gt;"",'Outfall 1 Limits'!$AX$44="L"),$W20,""))</f>
        <v/>
      </c>
      <c r="FO20" s="206" t="str">
        <f>IF(AND($G20&lt;&gt;"",$G20&gt;0,'Outfall 1 Limits'!$AX$48="C1",$Y20&lt;&gt;""),$Y20*$G20*8.34,IF(AND($Y20&lt;&gt;"",'Outfall 1 Limits'!$AX$48="L"),$Y20,""))</f>
        <v/>
      </c>
      <c r="FP20" s="206" t="str">
        <f>IF(AND($G20&lt;&gt;"",$G20&gt;0,'Outfall 1 Limits'!$AX$52="C1",$AA20&lt;&gt;""),$AA20*$G20*8.34,IF(AND($AA20&lt;&gt;"",'Outfall 1 Limits'!$AX$52="L"),$AA20,""))</f>
        <v/>
      </c>
      <c r="FQ20" s="206" t="str">
        <f>IF(AND($G20&lt;&gt;"",$G20&gt;0,'Outfall 1 Limits'!$AX$56="C1",$AC20&lt;&gt;""),$AC20*$G20*8.34,IF(AND($AC20&lt;&gt;"",'Outfall 1 Limits'!$AX$56="L"),$AC20,""))</f>
        <v/>
      </c>
      <c r="FR20" s="206" t="str">
        <f>IF(AND($G20&lt;&gt;"",$G20&gt;0,'Outfall 1 Limits'!$AX$60="C1",$AE20&lt;&gt;""),$AE20*$G20*8.34,IF(AND($AE20&lt;&gt;"",'Outfall 1 Limits'!$AX$60="L"),$AE20,""))</f>
        <v/>
      </c>
      <c r="FS20" s="206" t="str">
        <f>IF(AND($G20&lt;&gt;"",$G20&gt;0,'Outfall 1 Limits'!$AX$64="C1",$AG20&lt;&gt;""),$AG20*$G20*8.34,IF(AND($AG20&lt;&gt;"",'Outfall 1 Limits'!$AX$64="L"),$AG20,""))</f>
        <v/>
      </c>
      <c r="FT20" s="206" t="str">
        <f>IF(AND($G20&lt;&gt;"",$G20&gt;0,'Outfall 1 Limits'!$AX$68="C1",$AI20&lt;&gt;""),$AI20*$G20*8.34,IF(AND($AI20&lt;&gt;"",'Outfall 1 Limits'!$AX$68="L"),$AI20,""))</f>
        <v/>
      </c>
      <c r="FU20" s="206" t="str">
        <f>IF(AND($G20&lt;&gt;"",$G20&gt;0,'Outfall 1 Limits'!$AX$72="C1",$AK20&lt;&gt;""),$AK20*$G20*8.34,IF(AND($AK20&lt;&gt;"",'Outfall 1 Limits'!$AX$72="L"),$AK20,""))</f>
        <v/>
      </c>
      <c r="FV20" s="206" t="str">
        <f>IF(AND($G20&lt;&gt;"",$G20&gt;0,'Outfall 1 Limits'!$AX$76="C1",$AM20&lt;&gt;""),$AM20*$G20*8.34,IF(AND($AM20&lt;&gt;"",'Outfall 1 Limits'!$AX$76="L"),$AM20,""))</f>
        <v/>
      </c>
      <c r="FW20" s="206" t="str">
        <f>IF(AND($G20&lt;&gt;"",$G20&gt;0,'Outfall 1 Limits'!$AX$80="C1",$AO20&lt;&gt;""),$AO20*$G20*8.34,IF(AND($AO20&lt;&gt;"",'Outfall 1 Limits'!$AX$80="L"),$AO20,""))</f>
        <v/>
      </c>
      <c r="FX20" s="206" t="str">
        <f>IF(AND($G20&lt;&gt;"",$G20&gt;0,'Outfall 1 Limits'!$AX$84="C1",$AQ20&lt;&gt;""),$AQ20*$G20*8.34,IF(AND($AQ20&lt;&gt;"",'Outfall 1 Limits'!$AX$84="L"),$AQ20,""))</f>
        <v/>
      </c>
      <c r="FY20" s="206" t="str">
        <f>IF(AND($G20&lt;&gt;"",$G20&gt;0,'Outfall 1 Limits'!$AX$88="C1",$AS20&lt;&gt;""),$AS20*$G20*8.34,IF(AND($AS20&lt;&gt;"",'Outfall 1 Limits'!$AX$88="L"),$AS20,""))</f>
        <v/>
      </c>
      <c r="FZ20" s="206" t="str">
        <f>IF(AND($G20&lt;&gt;"",$G20&gt;0,'Outfall 1 Limits'!$AX$92="C1",$AU20&lt;&gt;""),$AU20*$G20*8.34,IF(AND($AU20&lt;&gt;"",'Outfall 1 Limits'!$AX$92="L"),$AU20,""))</f>
        <v/>
      </c>
      <c r="GA20" s="206" t="str">
        <f>IF(AND($G20&lt;&gt;"",$G20&gt;0,'Outfall 1 Limits'!$AX$96="C1",$AW20&lt;&gt;""),$AW20*$G20*8.34,IF(AND($AW20&lt;&gt;"",'Outfall 1 Limits'!$AX$96="L"),$AW20,""))</f>
        <v/>
      </c>
      <c r="GB20" s="206" t="str">
        <f>IF(AND($G20&lt;&gt;"",$G20&gt;0,'Outfall 1 Limits'!$AX$100="C1",$AY20&lt;&gt;""),$AY20*$G20*8.34,IF(AND($AY20&lt;&gt;"",'Outfall 1 Limits'!$AX$100="L"),$AY20,""))</f>
        <v/>
      </c>
      <c r="GC20" s="206" t="str">
        <f>IF(AND($G20&lt;&gt;"",$G20&gt;0,'Outfall 1 Limits'!$AX$104="C1",$BA20&lt;&gt;""),$BA20*$G20*8.34,IF(AND($BA20&lt;&gt;"",'Outfall 1 Limits'!$AX$104="L"),$BA20,""))</f>
        <v/>
      </c>
      <c r="GD20" s="206" t="str">
        <f>IF(AND($G20&lt;&gt;"",$G20&gt;0,'Outfall 1 Limits'!$AX$108="C1",$BC20&lt;&gt;""),$BC20*$G20*8.34,IF(AND($BC20&lt;&gt;"",'Outfall 1 Limits'!$AX$108="L"),$BC20,""))</f>
        <v/>
      </c>
      <c r="GE20" s="206" t="str">
        <f>IF(AND($G20&lt;&gt;"",$G20&gt;0,'Outfall 1 Limits'!$AX$112="C1",$BE20&lt;&gt;""),$BE20*$G20*8.34,IF(AND($BE20&lt;&gt;"",'Outfall 1 Limits'!$AX$112="L"),$BE20,""))</f>
        <v/>
      </c>
      <c r="GF20" s="206" t="str">
        <f>IF(AND($G20&lt;&gt;"",$G20&gt;0,'Outfall 1 Limits'!$AX$116="C1",$BG20&lt;&gt;""),$BG20*$G20*8.34,IF(AND($BG20&lt;&gt;"",'Outfall 1 Limits'!$AX$116="L"),$BG20,""))</f>
        <v/>
      </c>
      <c r="GG20" s="206" t="str">
        <f>IF(AND($G20&lt;&gt;"",$G20&gt;0,'Outfall 1 Limits'!$AX$120="C1",$BI20&lt;&gt;""),$BI20*$G20*8.34,IF(AND($BI20&lt;&gt;"",'Outfall 1 Limits'!$AX$120="L"),$BI20,""))</f>
        <v/>
      </c>
      <c r="GH20" s="206" t="str">
        <f>IF(AND($G20&lt;&gt;"",$G20&gt;0,'Outfall 1 Limits'!$AX$124="C1",$BK20&lt;&gt;""),$BK20*$G20*8.34,IF(AND($BK20&lt;&gt;"",'Outfall 1 Limits'!$AX$124="L"),$BK20,""))</f>
        <v/>
      </c>
      <c r="GI20" s="223" t="str">
        <f>IF(AND($G20&lt;&gt;"",$G20&gt;0,'Outfall 1 Limits'!$AX$128="C1",$BM20&lt;&gt;""),$BM20*$G20*8.34,IF(AND($BM20&lt;&gt;"",'Outfall 1 Limits'!$AX$128="L"),$BM20,""))</f>
        <v/>
      </c>
      <c r="GJ20" s="177" t="str">
        <f t="shared" si="59"/>
        <v/>
      </c>
      <c r="GK20" s="212" t="str">
        <f>IF(AND($G20&lt;&gt;"",$G20&gt;0,'Outfall 1 Limits'!$AX$16="C1",CY20&lt;&gt;""),CY20*$G20*8.34,IF(AND(CY20&lt;&gt;"",'Outfall 1 Limits'!$AX$16="L"),CY20,""))</f>
        <v/>
      </c>
      <c r="GL20" s="206" t="str">
        <f>IF(AND($G20&lt;&gt;"",$G20&gt;0,'Outfall 1 Limits'!$AX$20="C1",CZ20&lt;&gt;""),CZ20*$G20*8.34,IF(AND(CZ20&lt;&gt;"",'Outfall 1 Limits'!$AX$20="L"),CZ20,""))</f>
        <v/>
      </c>
      <c r="GM20" s="206" t="str">
        <f>IF(AND($G20&lt;&gt;"",$G20&gt;0,'Outfall 1 Limits'!$AX$24="C1",DA20&lt;&gt;""),DA20*$G20*8.34,IF(AND(DA20&lt;&gt;"",'Outfall 1 Limits'!$AX$24="L"),DA20,""))</f>
        <v/>
      </c>
      <c r="GN20" s="206" t="str">
        <f>IF(AND($G20&lt;&gt;"",$G20&gt;0,'Outfall 1 Limits'!$AX$28="C1",DB20&lt;&gt;""),DB20*$G20*8.34,IF(AND(DB20&lt;&gt;"",'Outfall 1 Limits'!$AX$28="L"),DB20,""))</f>
        <v/>
      </c>
      <c r="GO20" s="206" t="str">
        <f>IF(AND($G20&lt;&gt;"",$G20&gt;0,'Outfall 1 Limits'!$AX$32="C1",DC20&lt;&gt;""),DC20*$G20*8.34,IF(AND(DC20&lt;&gt;"",'Outfall 1 Limits'!$AX$32="L"),DC20,""))</f>
        <v/>
      </c>
      <c r="GP20" s="206" t="str">
        <f>IF(AND($G20&lt;&gt;"",$G20&gt;0,'Outfall 1 Limits'!$AX$36="C1",DD20&lt;&gt;""),DD20*$G20*8.34,IF(AND(DD20&lt;&gt;"",'Outfall 1 Limits'!$AX$36="L"),DD20,""))</f>
        <v/>
      </c>
      <c r="GQ20" s="206" t="str">
        <f>IF(AND($G20&lt;&gt;"",$G20&gt;0,'Outfall 1 Limits'!$AX$40="C1",DE20&lt;&gt;""),DE20*$G20*8.34,IF(AND(DE20&lt;&gt;"",'Outfall 1 Limits'!$AX$40="L"),DE20,""))</f>
        <v/>
      </c>
      <c r="GR20" s="206" t="str">
        <f>IF(AND($G20&lt;&gt;"",$G20&gt;0,'Outfall 1 Limits'!$AX$44="C1",DF20&lt;&gt;""),DF20*$G20*8.34,IF(AND(DF20&lt;&gt;"",'Outfall 1 Limits'!$AX$44="L"),DF20,""))</f>
        <v/>
      </c>
      <c r="GS20" s="206" t="str">
        <f>IF(AND($G20&lt;&gt;"",$G20&gt;0,'Outfall 1 Limits'!$AX$48="C1",DG20&lt;&gt;""),DG20*$G20*8.34,IF(AND(DG20&lt;&gt;"",'Outfall 1 Limits'!$AX$48="L"),DG20,""))</f>
        <v/>
      </c>
      <c r="GT20" s="206" t="str">
        <f>IF(AND($G20&lt;&gt;"",$G20&gt;0,'Outfall 1 Limits'!$AX$52="C1",DH20&lt;&gt;""),DH20*$G20*8.34,IF(AND(DH20&lt;&gt;"",'Outfall 1 Limits'!$AX$52="L"),DH20,""))</f>
        <v/>
      </c>
      <c r="GU20" s="206" t="str">
        <f>IF(AND($G20&lt;&gt;"",$G20&gt;0,'Outfall 1 Limits'!$AX$56="C1",DI20&lt;&gt;""),DI20*$G20*8.34,IF(AND(DI20&lt;&gt;"",'Outfall 1 Limits'!$AX$56="L"),DI20,""))</f>
        <v/>
      </c>
      <c r="GV20" s="206" t="str">
        <f>IF(AND($G20&lt;&gt;"",$G20&gt;0,'Outfall 1 Limits'!$AX$60="C1",DJ20&lt;&gt;""),DJ20*$G20*8.34,IF(AND(DJ20&lt;&gt;"",'Outfall 1 Limits'!$AX$60="L"),DJ20,""))</f>
        <v/>
      </c>
      <c r="GW20" s="206" t="str">
        <f>IF(AND($G20&lt;&gt;"",$G20&gt;0,'Outfall 1 Limits'!$AX$64="C1",DK20&lt;&gt;""),DK20*$G20*8.34,IF(AND(DK20&lt;&gt;"",'Outfall 1 Limits'!$AX$64="L"),DK20,""))</f>
        <v/>
      </c>
      <c r="GX20" s="206" t="str">
        <f>IF(AND($G20&lt;&gt;"",$G20&gt;0,'Outfall 1 Limits'!$AX$68="C1",DL20&lt;&gt;""),DL20*$G20*8.34,IF(AND(DL20&lt;&gt;"",'Outfall 1 Limits'!$AX$68="L"),DL20,""))</f>
        <v/>
      </c>
      <c r="GY20" s="206" t="str">
        <f>IF(AND($G20&lt;&gt;"",$G20&gt;0,'Outfall 1 Limits'!$AX$72="C1",DM20&lt;&gt;""),DM20*$G20*8.34,IF(AND(DM20&lt;&gt;"",'Outfall 1 Limits'!$AX$72="L"),DM20,""))</f>
        <v/>
      </c>
      <c r="GZ20" s="206" t="str">
        <f>IF(AND($G20&lt;&gt;"",$G20&gt;0,'Outfall 1 Limits'!$AX$76="C1",DN20&lt;&gt;""),DN20*$G20*8.34,IF(AND(DN20&lt;&gt;"",'Outfall 1 Limits'!$AX$76="L"),DN20,""))</f>
        <v/>
      </c>
      <c r="HA20" s="206" t="str">
        <f>IF(AND($G20&lt;&gt;"",$G20&gt;0,'Outfall 1 Limits'!$AX$80="C1",DO20&lt;&gt;""),DO20*$G20*8.34,IF(AND(DO20&lt;&gt;"",'Outfall 1 Limits'!$AX$80="L"),DO20,""))</f>
        <v/>
      </c>
      <c r="HB20" s="206" t="str">
        <f>IF(AND($G20&lt;&gt;"",$G20&gt;0,'Outfall 1 Limits'!$AX$84="C1",DP20&lt;&gt;""),DP20*$G20*8.34,IF(AND(DP20&lt;&gt;"",'Outfall 1 Limits'!$AX$84="L"),DP20,""))</f>
        <v/>
      </c>
      <c r="HC20" s="206" t="str">
        <f>IF(AND($G20&lt;&gt;"",$G20&gt;0,'Outfall 1 Limits'!$AX$88="C1",DQ20&lt;&gt;""),DQ20*$G20*8.34,IF(AND(DQ20&lt;&gt;"",'Outfall 1 Limits'!$AX$88="L"),DQ20,""))</f>
        <v/>
      </c>
      <c r="HD20" s="206" t="str">
        <f>IF(AND($G20&lt;&gt;"",$G20&gt;0,'Outfall 1 Limits'!$AX$92="C1",DR20&lt;&gt;""),DR20*$G20*8.34,IF(AND(DR20&lt;&gt;"",'Outfall 1 Limits'!$AX$92="L"),DR20,""))</f>
        <v/>
      </c>
      <c r="HE20" s="206" t="str">
        <f>IF(AND($G20&lt;&gt;"",$G20&gt;0,'Outfall 1 Limits'!$AX$96="C1",DS20&lt;&gt;""),DS20*$G20*8.34,IF(AND(DS20&lt;&gt;"",'Outfall 1 Limits'!$AX$96="L"),DS20,""))</f>
        <v/>
      </c>
      <c r="HF20" s="206" t="str">
        <f>IF(AND($G20&lt;&gt;"",$G20&gt;0,'Outfall 1 Limits'!$AX$100="C1",DT20&lt;&gt;""),DT20*$G20*8.34,IF(AND(DT20&lt;&gt;"",'Outfall 1 Limits'!$AX$100="L"),DT20,""))</f>
        <v/>
      </c>
      <c r="HG20" s="206" t="str">
        <f>IF(AND($G20&lt;&gt;"",$G20&gt;0,'Outfall 1 Limits'!$AX$104="C1",DU20&lt;&gt;""),DU20*$G20*8.34,IF(AND(DU20&lt;&gt;"",'Outfall 1 Limits'!$AX$104="L"),DU20,""))</f>
        <v/>
      </c>
      <c r="HH20" s="206" t="str">
        <f>IF(AND($G20&lt;&gt;"",$G20&gt;0,'Outfall 1 Limits'!$AX$108="C1",DV20&lt;&gt;""),DV20*$G20*8.34,IF(AND(DV20&lt;&gt;"",'Outfall 1 Limits'!$AX$108="L"),DV20,""))</f>
        <v/>
      </c>
      <c r="HI20" s="206" t="str">
        <f>IF(AND($G20&lt;&gt;"",$G20&gt;0,'Outfall 1 Limits'!$AX$112="C1",DW20&lt;&gt;""),DW20*$G20*8.34,IF(AND(DW20&lt;&gt;"",'Outfall 1 Limits'!$AX$112="L"),DW20,""))</f>
        <v/>
      </c>
      <c r="HJ20" s="206" t="str">
        <f>IF(AND($G20&lt;&gt;"",$G20&gt;0,'Outfall 1 Limits'!$AX$116="C1",DX20&lt;&gt;""),DX20*$G20*8.34,IF(AND(DX20&lt;&gt;"",'Outfall 1 Limits'!$AX$116="L"),DX20,""))</f>
        <v/>
      </c>
      <c r="HK20" s="206" t="str">
        <f>IF(AND($G20&lt;&gt;"",$G20&gt;0,'Outfall 1 Limits'!$AX$120="C1",DY20&lt;&gt;""),DY20*$G20*8.34,IF(AND(DY20&lt;&gt;"",'Outfall 1 Limits'!$AX$120="L"),DY20,""))</f>
        <v/>
      </c>
      <c r="HL20" s="206" t="str">
        <f>IF(AND($G20&lt;&gt;"",$G20&gt;0,'Outfall 1 Limits'!$AX$124="C1",DZ20&lt;&gt;""),DZ20*$G20*8.34,IF(AND(DZ20&lt;&gt;"",'Outfall 1 Limits'!$AX$124="L"),DZ20,""))</f>
        <v/>
      </c>
      <c r="HM20" s="223" t="str">
        <f>IF(AND($G20&lt;&gt;"",$G20&gt;0,'Outfall 1 Limits'!$AX$128="C1",EA20&lt;&gt;""),EA20*$G20*8.34,IF(AND(EA20&lt;&gt;"",'Outfall 1 Limits'!$AX$128="L"),EA20,""))</f>
        <v/>
      </c>
      <c r="HO20" s="224" t="str">
        <f t="shared" si="60"/>
        <v/>
      </c>
      <c r="HS20" s="202" t="str">
        <f t="shared" si="61"/>
        <v/>
      </c>
      <c r="HT20" s="196" t="str">
        <f t="shared" si="62"/>
        <v/>
      </c>
      <c r="HU20" s="196" t="str">
        <f t="shared" si="63"/>
        <v/>
      </c>
      <c r="HV20" s="196" t="str">
        <f t="shared" si="64"/>
        <v/>
      </c>
      <c r="HW20" s="196" t="str">
        <f t="shared" si="65"/>
        <v/>
      </c>
      <c r="HX20" s="196" t="str">
        <f t="shared" si="66"/>
        <v/>
      </c>
      <c r="HY20" s="196" t="str">
        <f t="shared" si="67"/>
        <v/>
      </c>
      <c r="HZ20" s="196" t="str">
        <f t="shared" si="68"/>
        <v/>
      </c>
      <c r="IA20" s="196" t="str">
        <f t="shared" si="69"/>
        <v/>
      </c>
      <c r="IB20" s="196" t="str">
        <f t="shared" si="70"/>
        <v/>
      </c>
      <c r="IC20" s="196" t="str">
        <f t="shared" si="71"/>
        <v/>
      </c>
      <c r="ID20" s="196" t="str">
        <f t="shared" si="72"/>
        <v/>
      </c>
      <c r="IE20" s="196" t="str">
        <f t="shared" si="73"/>
        <v/>
      </c>
      <c r="IF20" s="196" t="str">
        <f t="shared" si="74"/>
        <v/>
      </c>
      <c r="IG20" s="196" t="str">
        <f t="shared" si="75"/>
        <v/>
      </c>
      <c r="IH20" s="196" t="str">
        <f t="shared" si="76"/>
        <v/>
      </c>
      <c r="II20" s="196" t="str">
        <f t="shared" si="77"/>
        <v/>
      </c>
      <c r="IJ20" s="196" t="str">
        <f t="shared" si="78"/>
        <v/>
      </c>
      <c r="IK20" s="196" t="str">
        <f t="shared" si="79"/>
        <v/>
      </c>
      <c r="IL20" s="196" t="str">
        <f t="shared" si="80"/>
        <v/>
      </c>
      <c r="IM20" s="196" t="str">
        <f t="shared" si="81"/>
        <v/>
      </c>
      <c r="IN20" s="196" t="str">
        <f t="shared" si="82"/>
        <v/>
      </c>
      <c r="IO20" s="196" t="str">
        <f t="shared" si="83"/>
        <v/>
      </c>
      <c r="IP20" s="196" t="str">
        <f t="shared" si="84"/>
        <v/>
      </c>
      <c r="IQ20" s="196" t="str">
        <f t="shared" si="85"/>
        <v/>
      </c>
      <c r="IR20" s="196" t="str">
        <f t="shared" si="86"/>
        <v/>
      </c>
      <c r="IS20" s="196" t="str">
        <f t="shared" si="87"/>
        <v/>
      </c>
      <c r="IT20" s="196" t="str">
        <f t="shared" si="88"/>
        <v/>
      </c>
      <c r="IU20" s="210" t="str">
        <f t="shared" si="89"/>
        <v/>
      </c>
      <c r="IX20" s="202" t="str">
        <f t="shared" si="90"/>
        <v/>
      </c>
      <c r="IY20" s="196" t="str">
        <f t="shared" si="91"/>
        <v/>
      </c>
      <c r="IZ20" s="196" t="str">
        <f t="shared" si="92"/>
        <v/>
      </c>
      <c r="JA20" s="196" t="str">
        <f t="shared" si="93"/>
        <v/>
      </c>
      <c r="JB20" s="196" t="str">
        <f t="shared" si="94"/>
        <v/>
      </c>
      <c r="JC20" s="196" t="str">
        <f t="shared" si="95"/>
        <v/>
      </c>
      <c r="JD20" s="196" t="str">
        <f t="shared" si="96"/>
        <v/>
      </c>
      <c r="JE20" s="196" t="str">
        <f t="shared" si="97"/>
        <v/>
      </c>
      <c r="JF20" s="196" t="str">
        <f t="shared" si="98"/>
        <v/>
      </c>
      <c r="JG20" s="196" t="str">
        <f t="shared" si="99"/>
        <v/>
      </c>
      <c r="JH20" s="196" t="str">
        <f t="shared" si="100"/>
        <v/>
      </c>
      <c r="JI20" s="196" t="str">
        <f t="shared" si="101"/>
        <v/>
      </c>
      <c r="JJ20" s="196" t="str">
        <f t="shared" si="102"/>
        <v/>
      </c>
      <c r="JK20" s="196" t="str">
        <f t="shared" si="103"/>
        <v/>
      </c>
      <c r="JL20" s="196" t="str">
        <f t="shared" si="104"/>
        <v/>
      </c>
      <c r="JM20" s="196" t="str">
        <f t="shared" si="105"/>
        <v/>
      </c>
      <c r="JN20" s="196" t="str">
        <f t="shared" si="106"/>
        <v/>
      </c>
      <c r="JO20" s="196" t="str">
        <f t="shared" si="107"/>
        <v/>
      </c>
      <c r="JP20" s="196" t="str">
        <f t="shared" si="108"/>
        <v/>
      </c>
      <c r="JQ20" s="196" t="str">
        <f t="shared" si="109"/>
        <v/>
      </c>
      <c r="JR20" s="196" t="str">
        <f t="shared" si="110"/>
        <v/>
      </c>
      <c r="JS20" s="196" t="str">
        <f t="shared" si="111"/>
        <v/>
      </c>
      <c r="JT20" s="196" t="str">
        <f t="shared" si="112"/>
        <v/>
      </c>
      <c r="JU20" s="196" t="str">
        <f t="shared" si="113"/>
        <v/>
      </c>
      <c r="JV20" s="196" t="str">
        <f t="shared" si="114"/>
        <v/>
      </c>
      <c r="JW20" s="196" t="str">
        <f t="shared" si="115"/>
        <v/>
      </c>
      <c r="JX20" s="196" t="str">
        <f t="shared" si="116"/>
        <v/>
      </c>
      <c r="JY20" s="196" t="str">
        <f t="shared" si="117"/>
        <v/>
      </c>
      <c r="JZ20" s="210" t="str">
        <f t="shared" si="118"/>
        <v/>
      </c>
      <c r="KA20" s="196"/>
      <c r="KB20" s="176"/>
      <c r="KC20" s="227"/>
      <c r="KD20" s="218" t="str">
        <f t="shared" si="2"/>
        <v/>
      </c>
      <c r="KE20" s="196" t="str">
        <f t="shared" si="3"/>
        <v/>
      </c>
      <c r="KF20" s="196" t="str">
        <f t="shared" si="4"/>
        <v/>
      </c>
      <c r="KG20" s="196" t="str">
        <f t="shared" si="5"/>
        <v/>
      </c>
      <c r="KH20" s="196" t="str">
        <f t="shared" si="6"/>
        <v/>
      </c>
      <c r="KI20" s="196" t="str">
        <f t="shared" si="7"/>
        <v/>
      </c>
      <c r="KJ20" s="196" t="str">
        <f t="shared" si="8"/>
        <v/>
      </c>
      <c r="KK20" s="196" t="str">
        <f t="shared" si="9"/>
        <v/>
      </c>
      <c r="KL20" s="196" t="str">
        <f t="shared" si="10"/>
        <v/>
      </c>
      <c r="KM20" s="196" t="str">
        <f t="shared" si="11"/>
        <v/>
      </c>
      <c r="KN20" s="196" t="str">
        <f t="shared" si="12"/>
        <v/>
      </c>
      <c r="KO20" s="196" t="str">
        <f t="shared" si="13"/>
        <v/>
      </c>
      <c r="KP20" s="196" t="str">
        <f t="shared" si="14"/>
        <v/>
      </c>
      <c r="KQ20" s="196" t="str">
        <f t="shared" si="15"/>
        <v/>
      </c>
      <c r="KR20" s="196" t="str">
        <f t="shared" si="16"/>
        <v/>
      </c>
      <c r="KS20" s="196" t="str">
        <f t="shared" si="17"/>
        <v/>
      </c>
      <c r="KT20" s="196" t="str">
        <f t="shared" si="18"/>
        <v/>
      </c>
      <c r="KU20" s="196" t="str">
        <f t="shared" si="19"/>
        <v/>
      </c>
      <c r="KV20" s="196" t="str">
        <f t="shared" si="20"/>
        <v/>
      </c>
      <c r="KW20" s="196" t="str">
        <f t="shared" si="21"/>
        <v/>
      </c>
      <c r="KX20" s="196" t="str">
        <f t="shared" si="22"/>
        <v/>
      </c>
      <c r="KY20" s="196" t="str">
        <f t="shared" si="23"/>
        <v/>
      </c>
      <c r="KZ20" s="196" t="str">
        <f t="shared" si="24"/>
        <v/>
      </c>
      <c r="LA20" s="196" t="str">
        <f t="shared" si="25"/>
        <v/>
      </c>
      <c r="LB20" s="196" t="str">
        <f t="shared" si="26"/>
        <v/>
      </c>
      <c r="LC20" s="196" t="str">
        <f t="shared" si="27"/>
        <v/>
      </c>
      <c r="LD20" s="196" t="str">
        <f t="shared" si="28"/>
        <v/>
      </c>
      <c r="LE20" s="196" t="str">
        <f t="shared" si="29"/>
        <v/>
      </c>
      <c r="LF20" s="226" t="str">
        <f t="shared" si="30"/>
        <v/>
      </c>
    </row>
    <row r="21" spans="1:318" s="172" customFormat="1" ht="11.45" customHeight="1" x14ac:dyDescent="0.2">
      <c r="A21" s="35"/>
      <c r="B21" s="54"/>
      <c r="C21" s="438">
        <f t="shared" si="0"/>
        <v>45295</v>
      </c>
      <c r="D21" s="438"/>
      <c r="E21" s="430">
        <f t="shared" si="119"/>
        <v>45295</v>
      </c>
      <c r="F21" s="431"/>
      <c r="G21" s="26"/>
      <c r="H21" s="51"/>
      <c r="I21" s="50"/>
      <c r="J21" s="51"/>
      <c r="K21" s="50"/>
      <c r="L21" s="51"/>
      <c r="M21" s="50"/>
      <c r="N21" s="51"/>
      <c r="O21" s="50"/>
      <c r="P21" s="51"/>
      <c r="Q21" s="50"/>
      <c r="R21" s="51"/>
      <c r="S21" s="50"/>
      <c r="T21" s="51"/>
      <c r="U21" s="50"/>
      <c r="V21" s="51"/>
      <c r="W21" s="50"/>
      <c r="X21" s="276"/>
      <c r="Y21" s="50"/>
      <c r="Z21" s="51"/>
      <c r="AA21" s="50"/>
      <c r="AB21" s="51"/>
      <c r="AC21" s="50"/>
      <c r="AD21" s="51"/>
      <c r="AE21" s="50"/>
      <c r="AF21" s="51"/>
      <c r="AG21" s="50"/>
      <c r="AH21" s="51"/>
      <c r="AI21" s="50"/>
      <c r="AJ21" s="51"/>
      <c r="AK21" s="50"/>
      <c r="AL21" s="51"/>
      <c r="AM21" s="50"/>
      <c r="AN21" s="51"/>
      <c r="AO21" s="50"/>
      <c r="AP21" s="51"/>
      <c r="AQ21" s="50"/>
      <c r="AR21" s="51"/>
      <c r="AS21" s="50"/>
      <c r="AT21" s="51"/>
      <c r="AU21" s="50"/>
      <c r="AV21" s="51"/>
      <c r="AW21" s="50"/>
      <c r="AX21" s="51"/>
      <c r="AY21" s="50"/>
      <c r="AZ21" s="51"/>
      <c r="BA21" s="50"/>
      <c r="BB21" s="51"/>
      <c r="BC21" s="50"/>
      <c r="BD21" s="51"/>
      <c r="BE21" s="50"/>
      <c r="BF21" s="51"/>
      <c r="BG21" s="50"/>
      <c r="BH21" s="51"/>
      <c r="BI21" s="50"/>
      <c r="BJ21" s="51"/>
      <c r="BK21" s="50"/>
      <c r="BL21" s="51"/>
      <c r="BM21" s="109"/>
      <c r="BO21" s="174"/>
      <c r="BP21" s="174">
        <v>2040</v>
      </c>
      <c r="BQ21" s="179" t="s">
        <v>36</v>
      </c>
      <c r="BR21" s="174"/>
      <c r="BS21" s="174" t="s">
        <v>1108</v>
      </c>
      <c r="BU21" s="202" t="str">
        <f t="shared" si="31"/>
        <v/>
      </c>
      <c r="BV21" s="196" t="str">
        <f t="shared" si="32"/>
        <v/>
      </c>
      <c r="BW21" s="196" t="str">
        <f t="shared" si="33"/>
        <v/>
      </c>
      <c r="BX21" s="196" t="str">
        <f t="shared" si="34"/>
        <v/>
      </c>
      <c r="BY21" s="196" t="str">
        <f t="shared" si="35"/>
        <v/>
      </c>
      <c r="BZ21" s="196" t="str">
        <f t="shared" si="36"/>
        <v/>
      </c>
      <c r="CA21" s="196" t="str">
        <f t="shared" si="37"/>
        <v/>
      </c>
      <c r="CB21" s="196" t="str">
        <f t="shared" si="38"/>
        <v/>
      </c>
      <c r="CC21" s="196" t="str">
        <f t="shared" si="39"/>
        <v/>
      </c>
      <c r="CD21" s="196" t="str">
        <f t="shared" si="40"/>
        <v/>
      </c>
      <c r="CE21" s="196" t="str">
        <f t="shared" si="41"/>
        <v/>
      </c>
      <c r="CF21" s="196" t="str">
        <f t="shared" si="42"/>
        <v/>
      </c>
      <c r="CG21" s="196" t="str">
        <f t="shared" si="43"/>
        <v/>
      </c>
      <c r="CH21" s="196" t="str">
        <f t="shared" si="44"/>
        <v/>
      </c>
      <c r="CI21" s="196" t="str">
        <f t="shared" si="45"/>
        <v/>
      </c>
      <c r="CJ21" s="196" t="str">
        <f t="shared" si="46"/>
        <v/>
      </c>
      <c r="CK21" s="196" t="str">
        <f t="shared" si="47"/>
        <v/>
      </c>
      <c r="CL21" s="196" t="str">
        <f t="shared" si="48"/>
        <v/>
      </c>
      <c r="CM21" s="196" t="str">
        <f t="shared" si="120"/>
        <v/>
      </c>
      <c r="CN21" s="196" t="str">
        <f t="shared" si="49"/>
        <v/>
      </c>
      <c r="CO21" s="196" t="str">
        <f t="shared" si="50"/>
        <v/>
      </c>
      <c r="CP21" s="196" t="str">
        <f t="shared" si="51"/>
        <v/>
      </c>
      <c r="CQ21" s="196" t="str">
        <f t="shared" si="52"/>
        <v/>
      </c>
      <c r="CR21" s="196" t="str">
        <f t="shared" si="53"/>
        <v/>
      </c>
      <c r="CS21" s="196" t="str">
        <f t="shared" si="54"/>
        <v/>
      </c>
      <c r="CT21" s="196" t="str">
        <f t="shared" si="55"/>
        <v/>
      </c>
      <c r="CU21" s="196" t="str">
        <f t="shared" si="56"/>
        <v/>
      </c>
      <c r="CV21" s="196" t="str">
        <f t="shared" si="57"/>
        <v/>
      </c>
      <c r="CW21" s="210" t="str">
        <f t="shared" si="58"/>
        <v/>
      </c>
      <c r="CY21" s="212" t="str">
        <f>IF(I21&lt;&gt;"",IF(H21="&lt;",IF(AND('Outfall 1 Limits'!$AM$16="Y",$BU$54&lt;&gt;"Y",I21&lt;='Outfall 1 Limits'!$AL$16),0,(1*I21)),I21),"")</f>
        <v/>
      </c>
      <c r="CZ21" s="206" t="str">
        <f>IF(K21&lt;&gt;"",IF(J21="&lt;",IF(AND('Outfall 1 Limits'!$AM$20="Y",$BV$54&lt;&gt;"Y",K21&lt;='Outfall 1 Limits'!$AL$20),0,(1*K21)),K21),"")</f>
        <v/>
      </c>
      <c r="DA21" s="206" t="str">
        <f>IF(M21&lt;&gt;"",IF(L21="&lt;",IF(AND('Outfall 1 Limits'!$AM$24="Y",$BW$54&lt;&gt;"Y",M21&lt;='Outfall 1 Limits'!$AL$24),0,(1*M21)),M21),"")</f>
        <v/>
      </c>
      <c r="DB21" s="206" t="str">
        <f>IF(O21&lt;&gt;"",IF(N21="&lt;",IF(AND('Outfall 1 Limits'!$AM$28="Y",$BX$54&lt;&gt;"Y",O21&lt;='Outfall 1 Limits'!$AL$28),0,(1*O21)),O21),"")</f>
        <v/>
      </c>
      <c r="DC21" s="206" t="str">
        <f>IF(Q21&lt;&gt;"",IF(P21="&lt;",IF(AND('Outfall 1 Limits'!$AM$32="Y",$BY$54&lt;&gt;"Y",Q21&lt;='Outfall 1 Limits'!$AL$32),0,(1*Q21)),Q21),"")</f>
        <v/>
      </c>
      <c r="DD21" s="206" t="str">
        <f>IF(S21&lt;&gt;"",IF(R21="&lt;",IF(AND('Outfall 1 Limits'!$AM$36="Y",$BZ$54&lt;&gt;"Y",S21&lt;='Outfall 1 Limits'!$AL$36),0,(1*S21)),S21),"")</f>
        <v/>
      </c>
      <c r="DE21" s="206" t="str">
        <f>IF(U21&lt;&gt;"",IF(T21="&lt;",IF(AND('Outfall 1 Limits'!$AM$40="Y",$CA$54&lt;&gt;"Y",U21&lt;='Outfall 1 Limits'!$AL$40),0,(1*U21)),U21),"")</f>
        <v/>
      </c>
      <c r="DF21" s="206" t="str">
        <f>IF(W21&lt;&gt;"",IF(V21="&lt;",IF(AND('Outfall 1 Limits'!$AM$44="Y",$CB$54&lt;&gt;"Y",W21&lt;='Outfall 1 Limits'!$AL$44),0,(1*W21)),W21),"")</f>
        <v/>
      </c>
      <c r="DG21" s="206" t="str">
        <f>IF(Y21&lt;&gt;"",IF(X21="&lt;",IF(AND('Outfall 1 Limits'!$AM$48="Y",$CC$54&lt;&gt;"Y",Y21&lt;='Outfall 1 Limits'!$AL$48),0,(1*Y21)),Y21),"")</f>
        <v/>
      </c>
      <c r="DH21" s="206" t="str">
        <f>IF(AA21&lt;&gt;"",IF(Z21="&lt;",IF(AND('Outfall 1 Limits'!$AM$52="Y",$CD$54&lt;&gt;"Y",AA21&lt;='Outfall 1 Limits'!$AL$52),0,(1*AA21)),AA21),"")</f>
        <v/>
      </c>
      <c r="DI21" s="206" t="str">
        <f>IF(AC21&lt;&gt;"",IF(AB21="&lt;",IF(AND('Outfall 1 Limits'!$AM$56="Y",$CE$54&lt;&gt;"Y",AC21&lt;='Outfall 1 Limits'!$AL$56),0,(1*AC21)),AC21),"")</f>
        <v/>
      </c>
      <c r="DJ21" s="206" t="str">
        <f>IF(AE21&lt;&gt;"",IF(AD21="&lt;",IF(AND('Outfall 1 Limits'!$AM$60="Y",$CF$54&lt;&gt;"Y",AE21&lt;='Outfall 1 Limits'!$AL$60),0,(1*AE21)),AE21),"")</f>
        <v/>
      </c>
      <c r="DK21" s="206" t="str">
        <f>IF(AG21&lt;&gt;"",IF(AF21="&lt;",IF(AND('Outfall 1 Limits'!$AM$64="Y",$CG$54&lt;&gt;"Y",AG21&lt;='Outfall 1 Limits'!$AL$64),0,(1*AG21)),AG21),"")</f>
        <v/>
      </c>
      <c r="DL21" s="206" t="str">
        <f>IF(AI21&lt;&gt;"",IF(AH21="&lt;",IF(AND('Outfall 1 Limits'!$AM$68="Y",$CH$54&lt;&gt;"Y",AI21&lt;='Outfall 1 Limits'!$AL$68),0,(1*AI21)),AI21),"")</f>
        <v/>
      </c>
      <c r="DM21" s="206" t="str">
        <f>IF(AK21&lt;&gt;"",IF(AJ21="&lt;",IF(AND('Outfall 1 Limits'!$AM$72="Y",$CI$54&lt;&gt;"Y",AK21&lt;='Outfall 1 Limits'!$AL$72),0,(1*AK21)),AK21),"")</f>
        <v/>
      </c>
      <c r="DN21" s="206" t="str">
        <f>IF(AM21&lt;&gt;"",IF(AL21="&lt;",IF(AND('Outfall 1 Limits'!$AM$76="Y",$CJ$54&lt;&gt;"Y",AM21&lt;='Outfall 1 Limits'!$AL$76),0,(1*AM21)),AM21),"")</f>
        <v/>
      </c>
      <c r="DO21" s="206" t="str">
        <f>IF(AO21&lt;&gt;"",IF(AN21="&lt;",IF(AND('Outfall 1 Limits'!$AM$80="Y",$CK$54&lt;&gt;"Y",AO21&lt;='Outfall 1 Limits'!$AL$80),0,(1*AO21)),AO21),"")</f>
        <v/>
      </c>
      <c r="DP21" s="206" t="str">
        <f>IF(AQ21&lt;&gt;"",IF(AP21="&lt;",IF(AND('Outfall 1 Limits'!$AM$84="Y",$CL$54&lt;&gt;"Y",AQ21&lt;='Outfall 1 Limits'!$AL$84),0,(1*AQ21)),AQ21),"")</f>
        <v/>
      </c>
      <c r="DQ21" s="206" t="str">
        <f>IF(AS21&lt;&gt;"",IF(AR21="&lt;",IF(AND('Outfall 1 Limits'!$AM$88="Y",$CM$54&lt;&gt;"Y",AS21&lt;='Outfall 1 Limits'!$AL$88),0,(1*AS21)),AS21),"")</f>
        <v/>
      </c>
      <c r="DR21" s="206" t="str">
        <f>IF(AU21&lt;&gt;"",IF(AT21="&lt;",IF(AND('Outfall 1 Limits'!$AM$92="Y",$CN$54&lt;&gt;"Y",AU21&lt;='Outfall 1 Limits'!$AL$92),0,(1*AU21)),AU21),"")</f>
        <v/>
      </c>
      <c r="DS21" s="206" t="str">
        <f>IF(AW21&lt;&gt;"",IF(AV21="&lt;",IF(AND('Outfall 1 Limits'!$AM$96="Y",$CO$54&lt;&gt;"Y",AW21&lt;='Outfall 1 Limits'!$AL$96),0,(1*AW21)),AW21),"")</f>
        <v/>
      </c>
      <c r="DT21" s="206" t="str">
        <f>IF(AY21&lt;&gt;"",IF(AX21="&lt;",IF(AND('Outfall 1 Limits'!$AM$100="Y",$CP$54&lt;&gt;"Y",AY21&lt;='Outfall 1 Limits'!$AL$100),0,(1*AY21)),AY21),"")</f>
        <v/>
      </c>
      <c r="DU21" s="206" t="str">
        <f>IF(BA21&lt;&gt;"",IF(AZ21="&lt;",IF(AND('Outfall 1 Limits'!$AM$104="Y",$CQ$54&lt;&gt;"Y",BA21&lt;='Outfall 1 Limits'!$AL$104),0,(1*BA21)),BA21),"")</f>
        <v/>
      </c>
      <c r="DV21" s="206" t="str">
        <f>IF(BC21&lt;&gt;"",IF(BB21="&lt;",IF(AND('Outfall 1 Limits'!$AM$108="Y",$CR$54&lt;&gt;"Y",BC21&lt;='Outfall 1 Limits'!$AL$108),0,(1*BC21)),BC21),"")</f>
        <v/>
      </c>
      <c r="DW21" s="206" t="str">
        <f>IF(BE21&lt;&gt;"",IF(BD21="&lt;",IF(AND('Outfall 1 Limits'!$AM$112="Y",$CS$54&lt;&gt;"Y",BE21&lt;='Outfall 1 Limits'!$AL$112),0,(1*BE21)),BE21),"")</f>
        <v/>
      </c>
      <c r="DX21" s="206" t="str">
        <f>IF(BG21&lt;&gt;"",IF(BF21="&lt;",IF(AND('Outfall 1 Limits'!$AM$116="Y",$CT$54&lt;&gt;"Y",BG21&lt;='Outfall 1 Limits'!$AL$116),0,(1*BG21)),BG21),"")</f>
        <v/>
      </c>
      <c r="DY21" s="206" t="str">
        <f>IF(BI21&lt;&gt;"",IF(BH21="&lt;",IF(AND('Outfall 1 Limits'!$AM$120="Y",$CU$54&lt;&gt;"Y",BI21&lt;='Outfall 1 Limits'!$AL$120),0,(1*BI21)),BI21),"")</f>
        <v/>
      </c>
      <c r="DZ21" s="206" t="str">
        <f>IF(BK21&lt;&gt;"",IF(BJ21="&lt;",IF(AND('Outfall 1 Limits'!$AM$124="Y",$CV$54&lt;&gt;"Y",BK21&lt;='Outfall 1 Limits'!$AL$124),0,(1*BK21)),BK21),"")</f>
        <v/>
      </c>
      <c r="EA21" s="223" t="str">
        <f>IF(BM21&lt;&gt;"",IF(BL21="&lt;",IF(AND('Outfall 1 Limits'!$AM$128="Y",$CW$54&lt;&gt;"Y",BM21&lt;='Outfall 1 Limits'!$AL$128),0,(1*BM21)),BM21),"")</f>
        <v/>
      </c>
      <c r="EB21" s="209" t="s">
        <v>1142</v>
      </c>
      <c r="EC21" s="231" t="str">
        <f>IF(EC14&lt;&gt;"",IF(BU60="Y",EC14-0.1,EC14),"")</f>
        <v/>
      </c>
      <c r="ED21" s="232" t="str">
        <f t="shared" ref="ED21:FE21" si="124">IF(ED14&lt;&gt;"",IF(BV60="Y",ED14-0.1,ED14),"")</f>
        <v/>
      </c>
      <c r="EE21" s="232" t="str">
        <f t="shared" si="124"/>
        <v/>
      </c>
      <c r="EF21" s="232" t="str">
        <f t="shared" si="124"/>
        <v/>
      </c>
      <c r="EG21" s="232" t="str">
        <f t="shared" si="124"/>
        <v/>
      </c>
      <c r="EH21" s="232" t="str">
        <f t="shared" si="124"/>
        <v/>
      </c>
      <c r="EI21" s="232" t="str">
        <f t="shared" si="124"/>
        <v/>
      </c>
      <c r="EJ21" s="232" t="str">
        <f t="shared" si="124"/>
        <v/>
      </c>
      <c r="EK21" s="232" t="str">
        <f t="shared" si="124"/>
        <v/>
      </c>
      <c r="EL21" s="232" t="str">
        <f t="shared" si="124"/>
        <v/>
      </c>
      <c r="EM21" s="232" t="str">
        <f t="shared" si="124"/>
        <v/>
      </c>
      <c r="EN21" s="232" t="str">
        <f t="shared" si="124"/>
        <v/>
      </c>
      <c r="EO21" s="232" t="str">
        <f t="shared" si="124"/>
        <v/>
      </c>
      <c r="EP21" s="232" t="str">
        <f t="shared" si="124"/>
        <v/>
      </c>
      <c r="EQ21" s="232" t="str">
        <f t="shared" si="124"/>
        <v/>
      </c>
      <c r="ER21" s="232" t="str">
        <f t="shared" si="124"/>
        <v/>
      </c>
      <c r="ES21" s="232" t="str">
        <f t="shared" si="124"/>
        <v/>
      </c>
      <c r="ET21" s="232" t="str">
        <f t="shared" si="124"/>
        <v/>
      </c>
      <c r="EU21" s="232" t="str">
        <f t="shared" si="124"/>
        <v/>
      </c>
      <c r="EV21" s="232" t="str">
        <f t="shared" si="124"/>
        <v/>
      </c>
      <c r="EW21" s="232" t="str">
        <f t="shared" si="124"/>
        <v/>
      </c>
      <c r="EX21" s="232" t="str">
        <f t="shared" si="124"/>
        <v/>
      </c>
      <c r="EY21" s="232" t="str">
        <f t="shared" si="124"/>
        <v/>
      </c>
      <c r="EZ21" s="232" t="str">
        <f t="shared" si="124"/>
        <v/>
      </c>
      <c r="FA21" s="232" t="str">
        <f t="shared" si="124"/>
        <v/>
      </c>
      <c r="FB21" s="232" t="str">
        <f t="shared" si="124"/>
        <v/>
      </c>
      <c r="FC21" s="232" t="str">
        <f t="shared" si="124"/>
        <v/>
      </c>
      <c r="FD21" s="232" t="str">
        <f t="shared" si="124"/>
        <v/>
      </c>
      <c r="FE21" s="233" t="str">
        <f t="shared" si="124"/>
        <v/>
      </c>
      <c r="FG21" s="212" t="str">
        <f>IF(AND($G21&lt;&gt;"",$G21&gt;0,'Outfall 1 Limits'!$AX$16="C1",I21&lt;&gt;""),I21*$G21*8.34,IF(AND($I21&lt;&gt;"",'Outfall 1 Limits'!$AX$16="L"),I21,""))</f>
        <v/>
      </c>
      <c r="FH21" s="206" t="str">
        <f>IF(AND($G21&lt;&gt;"",$G21&gt;0,'Outfall 1 Limits'!$AX$20="C1",$K21&lt;&gt;""),$K21*$G21*8.34,IF(AND($K21&lt;&gt;"",'Outfall 1 Limits'!$AX$20="L"),$K21,""))</f>
        <v/>
      </c>
      <c r="FI21" s="206" t="str">
        <f>IF(AND($G21&lt;&gt;"",$G21&gt;0,'Outfall 1 Limits'!$AX$24="C1",$M21&lt;&gt;""),$M21*$G21*8.34,IF(AND($M21&lt;&gt;"",'Outfall 1 Limits'!$AX$24="L"),$M21,""))</f>
        <v/>
      </c>
      <c r="FJ21" s="206" t="str">
        <f>IF(AND($G21&lt;&gt;"",$G21&gt;0,'Outfall 1 Limits'!$AX$28="C1",$O21&lt;&gt;""),$O21*$G21*8.34,IF(AND($O21&lt;&gt;"",'Outfall 1 Limits'!$AX$28="L"),$O21,""))</f>
        <v/>
      </c>
      <c r="FK21" s="206" t="str">
        <f>IF(AND($G21&lt;&gt;"",$G21&gt;0,'Outfall 1 Limits'!$AX$32="C1",$Q21&lt;&gt;""),$Q21*$G21*8.34,IF(AND($Q21&lt;&gt;"",'Outfall 1 Limits'!$AX$32="L"),$Q21,""))</f>
        <v/>
      </c>
      <c r="FL21" s="206" t="str">
        <f>IF(AND($G21&lt;&gt;"",$G21&gt;0,'Outfall 1 Limits'!$AX$36="C1",$S21&lt;&gt;""),$S21*$G21*8.34,IF(AND($S21&lt;&gt;"",'Outfall 1 Limits'!$AX$36="L"),$S21,""))</f>
        <v/>
      </c>
      <c r="FM21" s="206" t="str">
        <f>IF(AND($G21&lt;&gt;"",$G21&gt;0,'Outfall 1 Limits'!$AX$40="C1",$U21&lt;&gt;""),$U21*$G21*8.34,IF(AND($U21&lt;&gt;"",'Outfall 1 Limits'!$AX$40="L"),$U21,""))</f>
        <v/>
      </c>
      <c r="FN21" s="206" t="str">
        <f>IF(AND($G21&lt;&gt;"",$G21&gt;0,'Outfall 1 Limits'!$AX$44="C1",$W21&lt;&gt;""),$W21*$G21*8.34,IF(AND($W21&lt;&gt;"",'Outfall 1 Limits'!$AX$44="L"),$W21,""))</f>
        <v/>
      </c>
      <c r="FO21" s="206" t="str">
        <f>IF(AND($G21&lt;&gt;"",$G21&gt;0,'Outfall 1 Limits'!$AX$48="C1",$Y21&lt;&gt;""),$Y21*$G21*8.34,IF(AND($Y21&lt;&gt;"",'Outfall 1 Limits'!$AX$48="L"),$Y21,""))</f>
        <v/>
      </c>
      <c r="FP21" s="206" t="str">
        <f>IF(AND($G21&lt;&gt;"",$G21&gt;0,'Outfall 1 Limits'!$AX$52="C1",$AA21&lt;&gt;""),$AA21*$G21*8.34,IF(AND($AA21&lt;&gt;"",'Outfall 1 Limits'!$AX$52="L"),$AA21,""))</f>
        <v/>
      </c>
      <c r="FQ21" s="206" t="str">
        <f>IF(AND($G21&lt;&gt;"",$G21&gt;0,'Outfall 1 Limits'!$AX$56="C1",$AC21&lt;&gt;""),$AC21*$G21*8.34,IF(AND($AC21&lt;&gt;"",'Outfall 1 Limits'!$AX$56="L"),$AC21,""))</f>
        <v/>
      </c>
      <c r="FR21" s="206" t="str">
        <f>IF(AND($G21&lt;&gt;"",$G21&gt;0,'Outfall 1 Limits'!$AX$60="C1",$AE21&lt;&gt;""),$AE21*$G21*8.34,IF(AND($AE21&lt;&gt;"",'Outfall 1 Limits'!$AX$60="L"),$AE21,""))</f>
        <v/>
      </c>
      <c r="FS21" s="206" t="str">
        <f>IF(AND($G21&lt;&gt;"",$G21&gt;0,'Outfall 1 Limits'!$AX$64="C1",$AG21&lt;&gt;""),$AG21*$G21*8.34,IF(AND($AG21&lt;&gt;"",'Outfall 1 Limits'!$AX$64="L"),$AG21,""))</f>
        <v/>
      </c>
      <c r="FT21" s="206" t="str">
        <f>IF(AND($G21&lt;&gt;"",$G21&gt;0,'Outfall 1 Limits'!$AX$68="C1",$AI21&lt;&gt;""),$AI21*$G21*8.34,IF(AND($AI21&lt;&gt;"",'Outfall 1 Limits'!$AX$68="L"),$AI21,""))</f>
        <v/>
      </c>
      <c r="FU21" s="206" t="str">
        <f>IF(AND($G21&lt;&gt;"",$G21&gt;0,'Outfall 1 Limits'!$AX$72="C1",$AK21&lt;&gt;""),$AK21*$G21*8.34,IF(AND($AK21&lt;&gt;"",'Outfall 1 Limits'!$AX$72="L"),$AK21,""))</f>
        <v/>
      </c>
      <c r="FV21" s="206" t="str">
        <f>IF(AND($G21&lt;&gt;"",$G21&gt;0,'Outfall 1 Limits'!$AX$76="C1",$AM21&lt;&gt;""),$AM21*$G21*8.34,IF(AND($AM21&lt;&gt;"",'Outfall 1 Limits'!$AX$76="L"),$AM21,""))</f>
        <v/>
      </c>
      <c r="FW21" s="206" t="str">
        <f>IF(AND($G21&lt;&gt;"",$G21&gt;0,'Outfall 1 Limits'!$AX$80="C1",$AO21&lt;&gt;""),$AO21*$G21*8.34,IF(AND($AO21&lt;&gt;"",'Outfall 1 Limits'!$AX$80="L"),$AO21,""))</f>
        <v/>
      </c>
      <c r="FX21" s="206" t="str">
        <f>IF(AND($G21&lt;&gt;"",$G21&gt;0,'Outfall 1 Limits'!$AX$84="C1",$AQ21&lt;&gt;""),$AQ21*$G21*8.34,IF(AND($AQ21&lt;&gt;"",'Outfall 1 Limits'!$AX$84="L"),$AQ21,""))</f>
        <v/>
      </c>
      <c r="FY21" s="206" t="str">
        <f>IF(AND($G21&lt;&gt;"",$G21&gt;0,'Outfall 1 Limits'!$AX$88="C1",$AS21&lt;&gt;""),$AS21*$G21*8.34,IF(AND($AS21&lt;&gt;"",'Outfall 1 Limits'!$AX$88="L"),$AS21,""))</f>
        <v/>
      </c>
      <c r="FZ21" s="206" t="str">
        <f>IF(AND($G21&lt;&gt;"",$G21&gt;0,'Outfall 1 Limits'!$AX$92="C1",$AU21&lt;&gt;""),$AU21*$G21*8.34,IF(AND($AU21&lt;&gt;"",'Outfall 1 Limits'!$AX$92="L"),$AU21,""))</f>
        <v/>
      </c>
      <c r="GA21" s="206" t="str">
        <f>IF(AND($G21&lt;&gt;"",$G21&gt;0,'Outfall 1 Limits'!$AX$96="C1",$AW21&lt;&gt;""),$AW21*$G21*8.34,IF(AND($AW21&lt;&gt;"",'Outfall 1 Limits'!$AX$96="L"),$AW21,""))</f>
        <v/>
      </c>
      <c r="GB21" s="206" t="str">
        <f>IF(AND($G21&lt;&gt;"",$G21&gt;0,'Outfall 1 Limits'!$AX$100="C1",$AY21&lt;&gt;""),$AY21*$G21*8.34,IF(AND($AY21&lt;&gt;"",'Outfall 1 Limits'!$AX$100="L"),$AY21,""))</f>
        <v/>
      </c>
      <c r="GC21" s="206" t="str">
        <f>IF(AND($G21&lt;&gt;"",$G21&gt;0,'Outfall 1 Limits'!$AX$104="C1",$BA21&lt;&gt;""),$BA21*$G21*8.34,IF(AND($BA21&lt;&gt;"",'Outfall 1 Limits'!$AX$104="L"),$BA21,""))</f>
        <v/>
      </c>
      <c r="GD21" s="206" t="str">
        <f>IF(AND($G21&lt;&gt;"",$G21&gt;0,'Outfall 1 Limits'!$AX$108="C1",$BC21&lt;&gt;""),$BC21*$G21*8.34,IF(AND($BC21&lt;&gt;"",'Outfall 1 Limits'!$AX$108="L"),$BC21,""))</f>
        <v/>
      </c>
      <c r="GE21" s="206" t="str">
        <f>IF(AND($G21&lt;&gt;"",$G21&gt;0,'Outfall 1 Limits'!$AX$112="C1",$BE21&lt;&gt;""),$BE21*$G21*8.34,IF(AND($BE21&lt;&gt;"",'Outfall 1 Limits'!$AX$112="L"),$BE21,""))</f>
        <v/>
      </c>
      <c r="GF21" s="206" t="str">
        <f>IF(AND($G21&lt;&gt;"",$G21&gt;0,'Outfall 1 Limits'!$AX$116="C1",$BG21&lt;&gt;""),$BG21*$G21*8.34,IF(AND($BG21&lt;&gt;"",'Outfall 1 Limits'!$AX$116="L"),$BG21,""))</f>
        <v/>
      </c>
      <c r="GG21" s="206" t="str">
        <f>IF(AND($G21&lt;&gt;"",$G21&gt;0,'Outfall 1 Limits'!$AX$120="C1",$BI21&lt;&gt;""),$BI21*$G21*8.34,IF(AND($BI21&lt;&gt;"",'Outfall 1 Limits'!$AX$120="L"),$BI21,""))</f>
        <v/>
      </c>
      <c r="GH21" s="206" t="str">
        <f>IF(AND($G21&lt;&gt;"",$G21&gt;0,'Outfall 1 Limits'!$AX$124="C1",$BK21&lt;&gt;""),$BK21*$G21*8.34,IF(AND($BK21&lt;&gt;"",'Outfall 1 Limits'!$AX$124="L"),$BK21,""))</f>
        <v/>
      </c>
      <c r="GI21" s="223" t="str">
        <f>IF(AND($G21&lt;&gt;"",$G21&gt;0,'Outfall 1 Limits'!$AX$128="C1",$BM21&lt;&gt;""),$BM21*$G21*8.34,IF(AND($BM21&lt;&gt;"",'Outfall 1 Limits'!$AX$128="L"),$BM21,""))</f>
        <v/>
      </c>
      <c r="GJ21" s="177" t="str">
        <f t="shared" si="59"/>
        <v/>
      </c>
      <c r="GK21" s="212" t="str">
        <f>IF(AND($G21&lt;&gt;"",$G21&gt;0,'Outfall 1 Limits'!$AX$16="C1",CY21&lt;&gt;""),CY21*$G21*8.34,IF(AND(CY21&lt;&gt;"",'Outfall 1 Limits'!$AX$16="L"),CY21,""))</f>
        <v/>
      </c>
      <c r="GL21" s="206" t="str">
        <f>IF(AND($G21&lt;&gt;"",$G21&gt;0,'Outfall 1 Limits'!$AX$20="C1",CZ21&lt;&gt;""),CZ21*$G21*8.34,IF(AND(CZ21&lt;&gt;"",'Outfall 1 Limits'!$AX$20="L"),CZ21,""))</f>
        <v/>
      </c>
      <c r="GM21" s="206" t="str">
        <f>IF(AND($G21&lt;&gt;"",$G21&gt;0,'Outfall 1 Limits'!$AX$24="C1",DA21&lt;&gt;""),DA21*$G21*8.34,IF(AND(DA21&lt;&gt;"",'Outfall 1 Limits'!$AX$24="L"),DA21,""))</f>
        <v/>
      </c>
      <c r="GN21" s="206" t="str">
        <f>IF(AND($G21&lt;&gt;"",$G21&gt;0,'Outfall 1 Limits'!$AX$28="C1",DB21&lt;&gt;""),DB21*$G21*8.34,IF(AND(DB21&lt;&gt;"",'Outfall 1 Limits'!$AX$28="L"),DB21,""))</f>
        <v/>
      </c>
      <c r="GO21" s="206" t="str">
        <f>IF(AND($G21&lt;&gt;"",$G21&gt;0,'Outfall 1 Limits'!$AX$32="C1",DC21&lt;&gt;""),DC21*$G21*8.34,IF(AND(DC21&lt;&gt;"",'Outfall 1 Limits'!$AX$32="L"),DC21,""))</f>
        <v/>
      </c>
      <c r="GP21" s="206" t="str">
        <f>IF(AND($G21&lt;&gt;"",$G21&gt;0,'Outfall 1 Limits'!$AX$36="C1",DD21&lt;&gt;""),DD21*$G21*8.34,IF(AND(DD21&lt;&gt;"",'Outfall 1 Limits'!$AX$36="L"),DD21,""))</f>
        <v/>
      </c>
      <c r="GQ21" s="206" t="str">
        <f>IF(AND($G21&lt;&gt;"",$G21&gt;0,'Outfall 1 Limits'!$AX$40="C1",DE21&lt;&gt;""),DE21*$G21*8.34,IF(AND(DE21&lt;&gt;"",'Outfall 1 Limits'!$AX$40="L"),DE21,""))</f>
        <v/>
      </c>
      <c r="GR21" s="206" t="str">
        <f>IF(AND($G21&lt;&gt;"",$G21&gt;0,'Outfall 1 Limits'!$AX$44="C1",DF21&lt;&gt;""),DF21*$G21*8.34,IF(AND(DF21&lt;&gt;"",'Outfall 1 Limits'!$AX$44="L"),DF21,""))</f>
        <v/>
      </c>
      <c r="GS21" s="206" t="str">
        <f>IF(AND($G21&lt;&gt;"",$G21&gt;0,'Outfall 1 Limits'!$AX$48="C1",DG21&lt;&gt;""),DG21*$G21*8.34,IF(AND(DG21&lt;&gt;"",'Outfall 1 Limits'!$AX$48="L"),DG21,""))</f>
        <v/>
      </c>
      <c r="GT21" s="206" t="str">
        <f>IF(AND($G21&lt;&gt;"",$G21&gt;0,'Outfall 1 Limits'!$AX$52="C1",DH21&lt;&gt;""),DH21*$G21*8.34,IF(AND(DH21&lt;&gt;"",'Outfall 1 Limits'!$AX$52="L"),DH21,""))</f>
        <v/>
      </c>
      <c r="GU21" s="206" t="str">
        <f>IF(AND($G21&lt;&gt;"",$G21&gt;0,'Outfall 1 Limits'!$AX$56="C1",DI21&lt;&gt;""),DI21*$G21*8.34,IF(AND(DI21&lt;&gt;"",'Outfall 1 Limits'!$AX$56="L"),DI21,""))</f>
        <v/>
      </c>
      <c r="GV21" s="206" t="str">
        <f>IF(AND($G21&lt;&gt;"",$G21&gt;0,'Outfall 1 Limits'!$AX$60="C1",DJ21&lt;&gt;""),DJ21*$G21*8.34,IF(AND(DJ21&lt;&gt;"",'Outfall 1 Limits'!$AX$60="L"),DJ21,""))</f>
        <v/>
      </c>
      <c r="GW21" s="206" t="str">
        <f>IF(AND($G21&lt;&gt;"",$G21&gt;0,'Outfall 1 Limits'!$AX$64="C1",DK21&lt;&gt;""),DK21*$G21*8.34,IF(AND(DK21&lt;&gt;"",'Outfall 1 Limits'!$AX$64="L"),DK21,""))</f>
        <v/>
      </c>
      <c r="GX21" s="206" t="str">
        <f>IF(AND($G21&lt;&gt;"",$G21&gt;0,'Outfall 1 Limits'!$AX$68="C1",DL21&lt;&gt;""),DL21*$G21*8.34,IF(AND(DL21&lt;&gt;"",'Outfall 1 Limits'!$AX$68="L"),DL21,""))</f>
        <v/>
      </c>
      <c r="GY21" s="206" t="str">
        <f>IF(AND($G21&lt;&gt;"",$G21&gt;0,'Outfall 1 Limits'!$AX$72="C1",DM21&lt;&gt;""),DM21*$G21*8.34,IF(AND(DM21&lt;&gt;"",'Outfall 1 Limits'!$AX$72="L"),DM21,""))</f>
        <v/>
      </c>
      <c r="GZ21" s="206" t="str">
        <f>IF(AND($G21&lt;&gt;"",$G21&gt;0,'Outfall 1 Limits'!$AX$76="C1",DN21&lt;&gt;""),DN21*$G21*8.34,IF(AND(DN21&lt;&gt;"",'Outfall 1 Limits'!$AX$76="L"),DN21,""))</f>
        <v/>
      </c>
      <c r="HA21" s="206" t="str">
        <f>IF(AND($G21&lt;&gt;"",$G21&gt;0,'Outfall 1 Limits'!$AX$80="C1",DO21&lt;&gt;""),DO21*$G21*8.34,IF(AND(DO21&lt;&gt;"",'Outfall 1 Limits'!$AX$80="L"),DO21,""))</f>
        <v/>
      </c>
      <c r="HB21" s="206" t="str">
        <f>IF(AND($G21&lt;&gt;"",$G21&gt;0,'Outfall 1 Limits'!$AX$84="C1",DP21&lt;&gt;""),DP21*$G21*8.34,IF(AND(DP21&lt;&gt;"",'Outfall 1 Limits'!$AX$84="L"),DP21,""))</f>
        <v/>
      </c>
      <c r="HC21" s="206" t="str">
        <f>IF(AND($G21&lt;&gt;"",$G21&gt;0,'Outfall 1 Limits'!$AX$88="C1",DQ21&lt;&gt;""),DQ21*$G21*8.34,IF(AND(DQ21&lt;&gt;"",'Outfall 1 Limits'!$AX$88="L"),DQ21,""))</f>
        <v/>
      </c>
      <c r="HD21" s="206" t="str">
        <f>IF(AND($G21&lt;&gt;"",$G21&gt;0,'Outfall 1 Limits'!$AX$92="C1",DR21&lt;&gt;""),DR21*$G21*8.34,IF(AND(DR21&lt;&gt;"",'Outfall 1 Limits'!$AX$92="L"),DR21,""))</f>
        <v/>
      </c>
      <c r="HE21" s="206" t="str">
        <f>IF(AND($G21&lt;&gt;"",$G21&gt;0,'Outfall 1 Limits'!$AX$96="C1",DS21&lt;&gt;""),DS21*$G21*8.34,IF(AND(DS21&lt;&gt;"",'Outfall 1 Limits'!$AX$96="L"),DS21,""))</f>
        <v/>
      </c>
      <c r="HF21" s="206" t="str">
        <f>IF(AND($G21&lt;&gt;"",$G21&gt;0,'Outfall 1 Limits'!$AX$100="C1",DT21&lt;&gt;""),DT21*$G21*8.34,IF(AND(DT21&lt;&gt;"",'Outfall 1 Limits'!$AX$100="L"),DT21,""))</f>
        <v/>
      </c>
      <c r="HG21" s="206" t="str">
        <f>IF(AND($G21&lt;&gt;"",$G21&gt;0,'Outfall 1 Limits'!$AX$104="C1",DU21&lt;&gt;""),DU21*$G21*8.34,IF(AND(DU21&lt;&gt;"",'Outfall 1 Limits'!$AX$104="L"),DU21,""))</f>
        <v/>
      </c>
      <c r="HH21" s="206" t="str">
        <f>IF(AND($G21&lt;&gt;"",$G21&gt;0,'Outfall 1 Limits'!$AX$108="C1",DV21&lt;&gt;""),DV21*$G21*8.34,IF(AND(DV21&lt;&gt;"",'Outfall 1 Limits'!$AX$108="L"),DV21,""))</f>
        <v/>
      </c>
      <c r="HI21" s="206" t="str">
        <f>IF(AND($G21&lt;&gt;"",$G21&gt;0,'Outfall 1 Limits'!$AX$112="C1",DW21&lt;&gt;""),DW21*$G21*8.34,IF(AND(DW21&lt;&gt;"",'Outfall 1 Limits'!$AX$112="L"),DW21,""))</f>
        <v/>
      </c>
      <c r="HJ21" s="206" t="str">
        <f>IF(AND($G21&lt;&gt;"",$G21&gt;0,'Outfall 1 Limits'!$AX$116="C1",DX21&lt;&gt;""),DX21*$G21*8.34,IF(AND(DX21&lt;&gt;"",'Outfall 1 Limits'!$AX$116="L"),DX21,""))</f>
        <v/>
      </c>
      <c r="HK21" s="206" t="str">
        <f>IF(AND($G21&lt;&gt;"",$G21&gt;0,'Outfall 1 Limits'!$AX$120="C1",DY21&lt;&gt;""),DY21*$G21*8.34,IF(AND(DY21&lt;&gt;"",'Outfall 1 Limits'!$AX$120="L"),DY21,""))</f>
        <v/>
      </c>
      <c r="HL21" s="206" t="str">
        <f>IF(AND($G21&lt;&gt;"",$G21&gt;0,'Outfall 1 Limits'!$AX$124="C1",DZ21&lt;&gt;""),DZ21*$G21*8.34,IF(AND(DZ21&lt;&gt;"",'Outfall 1 Limits'!$AX$124="L"),DZ21,""))</f>
        <v/>
      </c>
      <c r="HM21" s="223" t="str">
        <f>IF(AND($G21&lt;&gt;"",$G21&gt;0,'Outfall 1 Limits'!$AX$128="C1",EA21&lt;&gt;""),EA21*$G21*8.34,IF(AND(EA21&lt;&gt;"",'Outfall 1 Limits'!$AX$128="L"),EA21,""))</f>
        <v/>
      </c>
      <c r="HO21" s="224" t="str">
        <f t="shared" si="60"/>
        <v/>
      </c>
      <c r="HS21" s="202" t="str">
        <f t="shared" si="61"/>
        <v/>
      </c>
      <c r="HT21" s="196" t="str">
        <f t="shared" si="62"/>
        <v/>
      </c>
      <c r="HU21" s="196" t="str">
        <f t="shared" si="63"/>
        <v/>
      </c>
      <c r="HV21" s="196" t="str">
        <f t="shared" si="64"/>
        <v/>
      </c>
      <c r="HW21" s="196" t="str">
        <f t="shared" si="65"/>
        <v/>
      </c>
      <c r="HX21" s="196" t="str">
        <f t="shared" si="66"/>
        <v/>
      </c>
      <c r="HY21" s="196" t="str">
        <f t="shared" si="67"/>
        <v/>
      </c>
      <c r="HZ21" s="196" t="str">
        <f t="shared" si="68"/>
        <v/>
      </c>
      <c r="IA21" s="196" t="str">
        <f t="shared" si="69"/>
        <v/>
      </c>
      <c r="IB21" s="196" t="str">
        <f t="shared" si="70"/>
        <v/>
      </c>
      <c r="IC21" s="196" t="str">
        <f t="shared" si="71"/>
        <v/>
      </c>
      <c r="ID21" s="196" t="str">
        <f t="shared" si="72"/>
        <v/>
      </c>
      <c r="IE21" s="196" t="str">
        <f t="shared" si="73"/>
        <v/>
      </c>
      <c r="IF21" s="196" t="str">
        <f t="shared" si="74"/>
        <v/>
      </c>
      <c r="IG21" s="196" t="str">
        <f t="shared" si="75"/>
        <v/>
      </c>
      <c r="IH21" s="196" t="str">
        <f t="shared" si="76"/>
        <v/>
      </c>
      <c r="II21" s="196" t="str">
        <f t="shared" si="77"/>
        <v/>
      </c>
      <c r="IJ21" s="196" t="str">
        <f t="shared" si="78"/>
        <v/>
      </c>
      <c r="IK21" s="196" t="str">
        <f t="shared" si="79"/>
        <v/>
      </c>
      <c r="IL21" s="196" t="str">
        <f t="shared" si="80"/>
        <v/>
      </c>
      <c r="IM21" s="196" t="str">
        <f t="shared" si="81"/>
        <v/>
      </c>
      <c r="IN21" s="196" t="str">
        <f t="shared" si="82"/>
        <v/>
      </c>
      <c r="IO21" s="196" t="str">
        <f t="shared" si="83"/>
        <v/>
      </c>
      <c r="IP21" s="196" t="str">
        <f t="shared" si="84"/>
        <v/>
      </c>
      <c r="IQ21" s="196" t="str">
        <f t="shared" si="85"/>
        <v/>
      </c>
      <c r="IR21" s="196" t="str">
        <f t="shared" si="86"/>
        <v/>
      </c>
      <c r="IS21" s="196" t="str">
        <f t="shared" si="87"/>
        <v/>
      </c>
      <c r="IT21" s="196" t="str">
        <f t="shared" si="88"/>
        <v/>
      </c>
      <c r="IU21" s="210" t="str">
        <f t="shared" si="89"/>
        <v/>
      </c>
      <c r="IX21" s="202" t="str">
        <f t="shared" si="90"/>
        <v/>
      </c>
      <c r="IY21" s="196" t="str">
        <f t="shared" si="91"/>
        <v/>
      </c>
      <c r="IZ21" s="196" t="str">
        <f t="shared" si="92"/>
        <v/>
      </c>
      <c r="JA21" s="196" t="str">
        <f t="shared" si="93"/>
        <v/>
      </c>
      <c r="JB21" s="196" t="str">
        <f t="shared" si="94"/>
        <v/>
      </c>
      <c r="JC21" s="196" t="str">
        <f t="shared" si="95"/>
        <v/>
      </c>
      <c r="JD21" s="196" t="str">
        <f t="shared" si="96"/>
        <v/>
      </c>
      <c r="JE21" s="196" t="str">
        <f t="shared" si="97"/>
        <v/>
      </c>
      <c r="JF21" s="196" t="str">
        <f t="shared" si="98"/>
        <v/>
      </c>
      <c r="JG21" s="196" t="str">
        <f t="shared" si="99"/>
        <v/>
      </c>
      <c r="JH21" s="196" t="str">
        <f t="shared" si="100"/>
        <v/>
      </c>
      <c r="JI21" s="196" t="str">
        <f t="shared" si="101"/>
        <v/>
      </c>
      <c r="JJ21" s="196" t="str">
        <f t="shared" si="102"/>
        <v/>
      </c>
      <c r="JK21" s="196" t="str">
        <f t="shared" si="103"/>
        <v/>
      </c>
      <c r="JL21" s="196" t="str">
        <f t="shared" si="104"/>
        <v/>
      </c>
      <c r="JM21" s="196" t="str">
        <f t="shared" si="105"/>
        <v/>
      </c>
      <c r="JN21" s="196" t="str">
        <f t="shared" si="106"/>
        <v/>
      </c>
      <c r="JO21" s="196" t="str">
        <f t="shared" si="107"/>
        <v/>
      </c>
      <c r="JP21" s="196" t="str">
        <f t="shared" si="108"/>
        <v/>
      </c>
      <c r="JQ21" s="196" t="str">
        <f t="shared" si="109"/>
        <v/>
      </c>
      <c r="JR21" s="196" t="str">
        <f t="shared" si="110"/>
        <v/>
      </c>
      <c r="JS21" s="196" t="str">
        <f t="shared" si="111"/>
        <v/>
      </c>
      <c r="JT21" s="196" t="str">
        <f t="shared" si="112"/>
        <v/>
      </c>
      <c r="JU21" s="196" t="str">
        <f t="shared" si="113"/>
        <v/>
      </c>
      <c r="JV21" s="196" t="str">
        <f t="shared" si="114"/>
        <v/>
      </c>
      <c r="JW21" s="196" t="str">
        <f t="shared" si="115"/>
        <v/>
      </c>
      <c r="JX21" s="196" t="str">
        <f t="shared" si="116"/>
        <v/>
      </c>
      <c r="JY21" s="196" t="str">
        <f t="shared" si="117"/>
        <v/>
      </c>
      <c r="JZ21" s="210" t="str">
        <f t="shared" si="118"/>
        <v/>
      </c>
      <c r="KA21" s="196"/>
      <c r="KB21" s="176"/>
      <c r="KC21" s="227"/>
      <c r="KD21" s="218" t="str">
        <f t="shared" si="2"/>
        <v/>
      </c>
      <c r="KE21" s="196" t="str">
        <f t="shared" si="3"/>
        <v/>
      </c>
      <c r="KF21" s="196" t="str">
        <f t="shared" si="4"/>
        <v/>
      </c>
      <c r="KG21" s="196" t="str">
        <f t="shared" si="5"/>
        <v/>
      </c>
      <c r="KH21" s="196" t="str">
        <f t="shared" si="6"/>
        <v/>
      </c>
      <c r="KI21" s="196" t="str">
        <f t="shared" si="7"/>
        <v/>
      </c>
      <c r="KJ21" s="196" t="str">
        <f t="shared" si="8"/>
        <v/>
      </c>
      <c r="KK21" s="196" t="str">
        <f t="shared" si="9"/>
        <v/>
      </c>
      <c r="KL21" s="196" t="str">
        <f t="shared" si="10"/>
        <v/>
      </c>
      <c r="KM21" s="196" t="str">
        <f t="shared" si="11"/>
        <v/>
      </c>
      <c r="KN21" s="196" t="str">
        <f t="shared" si="12"/>
        <v/>
      </c>
      <c r="KO21" s="196" t="str">
        <f t="shared" si="13"/>
        <v/>
      </c>
      <c r="KP21" s="196" t="str">
        <f t="shared" si="14"/>
        <v/>
      </c>
      <c r="KQ21" s="196" t="str">
        <f t="shared" si="15"/>
        <v/>
      </c>
      <c r="KR21" s="196" t="str">
        <f t="shared" si="16"/>
        <v/>
      </c>
      <c r="KS21" s="196" t="str">
        <f t="shared" si="17"/>
        <v/>
      </c>
      <c r="KT21" s="196" t="str">
        <f t="shared" si="18"/>
        <v/>
      </c>
      <c r="KU21" s="196" t="str">
        <f t="shared" si="19"/>
        <v/>
      </c>
      <c r="KV21" s="196" t="str">
        <f t="shared" si="20"/>
        <v/>
      </c>
      <c r="KW21" s="196" t="str">
        <f t="shared" si="21"/>
        <v/>
      </c>
      <c r="KX21" s="196" t="str">
        <f t="shared" si="22"/>
        <v/>
      </c>
      <c r="KY21" s="196" t="str">
        <f t="shared" si="23"/>
        <v/>
      </c>
      <c r="KZ21" s="196" t="str">
        <f t="shared" si="24"/>
        <v/>
      </c>
      <c r="LA21" s="196" t="str">
        <f t="shared" si="25"/>
        <v/>
      </c>
      <c r="LB21" s="196" t="str">
        <f t="shared" si="26"/>
        <v/>
      </c>
      <c r="LC21" s="196" t="str">
        <f t="shared" si="27"/>
        <v/>
      </c>
      <c r="LD21" s="196" t="str">
        <f t="shared" si="28"/>
        <v/>
      </c>
      <c r="LE21" s="196" t="str">
        <f t="shared" si="29"/>
        <v/>
      </c>
      <c r="LF21" s="226" t="str">
        <f t="shared" si="30"/>
        <v/>
      </c>
    </row>
    <row r="22" spans="1:318" s="172" customFormat="1" ht="11.45" customHeight="1" x14ac:dyDescent="0.2">
      <c r="A22" s="35"/>
      <c r="B22" s="54"/>
      <c r="C22" s="438">
        <f t="shared" si="0"/>
        <v>45296</v>
      </c>
      <c r="D22" s="438"/>
      <c r="E22" s="430">
        <f t="shared" si="119"/>
        <v>45296</v>
      </c>
      <c r="F22" s="431"/>
      <c r="G22" s="26"/>
      <c r="H22" s="51"/>
      <c r="I22" s="50"/>
      <c r="J22" s="51"/>
      <c r="K22" s="50"/>
      <c r="L22" s="51"/>
      <c r="M22" s="50"/>
      <c r="N22" s="51"/>
      <c r="O22" s="50"/>
      <c r="P22" s="51"/>
      <c r="Q22" s="50"/>
      <c r="R22" s="51"/>
      <c r="S22" s="50"/>
      <c r="T22" s="51"/>
      <c r="U22" s="50"/>
      <c r="V22" s="51"/>
      <c r="W22" s="50"/>
      <c r="X22" s="276"/>
      <c r="Y22" s="50"/>
      <c r="Z22" s="51"/>
      <c r="AA22" s="50"/>
      <c r="AB22" s="51"/>
      <c r="AC22" s="50"/>
      <c r="AD22" s="51"/>
      <c r="AE22" s="50"/>
      <c r="AF22" s="51"/>
      <c r="AG22" s="50"/>
      <c r="AH22" s="51"/>
      <c r="AI22" s="50"/>
      <c r="AJ22" s="51"/>
      <c r="AK22" s="50"/>
      <c r="AL22" s="51"/>
      <c r="AM22" s="50"/>
      <c r="AN22" s="51"/>
      <c r="AO22" s="50"/>
      <c r="AP22" s="51"/>
      <c r="AQ22" s="50"/>
      <c r="AR22" s="51"/>
      <c r="AS22" s="50"/>
      <c r="AT22" s="51"/>
      <c r="AU22" s="50"/>
      <c r="AV22" s="51"/>
      <c r="AW22" s="50"/>
      <c r="AX22" s="51"/>
      <c r="AY22" s="50"/>
      <c r="AZ22" s="51"/>
      <c r="BA22" s="50"/>
      <c r="BB22" s="51"/>
      <c r="BC22" s="50"/>
      <c r="BD22" s="51"/>
      <c r="BE22" s="50"/>
      <c r="BF22" s="51"/>
      <c r="BG22" s="50"/>
      <c r="BH22" s="51"/>
      <c r="BI22" s="50"/>
      <c r="BJ22" s="51"/>
      <c r="BK22" s="50"/>
      <c r="BL22" s="51"/>
      <c r="BM22" s="109"/>
      <c r="BO22" s="174"/>
      <c r="BP22" s="174">
        <v>2041</v>
      </c>
      <c r="BQ22" s="221" t="s">
        <v>37</v>
      </c>
      <c r="BR22" s="222"/>
      <c r="BS22" s="174" t="s">
        <v>1109</v>
      </c>
      <c r="BU22" s="202" t="str">
        <f t="shared" si="31"/>
        <v/>
      </c>
      <c r="BV22" s="196" t="str">
        <f t="shared" si="32"/>
        <v/>
      </c>
      <c r="BW22" s="196" t="str">
        <f t="shared" si="33"/>
        <v/>
      </c>
      <c r="BX22" s="196" t="str">
        <f t="shared" si="34"/>
        <v/>
      </c>
      <c r="BY22" s="196" t="str">
        <f t="shared" si="35"/>
        <v/>
      </c>
      <c r="BZ22" s="196" t="str">
        <f t="shared" si="36"/>
        <v/>
      </c>
      <c r="CA22" s="196" t="str">
        <f t="shared" si="37"/>
        <v/>
      </c>
      <c r="CB22" s="196" t="str">
        <f t="shared" si="38"/>
        <v/>
      </c>
      <c r="CC22" s="196" t="str">
        <f t="shared" si="39"/>
        <v/>
      </c>
      <c r="CD22" s="196" t="str">
        <f t="shared" si="40"/>
        <v/>
      </c>
      <c r="CE22" s="196" t="str">
        <f t="shared" si="41"/>
        <v/>
      </c>
      <c r="CF22" s="196" t="str">
        <f t="shared" si="42"/>
        <v/>
      </c>
      <c r="CG22" s="196" t="str">
        <f t="shared" si="43"/>
        <v/>
      </c>
      <c r="CH22" s="196" t="str">
        <f t="shared" si="44"/>
        <v/>
      </c>
      <c r="CI22" s="196" t="str">
        <f t="shared" si="45"/>
        <v/>
      </c>
      <c r="CJ22" s="196" t="str">
        <f t="shared" si="46"/>
        <v/>
      </c>
      <c r="CK22" s="196" t="str">
        <f t="shared" si="47"/>
        <v/>
      </c>
      <c r="CL22" s="196" t="str">
        <f t="shared" si="48"/>
        <v/>
      </c>
      <c r="CM22" s="196" t="str">
        <f t="shared" si="120"/>
        <v/>
      </c>
      <c r="CN22" s="196" t="str">
        <f t="shared" si="49"/>
        <v/>
      </c>
      <c r="CO22" s="196" t="str">
        <f t="shared" si="50"/>
        <v/>
      </c>
      <c r="CP22" s="196" t="str">
        <f t="shared" si="51"/>
        <v/>
      </c>
      <c r="CQ22" s="196" t="str">
        <f t="shared" si="52"/>
        <v/>
      </c>
      <c r="CR22" s="196" t="str">
        <f t="shared" si="53"/>
        <v/>
      </c>
      <c r="CS22" s="196" t="str">
        <f t="shared" si="54"/>
        <v/>
      </c>
      <c r="CT22" s="196" t="str">
        <f t="shared" si="55"/>
        <v/>
      </c>
      <c r="CU22" s="196" t="str">
        <f t="shared" si="56"/>
        <v/>
      </c>
      <c r="CV22" s="196" t="str">
        <f t="shared" si="57"/>
        <v/>
      </c>
      <c r="CW22" s="210" t="str">
        <f t="shared" si="58"/>
        <v/>
      </c>
      <c r="CY22" s="212" t="str">
        <f>IF(I22&lt;&gt;"",IF(H22="&lt;",IF(AND('Outfall 1 Limits'!$AM$16="Y",$BU$54&lt;&gt;"Y",I22&lt;='Outfall 1 Limits'!$AL$16),0,(1*I22)),I22),"")</f>
        <v/>
      </c>
      <c r="CZ22" s="206" t="str">
        <f>IF(K22&lt;&gt;"",IF(J22="&lt;",IF(AND('Outfall 1 Limits'!$AM$20="Y",$BV$54&lt;&gt;"Y",K22&lt;='Outfall 1 Limits'!$AL$20),0,(1*K22)),K22),"")</f>
        <v/>
      </c>
      <c r="DA22" s="206" t="str">
        <f>IF(M22&lt;&gt;"",IF(L22="&lt;",IF(AND('Outfall 1 Limits'!$AM$24="Y",$BW$54&lt;&gt;"Y",M22&lt;='Outfall 1 Limits'!$AL$24),0,(1*M22)),M22),"")</f>
        <v/>
      </c>
      <c r="DB22" s="206" t="str">
        <f>IF(O22&lt;&gt;"",IF(N22="&lt;",IF(AND('Outfall 1 Limits'!$AM$28="Y",$BX$54&lt;&gt;"Y",O22&lt;='Outfall 1 Limits'!$AL$28),0,(1*O22)),O22),"")</f>
        <v/>
      </c>
      <c r="DC22" s="206" t="str">
        <f>IF(Q22&lt;&gt;"",IF(P22="&lt;",IF(AND('Outfall 1 Limits'!$AM$32="Y",$BY$54&lt;&gt;"Y",Q22&lt;='Outfall 1 Limits'!$AL$32),0,(1*Q22)),Q22),"")</f>
        <v/>
      </c>
      <c r="DD22" s="206" t="str">
        <f>IF(S22&lt;&gt;"",IF(R22="&lt;",IF(AND('Outfall 1 Limits'!$AM$36="Y",$BZ$54&lt;&gt;"Y",S22&lt;='Outfall 1 Limits'!$AL$36),0,(1*S22)),S22),"")</f>
        <v/>
      </c>
      <c r="DE22" s="206" t="str">
        <f>IF(U22&lt;&gt;"",IF(T22="&lt;",IF(AND('Outfall 1 Limits'!$AM$40="Y",$CA$54&lt;&gt;"Y",U22&lt;='Outfall 1 Limits'!$AL$40),0,(1*U22)),U22),"")</f>
        <v/>
      </c>
      <c r="DF22" s="206" t="str">
        <f>IF(W22&lt;&gt;"",IF(V22="&lt;",IF(AND('Outfall 1 Limits'!$AM$44="Y",$CB$54&lt;&gt;"Y",W22&lt;='Outfall 1 Limits'!$AL$44),0,(1*W22)),W22),"")</f>
        <v/>
      </c>
      <c r="DG22" s="206" t="str">
        <f>IF(Y22&lt;&gt;"",IF(X22="&lt;",IF(AND('Outfall 1 Limits'!$AM$48="Y",$CC$54&lt;&gt;"Y",Y22&lt;='Outfall 1 Limits'!$AL$48),0,(1*Y22)),Y22),"")</f>
        <v/>
      </c>
      <c r="DH22" s="206" t="str">
        <f>IF(AA22&lt;&gt;"",IF(Z22="&lt;",IF(AND('Outfall 1 Limits'!$AM$52="Y",$CD$54&lt;&gt;"Y",AA22&lt;='Outfall 1 Limits'!$AL$52),0,(1*AA22)),AA22),"")</f>
        <v/>
      </c>
      <c r="DI22" s="206" t="str">
        <f>IF(AC22&lt;&gt;"",IF(AB22="&lt;",IF(AND('Outfall 1 Limits'!$AM$56="Y",$CE$54&lt;&gt;"Y",AC22&lt;='Outfall 1 Limits'!$AL$56),0,(1*AC22)),AC22),"")</f>
        <v/>
      </c>
      <c r="DJ22" s="206" t="str">
        <f>IF(AE22&lt;&gt;"",IF(AD22="&lt;",IF(AND('Outfall 1 Limits'!$AM$60="Y",$CF$54&lt;&gt;"Y",AE22&lt;='Outfall 1 Limits'!$AL$60),0,(1*AE22)),AE22),"")</f>
        <v/>
      </c>
      <c r="DK22" s="206" t="str">
        <f>IF(AG22&lt;&gt;"",IF(AF22="&lt;",IF(AND('Outfall 1 Limits'!$AM$64="Y",$CG$54&lt;&gt;"Y",AG22&lt;='Outfall 1 Limits'!$AL$64),0,(1*AG22)),AG22),"")</f>
        <v/>
      </c>
      <c r="DL22" s="206" t="str">
        <f>IF(AI22&lt;&gt;"",IF(AH22="&lt;",IF(AND('Outfall 1 Limits'!$AM$68="Y",$CH$54&lt;&gt;"Y",AI22&lt;='Outfall 1 Limits'!$AL$68),0,(1*AI22)),AI22),"")</f>
        <v/>
      </c>
      <c r="DM22" s="206" t="str">
        <f>IF(AK22&lt;&gt;"",IF(AJ22="&lt;",IF(AND('Outfall 1 Limits'!$AM$72="Y",$CI$54&lt;&gt;"Y",AK22&lt;='Outfall 1 Limits'!$AL$72),0,(1*AK22)),AK22),"")</f>
        <v/>
      </c>
      <c r="DN22" s="206" t="str">
        <f>IF(AM22&lt;&gt;"",IF(AL22="&lt;",IF(AND('Outfall 1 Limits'!$AM$76="Y",$CJ$54&lt;&gt;"Y",AM22&lt;='Outfall 1 Limits'!$AL$76),0,(1*AM22)),AM22),"")</f>
        <v/>
      </c>
      <c r="DO22" s="206" t="str">
        <f>IF(AO22&lt;&gt;"",IF(AN22="&lt;",IF(AND('Outfall 1 Limits'!$AM$80="Y",$CK$54&lt;&gt;"Y",AO22&lt;='Outfall 1 Limits'!$AL$80),0,(1*AO22)),AO22),"")</f>
        <v/>
      </c>
      <c r="DP22" s="206" t="str">
        <f>IF(AQ22&lt;&gt;"",IF(AP22="&lt;",IF(AND('Outfall 1 Limits'!$AM$84="Y",$CL$54&lt;&gt;"Y",AQ22&lt;='Outfall 1 Limits'!$AL$84),0,(1*AQ22)),AQ22),"")</f>
        <v/>
      </c>
      <c r="DQ22" s="206" t="str">
        <f>IF(AS22&lt;&gt;"",IF(AR22="&lt;",IF(AND('Outfall 1 Limits'!$AM$88="Y",$CM$54&lt;&gt;"Y",AS22&lt;='Outfall 1 Limits'!$AL$88),0,(1*AS22)),AS22),"")</f>
        <v/>
      </c>
      <c r="DR22" s="206" t="str">
        <f>IF(AU22&lt;&gt;"",IF(AT22="&lt;",IF(AND('Outfall 1 Limits'!$AM$92="Y",$CN$54&lt;&gt;"Y",AU22&lt;='Outfall 1 Limits'!$AL$92),0,(1*AU22)),AU22),"")</f>
        <v/>
      </c>
      <c r="DS22" s="206" t="str">
        <f>IF(AW22&lt;&gt;"",IF(AV22="&lt;",IF(AND('Outfall 1 Limits'!$AM$96="Y",$CO$54&lt;&gt;"Y",AW22&lt;='Outfall 1 Limits'!$AL$96),0,(1*AW22)),AW22),"")</f>
        <v/>
      </c>
      <c r="DT22" s="206" t="str">
        <f>IF(AY22&lt;&gt;"",IF(AX22="&lt;",IF(AND('Outfall 1 Limits'!$AM$100="Y",$CP$54&lt;&gt;"Y",AY22&lt;='Outfall 1 Limits'!$AL$100),0,(1*AY22)),AY22),"")</f>
        <v/>
      </c>
      <c r="DU22" s="206" t="str">
        <f>IF(BA22&lt;&gt;"",IF(AZ22="&lt;",IF(AND('Outfall 1 Limits'!$AM$104="Y",$CQ$54&lt;&gt;"Y",BA22&lt;='Outfall 1 Limits'!$AL$104),0,(1*BA22)),BA22),"")</f>
        <v/>
      </c>
      <c r="DV22" s="206" t="str">
        <f>IF(BC22&lt;&gt;"",IF(BB22="&lt;",IF(AND('Outfall 1 Limits'!$AM$108="Y",$CR$54&lt;&gt;"Y",BC22&lt;='Outfall 1 Limits'!$AL$108),0,(1*BC22)),BC22),"")</f>
        <v/>
      </c>
      <c r="DW22" s="206" t="str">
        <f>IF(BE22&lt;&gt;"",IF(BD22="&lt;",IF(AND('Outfall 1 Limits'!$AM$112="Y",$CS$54&lt;&gt;"Y",BE22&lt;='Outfall 1 Limits'!$AL$112),0,(1*BE22)),BE22),"")</f>
        <v/>
      </c>
      <c r="DX22" s="206" t="str">
        <f>IF(BG22&lt;&gt;"",IF(BF22="&lt;",IF(AND('Outfall 1 Limits'!$AM$116="Y",$CT$54&lt;&gt;"Y",BG22&lt;='Outfall 1 Limits'!$AL$116),0,(1*BG22)),BG22),"")</f>
        <v/>
      </c>
      <c r="DY22" s="206" t="str">
        <f>IF(BI22&lt;&gt;"",IF(BH22="&lt;",IF(AND('Outfall 1 Limits'!$AM$120="Y",$CU$54&lt;&gt;"Y",BI22&lt;='Outfall 1 Limits'!$AL$120),0,(1*BI22)),BI22),"")</f>
        <v/>
      </c>
      <c r="DZ22" s="206" t="str">
        <f>IF(BK22&lt;&gt;"",IF(BJ22="&lt;",IF(AND('Outfall 1 Limits'!$AM$124="Y",$CV$54&lt;&gt;"Y",BK22&lt;='Outfall 1 Limits'!$AL$124),0,(1*BK22)),BK22),"")</f>
        <v/>
      </c>
      <c r="EA22" s="223" t="str">
        <f>IF(BM22&lt;&gt;"",IF(BL22="&lt;",IF(AND('Outfall 1 Limits'!$AM$128="Y",$CW$54&lt;&gt;"Y",BM22&lt;='Outfall 1 Limits'!$AL$128),0,(1*BM22)),BM22),"")</f>
        <v/>
      </c>
      <c r="EB22" s="209" t="s">
        <v>1143</v>
      </c>
      <c r="EC22" s="231" t="str">
        <f>IF(EC15&lt;&gt;"",IF(BU62="Y",EC15-0.1,EC15),"")</f>
        <v/>
      </c>
      <c r="ED22" s="232" t="str">
        <f t="shared" ref="ED22:FE22" si="125">IF(ED15&lt;&gt;"",IF(BV62="Y",ED15-0.1,ED15),"")</f>
        <v/>
      </c>
      <c r="EE22" s="232" t="str">
        <f t="shared" si="125"/>
        <v/>
      </c>
      <c r="EF22" s="232" t="str">
        <f t="shared" si="125"/>
        <v/>
      </c>
      <c r="EG22" s="232" t="str">
        <f t="shared" si="125"/>
        <v/>
      </c>
      <c r="EH22" s="232" t="str">
        <f t="shared" si="125"/>
        <v/>
      </c>
      <c r="EI22" s="232" t="str">
        <f t="shared" si="125"/>
        <v/>
      </c>
      <c r="EJ22" s="232" t="str">
        <f t="shared" si="125"/>
        <v/>
      </c>
      <c r="EK22" s="232" t="str">
        <f t="shared" si="125"/>
        <v/>
      </c>
      <c r="EL22" s="232" t="str">
        <f t="shared" si="125"/>
        <v/>
      </c>
      <c r="EM22" s="232" t="str">
        <f t="shared" si="125"/>
        <v/>
      </c>
      <c r="EN22" s="232" t="str">
        <f t="shared" si="125"/>
        <v/>
      </c>
      <c r="EO22" s="232" t="str">
        <f t="shared" si="125"/>
        <v/>
      </c>
      <c r="EP22" s="232" t="str">
        <f t="shared" si="125"/>
        <v/>
      </c>
      <c r="EQ22" s="232" t="str">
        <f t="shared" si="125"/>
        <v/>
      </c>
      <c r="ER22" s="232" t="str">
        <f t="shared" si="125"/>
        <v/>
      </c>
      <c r="ES22" s="232" t="str">
        <f t="shared" si="125"/>
        <v/>
      </c>
      <c r="ET22" s="232" t="str">
        <f t="shared" si="125"/>
        <v/>
      </c>
      <c r="EU22" s="232" t="str">
        <f t="shared" si="125"/>
        <v/>
      </c>
      <c r="EV22" s="232" t="str">
        <f t="shared" si="125"/>
        <v/>
      </c>
      <c r="EW22" s="232" t="str">
        <f t="shared" si="125"/>
        <v/>
      </c>
      <c r="EX22" s="232" t="str">
        <f t="shared" si="125"/>
        <v/>
      </c>
      <c r="EY22" s="232" t="str">
        <f t="shared" si="125"/>
        <v/>
      </c>
      <c r="EZ22" s="232" t="str">
        <f t="shared" si="125"/>
        <v/>
      </c>
      <c r="FA22" s="232" t="str">
        <f t="shared" si="125"/>
        <v/>
      </c>
      <c r="FB22" s="232" t="str">
        <f t="shared" si="125"/>
        <v/>
      </c>
      <c r="FC22" s="232" t="str">
        <f t="shared" si="125"/>
        <v/>
      </c>
      <c r="FD22" s="232" t="str">
        <f t="shared" si="125"/>
        <v/>
      </c>
      <c r="FE22" s="233" t="str">
        <f t="shared" si="125"/>
        <v/>
      </c>
      <c r="FG22" s="212" t="str">
        <f>IF(AND($G22&lt;&gt;"",$G22&gt;0,'Outfall 1 Limits'!$AX$16="C1",I22&lt;&gt;""),I22*$G22*8.34,IF(AND($I22&lt;&gt;"",'Outfall 1 Limits'!$AX$16="L"),I22,""))</f>
        <v/>
      </c>
      <c r="FH22" s="206" t="str">
        <f>IF(AND($G22&lt;&gt;"",$G22&gt;0,'Outfall 1 Limits'!$AX$20="C1",$K22&lt;&gt;""),$K22*$G22*8.34,IF(AND($K22&lt;&gt;"",'Outfall 1 Limits'!$AX$20="L"),$K22,""))</f>
        <v/>
      </c>
      <c r="FI22" s="206" t="str">
        <f>IF(AND($G22&lt;&gt;"",$G22&gt;0,'Outfall 1 Limits'!$AX$24="C1",$M22&lt;&gt;""),$M22*$G22*8.34,IF(AND($M22&lt;&gt;"",'Outfall 1 Limits'!$AX$24="L"),$M22,""))</f>
        <v/>
      </c>
      <c r="FJ22" s="206" t="str">
        <f>IF(AND($G22&lt;&gt;"",$G22&gt;0,'Outfall 1 Limits'!$AX$28="C1",$O22&lt;&gt;""),$O22*$G22*8.34,IF(AND($O22&lt;&gt;"",'Outfall 1 Limits'!$AX$28="L"),$O22,""))</f>
        <v/>
      </c>
      <c r="FK22" s="206" t="str">
        <f>IF(AND($G22&lt;&gt;"",$G22&gt;0,'Outfall 1 Limits'!$AX$32="C1",$Q22&lt;&gt;""),$Q22*$G22*8.34,IF(AND($Q22&lt;&gt;"",'Outfall 1 Limits'!$AX$32="L"),$Q22,""))</f>
        <v/>
      </c>
      <c r="FL22" s="206" t="str">
        <f>IF(AND($G22&lt;&gt;"",$G22&gt;0,'Outfall 1 Limits'!$AX$36="C1",$S22&lt;&gt;""),$S22*$G22*8.34,IF(AND($S22&lt;&gt;"",'Outfall 1 Limits'!$AX$36="L"),$S22,""))</f>
        <v/>
      </c>
      <c r="FM22" s="206" t="str">
        <f>IF(AND($G22&lt;&gt;"",$G22&gt;0,'Outfall 1 Limits'!$AX$40="C1",$U22&lt;&gt;""),$U22*$G22*8.34,IF(AND($U22&lt;&gt;"",'Outfall 1 Limits'!$AX$40="L"),$U22,""))</f>
        <v/>
      </c>
      <c r="FN22" s="206" t="str">
        <f>IF(AND($G22&lt;&gt;"",$G22&gt;0,'Outfall 1 Limits'!$AX$44="C1",$W22&lt;&gt;""),$W22*$G22*8.34,IF(AND($W22&lt;&gt;"",'Outfall 1 Limits'!$AX$44="L"),$W22,""))</f>
        <v/>
      </c>
      <c r="FO22" s="206" t="str">
        <f>IF(AND($G22&lt;&gt;"",$G22&gt;0,'Outfall 1 Limits'!$AX$48="C1",$Y22&lt;&gt;""),$Y22*$G22*8.34,IF(AND($Y22&lt;&gt;"",'Outfall 1 Limits'!$AX$48="L"),$Y22,""))</f>
        <v/>
      </c>
      <c r="FP22" s="206" t="str">
        <f>IF(AND($G22&lt;&gt;"",$G22&gt;0,'Outfall 1 Limits'!$AX$52="C1",$AA22&lt;&gt;""),$AA22*$G22*8.34,IF(AND($AA22&lt;&gt;"",'Outfall 1 Limits'!$AX$52="L"),$AA22,""))</f>
        <v/>
      </c>
      <c r="FQ22" s="206" t="str">
        <f>IF(AND($G22&lt;&gt;"",$G22&gt;0,'Outfall 1 Limits'!$AX$56="C1",$AC22&lt;&gt;""),$AC22*$G22*8.34,IF(AND($AC22&lt;&gt;"",'Outfall 1 Limits'!$AX$56="L"),$AC22,""))</f>
        <v/>
      </c>
      <c r="FR22" s="206" t="str">
        <f>IF(AND($G22&lt;&gt;"",$G22&gt;0,'Outfall 1 Limits'!$AX$60="C1",$AE22&lt;&gt;""),$AE22*$G22*8.34,IF(AND($AE22&lt;&gt;"",'Outfall 1 Limits'!$AX$60="L"),$AE22,""))</f>
        <v/>
      </c>
      <c r="FS22" s="206" t="str">
        <f>IF(AND($G22&lt;&gt;"",$G22&gt;0,'Outfall 1 Limits'!$AX$64="C1",$AG22&lt;&gt;""),$AG22*$G22*8.34,IF(AND($AG22&lt;&gt;"",'Outfall 1 Limits'!$AX$64="L"),$AG22,""))</f>
        <v/>
      </c>
      <c r="FT22" s="206" t="str">
        <f>IF(AND($G22&lt;&gt;"",$G22&gt;0,'Outfall 1 Limits'!$AX$68="C1",$AI22&lt;&gt;""),$AI22*$G22*8.34,IF(AND($AI22&lt;&gt;"",'Outfall 1 Limits'!$AX$68="L"),$AI22,""))</f>
        <v/>
      </c>
      <c r="FU22" s="206" t="str">
        <f>IF(AND($G22&lt;&gt;"",$G22&gt;0,'Outfall 1 Limits'!$AX$72="C1",$AK22&lt;&gt;""),$AK22*$G22*8.34,IF(AND($AK22&lt;&gt;"",'Outfall 1 Limits'!$AX$72="L"),$AK22,""))</f>
        <v/>
      </c>
      <c r="FV22" s="206" t="str">
        <f>IF(AND($G22&lt;&gt;"",$G22&gt;0,'Outfall 1 Limits'!$AX$76="C1",$AM22&lt;&gt;""),$AM22*$G22*8.34,IF(AND($AM22&lt;&gt;"",'Outfall 1 Limits'!$AX$76="L"),$AM22,""))</f>
        <v/>
      </c>
      <c r="FW22" s="206" t="str">
        <f>IF(AND($G22&lt;&gt;"",$G22&gt;0,'Outfall 1 Limits'!$AX$80="C1",$AO22&lt;&gt;""),$AO22*$G22*8.34,IF(AND($AO22&lt;&gt;"",'Outfall 1 Limits'!$AX$80="L"),$AO22,""))</f>
        <v/>
      </c>
      <c r="FX22" s="206" t="str">
        <f>IF(AND($G22&lt;&gt;"",$G22&gt;0,'Outfall 1 Limits'!$AX$84="C1",$AQ22&lt;&gt;""),$AQ22*$G22*8.34,IF(AND($AQ22&lt;&gt;"",'Outfall 1 Limits'!$AX$84="L"),$AQ22,""))</f>
        <v/>
      </c>
      <c r="FY22" s="206" t="str">
        <f>IF(AND($G22&lt;&gt;"",$G22&gt;0,'Outfall 1 Limits'!$AX$88="C1",$AS22&lt;&gt;""),$AS22*$G22*8.34,IF(AND($AS22&lt;&gt;"",'Outfall 1 Limits'!$AX$88="L"),$AS22,""))</f>
        <v/>
      </c>
      <c r="FZ22" s="206" t="str">
        <f>IF(AND($G22&lt;&gt;"",$G22&gt;0,'Outfall 1 Limits'!$AX$92="C1",$AU22&lt;&gt;""),$AU22*$G22*8.34,IF(AND($AU22&lt;&gt;"",'Outfall 1 Limits'!$AX$92="L"),$AU22,""))</f>
        <v/>
      </c>
      <c r="GA22" s="206" t="str">
        <f>IF(AND($G22&lt;&gt;"",$G22&gt;0,'Outfall 1 Limits'!$AX$96="C1",$AW22&lt;&gt;""),$AW22*$G22*8.34,IF(AND($AW22&lt;&gt;"",'Outfall 1 Limits'!$AX$96="L"),$AW22,""))</f>
        <v/>
      </c>
      <c r="GB22" s="206" t="str">
        <f>IF(AND($G22&lt;&gt;"",$G22&gt;0,'Outfall 1 Limits'!$AX$100="C1",$AY22&lt;&gt;""),$AY22*$G22*8.34,IF(AND($AY22&lt;&gt;"",'Outfall 1 Limits'!$AX$100="L"),$AY22,""))</f>
        <v/>
      </c>
      <c r="GC22" s="206" t="str">
        <f>IF(AND($G22&lt;&gt;"",$G22&gt;0,'Outfall 1 Limits'!$AX$104="C1",$BA22&lt;&gt;""),$BA22*$G22*8.34,IF(AND($BA22&lt;&gt;"",'Outfall 1 Limits'!$AX$104="L"),$BA22,""))</f>
        <v/>
      </c>
      <c r="GD22" s="206" t="str">
        <f>IF(AND($G22&lt;&gt;"",$G22&gt;0,'Outfall 1 Limits'!$AX$108="C1",$BC22&lt;&gt;""),$BC22*$G22*8.34,IF(AND($BC22&lt;&gt;"",'Outfall 1 Limits'!$AX$108="L"),$BC22,""))</f>
        <v/>
      </c>
      <c r="GE22" s="206" t="str">
        <f>IF(AND($G22&lt;&gt;"",$G22&gt;0,'Outfall 1 Limits'!$AX$112="C1",$BE22&lt;&gt;""),$BE22*$G22*8.34,IF(AND($BE22&lt;&gt;"",'Outfall 1 Limits'!$AX$112="L"),$BE22,""))</f>
        <v/>
      </c>
      <c r="GF22" s="206" t="str">
        <f>IF(AND($G22&lt;&gt;"",$G22&gt;0,'Outfall 1 Limits'!$AX$116="C1",$BG22&lt;&gt;""),$BG22*$G22*8.34,IF(AND($BG22&lt;&gt;"",'Outfall 1 Limits'!$AX$116="L"),$BG22,""))</f>
        <v/>
      </c>
      <c r="GG22" s="206" t="str">
        <f>IF(AND($G22&lt;&gt;"",$G22&gt;0,'Outfall 1 Limits'!$AX$120="C1",$BI22&lt;&gt;""),$BI22*$G22*8.34,IF(AND($BI22&lt;&gt;"",'Outfall 1 Limits'!$AX$120="L"),$BI22,""))</f>
        <v/>
      </c>
      <c r="GH22" s="206" t="str">
        <f>IF(AND($G22&lt;&gt;"",$G22&gt;0,'Outfall 1 Limits'!$AX$124="C1",$BK22&lt;&gt;""),$BK22*$G22*8.34,IF(AND($BK22&lt;&gt;"",'Outfall 1 Limits'!$AX$124="L"),$BK22,""))</f>
        <v/>
      </c>
      <c r="GI22" s="223" t="str">
        <f>IF(AND($G22&lt;&gt;"",$G22&gt;0,'Outfall 1 Limits'!$AX$128="C1",$BM22&lt;&gt;""),$BM22*$G22*8.34,IF(AND($BM22&lt;&gt;"",'Outfall 1 Limits'!$AX$128="L"),$BM22,""))</f>
        <v/>
      </c>
      <c r="GJ22" s="177" t="str">
        <f t="shared" si="59"/>
        <v/>
      </c>
      <c r="GK22" s="212" t="str">
        <f>IF(AND($G22&lt;&gt;"",$G22&gt;0,'Outfall 1 Limits'!$AX$16="C1",CY22&lt;&gt;""),CY22*$G22*8.34,IF(AND(CY22&lt;&gt;"",'Outfall 1 Limits'!$AX$16="L"),CY22,""))</f>
        <v/>
      </c>
      <c r="GL22" s="206" t="str">
        <f>IF(AND($G22&lt;&gt;"",$G22&gt;0,'Outfall 1 Limits'!$AX$20="C1",CZ22&lt;&gt;""),CZ22*$G22*8.34,IF(AND(CZ22&lt;&gt;"",'Outfall 1 Limits'!$AX$20="L"),CZ22,""))</f>
        <v/>
      </c>
      <c r="GM22" s="206" t="str">
        <f>IF(AND($G22&lt;&gt;"",$G22&gt;0,'Outfall 1 Limits'!$AX$24="C1",DA22&lt;&gt;""),DA22*$G22*8.34,IF(AND(DA22&lt;&gt;"",'Outfall 1 Limits'!$AX$24="L"),DA22,""))</f>
        <v/>
      </c>
      <c r="GN22" s="206" t="str">
        <f>IF(AND($G22&lt;&gt;"",$G22&gt;0,'Outfall 1 Limits'!$AX$28="C1",DB22&lt;&gt;""),DB22*$G22*8.34,IF(AND(DB22&lt;&gt;"",'Outfall 1 Limits'!$AX$28="L"),DB22,""))</f>
        <v/>
      </c>
      <c r="GO22" s="206" t="str">
        <f>IF(AND($G22&lt;&gt;"",$G22&gt;0,'Outfall 1 Limits'!$AX$32="C1",DC22&lt;&gt;""),DC22*$G22*8.34,IF(AND(DC22&lt;&gt;"",'Outfall 1 Limits'!$AX$32="L"),DC22,""))</f>
        <v/>
      </c>
      <c r="GP22" s="206" t="str">
        <f>IF(AND($G22&lt;&gt;"",$G22&gt;0,'Outfall 1 Limits'!$AX$36="C1",DD22&lt;&gt;""),DD22*$G22*8.34,IF(AND(DD22&lt;&gt;"",'Outfall 1 Limits'!$AX$36="L"),DD22,""))</f>
        <v/>
      </c>
      <c r="GQ22" s="206" t="str">
        <f>IF(AND($G22&lt;&gt;"",$G22&gt;0,'Outfall 1 Limits'!$AX$40="C1",DE22&lt;&gt;""),DE22*$G22*8.34,IF(AND(DE22&lt;&gt;"",'Outfall 1 Limits'!$AX$40="L"),DE22,""))</f>
        <v/>
      </c>
      <c r="GR22" s="206" t="str">
        <f>IF(AND($G22&lt;&gt;"",$G22&gt;0,'Outfall 1 Limits'!$AX$44="C1",DF22&lt;&gt;""),DF22*$G22*8.34,IF(AND(DF22&lt;&gt;"",'Outfall 1 Limits'!$AX$44="L"),DF22,""))</f>
        <v/>
      </c>
      <c r="GS22" s="206" t="str">
        <f>IF(AND($G22&lt;&gt;"",$G22&gt;0,'Outfall 1 Limits'!$AX$48="C1",DG22&lt;&gt;""),DG22*$G22*8.34,IF(AND(DG22&lt;&gt;"",'Outfall 1 Limits'!$AX$48="L"),DG22,""))</f>
        <v/>
      </c>
      <c r="GT22" s="206" t="str">
        <f>IF(AND($G22&lt;&gt;"",$G22&gt;0,'Outfall 1 Limits'!$AX$52="C1",DH22&lt;&gt;""),DH22*$G22*8.34,IF(AND(DH22&lt;&gt;"",'Outfall 1 Limits'!$AX$52="L"),DH22,""))</f>
        <v/>
      </c>
      <c r="GU22" s="206" t="str">
        <f>IF(AND($G22&lt;&gt;"",$G22&gt;0,'Outfall 1 Limits'!$AX$56="C1",DI22&lt;&gt;""),DI22*$G22*8.34,IF(AND(DI22&lt;&gt;"",'Outfall 1 Limits'!$AX$56="L"),DI22,""))</f>
        <v/>
      </c>
      <c r="GV22" s="206" t="str">
        <f>IF(AND($G22&lt;&gt;"",$G22&gt;0,'Outfall 1 Limits'!$AX$60="C1",DJ22&lt;&gt;""),DJ22*$G22*8.34,IF(AND(DJ22&lt;&gt;"",'Outfall 1 Limits'!$AX$60="L"),DJ22,""))</f>
        <v/>
      </c>
      <c r="GW22" s="206" t="str">
        <f>IF(AND($G22&lt;&gt;"",$G22&gt;0,'Outfall 1 Limits'!$AX$64="C1",DK22&lt;&gt;""),DK22*$G22*8.34,IF(AND(DK22&lt;&gt;"",'Outfall 1 Limits'!$AX$64="L"),DK22,""))</f>
        <v/>
      </c>
      <c r="GX22" s="206" t="str">
        <f>IF(AND($G22&lt;&gt;"",$G22&gt;0,'Outfall 1 Limits'!$AX$68="C1",DL22&lt;&gt;""),DL22*$G22*8.34,IF(AND(DL22&lt;&gt;"",'Outfall 1 Limits'!$AX$68="L"),DL22,""))</f>
        <v/>
      </c>
      <c r="GY22" s="206" t="str">
        <f>IF(AND($G22&lt;&gt;"",$G22&gt;0,'Outfall 1 Limits'!$AX$72="C1",DM22&lt;&gt;""),DM22*$G22*8.34,IF(AND(DM22&lt;&gt;"",'Outfall 1 Limits'!$AX$72="L"),DM22,""))</f>
        <v/>
      </c>
      <c r="GZ22" s="206" t="str">
        <f>IF(AND($G22&lt;&gt;"",$G22&gt;0,'Outfall 1 Limits'!$AX$76="C1",DN22&lt;&gt;""),DN22*$G22*8.34,IF(AND(DN22&lt;&gt;"",'Outfall 1 Limits'!$AX$76="L"),DN22,""))</f>
        <v/>
      </c>
      <c r="HA22" s="206" t="str">
        <f>IF(AND($G22&lt;&gt;"",$G22&gt;0,'Outfall 1 Limits'!$AX$80="C1",DO22&lt;&gt;""),DO22*$G22*8.34,IF(AND(DO22&lt;&gt;"",'Outfall 1 Limits'!$AX$80="L"),DO22,""))</f>
        <v/>
      </c>
      <c r="HB22" s="206" t="str">
        <f>IF(AND($G22&lt;&gt;"",$G22&gt;0,'Outfall 1 Limits'!$AX$84="C1",DP22&lt;&gt;""),DP22*$G22*8.34,IF(AND(DP22&lt;&gt;"",'Outfall 1 Limits'!$AX$84="L"),DP22,""))</f>
        <v/>
      </c>
      <c r="HC22" s="206" t="str">
        <f>IF(AND($G22&lt;&gt;"",$G22&gt;0,'Outfall 1 Limits'!$AX$88="C1",DQ22&lt;&gt;""),DQ22*$G22*8.34,IF(AND(DQ22&lt;&gt;"",'Outfall 1 Limits'!$AX$88="L"),DQ22,""))</f>
        <v/>
      </c>
      <c r="HD22" s="206" t="str">
        <f>IF(AND($G22&lt;&gt;"",$G22&gt;0,'Outfall 1 Limits'!$AX$92="C1",DR22&lt;&gt;""),DR22*$G22*8.34,IF(AND(DR22&lt;&gt;"",'Outfall 1 Limits'!$AX$92="L"),DR22,""))</f>
        <v/>
      </c>
      <c r="HE22" s="206" t="str">
        <f>IF(AND($G22&lt;&gt;"",$G22&gt;0,'Outfall 1 Limits'!$AX$96="C1",DS22&lt;&gt;""),DS22*$G22*8.34,IF(AND(DS22&lt;&gt;"",'Outfall 1 Limits'!$AX$96="L"),DS22,""))</f>
        <v/>
      </c>
      <c r="HF22" s="206" t="str">
        <f>IF(AND($G22&lt;&gt;"",$G22&gt;0,'Outfall 1 Limits'!$AX$100="C1",DT22&lt;&gt;""),DT22*$G22*8.34,IF(AND(DT22&lt;&gt;"",'Outfall 1 Limits'!$AX$100="L"),DT22,""))</f>
        <v/>
      </c>
      <c r="HG22" s="206" t="str">
        <f>IF(AND($G22&lt;&gt;"",$G22&gt;0,'Outfall 1 Limits'!$AX$104="C1",DU22&lt;&gt;""),DU22*$G22*8.34,IF(AND(DU22&lt;&gt;"",'Outfall 1 Limits'!$AX$104="L"),DU22,""))</f>
        <v/>
      </c>
      <c r="HH22" s="206" t="str">
        <f>IF(AND($G22&lt;&gt;"",$G22&gt;0,'Outfall 1 Limits'!$AX$108="C1",DV22&lt;&gt;""),DV22*$G22*8.34,IF(AND(DV22&lt;&gt;"",'Outfall 1 Limits'!$AX$108="L"),DV22,""))</f>
        <v/>
      </c>
      <c r="HI22" s="206" t="str">
        <f>IF(AND($G22&lt;&gt;"",$G22&gt;0,'Outfall 1 Limits'!$AX$112="C1",DW22&lt;&gt;""),DW22*$G22*8.34,IF(AND(DW22&lt;&gt;"",'Outfall 1 Limits'!$AX$112="L"),DW22,""))</f>
        <v/>
      </c>
      <c r="HJ22" s="206" t="str">
        <f>IF(AND($G22&lt;&gt;"",$G22&gt;0,'Outfall 1 Limits'!$AX$116="C1",DX22&lt;&gt;""),DX22*$G22*8.34,IF(AND(DX22&lt;&gt;"",'Outfall 1 Limits'!$AX$116="L"),DX22,""))</f>
        <v/>
      </c>
      <c r="HK22" s="206" t="str">
        <f>IF(AND($G22&lt;&gt;"",$G22&gt;0,'Outfall 1 Limits'!$AX$120="C1",DY22&lt;&gt;""),DY22*$G22*8.34,IF(AND(DY22&lt;&gt;"",'Outfall 1 Limits'!$AX$120="L"),DY22,""))</f>
        <v/>
      </c>
      <c r="HL22" s="206" t="str">
        <f>IF(AND($G22&lt;&gt;"",$G22&gt;0,'Outfall 1 Limits'!$AX$124="C1",DZ22&lt;&gt;""),DZ22*$G22*8.34,IF(AND(DZ22&lt;&gt;"",'Outfall 1 Limits'!$AX$124="L"),DZ22,""))</f>
        <v/>
      </c>
      <c r="HM22" s="223" t="str">
        <f>IF(AND($G22&lt;&gt;"",$G22&gt;0,'Outfall 1 Limits'!$AX$128="C1",EA22&lt;&gt;""),EA22*$G22*8.34,IF(AND(EA22&lt;&gt;"",'Outfall 1 Limits'!$AX$128="L"),EA22,""))</f>
        <v/>
      </c>
      <c r="HO22" s="224" t="str">
        <f t="shared" si="60"/>
        <v/>
      </c>
      <c r="HS22" s="202" t="str">
        <f t="shared" si="61"/>
        <v/>
      </c>
      <c r="HT22" s="196" t="str">
        <f t="shared" si="62"/>
        <v/>
      </c>
      <c r="HU22" s="196" t="str">
        <f t="shared" si="63"/>
        <v/>
      </c>
      <c r="HV22" s="196" t="str">
        <f t="shared" si="64"/>
        <v/>
      </c>
      <c r="HW22" s="196" t="str">
        <f t="shared" si="65"/>
        <v/>
      </c>
      <c r="HX22" s="196" t="str">
        <f t="shared" si="66"/>
        <v/>
      </c>
      <c r="HY22" s="196" t="str">
        <f t="shared" si="67"/>
        <v/>
      </c>
      <c r="HZ22" s="196" t="str">
        <f t="shared" si="68"/>
        <v/>
      </c>
      <c r="IA22" s="196" t="str">
        <f t="shared" si="69"/>
        <v/>
      </c>
      <c r="IB22" s="196" t="str">
        <f t="shared" si="70"/>
        <v/>
      </c>
      <c r="IC22" s="196" t="str">
        <f t="shared" si="71"/>
        <v/>
      </c>
      <c r="ID22" s="196" t="str">
        <f t="shared" si="72"/>
        <v/>
      </c>
      <c r="IE22" s="196" t="str">
        <f t="shared" si="73"/>
        <v/>
      </c>
      <c r="IF22" s="196" t="str">
        <f t="shared" si="74"/>
        <v/>
      </c>
      <c r="IG22" s="196" t="str">
        <f t="shared" si="75"/>
        <v/>
      </c>
      <c r="IH22" s="196" t="str">
        <f t="shared" si="76"/>
        <v/>
      </c>
      <c r="II22" s="196" t="str">
        <f t="shared" si="77"/>
        <v/>
      </c>
      <c r="IJ22" s="196" t="str">
        <f t="shared" si="78"/>
        <v/>
      </c>
      <c r="IK22" s="196" t="str">
        <f t="shared" si="79"/>
        <v/>
      </c>
      <c r="IL22" s="196" t="str">
        <f t="shared" si="80"/>
        <v/>
      </c>
      <c r="IM22" s="196" t="str">
        <f t="shared" si="81"/>
        <v/>
      </c>
      <c r="IN22" s="196" t="str">
        <f t="shared" si="82"/>
        <v/>
      </c>
      <c r="IO22" s="196" t="str">
        <f t="shared" si="83"/>
        <v/>
      </c>
      <c r="IP22" s="196" t="str">
        <f t="shared" si="84"/>
        <v/>
      </c>
      <c r="IQ22" s="196" t="str">
        <f t="shared" si="85"/>
        <v/>
      </c>
      <c r="IR22" s="196" t="str">
        <f t="shared" si="86"/>
        <v/>
      </c>
      <c r="IS22" s="196" t="str">
        <f t="shared" si="87"/>
        <v/>
      </c>
      <c r="IT22" s="196" t="str">
        <f t="shared" si="88"/>
        <v/>
      </c>
      <c r="IU22" s="210" t="str">
        <f t="shared" si="89"/>
        <v/>
      </c>
      <c r="IX22" s="202" t="str">
        <f t="shared" si="90"/>
        <v/>
      </c>
      <c r="IY22" s="196" t="str">
        <f t="shared" si="91"/>
        <v/>
      </c>
      <c r="IZ22" s="196" t="str">
        <f t="shared" si="92"/>
        <v/>
      </c>
      <c r="JA22" s="196" t="str">
        <f t="shared" si="93"/>
        <v/>
      </c>
      <c r="JB22" s="196" t="str">
        <f t="shared" si="94"/>
        <v/>
      </c>
      <c r="JC22" s="196" t="str">
        <f t="shared" si="95"/>
        <v/>
      </c>
      <c r="JD22" s="196" t="str">
        <f t="shared" si="96"/>
        <v/>
      </c>
      <c r="JE22" s="196" t="str">
        <f t="shared" si="97"/>
        <v/>
      </c>
      <c r="JF22" s="196" t="str">
        <f t="shared" si="98"/>
        <v/>
      </c>
      <c r="JG22" s="196" t="str">
        <f t="shared" si="99"/>
        <v/>
      </c>
      <c r="JH22" s="196" t="str">
        <f t="shared" si="100"/>
        <v/>
      </c>
      <c r="JI22" s="196" t="str">
        <f t="shared" si="101"/>
        <v/>
      </c>
      <c r="JJ22" s="196" t="str">
        <f t="shared" si="102"/>
        <v/>
      </c>
      <c r="JK22" s="196" t="str">
        <f t="shared" si="103"/>
        <v/>
      </c>
      <c r="JL22" s="196" t="str">
        <f t="shared" si="104"/>
        <v/>
      </c>
      <c r="JM22" s="196" t="str">
        <f t="shared" si="105"/>
        <v/>
      </c>
      <c r="JN22" s="196" t="str">
        <f t="shared" si="106"/>
        <v/>
      </c>
      <c r="JO22" s="196" t="str">
        <f t="shared" si="107"/>
        <v/>
      </c>
      <c r="JP22" s="196" t="str">
        <f t="shared" si="108"/>
        <v/>
      </c>
      <c r="JQ22" s="196" t="str">
        <f t="shared" si="109"/>
        <v/>
      </c>
      <c r="JR22" s="196" t="str">
        <f t="shared" si="110"/>
        <v/>
      </c>
      <c r="JS22" s="196" t="str">
        <f t="shared" si="111"/>
        <v/>
      </c>
      <c r="JT22" s="196" t="str">
        <f t="shared" si="112"/>
        <v/>
      </c>
      <c r="JU22" s="196" t="str">
        <f t="shared" si="113"/>
        <v/>
      </c>
      <c r="JV22" s="196" t="str">
        <f t="shared" si="114"/>
        <v/>
      </c>
      <c r="JW22" s="196" t="str">
        <f t="shared" si="115"/>
        <v/>
      </c>
      <c r="JX22" s="196" t="str">
        <f t="shared" si="116"/>
        <v/>
      </c>
      <c r="JY22" s="196" t="str">
        <f t="shared" si="117"/>
        <v/>
      </c>
      <c r="JZ22" s="210" t="str">
        <f t="shared" si="118"/>
        <v/>
      </c>
      <c r="KA22" s="196"/>
      <c r="KB22" s="176"/>
      <c r="KC22" s="227"/>
      <c r="KD22" s="218" t="str">
        <f t="shared" si="2"/>
        <v/>
      </c>
      <c r="KE22" s="196" t="str">
        <f t="shared" si="3"/>
        <v/>
      </c>
      <c r="KF22" s="196" t="str">
        <f t="shared" si="4"/>
        <v/>
      </c>
      <c r="KG22" s="196" t="str">
        <f t="shared" si="5"/>
        <v/>
      </c>
      <c r="KH22" s="196" t="str">
        <f t="shared" si="6"/>
        <v/>
      </c>
      <c r="KI22" s="196" t="str">
        <f t="shared" si="7"/>
        <v/>
      </c>
      <c r="KJ22" s="196" t="str">
        <f t="shared" si="8"/>
        <v/>
      </c>
      <c r="KK22" s="196" t="str">
        <f t="shared" si="9"/>
        <v/>
      </c>
      <c r="KL22" s="196" t="str">
        <f t="shared" si="10"/>
        <v/>
      </c>
      <c r="KM22" s="196" t="str">
        <f t="shared" si="11"/>
        <v/>
      </c>
      <c r="KN22" s="196" t="str">
        <f t="shared" si="12"/>
        <v/>
      </c>
      <c r="KO22" s="196" t="str">
        <f t="shared" si="13"/>
        <v/>
      </c>
      <c r="KP22" s="196" t="str">
        <f t="shared" si="14"/>
        <v/>
      </c>
      <c r="KQ22" s="196" t="str">
        <f t="shared" si="15"/>
        <v/>
      </c>
      <c r="KR22" s="196" t="str">
        <f t="shared" si="16"/>
        <v/>
      </c>
      <c r="KS22" s="196" t="str">
        <f t="shared" si="17"/>
        <v/>
      </c>
      <c r="KT22" s="196" t="str">
        <f t="shared" si="18"/>
        <v/>
      </c>
      <c r="KU22" s="196" t="str">
        <f t="shared" si="19"/>
        <v/>
      </c>
      <c r="KV22" s="196" t="str">
        <f t="shared" si="20"/>
        <v/>
      </c>
      <c r="KW22" s="196" t="str">
        <f t="shared" si="21"/>
        <v/>
      </c>
      <c r="KX22" s="196" t="str">
        <f t="shared" si="22"/>
        <v/>
      </c>
      <c r="KY22" s="196" t="str">
        <f t="shared" si="23"/>
        <v/>
      </c>
      <c r="KZ22" s="196" t="str">
        <f t="shared" si="24"/>
        <v/>
      </c>
      <c r="LA22" s="196" t="str">
        <f t="shared" si="25"/>
        <v/>
      </c>
      <c r="LB22" s="196" t="str">
        <f t="shared" si="26"/>
        <v/>
      </c>
      <c r="LC22" s="196" t="str">
        <f t="shared" si="27"/>
        <v/>
      </c>
      <c r="LD22" s="196" t="str">
        <f t="shared" si="28"/>
        <v/>
      </c>
      <c r="LE22" s="196" t="str">
        <f t="shared" si="29"/>
        <v/>
      </c>
      <c r="LF22" s="226" t="str">
        <f t="shared" si="30"/>
        <v/>
      </c>
    </row>
    <row r="23" spans="1:318" s="172" customFormat="1" ht="11.45" customHeight="1" x14ac:dyDescent="0.2">
      <c r="A23" s="35"/>
      <c r="B23" s="54"/>
      <c r="C23" s="438">
        <f t="shared" si="0"/>
        <v>45297</v>
      </c>
      <c r="D23" s="438"/>
      <c r="E23" s="430">
        <f t="shared" si="119"/>
        <v>45297</v>
      </c>
      <c r="F23" s="431"/>
      <c r="G23" s="26"/>
      <c r="H23" s="51"/>
      <c r="I23" s="50"/>
      <c r="J23" s="51"/>
      <c r="K23" s="50"/>
      <c r="L23" s="51"/>
      <c r="M23" s="50"/>
      <c r="N23" s="51"/>
      <c r="O23" s="50"/>
      <c r="P23" s="51"/>
      <c r="Q23" s="50"/>
      <c r="R23" s="51"/>
      <c r="S23" s="50"/>
      <c r="T23" s="51"/>
      <c r="U23" s="50"/>
      <c r="V23" s="51"/>
      <c r="W23" s="50"/>
      <c r="X23" s="276"/>
      <c r="Y23" s="50"/>
      <c r="Z23" s="51"/>
      <c r="AA23" s="50"/>
      <c r="AB23" s="51"/>
      <c r="AC23" s="50"/>
      <c r="AD23" s="51"/>
      <c r="AE23" s="50"/>
      <c r="AF23" s="51"/>
      <c r="AG23" s="50"/>
      <c r="AH23" s="51"/>
      <c r="AI23" s="50"/>
      <c r="AJ23" s="51"/>
      <c r="AK23" s="50"/>
      <c r="AL23" s="51"/>
      <c r="AM23" s="50"/>
      <c r="AN23" s="51"/>
      <c r="AO23" s="50"/>
      <c r="AP23" s="51"/>
      <c r="AQ23" s="50"/>
      <c r="AR23" s="51"/>
      <c r="AS23" s="50"/>
      <c r="AT23" s="51"/>
      <c r="AU23" s="50"/>
      <c r="AV23" s="51"/>
      <c r="AW23" s="50"/>
      <c r="AX23" s="51"/>
      <c r="AY23" s="50"/>
      <c r="AZ23" s="51"/>
      <c r="BA23" s="50"/>
      <c r="BB23" s="51"/>
      <c r="BC23" s="50"/>
      <c r="BD23" s="51"/>
      <c r="BE23" s="50"/>
      <c r="BF23" s="51"/>
      <c r="BG23" s="50"/>
      <c r="BH23" s="51"/>
      <c r="BI23" s="50"/>
      <c r="BJ23" s="51"/>
      <c r="BK23" s="50"/>
      <c r="BL23" s="51"/>
      <c r="BM23" s="109"/>
      <c r="BO23" s="174"/>
      <c r="BP23" s="174">
        <v>2042</v>
      </c>
      <c r="BQ23" s="221" t="s">
        <v>38</v>
      </c>
      <c r="BR23" s="222"/>
      <c r="BS23" s="174" t="s">
        <v>1110</v>
      </c>
      <c r="BU23" s="202" t="str">
        <f t="shared" si="31"/>
        <v/>
      </c>
      <c r="BV23" s="196" t="str">
        <f t="shared" si="32"/>
        <v/>
      </c>
      <c r="BW23" s="196" t="str">
        <f t="shared" si="33"/>
        <v/>
      </c>
      <c r="BX23" s="196" t="str">
        <f t="shared" si="34"/>
        <v/>
      </c>
      <c r="BY23" s="196" t="str">
        <f t="shared" si="35"/>
        <v/>
      </c>
      <c r="BZ23" s="196" t="str">
        <f t="shared" si="36"/>
        <v/>
      </c>
      <c r="CA23" s="196" t="str">
        <f t="shared" si="37"/>
        <v/>
      </c>
      <c r="CB23" s="196" t="str">
        <f t="shared" si="38"/>
        <v/>
      </c>
      <c r="CC23" s="196" t="str">
        <f t="shared" si="39"/>
        <v/>
      </c>
      <c r="CD23" s="196" t="str">
        <f t="shared" si="40"/>
        <v/>
      </c>
      <c r="CE23" s="196" t="str">
        <f t="shared" si="41"/>
        <v/>
      </c>
      <c r="CF23" s="196" t="str">
        <f t="shared" si="42"/>
        <v/>
      </c>
      <c r="CG23" s="196" t="str">
        <f t="shared" si="43"/>
        <v/>
      </c>
      <c r="CH23" s="196" t="str">
        <f t="shared" si="44"/>
        <v/>
      </c>
      <c r="CI23" s="196" t="str">
        <f t="shared" si="45"/>
        <v/>
      </c>
      <c r="CJ23" s="196" t="str">
        <f t="shared" si="46"/>
        <v/>
      </c>
      <c r="CK23" s="196" t="str">
        <f t="shared" si="47"/>
        <v/>
      </c>
      <c r="CL23" s="196" t="str">
        <f t="shared" si="48"/>
        <v/>
      </c>
      <c r="CM23" s="196" t="str">
        <f t="shared" si="120"/>
        <v/>
      </c>
      <c r="CN23" s="196" t="str">
        <f t="shared" si="49"/>
        <v/>
      </c>
      <c r="CO23" s="196" t="str">
        <f t="shared" si="50"/>
        <v/>
      </c>
      <c r="CP23" s="196" t="str">
        <f t="shared" si="51"/>
        <v/>
      </c>
      <c r="CQ23" s="196" t="str">
        <f t="shared" si="52"/>
        <v/>
      </c>
      <c r="CR23" s="196" t="str">
        <f t="shared" si="53"/>
        <v/>
      </c>
      <c r="CS23" s="196" t="str">
        <f t="shared" si="54"/>
        <v/>
      </c>
      <c r="CT23" s="196" t="str">
        <f t="shared" si="55"/>
        <v/>
      </c>
      <c r="CU23" s="196" t="str">
        <f t="shared" si="56"/>
        <v/>
      </c>
      <c r="CV23" s="196" t="str">
        <f t="shared" si="57"/>
        <v/>
      </c>
      <c r="CW23" s="210" t="str">
        <f t="shared" si="58"/>
        <v/>
      </c>
      <c r="CY23" s="212" t="str">
        <f>IF(I23&lt;&gt;"",IF(H23="&lt;",IF(AND('Outfall 1 Limits'!$AM$16="Y",$BU$54&lt;&gt;"Y",I23&lt;='Outfall 1 Limits'!$AL$16),0,(1*I23)),I23),"")</f>
        <v/>
      </c>
      <c r="CZ23" s="206" t="str">
        <f>IF(K23&lt;&gt;"",IF(J23="&lt;",IF(AND('Outfall 1 Limits'!$AM$20="Y",$BV$54&lt;&gt;"Y",K23&lt;='Outfall 1 Limits'!$AL$20),0,(1*K23)),K23),"")</f>
        <v/>
      </c>
      <c r="DA23" s="206" t="str">
        <f>IF(M23&lt;&gt;"",IF(L23="&lt;",IF(AND('Outfall 1 Limits'!$AM$24="Y",$BW$54&lt;&gt;"Y",M23&lt;='Outfall 1 Limits'!$AL$24),0,(1*M23)),M23),"")</f>
        <v/>
      </c>
      <c r="DB23" s="206" t="str">
        <f>IF(O23&lt;&gt;"",IF(N23="&lt;",IF(AND('Outfall 1 Limits'!$AM$28="Y",$BX$54&lt;&gt;"Y",O23&lt;='Outfall 1 Limits'!$AL$28),0,(1*O23)),O23),"")</f>
        <v/>
      </c>
      <c r="DC23" s="206" t="str">
        <f>IF(Q23&lt;&gt;"",IF(P23="&lt;",IF(AND('Outfall 1 Limits'!$AM$32="Y",$BY$54&lt;&gt;"Y",Q23&lt;='Outfall 1 Limits'!$AL$32),0,(1*Q23)),Q23),"")</f>
        <v/>
      </c>
      <c r="DD23" s="206" t="str">
        <f>IF(S23&lt;&gt;"",IF(R23="&lt;",IF(AND('Outfall 1 Limits'!$AM$36="Y",$BZ$54&lt;&gt;"Y",S23&lt;='Outfall 1 Limits'!$AL$36),0,(1*S23)),S23),"")</f>
        <v/>
      </c>
      <c r="DE23" s="206" t="str">
        <f>IF(U23&lt;&gt;"",IF(T23="&lt;",IF(AND('Outfall 1 Limits'!$AM$40="Y",$CA$54&lt;&gt;"Y",U23&lt;='Outfall 1 Limits'!$AL$40),0,(1*U23)),U23),"")</f>
        <v/>
      </c>
      <c r="DF23" s="206" t="str">
        <f>IF(W23&lt;&gt;"",IF(V23="&lt;",IF(AND('Outfall 1 Limits'!$AM$44="Y",$CB$54&lt;&gt;"Y",W23&lt;='Outfall 1 Limits'!$AL$44),0,(1*W23)),W23),"")</f>
        <v/>
      </c>
      <c r="DG23" s="206" t="str">
        <f>IF(Y23&lt;&gt;"",IF(X23="&lt;",IF(AND('Outfall 1 Limits'!$AM$48="Y",$CC$54&lt;&gt;"Y",Y23&lt;='Outfall 1 Limits'!$AL$48),0,(1*Y23)),Y23),"")</f>
        <v/>
      </c>
      <c r="DH23" s="206" t="str">
        <f>IF(AA23&lt;&gt;"",IF(Z23="&lt;",IF(AND('Outfall 1 Limits'!$AM$52="Y",$CD$54&lt;&gt;"Y",AA23&lt;='Outfall 1 Limits'!$AL$52),0,(1*AA23)),AA23),"")</f>
        <v/>
      </c>
      <c r="DI23" s="206" t="str">
        <f>IF(AC23&lt;&gt;"",IF(AB23="&lt;",IF(AND('Outfall 1 Limits'!$AM$56="Y",$CE$54&lt;&gt;"Y",AC23&lt;='Outfall 1 Limits'!$AL$56),0,(1*AC23)),AC23),"")</f>
        <v/>
      </c>
      <c r="DJ23" s="206" t="str">
        <f>IF(AE23&lt;&gt;"",IF(AD23="&lt;",IF(AND('Outfall 1 Limits'!$AM$60="Y",$CF$54&lt;&gt;"Y",AE23&lt;='Outfall 1 Limits'!$AL$60),0,(1*AE23)),AE23),"")</f>
        <v/>
      </c>
      <c r="DK23" s="206" t="str">
        <f>IF(AG23&lt;&gt;"",IF(AF23="&lt;",IF(AND('Outfall 1 Limits'!$AM$64="Y",$CG$54&lt;&gt;"Y",AG23&lt;='Outfall 1 Limits'!$AL$64),0,(1*AG23)),AG23),"")</f>
        <v/>
      </c>
      <c r="DL23" s="206" t="str">
        <f>IF(AI23&lt;&gt;"",IF(AH23="&lt;",IF(AND('Outfall 1 Limits'!$AM$68="Y",$CH$54&lt;&gt;"Y",AI23&lt;='Outfall 1 Limits'!$AL$68),0,(1*AI23)),AI23),"")</f>
        <v/>
      </c>
      <c r="DM23" s="206" t="str">
        <f>IF(AK23&lt;&gt;"",IF(AJ23="&lt;",IF(AND('Outfall 1 Limits'!$AM$72="Y",$CI$54&lt;&gt;"Y",AK23&lt;='Outfall 1 Limits'!$AL$72),0,(1*AK23)),AK23),"")</f>
        <v/>
      </c>
      <c r="DN23" s="206" t="str">
        <f>IF(AM23&lt;&gt;"",IF(AL23="&lt;",IF(AND('Outfall 1 Limits'!$AM$76="Y",$CJ$54&lt;&gt;"Y",AM23&lt;='Outfall 1 Limits'!$AL$76),0,(1*AM23)),AM23),"")</f>
        <v/>
      </c>
      <c r="DO23" s="206" t="str">
        <f>IF(AO23&lt;&gt;"",IF(AN23="&lt;",IF(AND('Outfall 1 Limits'!$AM$80="Y",$CK$54&lt;&gt;"Y",AO23&lt;='Outfall 1 Limits'!$AL$80),0,(1*AO23)),AO23),"")</f>
        <v/>
      </c>
      <c r="DP23" s="206" t="str">
        <f>IF(AQ23&lt;&gt;"",IF(AP23="&lt;",IF(AND('Outfall 1 Limits'!$AM$84="Y",$CL$54&lt;&gt;"Y",AQ23&lt;='Outfall 1 Limits'!$AL$84),0,(1*AQ23)),AQ23),"")</f>
        <v/>
      </c>
      <c r="DQ23" s="206" t="str">
        <f>IF(AS23&lt;&gt;"",IF(AR23="&lt;",IF(AND('Outfall 1 Limits'!$AM$88="Y",$CM$54&lt;&gt;"Y",AS23&lt;='Outfall 1 Limits'!$AL$88),0,(1*AS23)),AS23),"")</f>
        <v/>
      </c>
      <c r="DR23" s="206" t="str">
        <f>IF(AU23&lt;&gt;"",IF(AT23="&lt;",IF(AND('Outfall 1 Limits'!$AM$92="Y",$CN$54&lt;&gt;"Y",AU23&lt;='Outfall 1 Limits'!$AL$92),0,(1*AU23)),AU23),"")</f>
        <v/>
      </c>
      <c r="DS23" s="206" t="str">
        <f>IF(AW23&lt;&gt;"",IF(AV23="&lt;",IF(AND('Outfall 1 Limits'!$AM$96="Y",$CO$54&lt;&gt;"Y",AW23&lt;='Outfall 1 Limits'!$AL$96),0,(1*AW23)),AW23),"")</f>
        <v/>
      </c>
      <c r="DT23" s="206" t="str">
        <f>IF(AY23&lt;&gt;"",IF(AX23="&lt;",IF(AND('Outfall 1 Limits'!$AM$100="Y",$CP$54&lt;&gt;"Y",AY23&lt;='Outfall 1 Limits'!$AL$100),0,(1*AY23)),AY23),"")</f>
        <v/>
      </c>
      <c r="DU23" s="206" t="str">
        <f>IF(BA23&lt;&gt;"",IF(AZ23="&lt;",IF(AND('Outfall 1 Limits'!$AM$104="Y",$CQ$54&lt;&gt;"Y",BA23&lt;='Outfall 1 Limits'!$AL$104),0,(1*BA23)),BA23),"")</f>
        <v/>
      </c>
      <c r="DV23" s="206" t="str">
        <f>IF(BC23&lt;&gt;"",IF(BB23="&lt;",IF(AND('Outfall 1 Limits'!$AM$108="Y",$CR$54&lt;&gt;"Y",BC23&lt;='Outfall 1 Limits'!$AL$108),0,(1*BC23)),BC23),"")</f>
        <v/>
      </c>
      <c r="DW23" s="206" t="str">
        <f>IF(BE23&lt;&gt;"",IF(BD23="&lt;",IF(AND('Outfall 1 Limits'!$AM$112="Y",$CS$54&lt;&gt;"Y",BE23&lt;='Outfall 1 Limits'!$AL$112),0,(1*BE23)),BE23),"")</f>
        <v/>
      </c>
      <c r="DX23" s="206" t="str">
        <f>IF(BG23&lt;&gt;"",IF(BF23="&lt;",IF(AND('Outfall 1 Limits'!$AM$116="Y",$CT$54&lt;&gt;"Y",BG23&lt;='Outfall 1 Limits'!$AL$116),0,(1*BG23)),BG23),"")</f>
        <v/>
      </c>
      <c r="DY23" s="206" t="str">
        <f>IF(BI23&lt;&gt;"",IF(BH23="&lt;",IF(AND('Outfall 1 Limits'!$AM$120="Y",$CU$54&lt;&gt;"Y",BI23&lt;='Outfall 1 Limits'!$AL$120),0,(1*BI23)),BI23),"")</f>
        <v/>
      </c>
      <c r="DZ23" s="206" t="str">
        <f>IF(BK23&lt;&gt;"",IF(BJ23="&lt;",IF(AND('Outfall 1 Limits'!$AM$124="Y",$CV$54&lt;&gt;"Y",BK23&lt;='Outfall 1 Limits'!$AL$124),0,(1*BK23)),BK23),"")</f>
        <v/>
      </c>
      <c r="EA23" s="223" t="str">
        <f>IF(BM23&lt;&gt;"",IF(BL23="&lt;",IF(AND('Outfall 1 Limits'!$AM$128="Y",$CW$54&lt;&gt;"Y",BM23&lt;='Outfall 1 Limits'!$AL$128),0,(1*BM23)),BM23),"")</f>
        <v/>
      </c>
      <c r="EB23" s="209" t="s">
        <v>1144</v>
      </c>
      <c r="EC23" s="231" t="str">
        <f>IF(EC16&lt;&gt;"",IF(BU64="Y",EC16-0.1,EC16),"")</f>
        <v/>
      </c>
      <c r="ED23" s="232" t="str">
        <f t="shared" ref="ED23:FE23" si="126">IF(ED16&lt;&gt;"",IF(BV64="Y",ED16-0.1,ED16),"")</f>
        <v/>
      </c>
      <c r="EE23" s="232" t="str">
        <f t="shared" si="126"/>
        <v/>
      </c>
      <c r="EF23" s="232" t="str">
        <f t="shared" si="126"/>
        <v/>
      </c>
      <c r="EG23" s="232" t="str">
        <f t="shared" si="126"/>
        <v/>
      </c>
      <c r="EH23" s="232" t="str">
        <f t="shared" si="126"/>
        <v/>
      </c>
      <c r="EI23" s="232" t="str">
        <f t="shared" si="126"/>
        <v/>
      </c>
      <c r="EJ23" s="232" t="str">
        <f t="shared" si="126"/>
        <v/>
      </c>
      <c r="EK23" s="232" t="str">
        <f t="shared" si="126"/>
        <v/>
      </c>
      <c r="EL23" s="232" t="str">
        <f t="shared" si="126"/>
        <v/>
      </c>
      <c r="EM23" s="232" t="str">
        <f t="shared" si="126"/>
        <v/>
      </c>
      <c r="EN23" s="232" t="str">
        <f t="shared" si="126"/>
        <v/>
      </c>
      <c r="EO23" s="232" t="str">
        <f t="shared" si="126"/>
        <v/>
      </c>
      <c r="EP23" s="232" t="str">
        <f t="shared" si="126"/>
        <v/>
      </c>
      <c r="EQ23" s="232" t="str">
        <f t="shared" si="126"/>
        <v/>
      </c>
      <c r="ER23" s="232" t="str">
        <f t="shared" si="126"/>
        <v/>
      </c>
      <c r="ES23" s="232" t="str">
        <f t="shared" si="126"/>
        <v/>
      </c>
      <c r="ET23" s="232" t="str">
        <f t="shared" si="126"/>
        <v/>
      </c>
      <c r="EU23" s="232" t="str">
        <f t="shared" si="126"/>
        <v/>
      </c>
      <c r="EV23" s="232" t="str">
        <f t="shared" si="126"/>
        <v/>
      </c>
      <c r="EW23" s="232" t="str">
        <f t="shared" si="126"/>
        <v/>
      </c>
      <c r="EX23" s="232" t="str">
        <f t="shared" si="126"/>
        <v/>
      </c>
      <c r="EY23" s="232" t="str">
        <f t="shared" si="126"/>
        <v/>
      </c>
      <c r="EZ23" s="232" t="str">
        <f t="shared" si="126"/>
        <v/>
      </c>
      <c r="FA23" s="232" t="str">
        <f t="shared" si="126"/>
        <v/>
      </c>
      <c r="FB23" s="232" t="str">
        <f t="shared" si="126"/>
        <v/>
      </c>
      <c r="FC23" s="232" t="str">
        <f t="shared" si="126"/>
        <v/>
      </c>
      <c r="FD23" s="232" t="str">
        <f t="shared" si="126"/>
        <v/>
      </c>
      <c r="FE23" s="233" t="str">
        <f t="shared" si="126"/>
        <v/>
      </c>
      <c r="FG23" s="212" t="str">
        <f>IF(AND($G23&lt;&gt;"",$G23&gt;0,'Outfall 1 Limits'!$AX$16="C1",I23&lt;&gt;""),I23*$G23*8.34,IF(AND($I23&lt;&gt;"",'Outfall 1 Limits'!$AX$16="L"),I23,""))</f>
        <v/>
      </c>
      <c r="FH23" s="206" t="str">
        <f>IF(AND($G23&lt;&gt;"",$G23&gt;0,'Outfall 1 Limits'!$AX$20="C1",$K23&lt;&gt;""),$K23*$G23*8.34,IF(AND($K23&lt;&gt;"",'Outfall 1 Limits'!$AX$20="L"),$K23,""))</f>
        <v/>
      </c>
      <c r="FI23" s="206" t="str">
        <f>IF(AND($G23&lt;&gt;"",$G23&gt;0,'Outfall 1 Limits'!$AX$24="C1",$M23&lt;&gt;""),$M23*$G23*8.34,IF(AND($M23&lt;&gt;"",'Outfall 1 Limits'!$AX$24="L"),$M23,""))</f>
        <v/>
      </c>
      <c r="FJ23" s="206" t="str">
        <f>IF(AND($G23&lt;&gt;"",$G23&gt;0,'Outfall 1 Limits'!$AX$28="C1",$O23&lt;&gt;""),$O23*$G23*8.34,IF(AND($O23&lt;&gt;"",'Outfall 1 Limits'!$AX$28="L"),$O23,""))</f>
        <v/>
      </c>
      <c r="FK23" s="206" t="str">
        <f>IF(AND($G23&lt;&gt;"",$G23&gt;0,'Outfall 1 Limits'!$AX$32="C1",$Q23&lt;&gt;""),$Q23*$G23*8.34,IF(AND($Q23&lt;&gt;"",'Outfall 1 Limits'!$AX$32="L"),$Q23,""))</f>
        <v/>
      </c>
      <c r="FL23" s="206" t="str">
        <f>IF(AND($G23&lt;&gt;"",$G23&gt;0,'Outfall 1 Limits'!$AX$36="C1",$S23&lt;&gt;""),$S23*$G23*8.34,IF(AND($S23&lt;&gt;"",'Outfall 1 Limits'!$AX$36="L"),$S23,""))</f>
        <v/>
      </c>
      <c r="FM23" s="206" t="str">
        <f>IF(AND($G23&lt;&gt;"",$G23&gt;0,'Outfall 1 Limits'!$AX$40="C1",$U23&lt;&gt;""),$U23*$G23*8.34,IF(AND($U23&lt;&gt;"",'Outfall 1 Limits'!$AX$40="L"),$U23,""))</f>
        <v/>
      </c>
      <c r="FN23" s="206" t="str">
        <f>IF(AND($G23&lt;&gt;"",$G23&gt;0,'Outfall 1 Limits'!$AX$44="C1",$W23&lt;&gt;""),$W23*$G23*8.34,IF(AND($W23&lt;&gt;"",'Outfall 1 Limits'!$AX$44="L"),$W23,""))</f>
        <v/>
      </c>
      <c r="FO23" s="206" t="str">
        <f>IF(AND($G23&lt;&gt;"",$G23&gt;0,'Outfall 1 Limits'!$AX$48="C1",$Y23&lt;&gt;""),$Y23*$G23*8.34,IF(AND($Y23&lt;&gt;"",'Outfall 1 Limits'!$AX$48="L"),$Y23,""))</f>
        <v/>
      </c>
      <c r="FP23" s="206" t="str">
        <f>IF(AND($G23&lt;&gt;"",$G23&gt;0,'Outfall 1 Limits'!$AX$52="C1",$AA23&lt;&gt;""),$AA23*$G23*8.34,IF(AND($AA23&lt;&gt;"",'Outfall 1 Limits'!$AX$52="L"),$AA23,""))</f>
        <v/>
      </c>
      <c r="FQ23" s="206" t="str">
        <f>IF(AND($G23&lt;&gt;"",$G23&gt;0,'Outfall 1 Limits'!$AX$56="C1",$AC23&lt;&gt;""),$AC23*$G23*8.34,IF(AND($AC23&lt;&gt;"",'Outfall 1 Limits'!$AX$56="L"),$AC23,""))</f>
        <v/>
      </c>
      <c r="FR23" s="206" t="str">
        <f>IF(AND($G23&lt;&gt;"",$G23&gt;0,'Outfall 1 Limits'!$AX$60="C1",$AE23&lt;&gt;""),$AE23*$G23*8.34,IF(AND($AE23&lt;&gt;"",'Outfall 1 Limits'!$AX$60="L"),$AE23,""))</f>
        <v/>
      </c>
      <c r="FS23" s="206" t="str">
        <f>IF(AND($G23&lt;&gt;"",$G23&gt;0,'Outfall 1 Limits'!$AX$64="C1",$AG23&lt;&gt;""),$AG23*$G23*8.34,IF(AND($AG23&lt;&gt;"",'Outfall 1 Limits'!$AX$64="L"),$AG23,""))</f>
        <v/>
      </c>
      <c r="FT23" s="206" t="str">
        <f>IF(AND($G23&lt;&gt;"",$G23&gt;0,'Outfall 1 Limits'!$AX$68="C1",$AI23&lt;&gt;""),$AI23*$G23*8.34,IF(AND($AI23&lt;&gt;"",'Outfall 1 Limits'!$AX$68="L"),$AI23,""))</f>
        <v/>
      </c>
      <c r="FU23" s="206" t="str">
        <f>IF(AND($G23&lt;&gt;"",$G23&gt;0,'Outfall 1 Limits'!$AX$72="C1",$AK23&lt;&gt;""),$AK23*$G23*8.34,IF(AND($AK23&lt;&gt;"",'Outfall 1 Limits'!$AX$72="L"),$AK23,""))</f>
        <v/>
      </c>
      <c r="FV23" s="206" t="str">
        <f>IF(AND($G23&lt;&gt;"",$G23&gt;0,'Outfall 1 Limits'!$AX$76="C1",$AM23&lt;&gt;""),$AM23*$G23*8.34,IF(AND($AM23&lt;&gt;"",'Outfall 1 Limits'!$AX$76="L"),$AM23,""))</f>
        <v/>
      </c>
      <c r="FW23" s="206" t="str">
        <f>IF(AND($G23&lt;&gt;"",$G23&gt;0,'Outfall 1 Limits'!$AX$80="C1",$AO23&lt;&gt;""),$AO23*$G23*8.34,IF(AND($AO23&lt;&gt;"",'Outfall 1 Limits'!$AX$80="L"),$AO23,""))</f>
        <v/>
      </c>
      <c r="FX23" s="206" t="str">
        <f>IF(AND($G23&lt;&gt;"",$G23&gt;0,'Outfall 1 Limits'!$AX$84="C1",$AQ23&lt;&gt;""),$AQ23*$G23*8.34,IF(AND($AQ23&lt;&gt;"",'Outfall 1 Limits'!$AX$84="L"),$AQ23,""))</f>
        <v/>
      </c>
      <c r="FY23" s="206" t="str">
        <f>IF(AND($G23&lt;&gt;"",$G23&gt;0,'Outfall 1 Limits'!$AX$88="C1",$AS23&lt;&gt;""),$AS23*$G23*8.34,IF(AND($AS23&lt;&gt;"",'Outfall 1 Limits'!$AX$88="L"),$AS23,""))</f>
        <v/>
      </c>
      <c r="FZ23" s="206" t="str">
        <f>IF(AND($G23&lt;&gt;"",$G23&gt;0,'Outfall 1 Limits'!$AX$92="C1",$AU23&lt;&gt;""),$AU23*$G23*8.34,IF(AND($AU23&lt;&gt;"",'Outfall 1 Limits'!$AX$92="L"),$AU23,""))</f>
        <v/>
      </c>
      <c r="GA23" s="206" t="str">
        <f>IF(AND($G23&lt;&gt;"",$G23&gt;0,'Outfall 1 Limits'!$AX$96="C1",$AW23&lt;&gt;""),$AW23*$G23*8.34,IF(AND($AW23&lt;&gt;"",'Outfall 1 Limits'!$AX$96="L"),$AW23,""))</f>
        <v/>
      </c>
      <c r="GB23" s="206" t="str">
        <f>IF(AND($G23&lt;&gt;"",$G23&gt;0,'Outfall 1 Limits'!$AX$100="C1",$AY23&lt;&gt;""),$AY23*$G23*8.34,IF(AND($AY23&lt;&gt;"",'Outfall 1 Limits'!$AX$100="L"),$AY23,""))</f>
        <v/>
      </c>
      <c r="GC23" s="206" t="str">
        <f>IF(AND($G23&lt;&gt;"",$G23&gt;0,'Outfall 1 Limits'!$AX$104="C1",$BA23&lt;&gt;""),$BA23*$G23*8.34,IF(AND($BA23&lt;&gt;"",'Outfall 1 Limits'!$AX$104="L"),$BA23,""))</f>
        <v/>
      </c>
      <c r="GD23" s="206" t="str">
        <f>IF(AND($G23&lt;&gt;"",$G23&gt;0,'Outfall 1 Limits'!$AX$108="C1",$BC23&lt;&gt;""),$BC23*$G23*8.34,IF(AND($BC23&lt;&gt;"",'Outfall 1 Limits'!$AX$108="L"),$BC23,""))</f>
        <v/>
      </c>
      <c r="GE23" s="206" t="str">
        <f>IF(AND($G23&lt;&gt;"",$G23&gt;0,'Outfall 1 Limits'!$AX$112="C1",$BE23&lt;&gt;""),$BE23*$G23*8.34,IF(AND($BE23&lt;&gt;"",'Outfall 1 Limits'!$AX$112="L"),$BE23,""))</f>
        <v/>
      </c>
      <c r="GF23" s="206" t="str">
        <f>IF(AND($G23&lt;&gt;"",$G23&gt;0,'Outfall 1 Limits'!$AX$116="C1",$BG23&lt;&gt;""),$BG23*$G23*8.34,IF(AND($BG23&lt;&gt;"",'Outfall 1 Limits'!$AX$116="L"),$BG23,""))</f>
        <v/>
      </c>
      <c r="GG23" s="206" t="str">
        <f>IF(AND($G23&lt;&gt;"",$G23&gt;0,'Outfall 1 Limits'!$AX$120="C1",$BI23&lt;&gt;""),$BI23*$G23*8.34,IF(AND($BI23&lt;&gt;"",'Outfall 1 Limits'!$AX$120="L"),$BI23,""))</f>
        <v/>
      </c>
      <c r="GH23" s="206" t="str">
        <f>IF(AND($G23&lt;&gt;"",$G23&gt;0,'Outfall 1 Limits'!$AX$124="C1",$BK23&lt;&gt;""),$BK23*$G23*8.34,IF(AND($BK23&lt;&gt;"",'Outfall 1 Limits'!$AX$124="L"),$BK23,""))</f>
        <v/>
      </c>
      <c r="GI23" s="223" t="str">
        <f>IF(AND($G23&lt;&gt;"",$G23&gt;0,'Outfall 1 Limits'!$AX$128="C1",$BM23&lt;&gt;""),$BM23*$G23*8.34,IF(AND($BM23&lt;&gt;"",'Outfall 1 Limits'!$AX$128="L"),$BM23,""))</f>
        <v/>
      </c>
      <c r="GJ23" s="177" t="str">
        <f t="shared" si="59"/>
        <v/>
      </c>
      <c r="GK23" s="212" t="str">
        <f>IF(AND($G23&lt;&gt;"",$G23&gt;0,'Outfall 1 Limits'!$AX$16="C1",CY23&lt;&gt;""),CY23*$G23*8.34,IF(AND(CY23&lt;&gt;"",'Outfall 1 Limits'!$AX$16="L"),CY23,""))</f>
        <v/>
      </c>
      <c r="GL23" s="206" t="str">
        <f>IF(AND($G23&lt;&gt;"",$G23&gt;0,'Outfall 1 Limits'!$AX$20="C1",CZ23&lt;&gt;""),CZ23*$G23*8.34,IF(AND(CZ23&lt;&gt;"",'Outfall 1 Limits'!$AX$20="L"),CZ23,""))</f>
        <v/>
      </c>
      <c r="GM23" s="206" t="str">
        <f>IF(AND($G23&lt;&gt;"",$G23&gt;0,'Outfall 1 Limits'!$AX$24="C1",DA23&lt;&gt;""),DA23*$G23*8.34,IF(AND(DA23&lt;&gt;"",'Outfall 1 Limits'!$AX$24="L"),DA23,""))</f>
        <v/>
      </c>
      <c r="GN23" s="206" t="str">
        <f>IF(AND($G23&lt;&gt;"",$G23&gt;0,'Outfall 1 Limits'!$AX$28="C1",DB23&lt;&gt;""),DB23*$G23*8.34,IF(AND(DB23&lt;&gt;"",'Outfall 1 Limits'!$AX$28="L"),DB23,""))</f>
        <v/>
      </c>
      <c r="GO23" s="206" t="str">
        <f>IF(AND($G23&lt;&gt;"",$G23&gt;0,'Outfall 1 Limits'!$AX$32="C1",DC23&lt;&gt;""),DC23*$G23*8.34,IF(AND(DC23&lt;&gt;"",'Outfall 1 Limits'!$AX$32="L"),DC23,""))</f>
        <v/>
      </c>
      <c r="GP23" s="206" t="str">
        <f>IF(AND($G23&lt;&gt;"",$G23&gt;0,'Outfall 1 Limits'!$AX$36="C1",DD23&lt;&gt;""),DD23*$G23*8.34,IF(AND(DD23&lt;&gt;"",'Outfall 1 Limits'!$AX$36="L"),DD23,""))</f>
        <v/>
      </c>
      <c r="GQ23" s="206" t="str">
        <f>IF(AND($G23&lt;&gt;"",$G23&gt;0,'Outfall 1 Limits'!$AX$40="C1",DE23&lt;&gt;""),DE23*$G23*8.34,IF(AND(DE23&lt;&gt;"",'Outfall 1 Limits'!$AX$40="L"),DE23,""))</f>
        <v/>
      </c>
      <c r="GR23" s="206" t="str">
        <f>IF(AND($G23&lt;&gt;"",$G23&gt;0,'Outfall 1 Limits'!$AX$44="C1",DF23&lt;&gt;""),DF23*$G23*8.34,IF(AND(DF23&lt;&gt;"",'Outfall 1 Limits'!$AX$44="L"),DF23,""))</f>
        <v/>
      </c>
      <c r="GS23" s="206" t="str">
        <f>IF(AND($G23&lt;&gt;"",$G23&gt;0,'Outfall 1 Limits'!$AX$48="C1",DG23&lt;&gt;""),DG23*$G23*8.34,IF(AND(DG23&lt;&gt;"",'Outfall 1 Limits'!$AX$48="L"),DG23,""))</f>
        <v/>
      </c>
      <c r="GT23" s="206" t="str">
        <f>IF(AND($G23&lt;&gt;"",$G23&gt;0,'Outfall 1 Limits'!$AX$52="C1",DH23&lt;&gt;""),DH23*$G23*8.34,IF(AND(DH23&lt;&gt;"",'Outfall 1 Limits'!$AX$52="L"),DH23,""))</f>
        <v/>
      </c>
      <c r="GU23" s="206" t="str">
        <f>IF(AND($G23&lt;&gt;"",$G23&gt;0,'Outfall 1 Limits'!$AX$56="C1",DI23&lt;&gt;""),DI23*$G23*8.34,IF(AND(DI23&lt;&gt;"",'Outfall 1 Limits'!$AX$56="L"),DI23,""))</f>
        <v/>
      </c>
      <c r="GV23" s="206" t="str">
        <f>IF(AND($G23&lt;&gt;"",$G23&gt;0,'Outfall 1 Limits'!$AX$60="C1",DJ23&lt;&gt;""),DJ23*$G23*8.34,IF(AND(DJ23&lt;&gt;"",'Outfall 1 Limits'!$AX$60="L"),DJ23,""))</f>
        <v/>
      </c>
      <c r="GW23" s="206" t="str">
        <f>IF(AND($G23&lt;&gt;"",$G23&gt;0,'Outfall 1 Limits'!$AX$64="C1",DK23&lt;&gt;""),DK23*$G23*8.34,IF(AND(DK23&lt;&gt;"",'Outfall 1 Limits'!$AX$64="L"),DK23,""))</f>
        <v/>
      </c>
      <c r="GX23" s="206" t="str">
        <f>IF(AND($G23&lt;&gt;"",$G23&gt;0,'Outfall 1 Limits'!$AX$68="C1",DL23&lt;&gt;""),DL23*$G23*8.34,IF(AND(DL23&lt;&gt;"",'Outfall 1 Limits'!$AX$68="L"),DL23,""))</f>
        <v/>
      </c>
      <c r="GY23" s="206" t="str">
        <f>IF(AND($G23&lt;&gt;"",$G23&gt;0,'Outfall 1 Limits'!$AX$72="C1",DM23&lt;&gt;""),DM23*$G23*8.34,IF(AND(DM23&lt;&gt;"",'Outfall 1 Limits'!$AX$72="L"),DM23,""))</f>
        <v/>
      </c>
      <c r="GZ23" s="206" t="str">
        <f>IF(AND($G23&lt;&gt;"",$G23&gt;0,'Outfall 1 Limits'!$AX$76="C1",DN23&lt;&gt;""),DN23*$G23*8.34,IF(AND(DN23&lt;&gt;"",'Outfall 1 Limits'!$AX$76="L"),DN23,""))</f>
        <v/>
      </c>
      <c r="HA23" s="206" t="str">
        <f>IF(AND($G23&lt;&gt;"",$G23&gt;0,'Outfall 1 Limits'!$AX$80="C1",DO23&lt;&gt;""),DO23*$G23*8.34,IF(AND(DO23&lt;&gt;"",'Outfall 1 Limits'!$AX$80="L"),DO23,""))</f>
        <v/>
      </c>
      <c r="HB23" s="206" t="str">
        <f>IF(AND($G23&lt;&gt;"",$G23&gt;0,'Outfall 1 Limits'!$AX$84="C1",DP23&lt;&gt;""),DP23*$G23*8.34,IF(AND(DP23&lt;&gt;"",'Outfall 1 Limits'!$AX$84="L"),DP23,""))</f>
        <v/>
      </c>
      <c r="HC23" s="206" t="str">
        <f>IF(AND($G23&lt;&gt;"",$G23&gt;0,'Outfall 1 Limits'!$AX$88="C1",DQ23&lt;&gt;""),DQ23*$G23*8.34,IF(AND(DQ23&lt;&gt;"",'Outfall 1 Limits'!$AX$88="L"),DQ23,""))</f>
        <v/>
      </c>
      <c r="HD23" s="206" t="str">
        <f>IF(AND($G23&lt;&gt;"",$G23&gt;0,'Outfall 1 Limits'!$AX$92="C1",DR23&lt;&gt;""),DR23*$G23*8.34,IF(AND(DR23&lt;&gt;"",'Outfall 1 Limits'!$AX$92="L"),DR23,""))</f>
        <v/>
      </c>
      <c r="HE23" s="206" t="str">
        <f>IF(AND($G23&lt;&gt;"",$G23&gt;0,'Outfall 1 Limits'!$AX$96="C1",DS23&lt;&gt;""),DS23*$G23*8.34,IF(AND(DS23&lt;&gt;"",'Outfall 1 Limits'!$AX$96="L"),DS23,""))</f>
        <v/>
      </c>
      <c r="HF23" s="206" t="str">
        <f>IF(AND($G23&lt;&gt;"",$G23&gt;0,'Outfall 1 Limits'!$AX$100="C1",DT23&lt;&gt;""),DT23*$G23*8.34,IF(AND(DT23&lt;&gt;"",'Outfall 1 Limits'!$AX$100="L"),DT23,""))</f>
        <v/>
      </c>
      <c r="HG23" s="206" t="str">
        <f>IF(AND($G23&lt;&gt;"",$G23&gt;0,'Outfall 1 Limits'!$AX$104="C1",DU23&lt;&gt;""),DU23*$G23*8.34,IF(AND(DU23&lt;&gt;"",'Outfall 1 Limits'!$AX$104="L"),DU23,""))</f>
        <v/>
      </c>
      <c r="HH23" s="206" t="str">
        <f>IF(AND($G23&lt;&gt;"",$G23&gt;0,'Outfall 1 Limits'!$AX$108="C1",DV23&lt;&gt;""),DV23*$G23*8.34,IF(AND(DV23&lt;&gt;"",'Outfall 1 Limits'!$AX$108="L"),DV23,""))</f>
        <v/>
      </c>
      <c r="HI23" s="206" t="str">
        <f>IF(AND($G23&lt;&gt;"",$G23&gt;0,'Outfall 1 Limits'!$AX$112="C1",DW23&lt;&gt;""),DW23*$G23*8.34,IF(AND(DW23&lt;&gt;"",'Outfall 1 Limits'!$AX$112="L"),DW23,""))</f>
        <v/>
      </c>
      <c r="HJ23" s="206" t="str">
        <f>IF(AND($G23&lt;&gt;"",$G23&gt;0,'Outfall 1 Limits'!$AX$116="C1",DX23&lt;&gt;""),DX23*$G23*8.34,IF(AND(DX23&lt;&gt;"",'Outfall 1 Limits'!$AX$116="L"),DX23,""))</f>
        <v/>
      </c>
      <c r="HK23" s="206" t="str">
        <f>IF(AND($G23&lt;&gt;"",$G23&gt;0,'Outfall 1 Limits'!$AX$120="C1",DY23&lt;&gt;""),DY23*$G23*8.34,IF(AND(DY23&lt;&gt;"",'Outfall 1 Limits'!$AX$120="L"),DY23,""))</f>
        <v/>
      </c>
      <c r="HL23" s="206" t="str">
        <f>IF(AND($G23&lt;&gt;"",$G23&gt;0,'Outfall 1 Limits'!$AX$124="C1",DZ23&lt;&gt;""),DZ23*$G23*8.34,IF(AND(DZ23&lt;&gt;"",'Outfall 1 Limits'!$AX$124="L"),DZ23,""))</f>
        <v/>
      </c>
      <c r="HM23" s="223" t="str">
        <f>IF(AND($G23&lt;&gt;"",$G23&gt;0,'Outfall 1 Limits'!$AX$128="C1",EA23&lt;&gt;""),EA23*$G23*8.34,IF(AND(EA23&lt;&gt;"",'Outfall 1 Limits'!$AX$128="L"),EA23,""))</f>
        <v/>
      </c>
      <c r="HO23" s="224" t="str">
        <f t="shared" si="60"/>
        <v/>
      </c>
      <c r="HS23" s="202" t="str">
        <f t="shared" si="61"/>
        <v/>
      </c>
      <c r="HT23" s="196" t="str">
        <f t="shared" si="62"/>
        <v/>
      </c>
      <c r="HU23" s="196" t="str">
        <f t="shared" si="63"/>
        <v/>
      </c>
      <c r="HV23" s="196" t="str">
        <f t="shared" si="64"/>
        <v/>
      </c>
      <c r="HW23" s="196" t="str">
        <f t="shared" si="65"/>
        <v/>
      </c>
      <c r="HX23" s="196" t="str">
        <f t="shared" si="66"/>
        <v/>
      </c>
      <c r="HY23" s="196" t="str">
        <f t="shared" si="67"/>
        <v/>
      </c>
      <c r="HZ23" s="196" t="str">
        <f t="shared" si="68"/>
        <v/>
      </c>
      <c r="IA23" s="196" t="str">
        <f t="shared" si="69"/>
        <v/>
      </c>
      <c r="IB23" s="196" t="str">
        <f t="shared" si="70"/>
        <v/>
      </c>
      <c r="IC23" s="196" t="str">
        <f t="shared" si="71"/>
        <v/>
      </c>
      <c r="ID23" s="196" t="str">
        <f t="shared" si="72"/>
        <v/>
      </c>
      <c r="IE23" s="196" t="str">
        <f t="shared" si="73"/>
        <v/>
      </c>
      <c r="IF23" s="196" t="str">
        <f t="shared" si="74"/>
        <v/>
      </c>
      <c r="IG23" s="196" t="str">
        <f t="shared" si="75"/>
        <v/>
      </c>
      <c r="IH23" s="196" t="str">
        <f t="shared" si="76"/>
        <v/>
      </c>
      <c r="II23" s="196" t="str">
        <f t="shared" si="77"/>
        <v/>
      </c>
      <c r="IJ23" s="196" t="str">
        <f t="shared" si="78"/>
        <v/>
      </c>
      <c r="IK23" s="196" t="str">
        <f t="shared" si="79"/>
        <v/>
      </c>
      <c r="IL23" s="196" t="str">
        <f t="shared" si="80"/>
        <v/>
      </c>
      <c r="IM23" s="196" t="str">
        <f t="shared" si="81"/>
        <v/>
      </c>
      <c r="IN23" s="196" t="str">
        <f t="shared" si="82"/>
        <v/>
      </c>
      <c r="IO23" s="196" t="str">
        <f t="shared" si="83"/>
        <v/>
      </c>
      <c r="IP23" s="196" t="str">
        <f t="shared" si="84"/>
        <v/>
      </c>
      <c r="IQ23" s="196" t="str">
        <f t="shared" si="85"/>
        <v/>
      </c>
      <c r="IR23" s="196" t="str">
        <f t="shared" si="86"/>
        <v/>
      </c>
      <c r="IS23" s="196" t="str">
        <f t="shared" si="87"/>
        <v/>
      </c>
      <c r="IT23" s="196" t="str">
        <f t="shared" si="88"/>
        <v/>
      </c>
      <c r="IU23" s="210" t="str">
        <f t="shared" si="89"/>
        <v/>
      </c>
      <c r="IX23" s="202" t="str">
        <f t="shared" si="90"/>
        <v/>
      </c>
      <c r="IY23" s="196" t="str">
        <f t="shared" si="91"/>
        <v/>
      </c>
      <c r="IZ23" s="196" t="str">
        <f t="shared" si="92"/>
        <v/>
      </c>
      <c r="JA23" s="196" t="str">
        <f t="shared" si="93"/>
        <v/>
      </c>
      <c r="JB23" s="196" t="str">
        <f t="shared" si="94"/>
        <v/>
      </c>
      <c r="JC23" s="196" t="str">
        <f t="shared" si="95"/>
        <v/>
      </c>
      <c r="JD23" s="196" t="str">
        <f t="shared" si="96"/>
        <v/>
      </c>
      <c r="JE23" s="196" t="str">
        <f t="shared" si="97"/>
        <v/>
      </c>
      <c r="JF23" s="196" t="str">
        <f t="shared" si="98"/>
        <v/>
      </c>
      <c r="JG23" s="196" t="str">
        <f t="shared" si="99"/>
        <v/>
      </c>
      <c r="JH23" s="196" t="str">
        <f t="shared" si="100"/>
        <v/>
      </c>
      <c r="JI23" s="196" t="str">
        <f t="shared" si="101"/>
        <v/>
      </c>
      <c r="JJ23" s="196" t="str">
        <f t="shared" si="102"/>
        <v/>
      </c>
      <c r="JK23" s="196" t="str">
        <f t="shared" si="103"/>
        <v/>
      </c>
      <c r="JL23" s="196" t="str">
        <f t="shared" si="104"/>
        <v/>
      </c>
      <c r="JM23" s="196" t="str">
        <f t="shared" si="105"/>
        <v/>
      </c>
      <c r="JN23" s="196" t="str">
        <f t="shared" si="106"/>
        <v/>
      </c>
      <c r="JO23" s="196" t="str">
        <f t="shared" si="107"/>
        <v/>
      </c>
      <c r="JP23" s="196" t="str">
        <f t="shared" si="108"/>
        <v/>
      </c>
      <c r="JQ23" s="196" t="str">
        <f t="shared" si="109"/>
        <v/>
      </c>
      <c r="JR23" s="196" t="str">
        <f t="shared" si="110"/>
        <v/>
      </c>
      <c r="JS23" s="196" t="str">
        <f t="shared" si="111"/>
        <v/>
      </c>
      <c r="JT23" s="196" t="str">
        <f t="shared" si="112"/>
        <v/>
      </c>
      <c r="JU23" s="196" t="str">
        <f t="shared" si="113"/>
        <v/>
      </c>
      <c r="JV23" s="196" t="str">
        <f t="shared" si="114"/>
        <v/>
      </c>
      <c r="JW23" s="196" t="str">
        <f t="shared" si="115"/>
        <v/>
      </c>
      <c r="JX23" s="196" t="str">
        <f t="shared" si="116"/>
        <v/>
      </c>
      <c r="JY23" s="196" t="str">
        <f t="shared" si="117"/>
        <v/>
      </c>
      <c r="JZ23" s="210" t="str">
        <f t="shared" si="118"/>
        <v/>
      </c>
      <c r="KA23" s="196"/>
      <c r="KB23" s="176"/>
      <c r="KC23" s="227"/>
      <c r="KD23" s="218" t="str">
        <f t="shared" si="2"/>
        <v/>
      </c>
      <c r="KE23" s="196" t="str">
        <f t="shared" si="3"/>
        <v/>
      </c>
      <c r="KF23" s="196" t="str">
        <f t="shared" si="4"/>
        <v/>
      </c>
      <c r="KG23" s="196" t="str">
        <f t="shared" si="5"/>
        <v/>
      </c>
      <c r="KH23" s="196" t="str">
        <f t="shared" si="6"/>
        <v/>
      </c>
      <c r="KI23" s="196" t="str">
        <f t="shared" si="7"/>
        <v/>
      </c>
      <c r="KJ23" s="196" t="str">
        <f t="shared" si="8"/>
        <v/>
      </c>
      <c r="KK23" s="196" t="str">
        <f t="shared" si="9"/>
        <v/>
      </c>
      <c r="KL23" s="196" t="str">
        <f t="shared" si="10"/>
        <v/>
      </c>
      <c r="KM23" s="196" t="str">
        <f t="shared" si="11"/>
        <v/>
      </c>
      <c r="KN23" s="196" t="str">
        <f t="shared" si="12"/>
        <v/>
      </c>
      <c r="KO23" s="196" t="str">
        <f t="shared" si="13"/>
        <v/>
      </c>
      <c r="KP23" s="196" t="str">
        <f t="shared" si="14"/>
        <v/>
      </c>
      <c r="KQ23" s="196" t="str">
        <f t="shared" si="15"/>
        <v/>
      </c>
      <c r="KR23" s="196" t="str">
        <f t="shared" si="16"/>
        <v/>
      </c>
      <c r="KS23" s="196" t="str">
        <f t="shared" si="17"/>
        <v/>
      </c>
      <c r="KT23" s="196" t="str">
        <f t="shared" si="18"/>
        <v/>
      </c>
      <c r="KU23" s="196" t="str">
        <f t="shared" si="19"/>
        <v/>
      </c>
      <c r="KV23" s="196" t="str">
        <f t="shared" si="20"/>
        <v/>
      </c>
      <c r="KW23" s="196" t="str">
        <f t="shared" si="21"/>
        <v/>
      </c>
      <c r="KX23" s="196" t="str">
        <f t="shared" si="22"/>
        <v/>
      </c>
      <c r="KY23" s="196" t="str">
        <f t="shared" si="23"/>
        <v/>
      </c>
      <c r="KZ23" s="196" t="str">
        <f t="shared" si="24"/>
        <v/>
      </c>
      <c r="LA23" s="196" t="str">
        <f t="shared" si="25"/>
        <v/>
      </c>
      <c r="LB23" s="196" t="str">
        <f t="shared" si="26"/>
        <v/>
      </c>
      <c r="LC23" s="196" t="str">
        <f t="shared" si="27"/>
        <v/>
      </c>
      <c r="LD23" s="196" t="str">
        <f t="shared" si="28"/>
        <v/>
      </c>
      <c r="LE23" s="196" t="str">
        <f t="shared" si="29"/>
        <v/>
      </c>
      <c r="LF23" s="226" t="str">
        <f t="shared" si="30"/>
        <v/>
      </c>
    </row>
    <row r="24" spans="1:318" s="172" customFormat="1" ht="11.45" customHeight="1" x14ac:dyDescent="0.2">
      <c r="A24" s="35"/>
      <c r="B24" s="54">
        <v>2</v>
      </c>
      <c r="C24" s="438">
        <f t="shared" si="0"/>
        <v>45298</v>
      </c>
      <c r="D24" s="438"/>
      <c r="E24" s="430">
        <f t="shared" si="119"/>
        <v>45298</v>
      </c>
      <c r="F24" s="431"/>
      <c r="G24" s="26"/>
      <c r="H24" s="51"/>
      <c r="I24" s="50"/>
      <c r="J24" s="51"/>
      <c r="K24" s="50"/>
      <c r="L24" s="51"/>
      <c r="M24" s="50"/>
      <c r="N24" s="51"/>
      <c r="O24" s="50"/>
      <c r="P24" s="51"/>
      <c r="Q24" s="50"/>
      <c r="R24" s="51"/>
      <c r="S24" s="50"/>
      <c r="T24" s="51"/>
      <c r="U24" s="50"/>
      <c r="V24" s="51"/>
      <c r="W24" s="50"/>
      <c r="X24" s="276"/>
      <c r="Y24" s="50"/>
      <c r="Z24" s="51"/>
      <c r="AA24" s="50"/>
      <c r="AB24" s="51"/>
      <c r="AC24" s="50"/>
      <c r="AD24" s="51"/>
      <c r="AE24" s="50"/>
      <c r="AF24" s="51"/>
      <c r="AG24" s="50"/>
      <c r="AH24" s="51"/>
      <c r="AI24" s="50"/>
      <c r="AJ24" s="51"/>
      <c r="AK24" s="50"/>
      <c r="AL24" s="51"/>
      <c r="AM24" s="50"/>
      <c r="AN24" s="51"/>
      <c r="AO24" s="50"/>
      <c r="AP24" s="51"/>
      <c r="AQ24" s="50"/>
      <c r="AR24" s="51"/>
      <c r="AS24" s="50"/>
      <c r="AT24" s="51"/>
      <c r="AU24" s="50"/>
      <c r="AV24" s="51"/>
      <c r="AW24" s="50"/>
      <c r="AX24" s="51"/>
      <c r="AY24" s="50"/>
      <c r="AZ24" s="51"/>
      <c r="BA24" s="50"/>
      <c r="BB24" s="51"/>
      <c r="BC24" s="50"/>
      <c r="BD24" s="51"/>
      <c r="BE24" s="50"/>
      <c r="BF24" s="51"/>
      <c r="BG24" s="50"/>
      <c r="BH24" s="51"/>
      <c r="BI24" s="50"/>
      <c r="BJ24" s="51"/>
      <c r="BK24" s="50"/>
      <c r="BL24" s="51"/>
      <c r="BM24" s="109"/>
      <c r="BO24" s="174"/>
      <c r="BP24" s="174">
        <v>2043</v>
      </c>
      <c r="BQ24" s="221" t="s">
        <v>39</v>
      </c>
      <c r="BR24" s="222"/>
      <c r="BS24" s="174" t="s">
        <v>1111</v>
      </c>
      <c r="BU24" s="202" t="str">
        <f t="shared" si="31"/>
        <v/>
      </c>
      <c r="BV24" s="196" t="str">
        <f t="shared" si="32"/>
        <v/>
      </c>
      <c r="BW24" s="196" t="str">
        <f t="shared" si="33"/>
        <v/>
      </c>
      <c r="BX24" s="196" t="str">
        <f t="shared" si="34"/>
        <v/>
      </c>
      <c r="BY24" s="196" t="str">
        <f t="shared" si="35"/>
        <v/>
      </c>
      <c r="BZ24" s="196" t="str">
        <f t="shared" si="36"/>
        <v/>
      </c>
      <c r="CA24" s="196" t="str">
        <f t="shared" si="37"/>
        <v/>
      </c>
      <c r="CB24" s="196" t="str">
        <f t="shared" si="38"/>
        <v/>
      </c>
      <c r="CC24" s="196" t="str">
        <f t="shared" si="39"/>
        <v/>
      </c>
      <c r="CD24" s="196" t="str">
        <f t="shared" si="40"/>
        <v/>
      </c>
      <c r="CE24" s="196" t="str">
        <f t="shared" si="41"/>
        <v/>
      </c>
      <c r="CF24" s="196" t="str">
        <f t="shared" si="42"/>
        <v/>
      </c>
      <c r="CG24" s="196" t="str">
        <f t="shared" si="43"/>
        <v/>
      </c>
      <c r="CH24" s="196" t="str">
        <f t="shared" si="44"/>
        <v/>
      </c>
      <c r="CI24" s="196" t="str">
        <f t="shared" si="45"/>
        <v/>
      </c>
      <c r="CJ24" s="196" t="str">
        <f t="shared" si="46"/>
        <v/>
      </c>
      <c r="CK24" s="196" t="str">
        <f t="shared" si="47"/>
        <v/>
      </c>
      <c r="CL24" s="196" t="str">
        <f t="shared" si="48"/>
        <v/>
      </c>
      <c r="CM24" s="196" t="str">
        <f t="shared" si="120"/>
        <v/>
      </c>
      <c r="CN24" s="196" t="str">
        <f t="shared" si="49"/>
        <v/>
      </c>
      <c r="CO24" s="196" t="str">
        <f t="shared" si="50"/>
        <v/>
      </c>
      <c r="CP24" s="196" t="str">
        <f t="shared" si="51"/>
        <v/>
      </c>
      <c r="CQ24" s="196" t="str">
        <f t="shared" si="52"/>
        <v/>
      </c>
      <c r="CR24" s="196" t="str">
        <f t="shared" si="53"/>
        <v/>
      </c>
      <c r="CS24" s="196" t="str">
        <f t="shared" si="54"/>
        <v/>
      </c>
      <c r="CT24" s="196" t="str">
        <f t="shared" si="55"/>
        <v/>
      </c>
      <c r="CU24" s="196" t="str">
        <f t="shared" si="56"/>
        <v/>
      </c>
      <c r="CV24" s="196" t="str">
        <f t="shared" si="57"/>
        <v/>
      </c>
      <c r="CW24" s="210" t="str">
        <f t="shared" si="58"/>
        <v/>
      </c>
      <c r="CY24" s="212" t="str">
        <f>IF(I24&lt;&gt;"",IF(H24="&lt;",IF(AND('Outfall 1 Limits'!$AM$16="Y",$BU$54&lt;&gt;"Y",I24&lt;='Outfall 1 Limits'!$AL$16),0,(1*I24)),I24),"")</f>
        <v/>
      </c>
      <c r="CZ24" s="206" t="str">
        <f>IF(K24&lt;&gt;"",IF(J24="&lt;",IF(AND('Outfall 1 Limits'!$AM$20="Y",$BV$54&lt;&gt;"Y",K24&lt;='Outfall 1 Limits'!$AL$20),0,(1*K24)),K24),"")</f>
        <v/>
      </c>
      <c r="DA24" s="206" t="str">
        <f>IF(M24&lt;&gt;"",IF(L24="&lt;",IF(AND('Outfall 1 Limits'!$AM$24="Y",$BW$54&lt;&gt;"Y",M24&lt;='Outfall 1 Limits'!$AL$24),0,(1*M24)),M24),"")</f>
        <v/>
      </c>
      <c r="DB24" s="206" t="str">
        <f>IF(O24&lt;&gt;"",IF(N24="&lt;",IF(AND('Outfall 1 Limits'!$AM$28="Y",$BX$54&lt;&gt;"Y",O24&lt;='Outfall 1 Limits'!$AL$28),0,(1*O24)),O24),"")</f>
        <v/>
      </c>
      <c r="DC24" s="206" t="str">
        <f>IF(Q24&lt;&gt;"",IF(P24="&lt;",IF(AND('Outfall 1 Limits'!$AM$32="Y",$BY$54&lt;&gt;"Y",Q24&lt;='Outfall 1 Limits'!$AL$32),0,(1*Q24)),Q24),"")</f>
        <v/>
      </c>
      <c r="DD24" s="206" t="str">
        <f>IF(S24&lt;&gt;"",IF(R24="&lt;",IF(AND('Outfall 1 Limits'!$AM$36="Y",$BZ$54&lt;&gt;"Y",S24&lt;='Outfall 1 Limits'!$AL$36),0,(1*S24)),S24),"")</f>
        <v/>
      </c>
      <c r="DE24" s="206" t="str">
        <f>IF(U24&lt;&gt;"",IF(T24="&lt;",IF(AND('Outfall 1 Limits'!$AM$40="Y",$CA$54&lt;&gt;"Y",U24&lt;='Outfall 1 Limits'!$AL$40),0,(1*U24)),U24),"")</f>
        <v/>
      </c>
      <c r="DF24" s="206" t="str">
        <f>IF(W24&lt;&gt;"",IF(V24="&lt;",IF(AND('Outfall 1 Limits'!$AM$44="Y",$CB$54&lt;&gt;"Y",W24&lt;='Outfall 1 Limits'!$AL$44),0,(1*W24)),W24),"")</f>
        <v/>
      </c>
      <c r="DG24" s="206" t="str">
        <f>IF(Y24&lt;&gt;"",IF(X24="&lt;",IF(AND('Outfall 1 Limits'!$AM$48="Y",$CC$54&lt;&gt;"Y",Y24&lt;='Outfall 1 Limits'!$AL$48),0,(1*Y24)),Y24),"")</f>
        <v/>
      </c>
      <c r="DH24" s="206" t="str">
        <f>IF(AA24&lt;&gt;"",IF(Z24="&lt;",IF(AND('Outfall 1 Limits'!$AM$52="Y",$CD$54&lt;&gt;"Y",AA24&lt;='Outfall 1 Limits'!$AL$52),0,(1*AA24)),AA24),"")</f>
        <v/>
      </c>
      <c r="DI24" s="206" t="str">
        <f>IF(AC24&lt;&gt;"",IF(AB24="&lt;",IF(AND('Outfall 1 Limits'!$AM$56="Y",$CE$54&lt;&gt;"Y",AC24&lt;='Outfall 1 Limits'!$AL$56),0,(1*AC24)),AC24),"")</f>
        <v/>
      </c>
      <c r="DJ24" s="206" t="str">
        <f>IF(AE24&lt;&gt;"",IF(AD24="&lt;",IF(AND('Outfall 1 Limits'!$AM$60="Y",$CF$54&lt;&gt;"Y",AE24&lt;='Outfall 1 Limits'!$AL$60),0,(1*AE24)),AE24),"")</f>
        <v/>
      </c>
      <c r="DK24" s="206" t="str">
        <f>IF(AG24&lt;&gt;"",IF(AF24="&lt;",IF(AND('Outfall 1 Limits'!$AM$64="Y",$CG$54&lt;&gt;"Y",AG24&lt;='Outfall 1 Limits'!$AL$64),0,(1*AG24)),AG24),"")</f>
        <v/>
      </c>
      <c r="DL24" s="206" t="str">
        <f>IF(AI24&lt;&gt;"",IF(AH24="&lt;",IF(AND('Outfall 1 Limits'!$AM$68="Y",$CH$54&lt;&gt;"Y",AI24&lt;='Outfall 1 Limits'!$AL$68),0,(1*AI24)),AI24),"")</f>
        <v/>
      </c>
      <c r="DM24" s="206" t="str">
        <f>IF(AK24&lt;&gt;"",IF(AJ24="&lt;",IF(AND('Outfall 1 Limits'!$AM$72="Y",$CI$54&lt;&gt;"Y",AK24&lt;='Outfall 1 Limits'!$AL$72),0,(1*AK24)),AK24),"")</f>
        <v/>
      </c>
      <c r="DN24" s="206" t="str">
        <f>IF(AM24&lt;&gt;"",IF(AL24="&lt;",IF(AND('Outfall 1 Limits'!$AM$76="Y",$CJ$54&lt;&gt;"Y",AM24&lt;='Outfall 1 Limits'!$AL$76),0,(1*AM24)),AM24),"")</f>
        <v/>
      </c>
      <c r="DO24" s="206" t="str">
        <f>IF(AO24&lt;&gt;"",IF(AN24="&lt;",IF(AND('Outfall 1 Limits'!$AM$80="Y",$CK$54&lt;&gt;"Y",AO24&lt;='Outfall 1 Limits'!$AL$80),0,(1*AO24)),AO24),"")</f>
        <v/>
      </c>
      <c r="DP24" s="206" t="str">
        <f>IF(AQ24&lt;&gt;"",IF(AP24="&lt;",IF(AND('Outfall 1 Limits'!$AM$84="Y",$CL$54&lt;&gt;"Y",AQ24&lt;='Outfall 1 Limits'!$AL$84),0,(1*AQ24)),AQ24),"")</f>
        <v/>
      </c>
      <c r="DQ24" s="206" t="str">
        <f>IF(AS24&lt;&gt;"",IF(AR24="&lt;",IF(AND('Outfall 1 Limits'!$AM$88="Y",$CM$54&lt;&gt;"Y",AS24&lt;='Outfall 1 Limits'!$AL$88),0,(1*AS24)),AS24),"")</f>
        <v/>
      </c>
      <c r="DR24" s="206" t="str">
        <f>IF(AU24&lt;&gt;"",IF(AT24="&lt;",IF(AND('Outfall 1 Limits'!$AM$92="Y",$CN$54&lt;&gt;"Y",AU24&lt;='Outfall 1 Limits'!$AL$92),0,(1*AU24)),AU24),"")</f>
        <v/>
      </c>
      <c r="DS24" s="206" t="str">
        <f>IF(AW24&lt;&gt;"",IF(AV24="&lt;",IF(AND('Outfall 1 Limits'!$AM$96="Y",$CO$54&lt;&gt;"Y",AW24&lt;='Outfall 1 Limits'!$AL$96),0,(1*AW24)),AW24),"")</f>
        <v/>
      </c>
      <c r="DT24" s="206" t="str">
        <f>IF(AY24&lt;&gt;"",IF(AX24="&lt;",IF(AND('Outfall 1 Limits'!$AM$100="Y",$CP$54&lt;&gt;"Y",AY24&lt;='Outfall 1 Limits'!$AL$100),0,(1*AY24)),AY24),"")</f>
        <v/>
      </c>
      <c r="DU24" s="206" t="str">
        <f>IF(BA24&lt;&gt;"",IF(AZ24="&lt;",IF(AND('Outfall 1 Limits'!$AM$104="Y",$CQ$54&lt;&gt;"Y",BA24&lt;='Outfall 1 Limits'!$AL$104),0,(1*BA24)),BA24),"")</f>
        <v/>
      </c>
      <c r="DV24" s="206" t="str">
        <f>IF(BC24&lt;&gt;"",IF(BB24="&lt;",IF(AND('Outfall 1 Limits'!$AM$108="Y",$CR$54&lt;&gt;"Y",BC24&lt;='Outfall 1 Limits'!$AL$108),0,(1*BC24)),BC24),"")</f>
        <v/>
      </c>
      <c r="DW24" s="206" t="str">
        <f>IF(BE24&lt;&gt;"",IF(BD24="&lt;",IF(AND('Outfall 1 Limits'!$AM$112="Y",$CS$54&lt;&gt;"Y",BE24&lt;='Outfall 1 Limits'!$AL$112),0,(1*BE24)),BE24),"")</f>
        <v/>
      </c>
      <c r="DX24" s="206" t="str">
        <f>IF(BG24&lt;&gt;"",IF(BF24="&lt;",IF(AND('Outfall 1 Limits'!$AM$116="Y",$CT$54&lt;&gt;"Y",BG24&lt;='Outfall 1 Limits'!$AL$116),0,(1*BG24)),BG24),"")</f>
        <v/>
      </c>
      <c r="DY24" s="206" t="str">
        <f>IF(BI24&lt;&gt;"",IF(BH24="&lt;",IF(AND('Outfall 1 Limits'!$AM$120="Y",$CU$54&lt;&gt;"Y",BI24&lt;='Outfall 1 Limits'!$AL$120),0,(1*BI24)),BI24),"")</f>
        <v/>
      </c>
      <c r="DZ24" s="206" t="str">
        <f>IF(BK24&lt;&gt;"",IF(BJ24="&lt;",IF(AND('Outfall 1 Limits'!$AM$124="Y",$CV$54&lt;&gt;"Y",BK24&lt;='Outfall 1 Limits'!$AL$124),0,(1*BK24)),BK24),"")</f>
        <v/>
      </c>
      <c r="EA24" s="223" t="str">
        <f>IF(BM24&lt;&gt;"",IF(BL24="&lt;",IF(AND('Outfall 1 Limits'!$AM$128="Y",$CW$54&lt;&gt;"Y",BM24&lt;='Outfall 1 Limits'!$AL$128),0,(1*BM24)),BM24),"")</f>
        <v/>
      </c>
      <c r="EB24" s="209" t="s">
        <v>1145</v>
      </c>
      <c r="EC24" s="231" t="str">
        <f>IF(EC17&lt;&gt;"",IF(BU66="Y",EC17-0.1,EC17),"")</f>
        <v/>
      </c>
      <c r="ED24" s="232" t="str">
        <f t="shared" ref="ED24:FE24" si="127">IF(ED17&lt;&gt;"",IF(BV66="Y",ED17-0.1,ED17),"")</f>
        <v/>
      </c>
      <c r="EE24" s="232" t="str">
        <f t="shared" si="127"/>
        <v/>
      </c>
      <c r="EF24" s="232" t="str">
        <f t="shared" si="127"/>
        <v/>
      </c>
      <c r="EG24" s="232" t="str">
        <f t="shared" si="127"/>
        <v/>
      </c>
      <c r="EH24" s="232" t="str">
        <f t="shared" si="127"/>
        <v/>
      </c>
      <c r="EI24" s="232" t="str">
        <f t="shared" si="127"/>
        <v/>
      </c>
      <c r="EJ24" s="232" t="str">
        <f t="shared" si="127"/>
        <v/>
      </c>
      <c r="EK24" s="232" t="str">
        <f t="shared" si="127"/>
        <v/>
      </c>
      <c r="EL24" s="232" t="str">
        <f t="shared" si="127"/>
        <v/>
      </c>
      <c r="EM24" s="232" t="str">
        <f t="shared" si="127"/>
        <v/>
      </c>
      <c r="EN24" s="232" t="str">
        <f t="shared" si="127"/>
        <v/>
      </c>
      <c r="EO24" s="232" t="str">
        <f t="shared" si="127"/>
        <v/>
      </c>
      <c r="EP24" s="232" t="str">
        <f t="shared" si="127"/>
        <v/>
      </c>
      <c r="EQ24" s="232" t="str">
        <f t="shared" si="127"/>
        <v/>
      </c>
      <c r="ER24" s="232" t="str">
        <f t="shared" si="127"/>
        <v/>
      </c>
      <c r="ES24" s="232" t="str">
        <f t="shared" si="127"/>
        <v/>
      </c>
      <c r="ET24" s="232" t="str">
        <f t="shared" si="127"/>
        <v/>
      </c>
      <c r="EU24" s="232" t="str">
        <f t="shared" si="127"/>
        <v/>
      </c>
      <c r="EV24" s="232" t="str">
        <f t="shared" si="127"/>
        <v/>
      </c>
      <c r="EW24" s="232" t="str">
        <f t="shared" si="127"/>
        <v/>
      </c>
      <c r="EX24" s="232" t="str">
        <f t="shared" si="127"/>
        <v/>
      </c>
      <c r="EY24" s="232" t="str">
        <f t="shared" si="127"/>
        <v/>
      </c>
      <c r="EZ24" s="232" t="str">
        <f t="shared" si="127"/>
        <v/>
      </c>
      <c r="FA24" s="232" t="str">
        <f t="shared" si="127"/>
        <v/>
      </c>
      <c r="FB24" s="232" t="str">
        <f t="shared" si="127"/>
        <v/>
      </c>
      <c r="FC24" s="232" t="str">
        <f t="shared" si="127"/>
        <v/>
      </c>
      <c r="FD24" s="232" t="str">
        <f t="shared" si="127"/>
        <v/>
      </c>
      <c r="FE24" s="233" t="str">
        <f t="shared" si="127"/>
        <v/>
      </c>
      <c r="FG24" s="212" t="str">
        <f>IF(AND($G24&lt;&gt;"",$G24&gt;0,'Outfall 1 Limits'!$AX$16="C1",I24&lt;&gt;""),I24*$G24*8.34,IF(AND($I24&lt;&gt;"",'Outfall 1 Limits'!$AX$16="L"),I24,""))</f>
        <v/>
      </c>
      <c r="FH24" s="206" t="str">
        <f>IF(AND($G24&lt;&gt;"",$G24&gt;0,'Outfall 1 Limits'!$AX$20="C1",$K24&lt;&gt;""),$K24*$G24*8.34,IF(AND($K24&lt;&gt;"",'Outfall 1 Limits'!$AX$20="L"),$K24,""))</f>
        <v/>
      </c>
      <c r="FI24" s="206" t="str">
        <f>IF(AND($G24&lt;&gt;"",$G24&gt;0,'Outfall 1 Limits'!$AX$24="C1",$M24&lt;&gt;""),$M24*$G24*8.34,IF(AND($M24&lt;&gt;"",'Outfall 1 Limits'!$AX$24="L"),$M24,""))</f>
        <v/>
      </c>
      <c r="FJ24" s="206" t="str">
        <f>IF(AND($G24&lt;&gt;"",$G24&gt;0,'Outfall 1 Limits'!$AX$28="C1",$O24&lt;&gt;""),$O24*$G24*8.34,IF(AND($O24&lt;&gt;"",'Outfall 1 Limits'!$AX$28="L"),$O24,""))</f>
        <v/>
      </c>
      <c r="FK24" s="206" t="str">
        <f>IF(AND($G24&lt;&gt;"",$G24&gt;0,'Outfall 1 Limits'!$AX$32="C1",$Q24&lt;&gt;""),$Q24*$G24*8.34,IF(AND($Q24&lt;&gt;"",'Outfall 1 Limits'!$AX$32="L"),$Q24,""))</f>
        <v/>
      </c>
      <c r="FL24" s="206" t="str">
        <f>IF(AND($G24&lt;&gt;"",$G24&gt;0,'Outfall 1 Limits'!$AX$36="C1",$S24&lt;&gt;""),$S24*$G24*8.34,IF(AND($S24&lt;&gt;"",'Outfall 1 Limits'!$AX$36="L"),$S24,""))</f>
        <v/>
      </c>
      <c r="FM24" s="206" t="str">
        <f>IF(AND($G24&lt;&gt;"",$G24&gt;0,'Outfall 1 Limits'!$AX$40="C1",$U24&lt;&gt;""),$U24*$G24*8.34,IF(AND($U24&lt;&gt;"",'Outfall 1 Limits'!$AX$40="L"),$U24,""))</f>
        <v/>
      </c>
      <c r="FN24" s="206" t="str">
        <f>IF(AND($G24&lt;&gt;"",$G24&gt;0,'Outfall 1 Limits'!$AX$44="C1",$W24&lt;&gt;""),$W24*$G24*8.34,IF(AND($W24&lt;&gt;"",'Outfall 1 Limits'!$AX$44="L"),$W24,""))</f>
        <v/>
      </c>
      <c r="FO24" s="206" t="str">
        <f>IF(AND($G24&lt;&gt;"",$G24&gt;0,'Outfall 1 Limits'!$AX$48="C1",$Y24&lt;&gt;""),$Y24*$G24*8.34,IF(AND($Y24&lt;&gt;"",'Outfall 1 Limits'!$AX$48="L"),$Y24,""))</f>
        <v/>
      </c>
      <c r="FP24" s="206" t="str">
        <f>IF(AND($G24&lt;&gt;"",$G24&gt;0,'Outfall 1 Limits'!$AX$52="C1",$AA24&lt;&gt;""),$AA24*$G24*8.34,IF(AND($AA24&lt;&gt;"",'Outfall 1 Limits'!$AX$52="L"),$AA24,""))</f>
        <v/>
      </c>
      <c r="FQ24" s="206" t="str">
        <f>IF(AND($G24&lt;&gt;"",$G24&gt;0,'Outfall 1 Limits'!$AX$56="C1",$AC24&lt;&gt;""),$AC24*$G24*8.34,IF(AND($AC24&lt;&gt;"",'Outfall 1 Limits'!$AX$56="L"),$AC24,""))</f>
        <v/>
      </c>
      <c r="FR24" s="206" t="str">
        <f>IF(AND($G24&lt;&gt;"",$G24&gt;0,'Outfall 1 Limits'!$AX$60="C1",$AE24&lt;&gt;""),$AE24*$G24*8.34,IF(AND($AE24&lt;&gt;"",'Outfall 1 Limits'!$AX$60="L"),$AE24,""))</f>
        <v/>
      </c>
      <c r="FS24" s="206" t="str">
        <f>IF(AND($G24&lt;&gt;"",$G24&gt;0,'Outfall 1 Limits'!$AX$64="C1",$AG24&lt;&gt;""),$AG24*$G24*8.34,IF(AND($AG24&lt;&gt;"",'Outfall 1 Limits'!$AX$64="L"),$AG24,""))</f>
        <v/>
      </c>
      <c r="FT24" s="206" t="str">
        <f>IF(AND($G24&lt;&gt;"",$G24&gt;0,'Outfall 1 Limits'!$AX$68="C1",$AI24&lt;&gt;""),$AI24*$G24*8.34,IF(AND($AI24&lt;&gt;"",'Outfall 1 Limits'!$AX$68="L"),$AI24,""))</f>
        <v/>
      </c>
      <c r="FU24" s="206" t="str">
        <f>IF(AND($G24&lt;&gt;"",$G24&gt;0,'Outfall 1 Limits'!$AX$72="C1",$AK24&lt;&gt;""),$AK24*$G24*8.34,IF(AND($AK24&lt;&gt;"",'Outfall 1 Limits'!$AX$72="L"),$AK24,""))</f>
        <v/>
      </c>
      <c r="FV24" s="206" t="str">
        <f>IF(AND($G24&lt;&gt;"",$G24&gt;0,'Outfall 1 Limits'!$AX$76="C1",$AM24&lt;&gt;""),$AM24*$G24*8.34,IF(AND($AM24&lt;&gt;"",'Outfall 1 Limits'!$AX$76="L"),$AM24,""))</f>
        <v/>
      </c>
      <c r="FW24" s="206" t="str">
        <f>IF(AND($G24&lt;&gt;"",$G24&gt;0,'Outfall 1 Limits'!$AX$80="C1",$AO24&lt;&gt;""),$AO24*$G24*8.34,IF(AND($AO24&lt;&gt;"",'Outfall 1 Limits'!$AX$80="L"),$AO24,""))</f>
        <v/>
      </c>
      <c r="FX24" s="206" t="str">
        <f>IF(AND($G24&lt;&gt;"",$G24&gt;0,'Outfall 1 Limits'!$AX$84="C1",$AQ24&lt;&gt;""),$AQ24*$G24*8.34,IF(AND($AQ24&lt;&gt;"",'Outfall 1 Limits'!$AX$84="L"),$AQ24,""))</f>
        <v/>
      </c>
      <c r="FY24" s="206" t="str">
        <f>IF(AND($G24&lt;&gt;"",$G24&gt;0,'Outfall 1 Limits'!$AX$88="C1",$AS24&lt;&gt;""),$AS24*$G24*8.34,IF(AND($AS24&lt;&gt;"",'Outfall 1 Limits'!$AX$88="L"),$AS24,""))</f>
        <v/>
      </c>
      <c r="FZ24" s="206" t="str">
        <f>IF(AND($G24&lt;&gt;"",$G24&gt;0,'Outfall 1 Limits'!$AX$92="C1",$AU24&lt;&gt;""),$AU24*$G24*8.34,IF(AND($AU24&lt;&gt;"",'Outfall 1 Limits'!$AX$92="L"),$AU24,""))</f>
        <v/>
      </c>
      <c r="GA24" s="206" t="str">
        <f>IF(AND($G24&lt;&gt;"",$G24&gt;0,'Outfall 1 Limits'!$AX$96="C1",$AW24&lt;&gt;""),$AW24*$G24*8.34,IF(AND($AW24&lt;&gt;"",'Outfall 1 Limits'!$AX$96="L"),$AW24,""))</f>
        <v/>
      </c>
      <c r="GB24" s="206" t="str">
        <f>IF(AND($G24&lt;&gt;"",$G24&gt;0,'Outfall 1 Limits'!$AX$100="C1",$AY24&lt;&gt;""),$AY24*$G24*8.34,IF(AND($AY24&lt;&gt;"",'Outfall 1 Limits'!$AX$100="L"),$AY24,""))</f>
        <v/>
      </c>
      <c r="GC24" s="206" t="str">
        <f>IF(AND($G24&lt;&gt;"",$G24&gt;0,'Outfall 1 Limits'!$AX$104="C1",$BA24&lt;&gt;""),$BA24*$G24*8.34,IF(AND($BA24&lt;&gt;"",'Outfall 1 Limits'!$AX$104="L"),$BA24,""))</f>
        <v/>
      </c>
      <c r="GD24" s="206" t="str">
        <f>IF(AND($G24&lt;&gt;"",$G24&gt;0,'Outfall 1 Limits'!$AX$108="C1",$BC24&lt;&gt;""),$BC24*$G24*8.34,IF(AND($BC24&lt;&gt;"",'Outfall 1 Limits'!$AX$108="L"),$BC24,""))</f>
        <v/>
      </c>
      <c r="GE24" s="206" t="str">
        <f>IF(AND($G24&lt;&gt;"",$G24&gt;0,'Outfall 1 Limits'!$AX$112="C1",$BE24&lt;&gt;""),$BE24*$G24*8.34,IF(AND($BE24&lt;&gt;"",'Outfall 1 Limits'!$AX$112="L"),$BE24,""))</f>
        <v/>
      </c>
      <c r="GF24" s="206" t="str">
        <f>IF(AND($G24&lt;&gt;"",$G24&gt;0,'Outfall 1 Limits'!$AX$116="C1",$BG24&lt;&gt;""),$BG24*$G24*8.34,IF(AND($BG24&lt;&gt;"",'Outfall 1 Limits'!$AX$116="L"),$BG24,""))</f>
        <v/>
      </c>
      <c r="GG24" s="206" t="str">
        <f>IF(AND($G24&lt;&gt;"",$G24&gt;0,'Outfall 1 Limits'!$AX$120="C1",$BI24&lt;&gt;""),$BI24*$G24*8.34,IF(AND($BI24&lt;&gt;"",'Outfall 1 Limits'!$AX$120="L"),$BI24,""))</f>
        <v/>
      </c>
      <c r="GH24" s="206" t="str">
        <f>IF(AND($G24&lt;&gt;"",$G24&gt;0,'Outfall 1 Limits'!$AX$124="C1",$BK24&lt;&gt;""),$BK24*$G24*8.34,IF(AND($BK24&lt;&gt;"",'Outfall 1 Limits'!$AX$124="L"),$BK24,""))</f>
        <v/>
      </c>
      <c r="GI24" s="223" t="str">
        <f>IF(AND($G24&lt;&gt;"",$G24&gt;0,'Outfall 1 Limits'!$AX$128="C1",$BM24&lt;&gt;""),$BM24*$G24*8.34,IF(AND($BM24&lt;&gt;"",'Outfall 1 Limits'!$AX$128="L"),$BM24,""))</f>
        <v/>
      </c>
      <c r="GJ24" s="177" t="str">
        <f t="shared" si="59"/>
        <v/>
      </c>
      <c r="GK24" s="212" t="str">
        <f>IF(AND($G24&lt;&gt;"",$G24&gt;0,'Outfall 1 Limits'!$AX$16="C1",CY24&lt;&gt;""),CY24*$G24*8.34,IF(AND(CY24&lt;&gt;"",'Outfall 1 Limits'!$AX$16="L"),CY24,""))</f>
        <v/>
      </c>
      <c r="GL24" s="206" t="str">
        <f>IF(AND($G24&lt;&gt;"",$G24&gt;0,'Outfall 1 Limits'!$AX$20="C1",CZ24&lt;&gt;""),CZ24*$G24*8.34,IF(AND(CZ24&lt;&gt;"",'Outfall 1 Limits'!$AX$20="L"),CZ24,""))</f>
        <v/>
      </c>
      <c r="GM24" s="206" t="str">
        <f>IF(AND($G24&lt;&gt;"",$G24&gt;0,'Outfall 1 Limits'!$AX$24="C1",DA24&lt;&gt;""),DA24*$G24*8.34,IF(AND(DA24&lt;&gt;"",'Outfall 1 Limits'!$AX$24="L"),DA24,""))</f>
        <v/>
      </c>
      <c r="GN24" s="206" t="str">
        <f>IF(AND($G24&lt;&gt;"",$G24&gt;0,'Outfall 1 Limits'!$AX$28="C1",DB24&lt;&gt;""),DB24*$G24*8.34,IF(AND(DB24&lt;&gt;"",'Outfall 1 Limits'!$AX$28="L"),DB24,""))</f>
        <v/>
      </c>
      <c r="GO24" s="206" t="str">
        <f>IF(AND($G24&lt;&gt;"",$G24&gt;0,'Outfall 1 Limits'!$AX$32="C1",DC24&lt;&gt;""),DC24*$G24*8.34,IF(AND(DC24&lt;&gt;"",'Outfall 1 Limits'!$AX$32="L"),DC24,""))</f>
        <v/>
      </c>
      <c r="GP24" s="206" t="str">
        <f>IF(AND($G24&lt;&gt;"",$G24&gt;0,'Outfall 1 Limits'!$AX$36="C1",DD24&lt;&gt;""),DD24*$G24*8.34,IF(AND(DD24&lt;&gt;"",'Outfall 1 Limits'!$AX$36="L"),DD24,""))</f>
        <v/>
      </c>
      <c r="GQ24" s="206" t="str">
        <f>IF(AND($G24&lt;&gt;"",$G24&gt;0,'Outfall 1 Limits'!$AX$40="C1",DE24&lt;&gt;""),DE24*$G24*8.34,IF(AND(DE24&lt;&gt;"",'Outfall 1 Limits'!$AX$40="L"),DE24,""))</f>
        <v/>
      </c>
      <c r="GR24" s="206" t="str">
        <f>IF(AND($G24&lt;&gt;"",$G24&gt;0,'Outfall 1 Limits'!$AX$44="C1",DF24&lt;&gt;""),DF24*$G24*8.34,IF(AND(DF24&lt;&gt;"",'Outfall 1 Limits'!$AX$44="L"),DF24,""))</f>
        <v/>
      </c>
      <c r="GS24" s="206" t="str">
        <f>IF(AND($G24&lt;&gt;"",$G24&gt;0,'Outfall 1 Limits'!$AX$48="C1",DG24&lt;&gt;""),DG24*$G24*8.34,IF(AND(DG24&lt;&gt;"",'Outfall 1 Limits'!$AX$48="L"),DG24,""))</f>
        <v/>
      </c>
      <c r="GT24" s="206" t="str">
        <f>IF(AND($G24&lt;&gt;"",$G24&gt;0,'Outfall 1 Limits'!$AX$52="C1",DH24&lt;&gt;""),DH24*$G24*8.34,IF(AND(DH24&lt;&gt;"",'Outfall 1 Limits'!$AX$52="L"),DH24,""))</f>
        <v/>
      </c>
      <c r="GU24" s="206" t="str">
        <f>IF(AND($G24&lt;&gt;"",$G24&gt;0,'Outfall 1 Limits'!$AX$56="C1",DI24&lt;&gt;""),DI24*$G24*8.34,IF(AND(DI24&lt;&gt;"",'Outfall 1 Limits'!$AX$56="L"),DI24,""))</f>
        <v/>
      </c>
      <c r="GV24" s="206" t="str">
        <f>IF(AND($G24&lt;&gt;"",$G24&gt;0,'Outfall 1 Limits'!$AX$60="C1",DJ24&lt;&gt;""),DJ24*$G24*8.34,IF(AND(DJ24&lt;&gt;"",'Outfall 1 Limits'!$AX$60="L"),DJ24,""))</f>
        <v/>
      </c>
      <c r="GW24" s="206" t="str">
        <f>IF(AND($G24&lt;&gt;"",$G24&gt;0,'Outfall 1 Limits'!$AX$64="C1",DK24&lt;&gt;""),DK24*$G24*8.34,IF(AND(DK24&lt;&gt;"",'Outfall 1 Limits'!$AX$64="L"),DK24,""))</f>
        <v/>
      </c>
      <c r="GX24" s="206" t="str">
        <f>IF(AND($G24&lt;&gt;"",$G24&gt;0,'Outfall 1 Limits'!$AX$68="C1",DL24&lt;&gt;""),DL24*$G24*8.34,IF(AND(DL24&lt;&gt;"",'Outfall 1 Limits'!$AX$68="L"),DL24,""))</f>
        <v/>
      </c>
      <c r="GY24" s="206" t="str">
        <f>IF(AND($G24&lt;&gt;"",$G24&gt;0,'Outfall 1 Limits'!$AX$72="C1",DM24&lt;&gt;""),DM24*$G24*8.34,IF(AND(DM24&lt;&gt;"",'Outfall 1 Limits'!$AX$72="L"),DM24,""))</f>
        <v/>
      </c>
      <c r="GZ24" s="206" t="str">
        <f>IF(AND($G24&lt;&gt;"",$G24&gt;0,'Outfall 1 Limits'!$AX$76="C1",DN24&lt;&gt;""),DN24*$G24*8.34,IF(AND(DN24&lt;&gt;"",'Outfall 1 Limits'!$AX$76="L"),DN24,""))</f>
        <v/>
      </c>
      <c r="HA24" s="206" t="str">
        <f>IF(AND($G24&lt;&gt;"",$G24&gt;0,'Outfall 1 Limits'!$AX$80="C1",DO24&lt;&gt;""),DO24*$G24*8.34,IF(AND(DO24&lt;&gt;"",'Outfall 1 Limits'!$AX$80="L"),DO24,""))</f>
        <v/>
      </c>
      <c r="HB24" s="206" t="str">
        <f>IF(AND($G24&lt;&gt;"",$G24&gt;0,'Outfall 1 Limits'!$AX$84="C1",DP24&lt;&gt;""),DP24*$G24*8.34,IF(AND(DP24&lt;&gt;"",'Outfall 1 Limits'!$AX$84="L"),DP24,""))</f>
        <v/>
      </c>
      <c r="HC24" s="206" t="str">
        <f>IF(AND($G24&lt;&gt;"",$G24&gt;0,'Outfall 1 Limits'!$AX$88="C1",DQ24&lt;&gt;""),DQ24*$G24*8.34,IF(AND(DQ24&lt;&gt;"",'Outfall 1 Limits'!$AX$88="L"),DQ24,""))</f>
        <v/>
      </c>
      <c r="HD24" s="206" t="str">
        <f>IF(AND($G24&lt;&gt;"",$G24&gt;0,'Outfall 1 Limits'!$AX$92="C1",DR24&lt;&gt;""),DR24*$G24*8.34,IF(AND(DR24&lt;&gt;"",'Outfall 1 Limits'!$AX$92="L"),DR24,""))</f>
        <v/>
      </c>
      <c r="HE24" s="206" t="str">
        <f>IF(AND($G24&lt;&gt;"",$G24&gt;0,'Outfall 1 Limits'!$AX$96="C1",DS24&lt;&gt;""),DS24*$G24*8.34,IF(AND(DS24&lt;&gt;"",'Outfall 1 Limits'!$AX$96="L"),DS24,""))</f>
        <v/>
      </c>
      <c r="HF24" s="206" t="str">
        <f>IF(AND($G24&lt;&gt;"",$G24&gt;0,'Outfall 1 Limits'!$AX$100="C1",DT24&lt;&gt;""),DT24*$G24*8.34,IF(AND(DT24&lt;&gt;"",'Outfall 1 Limits'!$AX$100="L"),DT24,""))</f>
        <v/>
      </c>
      <c r="HG24" s="206" t="str">
        <f>IF(AND($G24&lt;&gt;"",$G24&gt;0,'Outfall 1 Limits'!$AX$104="C1",DU24&lt;&gt;""),DU24*$G24*8.34,IF(AND(DU24&lt;&gt;"",'Outfall 1 Limits'!$AX$104="L"),DU24,""))</f>
        <v/>
      </c>
      <c r="HH24" s="206" t="str">
        <f>IF(AND($G24&lt;&gt;"",$G24&gt;0,'Outfall 1 Limits'!$AX$108="C1",DV24&lt;&gt;""),DV24*$G24*8.34,IF(AND(DV24&lt;&gt;"",'Outfall 1 Limits'!$AX$108="L"),DV24,""))</f>
        <v/>
      </c>
      <c r="HI24" s="206" t="str">
        <f>IF(AND($G24&lt;&gt;"",$G24&gt;0,'Outfall 1 Limits'!$AX$112="C1",DW24&lt;&gt;""),DW24*$G24*8.34,IF(AND(DW24&lt;&gt;"",'Outfall 1 Limits'!$AX$112="L"),DW24,""))</f>
        <v/>
      </c>
      <c r="HJ24" s="206" t="str">
        <f>IF(AND($G24&lt;&gt;"",$G24&gt;0,'Outfall 1 Limits'!$AX$116="C1",DX24&lt;&gt;""),DX24*$G24*8.34,IF(AND(DX24&lt;&gt;"",'Outfall 1 Limits'!$AX$116="L"),DX24,""))</f>
        <v/>
      </c>
      <c r="HK24" s="206" t="str">
        <f>IF(AND($G24&lt;&gt;"",$G24&gt;0,'Outfall 1 Limits'!$AX$120="C1",DY24&lt;&gt;""),DY24*$G24*8.34,IF(AND(DY24&lt;&gt;"",'Outfall 1 Limits'!$AX$120="L"),DY24,""))</f>
        <v/>
      </c>
      <c r="HL24" s="206" t="str">
        <f>IF(AND($G24&lt;&gt;"",$G24&gt;0,'Outfall 1 Limits'!$AX$124="C1",DZ24&lt;&gt;""),DZ24*$G24*8.34,IF(AND(DZ24&lt;&gt;"",'Outfall 1 Limits'!$AX$124="L"),DZ24,""))</f>
        <v/>
      </c>
      <c r="HM24" s="223" t="str">
        <f>IF(AND($G24&lt;&gt;"",$G24&gt;0,'Outfall 1 Limits'!$AX$128="C1",EA24&lt;&gt;""),EA24*$G24*8.34,IF(AND(EA24&lt;&gt;"",'Outfall 1 Limits'!$AX$128="L"),EA24,""))</f>
        <v/>
      </c>
      <c r="HO24" s="224" t="str">
        <f t="shared" si="60"/>
        <v/>
      </c>
      <c r="HS24" s="202" t="str">
        <f t="shared" si="61"/>
        <v/>
      </c>
      <c r="HT24" s="196" t="str">
        <f t="shared" si="62"/>
        <v/>
      </c>
      <c r="HU24" s="196" t="str">
        <f t="shared" si="63"/>
        <v/>
      </c>
      <c r="HV24" s="196" t="str">
        <f t="shared" si="64"/>
        <v/>
      </c>
      <c r="HW24" s="196" t="str">
        <f t="shared" si="65"/>
        <v/>
      </c>
      <c r="HX24" s="196" t="str">
        <f t="shared" si="66"/>
        <v/>
      </c>
      <c r="HY24" s="196" t="str">
        <f t="shared" si="67"/>
        <v/>
      </c>
      <c r="HZ24" s="196" t="str">
        <f t="shared" si="68"/>
        <v/>
      </c>
      <c r="IA24" s="196" t="str">
        <f t="shared" si="69"/>
        <v/>
      </c>
      <c r="IB24" s="196" t="str">
        <f t="shared" si="70"/>
        <v/>
      </c>
      <c r="IC24" s="196" t="str">
        <f t="shared" si="71"/>
        <v/>
      </c>
      <c r="ID24" s="196" t="str">
        <f t="shared" si="72"/>
        <v/>
      </c>
      <c r="IE24" s="196" t="str">
        <f t="shared" si="73"/>
        <v/>
      </c>
      <c r="IF24" s="196" t="str">
        <f t="shared" si="74"/>
        <v/>
      </c>
      <c r="IG24" s="196" t="str">
        <f t="shared" si="75"/>
        <v/>
      </c>
      <c r="IH24" s="196" t="str">
        <f t="shared" si="76"/>
        <v/>
      </c>
      <c r="II24" s="196" t="str">
        <f t="shared" si="77"/>
        <v/>
      </c>
      <c r="IJ24" s="196" t="str">
        <f t="shared" si="78"/>
        <v/>
      </c>
      <c r="IK24" s="196" t="str">
        <f t="shared" si="79"/>
        <v/>
      </c>
      <c r="IL24" s="196" t="str">
        <f t="shared" si="80"/>
        <v/>
      </c>
      <c r="IM24" s="196" t="str">
        <f t="shared" si="81"/>
        <v/>
      </c>
      <c r="IN24" s="196" t="str">
        <f t="shared" si="82"/>
        <v/>
      </c>
      <c r="IO24" s="196" t="str">
        <f t="shared" si="83"/>
        <v/>
      </c>
      <c r="IP24" s="196" t="str">
        <f t="shared" si="84"/>
        <v/>
      </c>
      <c r="IQ24" s="196" t="str">
        <f t="shared" si="85"/>
        <v/>
      </c>
      <c r="IR24" s="196" t="str">
        <f t="shared" si="86"/>
        <v/>
      </c>
      <c r="IS24" s="196" t="str">
        <f t="shared" si="87"/>
        <v/>
      </c>
      <c r="IT24" s="196" t="str">
        <f t="shared" si="88"/>
        <v/>
      </c>
      <c r="IU24" s="210" t="str">
        <f t="shared" si="89"/>
        <v/>
      </c>
      <c r="IX24" s="202" t="str">
        <f t="shared" si="90"/>
        <v/>
      </c>
      <c r="IY24" s="196" t="str">
        <f t="shared" si="91"/>
        <v/>
      </c>
      <c r="IZ24" s="196" t="str">
        <f t="shared" si="92"/>
        <v/>
      </c>
      <c r="JA24" s="196" t="str">
        <f t="shared" si="93"/>
        <v/>
      </c>
      <c r="JB24" s="196" t="str">
        <f t="shared" si="94"/>
        <v/>
      </c>
      <c r="JC24" s="196" t="str">
        <f t="shared" si="95"/>
        <v/>
      </c>
      <c r="JD24" s="196" t="str">
        <f t="shared" si="96"/>
        <v/>
      </c>
      <c r="JE24" s="196" t="str">
        <f t="shared" si="97"/>
        <v/>
      </c>
      <c r="JF24" s="196" t="str">
        <f t="shared" si="98"/>
        <v/>
      </c>
      <c r="JG24" s="196" t="str">
        <f t="shared" si="99"/>
        <v/>
      </c>
      <c r="JH24" s="196" t="str">
        <f t="shared" si="100"/>
        <v/>
      </c>
      <c r="JI24" s="196" t="str">
        <f t="shared" si="101"/>
        <v/>
      </c>
      <c r="JJ24" s="196" t="str">
        <f t="shared" si="102"/>
        <v/>
      </c>
      <c r="JK24" s="196" t="str">
        <f t="shared" si="103"/>
        <v/>
      </c>
      <c r="JL24" s="196" t="str">
        <f t="shared" si="104"/>
        <v/>
      </c>
      <c r="JM24" s="196" t="str">
        <f t="shared" si="105"/>
        <v/>
      </c>
      <c r="JN24" s="196" t="str">
        <f t="shared" si="106"/>
        <v/>
      </c>
      <c r="JO24" s="196" t="str">
        <f t="shared" si="107"/>
        <v/>
      </c>
      <c r="JP24" s="196" t="str">
        <f t="shared" si="108"/>
        <v/>
      </c>
      <c r="JQ24" s="196" t="str">
        <f t="shared" si="109"/>
        <v/>
      </c>
      <c r="JR24" s="196" t="str">
        <f t="shared" si="110"/>
        <v/>
      </c>
      <c r="JS24" s="196" t="str">
        <f t="shared" si="111"/>
        <v/>
      </c>
      <c r="JT24" s="196" t="str">
        <f t="shared" si="112"/>
        <v/>
      </c>
      <c r="JU24" s="196" t="str">
        <f t="shared" si="113"/>
        <v/>
      </c>
      <c r="JV24" s="196" t="str">
        <f t="shared" si="114"/>
        <v/>
      </c>
      <c r="JW24" s="196" t="str">
        <f t="shared" si="115"/>
        <v/>
      </c>
      <c r="JX24" s="196" t="str">
        <f t="shared" si="116"/>
        <v/>
      </c>
      <c r="JY24" s="196" t="str">
        <f t="shared" si="117"/>
        <v/>
      </c>
      <c r="JZ24" s="210" t="str">
        <f t="shared" si="118"/>
        <v/>
      </c>
      <c r="KA24" s="196"/>
      <c r="KB24" s="176"/>
      <c r="KC24" s="227"/>
      <c r="KD24" s="218" t="str">
        <f t="shared" si="2"/>
        <v/>
      </c>
      <c r="KE24" s="196" t="str">
        <f t="shared" si="3"/>
        <v/>
      </c>
      <c r="KF24" s="196" t="str">
        <f t="shared" si="4"/>
        <v/>
      </c>
      <c r="KG24" s="196" t="str">
        <f t="shared" si="5"/>
        <v/>
      </c>
      <c r="KH24" s="196" t="str">
        <f t="shared" si="6"/>
        <v/>
      </c>
      <c r="KI24" s="196" t="str">
        <f t="shared" si="7"/>
        <v/>
      </c>
      <c r="KJ24" s="196" t="str">
        <f t="shared" si="8"/>
        <v/>
      </c>
      <c r="KK24" s="196" t="str">
        <f t="shared" si="9"/>
        <v/>
      </c>
      <c r="KL24" s="196" t="str">
        <f t="shared" si="10"/>
        <v/>
      </c>
      <c r="KM24" s="196" t="str">
        <f t="shared" si="11"/>
        <v/>
      </c>
      <c r="KN24" s="196" t="str">
        <f t="shared" si="12"/>
        <v/>
      </c>
      <c r="KO24" s="196" t="str">
        <f t="shared" si="13"/>
        <v/>
      </c>
      <c r="KP24" s="196" t="str">
        <f t="shared" si="14"/>
        <v/>
      </c>
      <c r="KQ24" s="196" t="str">
        <f t="shared" si="15"/>
        <v/>
      </c>
      <c r="KR24" s="196" t="str">
        <f t="shared" si="16"/>
        <v/>
      </c>
      <c r="KS24" s="196" t="str">
        <f t="shared" si="17"/>
        <v/>
      </c>
      <c r="KT24" s="196" t="str">
        <f t="shared" si="18"/>
        <v/>
      </c>
      <c r="KU24" s="196" t="str">
        <f t="shared" si="19"/>
        <v/>
      </c>
      <c r="KV24" s="196" t="str">
        <f t="shared" si="20"/>
        <v/>
      </c>
      <c r="KW24" s="196" t="str">
        <f t="shared" si="21"/>
        <v/>
      </c>
      <c r="KX24" s="196" t="str">
        <f t="shared" si="22"/>
        <v/>
      </c>
      <c r="KY24" s="196" t="str">
        <f t="shared" si="23"/>
        <v/>
      </c>
      <c r="KZ24" s="196" t="str">
        <f t="shared" si="24"/>
        <v/>
      </c>
      <c r="LA24" s="196" t="str">
        <f t="shared" si="25"/>
        <v/>
      </c>
      <c r="LB24" s="196" t="str">
        <f t="shared" si="26"/>
        <v/>
      </c>
      <c r="LC24" s="196" t="str">
        <f t="shared" si="27"/>
        <v/>
      </c>
      <c r="LD24" s="196" t="str">
        <f t="shared" si="28"/>
        <v/>
      </c>
      <c r="LE24" s="196" t="str">
        <f t="shared" si="29"/>
        <v/>
      </c>
      <c r="LF24" s="226" t="str">
        <f t="shared" si="30"/>
        <v/>
      </c>
    </row>
    <row r="25" spans="1:318" s="172" customFormat="1" ht="11.45" customHeight="1" x14ac:dyDescent="0.2">
      <c r="A25" s="35"/>
      <c r="B25" s="54"/>
      <c r="C25" s="438">
        <f t="shared" si="0"/>
        <v>45299</v>
      </c>
      <c r="D25" s="438"/>
      <c r="E25" s="430">
        <f t="shared" si="119"/>
        <v>45299</v>
      </c>
      <c r="F25" s="431"/>
      <c r="G25" s="26"/>
      <c r="H25" s="51"/>
      <c r="I25" s="50"/>
      <c r="J25" s="51"/>
      <c r="K25" s="50"/>
      <c r="L25" s="51"/>
      <c r="M25" s="50"/>
      <c r="N25" s="51"/>
      <c r="O25" s="50"/>
      <c r="P25" s="51"/>
      <c r="Q25" s="50"/>
      <c r="R25" s="51"/>
      <c r="S25" s="50"/>
      <c r="T25" s="51"/>
      <c r="U25" s="50"/>
      <c r="V25" s="51"/>
      <c r="W25" s="50"/>
      <c r="X25" s="276"/>
      <c r="Y25" s="50"/>
      <c r="Z25" s="51"/>
      <c r="AA25" s="50"/>
      <c r="AB25" s="51"/>
      <c r="AC25" s="50"/>
      <c r="AD25" s="51"/>
      <c r="AE25" s="50"/>
      <c r="AF25" s="51"/>
      <c r="AG25" s="50"/>
      <c r="AH25" s="51"/>
      <c r="AI25" s="50"/>
      <c r="AJ25" s="51"/>
      <c r="AK25" s="50"/>
      <c r="AL25" s="51"/>
      <c r="AM25" s="50"/>
      <c r="AN25" s="51"/>
      <c r="AO25" s="50"/>
      <c r="AP25" s="51"/>
      <c r="AQ25" s="50"/>
      <c r="AR25" s="51"/>
      <c r="AS25" s="50"/>
      <c r="AT25" s="51"/>
      <c r="AU25" s="50"/>
      <c r="AV25" s="51"/>
      <c r="AW25" s="50"/>
      <c r="AX25" s="51"/>
      <c r="AY25" s="50"/>
      <c r="AZ25" s="51"/>
      <c r="BA25" s="50"/>
      <c r="BB25" s="51"/>
      <c r="BC25" s="50"/>
      <c r="BD25" s="51"/>
      <c r="BE25" s="50"/>
      <c r="BF25" s="51"/>
      <c r="BG25" s="50"/>
      <c r="BH25" s="51"/>
      <c r="BI25" s="50"/>
      <c r="BJ25" s="51"/>
      <c r="BK25" s="50"/>
      <c r="BL25" s="51"/>
      <c r="BM25" s="109"/>
      <c r="BO25" s="174"/>
      <c r="BP25" s="174">
        <v>2044</v>
      </c>
      <c r="BQ25" s="221" t="s">
        <v>40</v>
      </c>
      <c r="BR25" s="222"/>
      <c r="BS25" s="174" t="s">
        <v>1112</v>
      </c>
      <c r="BU25" s="202" t="str">
        <f t="shared" si="31"/>
        <v/>
      </c>
      <c r="BV25" s="196" t="str">
        <f t="shared" si="32"/>
        <v/>
      </c>
      <c r="BW25" s="196" t="str">
        <f t="shared" si="33"/>
        <v/>
      </c>
      <c r="BX25" s="196" t="str">
        <f t="shared" si="34"/>
        <v/>
      </c>
      <c r="BY25" s="196" t="str">
        <f t="shared" si="35"/>
        <v/>
      </c>
      <c r="BZ25" s="196" t="str">
        <f t="shared" si="36"/>
        <v/>
      </c>
      <c r="CA25" s="196" t="str">
        <f t="shared" si="37"/>
        <v/>
      </c>
      <c r="CB25" s="196" t="str">
        <f t="shared" si="38"/>
        <v/>
      </c>
      <c r="CC25" s="196" t="str">
        <f t="shared" si="39"/>
        <v/>
      </c>
      <c r="CD25" s="196" t="str">
        <f t="shared" si="40"/>
        <v/>
      </c>
      <c r="CE25" s="196" t="str">
        <f t="shared" si="41"/>
        <v/>
      </c>
      <c r="CF25" s="196" t="str">
        <f t="shared" si="42"/>
        <v/>
      </c>
      <c r="CG25" s="196" t="str">
        <f t="shared" si="43"/>
        <v/>
      </c>
      <c r="CH25" s="196" t="str">
        <f t="shared" si="44"/>
        <v/>
      </c>
      <c r="CI25" s="196" t="str">
        <f t="shared" si="45"/>
        <v/>
      </c>
      <c r="CJ25" s="196" t="str">
        <f t="shared" si="46"/>
        <v/>
      </c>
      <c r="CK25" s="196" t="str">
        <f t="shared" si="47"/>
        <v/>
      </c>
      <c r="CL25" s="196" t="str">
        <f t="shared" si="48"/>
        <v/>
      </c>
      <c r="CM25" s="196" t="str">
        <f t="shared" si="120"/>
        <v/>
      </c>
      <c r="CN25" s="196" t="str">
        <f t="shared" si="49"/>
        <v/>
      </c>
      <c r="CO25" s="196" t="str">
        <f t="shared" si="50"/>
        <v/>
      </c>
      <c r="CP25" s="196" t="str">
        <f t="shared" si="51"/>
        <v/>
      </c>
      <c r="CQ25" s="196" t="str">
        <f t="shared" si="52"/>
        <v/>
      </c>
      <c r="CR25" s="196" t="str">
        <f t="shared" si="53"/>
        <v/>
      </c>
      <c r="CS25" s="196" t="str">
        <f t="shared" si="54"/>
        <v/>
      </c>
      <c r="CT25" s="196" t="str">
        <f t="shared" si="55"/>
        <v/>
      </c>
      <c r="CU25" s="196" t="str">
        <f t="shared" si="56"/>
        <v/>
      </c>
      <c r="CV25" s="196" t="str">
        <f t="shared" si="57"/>
        <v/>
      </c>
      <c r="CW25" s="210" t="str">
        <f t="shared" si="58"/>
        <v/>
      </c>
      <c r="CY25" s="212" t="str">
        <f>IF(I25&lt;&gt;"",IF(H25="&lt;",IF(AND('Outfall 1 Limits'!$AM$16="Y",$BU$54&lt;&gt;"Y",I25&lt;='Outfall 1 Limits'!$AL$16),0,(1*I25)),I25),"")</f>
        <v/>
      </c>
      <c r="CZ25" s="206" t="str">
        <f>IF(K25&lt;&gt;"",IF(J25="&lt;",IF(AND('Outfall 1 Limits'!$AM$20="Y",$BV$54&lt;&gt;"Y",K25&lt;='Outfall 1 Limits'!$AL$20),0,(1*K25)),K25),"")</f>
        <v/>
      </c>
      <c r="DA25" s="206" t="str">
        <f>IF(M25&lt;&gt;"",IF(L25="&lt;",IF(AND('Outfall 1 Limits'!$AM$24="Y",$BW$54&lt;&gt;"Y",M25&lt;='Outfall 1 Limits'!$AL$24),0,(1*M25)),M25),"")</f>
        <v/>
      </c>
      <c r="DB25" s="206" t="str">
        <f>IF(O25&lt;&gt;"",IF(N25="&lt;",IF(AND('Outfall 1 Limits'!$AM$28="Y",$BX$54&lt;&gt;"Y",O25&lt;='Outfall 1 Limits'!$AL$28),0,(1*O25)),O25),"")</f>
        <v/>
      </c>
      <c r="DC25" s="206" t="str">
        <f>IF(Q25&lt;&gt;"",IF(P25="&lt;",IF(AND('Outfall 1 Limits'!$AM$32="Y",$BY$54&lt;&gt;"Y",Q25&lt;='Outfall 1 Limits'!$AL$32),0,(1*Q25)),Q25),"")</f>
        <v/>
      </c>
      <c r="DD25" s="206" t="str">
        <f>IF(S25&lt;&gt;"",IF(R25="&lt;",IF(AND('Outfall 1 Limits'!$AM$36="Y",$BZ$54&lt;&gt;"Y",S25&lt;='Outfall 1 Limits'!$AL$36),0,(1*S25)),S25),"")</f>
        <v/>
      </c>
      <c r="DE25" s="206" t="str">
        <f>IF(U25&lt;&gt;"",IF(T25="&lt;",IF(AND('Outfall 1 Limits'!$AM$40="Y",$CA$54&lt;&gt;"Y",U25&lt;='Outfall 1 Limits'!$AL$40),0,(1*U25)),U25),"")</f>
        <v/>
      </c>
      <c r="DF25" s="206" t="str">
        <f>IF(W25&lt;&gt;"",IF(V25="&lt;",IF(AND('Outfall 1 Limits'!$AM$44="Y",$CB$54&lt;&gt;"Y",W25&lt;='Outfall 1 Limits'!$AL$44),0,(1*W25)),W25),"")</f>
        <v/>
      </c>
      <c r="DG25" s="206" t="str">
        <f>IF(Y25&lt;&gt;"",IF(X25="&lt;",IF(AND('Outfall 1 Limits'!$AM$48="Y",$CC$54&lt;&gt;"Y",Y25&lt;='Outfall 1 Limits'!$AL$48),0,(1*Y25)),Y25),"")</f>
        <v/>
      </c>
      <c r="DH25" s="206" t="str">
        <f>IF(AA25&lt;&gt;"",IF(Z25="&lt;",IF(AND('Outfall 1 Limits'!$AM$52="Y",$CD$54&lt;&gt;"Y",AA25&lt;='Outfall 1 Limits'!$AL$52),0,(1*AA25)),AA25),"")</f>
        <v/>
      </c>
      <c r="DI25" s="206" t="str">
        <f>IF(AC25&lt;&gt;"",IF(AB25="&lt;",IF(AND('Outfall 1 Limits'!$AM$56="Y",$CE$54&lt;&gt;"Y",AC25&lt;='Outfall 1 Limits'!$AL$56),0,(1*AC25)),AC25),"")</f>
        <v/>
      </c>
      <c r="DJ25" s="206" t="str">
        <f>IF(AE25&lt;&gt;"",IF(AD25="&lt;",IF(AND('Outfall 1 Limits'!$AM$60="Y",$CF$54&lt;&gt;"Y",AE25&lt;='Outfall 1 Limits'!$AL$60),0,(1*AE25)),AE25),"")</f>
        <v/>
      </c>
      <c r="DK25" s="206" t="str">
        <f>IF(AG25&lt;&gt;"",IF(AF25="&lt;",IF(AND('Outfall 1 Limits'!$AM$64="Y",$CG$54&lt;&gt;"Y",AG25&lt;='Outfall 1 Limits'!$AL$64),0,(1*AG25)),AG25),"")</f>
        <v/>
      </c>
      <c r="DL25" s="206" t="str">
        <f>IF(AI25&lt;&gt;"",IF(AH25="&lt;",IF(AND('Outfall 1 Limits'!$AM$68="Y",$CH$54&lt;&gt;"Y",AI25&lt;='Outfall 1 Limits'!$AL$68),0,(1*AI25)),AI25),"")</f>
        <v/>
      </c>
      <c r="DM25" s="206" t="str">
        <f>IF(AK25&lt;&gt;"",IF(AJ25="&lt;",IF(AND('Outfall 1 Limits'!$AM$72="Y",$CI$54&lt;&gt;"Y",AK25&lt;='Outfall 1 Limits'!$AL$72),0,(1*AK25)),AK25),"")</f>
        <v/>
      </c>
      <c r="DN25" s="206" t="str">
        <f>IF(AM25&lt;&gt;"",IF(AL25="&lt;",IF(AND('Outfall 1 Limits'!$AM$76="Y",$CJ$54&lt;&gt;"Y",AM25&lt;='Outfall 1 Limits'!$AL$76),0,(1*AM25)),AM25),"")</f>
        <v/>
      </c>
      <c r="DO25" s="206" t="str">
        <f>IF(AO25&lt;&gt;"",IF(AN25="&lt;",IF(AND('Outfall 1 Limits'!$AM$80="Y",$CK$54&lt;&gt;"Y",AO25&lt;='Outfall 1 Limits'!$AL$80),0,(1*AO25)),AO25),"")</f>
        <v/>
      </c>
      <c r="DP25" s="206" t="str">
        <f>IF(AQ25&lt;&gt;"",IF(AP25="&lt;",IF(AND('Outfall 1 Limits'!$AM$84="Y",$CL$54&lt;&gt;"Y",AQ25&lt;='Outfall 1 Limits'!$AL$84),0,(1*AQ25)),AQ25),"")</f>
        <v/>
      </c>
      <c r="DQ25" s="206" t="str">
        <f>IF(AS25&lt;&gt;"",IF(AR25="&lt;",IF(AND('Outfall 1 Limits'!$AM$88="Y",$CM$54&lt;&gt;"Y",AS25&lt;='Outfall 1 Limits'!$AL$88),0,(1*AS25)),AS25),"")</f>
        <v/>
      </c>
      <c r="DR25" s="206" t="str">
        <f>IF(AU25&lt;&gt;"",IF(AT25="&lt;",IF(AND('Outfall 1 Limits'!$AM$92="Y",$CN$54&lt;&gt;"Y",AU25&lt;='Outfall 1 Limits'!$AL$92),0,(1*AU25)),AU25),"")</f>
        <v/>
      </c>
      <c r="DS25" s="206" t="str">
        <f>IF(AW25&lt;&gt;"",IF(AV25="&lt;",IF(AND('Outfall 1 Limits'!$AM$96="Y",$CO$54&lt;&gt;"Y",AW25&lt;='Outfall 1 Limits'!$AL$96),0,(1*AW25)),AW25),"")</f>
        <v/>
      </c>
      <c r="DT25" s="206" t="str">
        <f>IF(AY25&lt;&gt;"",IF(AX25="&lt;",IF(AND('Outfall 1 Limits'!$AM$100="Y",$CP$54&lt;&gt;"Y",AY25&lt;='Outfall 1 Limits'!$AL$100),0,(1*AY25)),AY25),"")</f>
        <v/>
      </c>
      <c r="DU25" s="206" t="str">
        <f>IF(BA25&lt;&gt;"",IF(AZ25="&lt;",IF(AND('Outfall 1 Limits'!$AM$104="Y",$CQ$54&lt;&gt;"Y",BA25&lt;='Outfall 1 Limits'!$AL$104),0,(1*BA25)),BA25),"")</f>
        <v/>
      </c>
      <c r="DV25" s="206" t="str">
        <f>IF(BC25&lt;&gt;"",IF(BB25="&lt;",IF(AND('Outfall 1 Limits'!$AM$108="Y",$CR$54&lt;&gt;"Y",BC25&lt;='Outfall 1 Limits'!$AL$108),0,(1*BC25)),BC25),"")</f>
        <v/>
      </c>
      <c r="DW25" s="206" t="str">
        <f>IF(BE25&lt;&gt;"",IF(BD25="&lt;",IF(AND('Outfall 1 Limits'!$AM$112="Y",$CS$54&lt;&gt;"Y",BE25&lt;='Outfall 1 Limits'!$AL$112),0,(1*BE25)),BE25),"")</f>
        <v/>
      </c>
      <c r="DX25" s="206" t="str">
        <f>IF(BG25&lt;&gt;"",IF(BF25="&lt;",IF(AND('Outfall 1 Limits'!$AM$116="Y",$CT$54&lt;&gt;"Y",BG25&lt;='Outfall 1 Limits'!$AL$116),0,(1*BG25)),BG25),"")</f>
        <v/>
      </c>
      <c r="DY25" s="206" t="str">
        <f>IF(BI25&lt;&gt;"",IF(BH25="&lt;",IF(AND('Outfall 1 Limits'!$AM$120="Y",$CU$54&lt;&gt;"Y",BI25&lt;='Outfall 1 Limits'!$AL$120),0,(1*BI25)),BI25),"")</f>
        <v/>
      </c>
      <c r="DZ25" s="206" t="str">
        <f>IF(BK25&lt;&gt;"",IF(BJ25="&lt;",IF(AND('Outfall 1 Limits'!$AM$124="Y",$CV$54&lt;&gt;"Y",BK25&lt;='Outfall 1 Limits'!$AL$124),0,(1*BK25)),BK25),"")</f>
        <v/>
      </c>
      <c r="EA25" s="223" t="str">
        <f>IF(BM25&lt;&gt;"",IF(BL25="&lt;",IF(AND('Outfall 1 Limits'!$AM$128="Y",$CW$54&lt;&gt;"Y",BM25&lt;='Outfall 1 Limits'!$AL$128),0,(1*BM25)),BM25),"")</f>
        <v/>
      </c>
      <c r="EB25" s="209" t="s">
        <v>382</v>
      </c>
      <c r="EC25" s="234">
        <f>MAX(EC20:EC24)</f>
        <v>0</v>
      </c>
      <c r="ED25" s="235">
        <f>MAX(ED20:ED24)</f>
        <v>0</v>
      </c>
      <c r="EE25" s="235">
        <f>MAX(EE20:EE24)</f>
        <v>0</v>
      </c>
      <c r="EF25" s="235">
        <f>MAX(EF20:EF24)</f>
        <v>0</v>
      </c>
      <c r="EG25" s="235">
        <f t="shared" ref="EG25:FE25" si="128">MAX(EG20:EG24)</f>
        <v>0</v>
      </c>
      <c r="EH25" s="235">
        <f t="shared" si="128"/>
        <v>0</v>
      </c>
      <c r="EI25" s="235">
        <f t="shared" si="128"/>
        <v>0</v>
      </c>
      <c r="EJ25" s="235">
        <f t="shared" si="128"/>
        <v>0</v>
      </c>
      <c r="EK25" s="235">
        <f t="shared" si="128"/>
        <v>0</v>
      </c>
      <c r="EL25" s="235">
        <f t="shared" si="128"/>
        <v>0</v>
      </c>
      <c r="EM25" s="235">
        <f t="shared" si="128"/>
        <v>0</v>
      </c>
      <c r="EN25" s="235">
        <f t="shared" si="128"/>
        <v>0</v>
      </c>
      <c r="EO25" s="235">
        <f t="shared" si="128"/>
        <v>0</v>
      </c>
      <c r="EP25" s="235">
        <f t="shared" si="128"/>
        <v>0</v>
      </c>
      <c r="EQ25" s="235">
        <f t="shared" si="128"/>
        <v>0</v>
      </c>
      <c r="ER25" s="235">
        <f t="shared" si="128"/>
        <v>0</v>
      </c>
      <c r="ES25" s="235">
        <f t="shared" si="128"/>
        <v>0</v>
      </c>
      <c r="ET25" s="235">
        <f t="shared" si="128"/>
        <v>0</v>
      </c>
      <c r="EU25" s="235">
        <f t="shared" si="128"/>
        <v>0</v>
      </c>
      <c r="EV25" s="235">
        <f t="shared" si="128"/>
        <v>0</v>
      </c>
      <c r="EW25" s="235">
        <f t="shared" si="128"/>
        <v>0</v>
      </c>
      <c r="EX25" s="235">
        <f t="shared" si="128"/>
        <v>0</v>
      </c>
      <c r="EY25" s="235">
        <f t="shared" si="128"/>
        <v>0</v>
      </c>
      <c r="EZ25" s="235">
        <f t="shared" si="128"/>
        <v>0</v>
      </c>
      <c r="FA25" s="235">
        <f t="shared" si="128"/>
        <v>0</v>
      </c>
      <c r="FB25" s="235">
        <f t="shared" si="128"/>
        <v>0</v>
      </c>
      <c r="FC25" s="235">
        <f t="shared" si="128"/>
        <v>0</v>
      </c>
      <c r="FD25" s="235">
        <f t="shared" si="128"/>
        <v>0</v>
      </c>
      <c r="FE25" s="236">
        <f t="shared" si="128"/>
        <v>0</v>
      </c>
      <c r="FG25" s="212" t="str">
        <f>IF(AND($G25&lt;&gt;"",$G25&gt;0,'Outfall 1 Limits'!$AX$16="C1",I25&lt;&gt;""),I25*$G25*8.34,IF(AND($I25&lt;&gt;"",'Outfall 1 Limits'!$AX$16="L"),I25,""))</f>
        <v/>
      </c>
      <c r="FH25" s="206" t="str">
        <f>IF(AND($G25&lt;&gt;"",$G25&gt;0,'Outfall 1 Limits'!$AX$20="C1",$K25&lt;&gt;""),$K25*$G25*8.34,IF(AND($K25&lt;&gt;"",'Outfall 1 Limits'!$AX$20="L"),$K25,""))</f>
        <v/>
      </c>
      <c r="FI25" s="206" t="str">
        <f>IF(AND($G25&lt;&gt;"",$G25&gt;0,'Outfall 1 Limits'!$AX$24="C1",$M25&lt;&gt;""),$M25*$G25*8.34,IF(AND($M25&lt;&gt;"",'Outfall 1 Limits'!$AX$24="L"),$M25,""))</f>
        <v/>
      </c>
      <c r="FJ25" s="206" t="str">
        <f>IF(AND($G25&lt;&gt;"",$G25&gt;0,'Outfall 1 Limits'!$AX$28="C1",$O25&lt;&gt;""),$O25*$G25*8.34,IF(AND($O25&lt;&gt;"",'Outfall 1 Limits'!$AX$28="L"),$O25,""))</f>
        <v/>
      </c>
      <c r="FK25" s="206" t="str">
        <f>IF(AND($G25&lt;&gt;"",$G25&gt;0,'Outfall 1 Limits'!$AX$32="C1",$Q25&lt;&gt;""),$Q25*$G25*8.34,IF(AND($Q25&lt;&gt;"",'Outfall 1 Limits'!$AX$32="L"),$Q25,""))</f>
        <v/>
      </c>
      <c r="FL25" s="206" t="str">
        <f>IF(AND($G25&lt;&gt;"",$G25&gt;0,'Outfall 1 Limits'!$AX$36="C1",$S25&lt;&gt;""),$S25*$G25*8.34,IF(AND($S25&lt;&gt;"",'Outfall 1 Limits'!$AX$36="L"),$S25,""))</f>
        <v/>
      </c>
      <c r="FM25" s="206" t="str">
        <f>IF(AND($G25&lt;&gt;"",$G25&gt;0,'Outfall 1 Limits'!$AX$40="C1",$U25&lt;&gt;""),$U25*$G25*8.34,IF(AND($U25&lt;&gt;"",'Outfall 1 Limits'!$AX$40="L"),$U25,""))</f>
        <v/>
      </c>
      <c r="FN25" s="206" t="str">
        <f>IF(AND($G25&lt;&gt;"",$G25&gt;0,'Outfall 1 Limits'!$AX$44="C1",$W25&lt;&gt;""),$W25*$G25*8.34,IF(AND($W25&lt;&gt;"",'Outfall 1 Limits'!$AX$44="L"),$W25,""))</f>
        <v/>
      </c>
      <c r="FO25" s="206" t="str">
        <f>IF(AND($G25&lt;&gt;"",$G25&gt;0,'Outfall 1 Limits'!$AX$48="C1",$Y25&lt;&gt;""),$Y25*$G25*8.34,IF(AND($Y25&lt;&gt;"",'Outfall 1 Limits'!$AX$48="L"),$Y25,""))</f>
        <v/>
      </c>
      <c r="FP25" s="206" t="str">
        <f>IF(AND($G25&lt;&gt;"",$G25&gt;0,'Outfall 1 Limits'!$AX$52="C1",$AA25&lt;&gt;""),$AA25*$G25*8.34,IF(AND($AA25&lt;&gt;"",'Outfall 1 Limits'!$AX$52="L"),$AA25,""))</f>
        <v/>
      </c>
      <c r="FQ25" s="206" t="str">
        <f>IF(AND($G25&lt;&gt;"",$G25&gt;0,'Outfall 1 Limits'!$AX$56="C1",$AC25&lt;&gt;""),$AC25*$G25*8.34,IF(AND($AC25&lt;&gt;"",'Outfall 1 Limits'!$AX$56="L"),$AC25,""))</f>
        <v/>
      </c>
      <c r="FR25" s="206" t="str">
        <f>IF(AND($G25&lt;&gt;"",$G25&gt;0,'Outfall 1 Limits'!$AX$60="C1",$AE25&lt;&gt;""),$AE25*$G25*8.34,IF(AND($AE25&lt;&gt;"",'Outfall 1 Limits'!$AX$60="L"),$AE25,""))</f>
        <v/>
      </c>
      <c r="FS25" s="206" t="str">
        <f>IF(AND($G25&lt;&gt;"",$G25&gt;0,'Outfall 1 Limits'!$AX$64="C1",$AG25&lt;&gt;""),$AG25*$G25*8.34,IF(AND($AG25&lt;&gt;"",'Outfall 1 Limits'!$AX$64="L"),$AG25,""))</f>
        <v/>
      </c>
      <c r="FT25" s="206" t="str">
        <f>IF(AND($G25&lt;&gt;"",$G25&gt;0,'Outfall 1 Limits'!$AX$68="C1",$AI25&lt;&gt;""),$AI25*$G25*8.34,IF(AND($AI25&lt;&gt;"",'Outfall 1 Limits'!$AX$68="L"),$AI25,""))</f>
        <v/>
      </c>
      <c r="FU25" s="206" t="str">
        <f>IF(AND($G25&lt;&gt;"",$G25&gt;0,'Outfall 1 Limits'!$AX$72="C1",$AK25&lt;&gt;""),$AK25*$G25*8.34,IF(AND($AK25&lt;&gt;"",'Outfall 1 Limits'!$AX$72="L"),$AK25,""))</f>
        <v/>
      </c>
      <c r="FV25" s="206" t="str">
        <f>IF(AND($G25&lt;&gt;"",$G25&gt;0,'Outfall 1 Limits'!$AX$76="C1",$AM25&lt;&gt;""),$AM25*$G25*8.34,IF(AND($AM25&lt;&gt;"",'Outfall 1 Limits'!$AX$76="L"),$AM25,""))</f>
        <v/>
      </c>
      <c r="FW25" s="206" t="str">
        <f>IF(AND($G25&lt;&gt;"",$G25&gt;0,'Outfall 1 Limits'!$AX$80="C1",$AO25&lt;&gt;""),$AO25*$G25*8.34,IF(AND($AO25&lt;&gt;"",'Outfall 1 Limits'!$AX$80="L"),$AO25,""))</f>
        <v/>
      </c>
      <c r="FX25" s="206" t="str">
        <f>IF(AND($G25&lt;&gt;"",$G25&gt;0,'Outfall 1 Limits'!$AX$84="C1",$AQ25&lt;&gt;""),$AQ25*$G25*8.34,IF(AND($AQ25&lt;&gt;"",'Outfall 1 Limits'!$AX$84="L"),$AQ25,""))</f>
        <v/>
      </c>
      <c r="FY25" s="206" t="str">
        <f>IF(AND($G25&lt;&gt;"",$G25&gt;0,'Outfall 1 Limits'!$AX$88="C1",$AS25&lt;&gt;""),$AS25*$G25*8.34,IF(AND($AS25&lt;&gt;"",'Outfall 1 Limits'!$AX$88="L"),$AS25,""))</f>
        <v/>
      </c>
      <c r="FZ25" s="206" t="str">
        <f>IF(AND($G25&lt;&gt;"",$G25&gt;0,'Outfall 1 Limits'!$AX$92="C1",$AU25&lt;&gt;""),$AU25*$G25*8.34,IF(AND($AU25&lt;&gt;"",'Outfall 1 Limits'!$AX$92="L"),$AU25,""))</f>
        <v/>
      </c>
      <c r="GA25" s="206" t="str">
        <f>IF(AND($G25&lt;&gt;"",$G25&gt;0,'Outfall 1 Limits'!$AX$96="C1",$AW25&lt;&gt;""),$AW25*$G25*8.34,IF(AND($AW25&lt;&gt;"",'Outfall 1 Limits'!$AX$96="L"),$AW25,""))</f>
        <v/>
      </c>
      <c r="GB25" s="206" t="str">
        <f>IF(AND($G25&lt;&gt;"",$G25&gt;0,'Outfall 1 Limits'!$AX$100="C1",$AY25&lt;&gt;""),$AY25*$G25*8.34,IF(AND($AY25&lt;&gt;"",'Outfall 1 Limits'!$AX$100="L"),$AY25,""))</f>
        <v/>
      </c>
      <c r="GC25" s="206" t="str">
        <f>IF(AND($G25&lt;&gt;"",$G25&gt;0,'Outfall 1 Limits'!$AX$104="C1",$BA25&lt;&gt;""),$BA25*$G25*8.34,IF(AND($BA25&lt;&gt;"",'Outfall 1 Limits'!$AX$104="L"),$BA25,""))</f>
        <v/>
      </c>
      <c r="GD25" s="206" t="str">
        <f>IF(AND($G25&lt;&gt;"",$G25&gt;0,'Outfall 1 Limits'!$AX$108="C1",$BC25&lt;&gt;""),$BC25*$G25*8.34,IF(AND($BC25&lt;&gt;"",'Outfall 1 Limits'!$AX$108="L"),$BC25,""))</f>
        <v/>
      </c>
      <c r="GE25" s="206" t="str">
        <f>IF(AND($G25&lt;&gt;"",$G25&gt;0,'Outfall 1 Limits'!$AX$112="C1",$BE25&lt;&gt;""),$BE25*$G25*8.34,IF(AND($BE25&lt;&gt;"",'Outfall 1 Limits'!$AX$112="L"),$BE25,""))</f>
        <v/>
      </c>
      <c r="GF25" s="206" t="str">
        <f>IF(AND($G25&lt;&gt;"",$G25&gt;0,'Outfall 1 Limits'!$AX$116="C1",$BG25&lt;&gt;""),$BG25*$G25*8.34,IF(AND($BG25&lt;&gt;"",'Outfall 1 Limits'!$AX$116="L"),$BG25,""))</f>
        <v/>
      </c>
      <c r="GG25" s="206" t="str">
        <f>IF(AND($G25&lt;&gt;"",$G25&gt;0,'Outfall 1 Limits'!$AX$120="C1",$BI25&lt;&gt;""),$BI25*$G25*8.34,IF(AND($BI25&lt;&gt;"",'Outfall 1 Limits'!$AX$120="L"),$BI25,""))</f>
        <v/>
      </c>
      <c r="GH25" s="206" t="str">
        <f>IF(AND($G25&lt;&gt;"",$G25&gt;0,'Outfall 1 Limits'!$AX$124="C1",$BK25&lt;&gt;""),$BK25*$G25*8.34,IF(AND($BK25&lt;&gt;"",'Outfall 1 Limits'!$AX$124="L"),$BK25,""))</f>
        <v/>
      </c>
      <c r="GI25" s="223" t="str">
        <f>IF(AND($G25&lt;&gt;"",$G25&gt;0,'Outfall 1 Limits'!$AX$128="C1",$BM25&lt;&gt;""),$BM25*$G25*8.34,IF(AND($BM25&lt;&gt;"",'Outfall 1 Limits'!$AX$128="L"),$BM25,""))</f>
        <v/>
      </c>
      <c r="GJ25" s="177" t="str">
        <f t="shared" si="59"/>
        <v/>
      </c>
      <c r="GK25" s="212" t="str">
        <f>IF(AND($G25&lt;&gt;"",$G25&gt;0,'Outfall 1 Limits'!$AX$16="C1",CY25&lt;&gt;""),CY25*$G25*8.34,IF(AND(CY25&lt;&gt;"",'Outfall 1 Limits'!$AX$16="L"),CY25,""))</f>
        <v/>
      </c>
      <c r="GL25" s="206" t="str">
        <f>IF(AND($G25&lt;&gt;"",$G25&gt;0,'Outfall 1 Limits'!$AX$20="C1",CZ25&lt;&gt;""),CZ25*$G25*8.34,IF(AND(CZ25&lt;&gt;"",'Outfall 1 Limits'!$AX$20="L"),CZ25,""))</f>
        <v/>
      </c>
      <c r="GM25" s="206" t="str">
        <f>IF(AND($G25&lt;&gt;"",$G25&gt;0,'Outfall 1 Limits'!$AX$24="C1",DA25&lt;&gt;""),DA25*$G25*8.34,IF(AND(DA25&lt;&gt;"",'Outfall 1 Limits'!$AX$24="L"),DA25,""))</f>
        <v/>
      </c>
      <c r="GN25" s="206" t="str">
        <f>IF(AND($G25&lt;&gt;"",$G25&gt;0,'Outfall 1 Limits'!$AX$28="C1",DB25&lt;&gt;""),DB25*$G25*8.34,IF(AND(DB25&lt;&gt;"",'Outfall 1 Limits'!$AX$28="L"),DB25,""))</f>
        <v/>
      </c>
      <c r="GO25" s="206" t="str">
        <f>IF(AND($G25&lt;&gt;"",$G25&gt;0,'Outfall 1 Limits'!$AX$32="C1",DC25&lt;&gt;""),DC25*$G25*8.34,IF(AND(DC25&lt;&gt;"",'Outfall 1 Limits'!$AX$32="L"),DC25,""))</f>
        <v/>
      </c>
      <c r="GP25" s="206" t="str">
        <f>IF(AND($G25&lt;&gt;"",$G25&gt;0,'Outfall 1 Limits'!$AX$36="C1",DD25&lt;&gt;""),DD25*$G25*8.34,IF(AND(DD25&lt;&gt;"",'Outfall 1 Limits'!$AX$36="L"),DD25,""))</f>
        <v/>
      </c>
      <c r="GQ25" s="206" t="str">
        <f>IF(AND($G25&lt;&gt;"",$G25&gt;0,'Outfall 1 Limits'!$AX$40="C1",DE25&lt;&gt;""),DE25*$G25*8.34,IF(AND(DE25&lt;&gt;"",'Outfall 1 Limits'!$AX$40="L"),DE25,""))</f>
        <v/>
      </c>
      <c r="GR25" s="206" t="str">
        <f>IF(AND($G25&lt;&gt;"",$G25&gt;0,'Outfall 1 Limits'!$AX$44="C1",DF25&lt;&gt;""),DF25*$G25*8.34,IF(AND(DF25&lt;&gt;"",'Outfall 1 Limits'!$AX$44="L"),DF25,""))</f>
        <v/>
      </c>
      <c r="GS25" s="206" t="str">
        <f>IF(AND($G25&lt;&gt;"",$G25&gt;0,'Outfall 1 Limits'!$AX$48="C1",DG25&lt;&gt;""),DG25*$G25*8.34,IF(AND(DG25&lt;&gt;"",'Outfall 1 Limits'!$AX$48="L"),DG25,""))</f>
        <v/>
      </c>
      <c r="GT25" s="206" t="str">
        <f>IF(AND($G25&lt;&gt;"",$G25&gt;0,'Outfall 1 Limits'!$AX$52="C1",DH25&lt;&gt;""),DH25*$G25*8.34,IF(AND(DH25&lt;&gt;"",'Outfall 1 Limits'!$AX$52="L"),DH25,""))</f>
        <v/>
      </c>
      <c r="GU25" s="206" t="str">
        <f>IF(AND($G25&lt;&gt;"",$G25&gt;0,'Outfall 1 Limits'!$AX$56="C1",DI25&lt;&gt;""),DI25*$G25*8.34,IF(AND(DI25&lt;&gt;"",'Outfall 1 Limits'!$AX$56="L"),DI25,""))</f>
        <v/>
      </c>
      <c r="GV25" s="206" t="str">
        <f>IF(AND($G25&lt;&gt;"",$G25&gt;0,'Outfall 1 Limits'!$AX$60="C1",DJ25&lt;&gt;""),DJ25*$G25*8.34,IF(AND(DJ25&lt;&gt;"",'Outfall 1 Limits'!$AX$60="L"),DJ25,""))</f>
        <v/>
      </c>
      <c r="GW25" s="206" t="str">
        <f>IF(AND($G25&lt;&gt;"",$G25&gt;0,'Outfall 1 Limits'!$AX$64="C1",DK25&lt;&gt;""),DK25*$G25*8.34,IF(AND(DK25&lt;&gt;"",'Outfall 1 Limits'!$AX$64="L"),DK25,""))</f>
        <v/>
      </c>
      <c r="GX25" s="206" t="str">
        <f>IF(AND($G25&lt;&gt;"",$G25&gt;0,'Outfall 1 Limits'!$AX$68="C1",DL25&lt;&gt;""),DL25*$G25*8.34,IF(AND(DL25&lt;&gt;"",'Outfall 1 Limits'!$AX$68="L"),DL25,""))</f>
        <v/>
      </c>
      <c r="GY25" s="206" t="str">
        <f>IF(AND($G25&lt;&gt;"",$G25&gt;0,'Outfall 1 Limits'!$AX$72="C1",DM25&lt;&gt;""),DM25*$G25*8.34,IF(AND(DM25&lt;&gt;"",'Outfall 1 Limits'!$AX$72="L"),DM25,""))</f>
        <v/>
      </c>
      <c r="GZ25" s="206" t="str">
        <f>IF(AND($G25&lt;&gt;"",$G25&gt;0,'Outfall 1 Limits'!$AX$76="C1",DN25&lt;&gt;""),DN25*$G25*8.34,IF(AND(DN25&lt;&gt;"",'Outfall 1 Limits'!$AX$76="L"),DN25,""))</f>
        <v/>
      </c>
      <c r="HA25" s="206" t="str">
        <f>IF(AND($G25&lt;&gt;"",$G25&gt;0,'Outfall 1 Limits'!$AX$80="C1",DO25&lt;&gt;""),DO25*$G25*8.34,IF(AND(DO25&lt;&gt;"",'Outfall 1 Limits'!$AX$80="L"),DO25,""))</f>
        <v/>
      </c>
      <c r="HB25" s="206" t="str">
        <f>IF(AND($G25&lt;&gt;"",$G25&gt;0,'Outfall 1 Limits'!$AX$84="C1",DP25&lt;&gt;""),DP25*$G25*8.34,IF(AND(DP25&lt;&gt;"",'Outfall 1 Limits'!$AX$84="L"),DP25,""))</f>
        <v/>
      </c>
      <c r="HC25" s="206" t="str">
        <f>IF(AND($G25&lt;&gt;"",$G25&gt;0,'Outfall 1 Limits'!$AX$88="C1",DQ25&lt;&gt;""),DQ25*$G25*8.34,IF(AND(DQ25&lt;&gt;"",'Outfall 1 Limits'!$AX$88="L"),DQ25,""))</f>
        <v/>
      </c>
      <c r="HD25" s="206" t="str">
        <f>IF(AND($G25&lt;&gt;"",$G25&gt;0,'Outfall 1 Limits'!$AX$92="C1",DR25&lt;&gt;""),DR25*$G25*8.34,IF(AND(DR25&lt;&gt;"",'Outfall 1 Limits'!$AX$92="L"),DR25,""))</f>
        <v/>
      </c>
      <c r="HE25" s="206" t="str">
        <f>IF(AND($G25&lt;&gt;"",$G25&gt;0,'Outfall 1 Limits'!$AX$96="C1",DS25&lt;&gt;""),DS25*$G25*8.34,IF(AND(DS25&lt;&gt;"",'Outfall 1 Limits'!$AX$96="L"),DS25,""))</f>
        <v/>
      </c>
      <c r="HF25" s="206" t="str">
        <f>IF(AND($G25&lt;&gt;"",$G25&gt;0,'Outfall 1 Limits'!$AX$100="C1",DT25&lt;&gt;""),DT25*$G25*8.34,IF(AND(DT25&lt;&gt;"",'Outfall 1 Limits'!$AX$100="L"),DT25,""))</f>
        <v/>
      </c>
      <c r="HG25" s="206" t="str">
        <f>IF(AND($G25&lt;&gt;"",$G25&gt;0,'Outfall 1 Limits'!$AX$104="C1",DU25&lt;&gt;""),DU25*$G25*8.34,IF(AND(DU25&lt;&gt;"",'Outfall 1 Limits'!$AX$104="L"),DU25,""))</f>
        <v/>
      </c>
      <c r="HH25" s="206" t="str">
        <f>IF(AND($G25&lt;&gt;"",$G25&gt;0,'Outfall 1 Limits'!$AX$108="C1",DV25&lt;&gt;""),DV25*$G25*8.34,IF(AND(DV25&lt;&gt;"",'Outfall 1 Limits'!$AX$108="L"),DV25,""))</f>
        <v/>
      </c>
      <c r="HI25" s="206" t="str">
        <f>IF(AND($G25&lt;&gt;"",$G25&gt;0,'Outfall 1 Limits'!$AX$112="C1",DW25&lt;&gt;""),DW25*$G25*8.34,IF(AND(DW25&lt;&gt;"",'Outfall 1 Limits'!$AX$112="L"),DW25,""))</f>
        <v/>
      </c>
      <c r="HJ25" s="206" t="str">
        <f>IF(AND($G25&lt;&gt;"",$G25&gt;0,'Outfall 1 Limits'!$AX$116="C1",DX25&lt;&gt;""),DX25*$G25*8.34,IF(AND(DX25&lt;&gt;"",'Outfall 1 Limits'!$AX$116="L"),DX25,""))</f>
        <v/>
      </c>
      <c r="HK25" s="206" t="str">
        <f>IF(AND($G25&lt;&gt;"",$G25&gt;0,'Outfall 1 Limits'!$AX$120="C1",DY25&lt;&gt;""),DY25*$G25*8.34,IF(AND(DY25&lt;&gt;"",'Outfall 1 Limits'!$AX$120="L"),DY25,""))</f>
        <v/>
      </c>
      <c r="HL25" s="206" t="str">
        <f>IF(AND($G25&lt;&gt;"",$G25&gt;0,'Outfall 1 Limits'!$AX$124="C1",DZ25&lt;&gt;""),DZ25*$G25*8.34,IF(AND(DZ25&lt;&gt;"",'Outfall 1 Limits'!$AX$124="L"),DZ25,""))</f>
        <v/>
      </c>
      <c r="HM25" s="223" t="str">
        <f>IF(AND($G25&lt;&gt;"",$G25&gt;0,'Outfall 1 Limits'!$AX$128="C1",EA25&lt;&gt;""),EA25*$G25*8.34,IF(AND(EA25&lt;&gt;"",'Outfall 1 Limits'!$AX$128="L"),EA25,""))</f>
        <v/>
      </c>
      <c r="HO25" s="224" t="str">
        <f t="shared" si="60"/>
        <v/>
      </c>
      <c r="HS25" s="202" t="str">
        <f t="shared" si="61"/>
        <v/>
      </c>
      <c r="HT25" s="196" t="str">
        <f t="shared" si="62"/>
        <v/>
      </c>
      <c r="HU25" s="196" t="str">
        <f t="shared" si="63"/>
        <v/>
      </c>
      <c r="HV25" s="196" t="str">
        <f t="shared" si="64"/>
        <v/>
      </c>
      <c r="HW25" s="196" t="str">
        <f t="shared" si="65"/>
        <v/>
      </c>
      <c r="HX25" s="196" t="str">
        <f t="shared" si="66"/>
        <v/>
      </c>
      <c r="HY25" s="196" t="str">
        <f t="shared" si="67"/>
        <v/>
      </c>
      <c r="HZ25" s="196" t="str">
        <f t="shared" si="68"/>
        <v/>
      </c>
      <c r="IA25" s="196" t="str">
        <f t="shared" si="69"/>
        <v/>
      </c>
      <c r="IB25" s="196" t="str">
        <f t="shared" si="70"/>
        <v/>
      </c>
      <c r="IC25" s="196" t="str">
        <f t="shared" si="71"/>
        <v/>
      </c>
      <c r="ID25" s="196" t="str">
        <f t="shared" si="72"/>
        <v/>
      </c>
      <c r="IE25" s="196" t="str">
        <f t="shared" si="73"/>
        <v/>
      </c>
      <c r="IF25" s="196" t="str">
        <f t="shared" si="74"/>
        <v/>
      </c>
      <c r="IG25" s="196" t="str">
        <f t="shared" si="75"/>
        <v/>
      </c>
      <c r="IH25" s="196" t="str">
        <f t="shared" si="76"/>
        <v/>
      </c>
      <c r="II25" s="196" t="str">
        <f t="shared" si="77"/>
        <v/>
      </c>
      <c r="IJ25" s="196" t="str">
        <f t="shared" si="78"/>
        <v/>
      </c>
      <c r="IK25" s="196" t="str">
        <f t="shared" si="79"/>
        <v/>
      </c>
      <c r="IL25" s="196" t="str">
        <f t="shared" si="80"/>
        <v/>
      </c>
      <c r="IM25" s="196" t="str">
        <f t="shared" si="81"/>
        <v/>
      </c>
      <c r="IN25" s="196" t="str">
        <f t="shared" si="82"/>
        <v/>
      </c>
      <c r="IO25" s="196" t="str">
        <f t="shared" si="83"/>
        <v/>
      </c>
      <c r="IP25" s="196" t="str">
        <f t="shared" si="84"/>
        <v/>
      </c>
      <c r="IQ25" s="196" t="str">
        <f t="shared" si="85"/>
        <v/>
      </c>
      <c r="IR25" s="196" t="str">
        <f t="shared" si="86"/>
        <v/>
      </c>
      <c r="IS25" s="196" t="str">
        <f t="shared" si="87"/>
        <v/>
      </c>
      <c r="IT25" s="196" t="str">
        <f t="shared" si="88"/>
        <v/>
      </c>
      <c r="IU25" s="210" t="str">
        <f t="shared" si="89"/>
        <v/>
      </c>
      <c r="IX25" s="202" t="str">
        <f t="shared" si="90"/>
        <v/>
      </c>
      <c r="IY25" s="196" t="str">
        <f t="shared" si="91"/>
        <v/>
      </c>
      <c r="IZ25" s="196" t="str">
        <f t="shared" si="92"/>
        <v/>
      </c>
      <c r="JA25" s="196" t="str">
        <f t="shared" si="93"/>
        <v/>
      </c>
      <c r="JB25" s="196" t="str">
        <f t="shared" si="94"/>
        <v/>
      </c>
      <c r="JC25" s="196" t="str">
        <f t="shared" si="95"/>
        <v/>
      </c>
      <c r="JD25" s="196" t="str">
        <f t="shared" si="96"/>
        <v/>
      </c>
      <c r="JE25" s="196" t="str">
        <f t="shared" si="97"/>
        <v/>
      </c>
      <c r="JF25" s="196" t="str">
        <f t="shared" si="98"/>
        <v/>
      </c>
      <c r="JG25" s="196" t="str">
        <f t="shared" si="99"/>
        <v/>
      </c>
      <c r="JH25" s="196" t="str">
        <f t="shared" si="100"/>
        <v/>
      </c>
      <c r="JI25" s="196" t="str">
        <f t="shared" si="101"/>
        <v/>
      </c>
      <c r="JJ25" s="196" t="str">
        <f t="shared" si="102"/>
        <v/>
      </c>
      <c r="JK25" s="196" t="str">
        <f t="shared" si="103"/>
        <v/>
      </c>
      <c r="JL25" s="196" t="str">
        <f t="shared" si="104"/>
        <v/>
      </c>
      <c r="JM25" s="196" t="str">
        <f t="shared" si="105"/>
        <v/>
      </c>
      <c r="JN25" s="196" t="str">
        <f t="shared" si="106"/>
        <v/>
      </c>
      <c r="JO25" s="196" t="str">
        <f t="shared" si="107"/>
        <v/>
      </c>
      <c r="JP25" s="196" t="str">
        <f t="shared" si="108"/>
        <v/>
      </c>
      <c r="JQ25" s="196" t="str">
        <f t="shared" si="109"/>
        <v/>
      </c>
      <c r="JR25" s="196" t="str">
        <f t="shared" si="110"/>
        <v/>
      </c>
      <c r="JS25" s="196" t="str">
        <f t="shared" si="111"/>
        <v/>
      </c>
      <c r="JT25" s="196" t="str">
        <f t="shared" si="112"/>
        <v/>
      </c>
      <c r="JU25" s="196" t="str">
        <f t="shared" si="113"/>
        <v/>
      </c>
      <c r="JV25" s="196" t="str">
        <f t="shared" si="114"/>
        <v/>
      </c>
      <c r="JW25" s="196" t="str">
        <f t="shared" si="115"/>
        <v/>
      </c>
      <c r="JX25" s="196" t="str">
        <f t="shared" si="116"/>
        <v/>
      </c>
      <c r="JY25" s="196" t="str">
        <f t="shared" si="117"/>
        <v/>
      </c>
      <c r="JZ25" s="210" t="str">
        <f t="shared" si="118"/>
        <v/>
      </c>
      <c r="KA25" s="196"/>
      <c r="KB25" s="176"/>
      <c r="KC25" s="227"/>
      <c r="KD25" s="218" t="str">
        <f t="shared" si="2"/>
        <v/>
      </c>
      <c r="KE25" s="196" t="str">
        <f t="shared" si="3"/>
        <v/>
      </c>
      <c r="KF25" s="196" t="str">
        <f t="shared" si="4"/>
        <v/>
      </c>
      <c r="KG25" s="196" t="str">
        <f t="shared" si="5"/>
        <v/>
      </c>
      <c r="KH25" s="196" t="str">
        <f t="shared" si="6"/>
        <v/>
      </c>
      <c r="KI25" s="196" t="str">
        <f t="shared" si="7"/>
        <v/>
      </c>
      <c r="KJ25" s="196" t="str">
        <f t="shared" si="8"/>
        <v/>
      </c>
      <c r="KK25" s="196" t="str">
        <f t="shared" si="9"/>
        <v/>
      </c>
      <c r="KL25" s="196" t="str">
        <f t="shared" si="10"/>
        <v/>
      </c>
      <c r="KM25" s="196" t="str">
        <f t="shared" si="11"/>
        <v/>
      </c>
      <c r="KN25" s="196" t="str">
        <f t="shared" si="12"/>
        <v/>
      </c>
      <c r="KO25" s="196" t="str">
        <f t="shared" si="13"/>
        <v/>
      </c>
      <c r="KP25" s="196" t="str">
        <f t="shared" si="14"/>
        <v/>
      </c>
      <c r="KQ25" s="196" t="str">
        <f t="shared" si="15"/>
        <v/>
      </c>
      <c r="KR25" s="196" t="str">
        <f t="shared" si="16"/>
        <v/>
      </c>
      <c r="KS25" s="196" t="str">
        <f t="shared" si="17"/>
        <v/>
      </c>
      <c r="KT25" s="196" t="str">
        <f t="shared" si="18"/>
        <v/>
      </c>
      <c r="KU25" s="196" t="str">
        <f t="shared" si="19"/>
        <v/>
      </c>
      <c r="KV25" s="196" t="str">
        <f t="shared" si="20"/>
        <v/>
      </c>
      <c r="KW25" s="196" t="str">
        <f t="shared" si="21"/>
        <v/>
      </c>
      <c r="KX25" s="196" t="str">
        <f t="shared" si="22"/>
        <v/>
      </c>
      <c r="KY25" s="196" t="str">
        <f t="shared" si="23"/>
        <v/>
      </c>
      <c r="KZ25" s="196" t="str">
        <f t="shared" si="24"/>
        <v/>
      </c>
      <c r="LA25" s="196" t="str">
        <f t="shared" si="25"/>
        <v/>
      </c>
      <c r="LB25" s="196" t="str">
        <f t="shared" si="26"/>
        <v/>
      </c>
      <c r="LC25" s="196" t="str">
        <f t="shared" si="27"/>
        <v/>
      </c>
      <c r="LD25" s="196" t="str">
        <f t="shared" si="28"/>
        <v/>
      </c>
      <c r="LE25" s="196" t="str">
        <f t="shared" si="29"/>
        <v/>
      </c>
      <c r="LF25" s="226" t="str">
        <f t="shared" si="30"/>
        <v/>
      </c>
    </row>
    <row r="26" spans="1:318" s="172" customFormat="1" ht="11.45" customHeight="1" x14ac:dyDescent="0.2">
      <c r="A26" s="35"/>
      <c r="B26" s="54"/>
      <c r="C26" s="438">
        <f t="shared" si="0"/>
        <v>45300</v>
      </c>
      <c r="D26" s="438"/>
      <c r="E26" s="430">
        <f t="shared" si="119"/>
        <v>45300</v>
      </c>
      <c r="F26" s="431"/>
      <c r="G26" s="26"/>
      <c r="H26" s="51"/>
      <c r="I26" s="50"/>
      <c r="J26" s="51"/>
      <c r="K26" s="50"/>
      <c r="L26" s="51"/>
      <c r="M26" s="50"/>
      <c r="N26" s="51"/>
      <c r="O26" s="50"/>
      <c r="P26" s="51"/>
      <c r="Q26" s="50"/>
      <c r="R26" s="51"/>
      <c r="S26" s="50"/>
      <c r="T26" s="51"/>
      <c r="U26" s="50"/>
      <c r="V26" s="51"/>
      <c r="W26" s="50"/>
      <c r="X26" s="276"/>
      <c r="Y26" s="50"/>
      <c r="Z26" s="51"/>
      <c r="AA26" s="50"/>
      <c r="AB26" s="51"/>
      <c r="AC26" s="50"/>
      <c r="AD26" s="51"/>
      <c r="AE26" s="50"/>
      <c r="AF26" s="51"/>
      <c r="AG26" s="50"/>
      <c r="AH26" s="51"/>
      <c r="AI26" s="50"/>
      <c r="AJ26" s="51"/>
      <c r="AK26" s="50"/>
      <c r="AL26" s="51"/>
      <c r="AM26" s="50"/>
      <c r="AN26" s="51"/>
      <c r="AO26" s="50"/>
      <c r="AP26" s="51"/>
      <c r="AQ26" s="50"/>
      <c r="AR26" s="51"/>
      <c r="AS26" s="50"/>
      <c r="AT26" s="51"/>
      <c r="AU26" s="50"/>
      <c r="AV26" s="51"/>
      <c r="AW26" s="50"/>
      <c r="AX26" s="51"/>
      <c r="AY26" s="50"/>
      <c r="AZ26" s="51"/>
      <c r="BA26" s="50"/>
      <c r="BB26" s="51"/>
      <c r="BC26" s="50"/>
      <c r="BD26" s="51"/>
      <c r="BE26" s="50"/>
      <c r="BF26" s="51"/>
      <c r="BG26" s="50"/>
      <c r="BH26" s="51"/>
      <c r="BI26" s="50"/>
      <c r="BJ26" s="51"/>
      <c r="BK26" s="50"/>
      <c r="BL26" s="51"/>
      <c r="BM26" s="109"/>
      <c r="BO26" s="174"/>
      <c r="BP26" s="174">
        <v>2045</v>
      </c>
      <c r="BQ26" s="221" t="s">
        <v>41</v>
      </c>
      <c r="BR26" s="222"/>
      <c r="BS26" s="174" t="s">
        <v>1113</v>
      </c>
      <c r="BU26" s="202" t="str">
        <f t="shared" si="31"/>
        <v/>
      </c>
      <c r="BV26" s="196" t="str">
        <f t="shared" si="32"/>
        <v/>
      </c>
      <c r="BW26" s="196" t="str">
        <f t="shared" si="33"/>
        <v/>
      </c>
      <c r="BX26" s="196" t="str">
        <f t="shared" si="34"/>
        <v/>
      </c>
      <c r="BY26" s="196" t="str">
        <f t="shared" si="35"/>
        <v/>
      </c>
      <c r="BZ26" s="196" t="str">
        <f t="shared" si="36"/>
        <v/>
      </c>
      <c r="CA26" s="196" t="str">
        <f t="shared" si="37"/>
        <v/>
      </c>
      <c r="CB26" s="196" t="str">
        <f t="shared" si="38"/>
        <v/>
      </c>
      <c r="CC26" s="196" t="str">
        <f t="shared" si="39"/>
        <v/>
      </c>
      <c r="CD26" s="196" t="str">
        <f t="shared" si="40"/>
        <v/>
      </c>
      <c r="CE26" s="196" t="str">
        <f t="shared" si="41"/>
        <v/>
      </c>
      <c r="CF26" s="196" t="str">
        <f t="shared" si="42"/>
        <v/>
      </c>
      <c r="CG26" s="196" t="str">
        <f t="shared" si="43"/>
        <v/>
      </c>
      <c r="CH26" s="196" t="str">
        <f t="shared" si="44"/>
        <v/>
      </c>
      <c r="CI26" s="196" t="str">
        <f t="shared" si="45"/>
        <v/>
      </c>
      <c r="CJ26" s="196" t="str">
        <f t="shared" si="46"/>
        <v/>
      </c>
      <c r="CK26" s="196" t="str">
        <f t="shared" si="47"/>
        <v/>
      </c>
      <c r="CL26" s="196" t="str">
        <f t="shared" si="48"/>
        <v/>
      </c>
      <c r="CM26" s="196" t="str">
        <f t="shared" si="120"/>
        <v/>
      </c>
      <c r="CN26" s="196" t="str">
        <f t="shared" si="49"/>
        <v/>
      </c>
      <c r="CO26" s="196" t="str">
        <f t="shared" si="50"/>
        <v/>
      </c>
      <c r="CP26" s="196" t="str">
        <f t="shared" si="51"/>
        <v/>
      </c>
      <c r="CQ26" s="196" t="str">
        <f t="shared" si="52"/>
        <v/>
      </c>
      <c r="CR26" s="196" t="str">
        <f t="shared" si="53"/>
        <v/>
      </c>
      <c r="CS26" s="196" t="str">
        <f t="shared" si="54"/>
        <v/>
      </c>
      <c r="CT26" s="196" t="str">
        <f t="shared" si="55"/>
        <v/>
      </c>
      <c r="CU26" s="196" t="str">
        <f t="shared" si="56"/>
        <v/>
      </c>
      <c r="CV26" s="196" t="str">
        <f t="shared" si="57"/>
        <v/>
      </c>
      <c r="CW26" s="210" t="str">
        <f t="shared" si="58"/>
        <v/>
      </c>
      <c r="CY26" s="212" t="str">
        <f>IF(I26&lt;&gt;"",IF(H26="&lt;",IF(AND('Outfall 1 Limits'!$AM$16="Y",$BU$54&lt;&gt;"Y",I26&lt;='Outfall 1 Limits'!$AL$16),0,(1*I26)),I26),"")</f>
        <v/>
      </c>
      <c r="CZ26" s="206" t="str">
        <f>IF(K26&lt;&gt;"",IF(J26="&lt;",IF(AND('Outfall 1 Limits'!$AM$20="Y",$BV$54&lt;&gt;"Y",K26&lt;='Outfall 1 Limits'!$AL$20),0,(1*K26)),K26),"")</f>
        <v/>
      </c>
      <c r="DA26" s="206" t="str">
        <f>IF(M26&lt;&gt;"",IF(L26="&lt;",IF(AND('Outfall 1 Limits'!$AM$24="Y",$BW$54&lt;&gt;"Y",M26&lt;='Outfall 1 Limits'!$AL$24),0,(1*M26)),M26),"")</f>
        <v/>
      </c>
      <c r="DB26" s="206" t="str">
        <f>IF(O26&lt;&gt;"",IF(N26="&lt;",IF(AND('Outfall 1 Limits'!$AM$28="Y",$BX$54&lt;&gt;"Y",O26&lt;='Outfall 1 Limits'!$AL$28),0,(1*O26)),O26),"")</f>
        <v/>
      </c>
      <c r="DC26" s="206" t="str">
        <f>IF(Q26&lt;&gt;"",IF(P26="&lt;",IF(AND('Outfall 1 Limits'!$AM$32="Y",$BY$54&lt;&gt;"Y",Q26&lt;='Outfall 1 Limits'!$AL$32),0,(1*Q26)),Q26),"")</f>
        <v/>
      </c>
      <c r="DD26" s="206" t="str">
        <f>IF(S26&lt;&gt;"",IF(R26="&lt;",IF(AND('Outfall 1 Limits'!$AM$36="Y",$BZ$54&lt;&gt;"Y",S26&lt;='Outfall 1 Limits'!$AL$36),0,(1*S26)),S26),"")</f>
        <v/>
      </c>
      <c r="DE26" s="206" t="str">
        <f>IF(U26&lt;&gt;"",IF(T26="&lt;",IF(AND('Outfall 1 Limits'!$AM$40="Y",$CA$54&lt;&gt;"Y",U26&lt;='Outfall 1 Limits'!$AL$40),0,(1*U26)),U26),"")</f>
        <v/>
      </c>
      <c r="DF26" s="206" t="str">
        <f>IF(W26&lt;&gt;"",IF(V26="&lt;",IF(AND('Outfall 1 Limits'!$AM$44="Y",$CB$54&lt;&gt;"Y",W26&lt;='Outfall 1 Limits'!$AL$44),0,(1*W26)),W26),"")</f>
        <v/>
      </c>
      <c r="DG26" s="206" t="str">
        <f>IF(Y26&lt;&gt;"",IF(X26="&lt;",IF(AND('Outfall 1 Limits'!$AM$48="Y",$CC$54&lt;&gt;"Y",Y26&lt;='Outfall 1 Limits'!$AL$48),0,(1*Y26)),Y26),"")</f>
        <v/>
      </c>
      <c r="DH26" s="206" t="str">
        <f>IF(AA26&lt;&gt;"",IF(Z26="&lt;",IF(AND('Outfall 1 Limits'!$AM$52="Y",$CD$54&lt;&gt;"Y",AA26&lt;='Outfall 1 Limits'!$AL$52),0,(1*AA26)),AA26),"")</f>
        <v/>
      </c>
      <c r="DI26" s="206" t="str">
        <f>IF(AC26&lt;&gt;"",IF(AB26="&lt;",IF(AND('Outfall 1 Limits'!$AM$56="Y",$CE$54&lt;&gt;"Y",AC26&lt;='Outfall 1 Limits'!$AL$56),0,(1*AC26)),AC26),"")</f>
        <v/>
      </c>
      <c r="DJ26" s="206" t="str">
        <f>IF(AE26&lt;&gt;"",IF(AD26="&lt;",IF(AND('Outfall 1 Limits'!$AM$60="Y",$CF$54&lt;&gt;"Y",AE26&lt;='Outfall 1 Limits'!$AL$60),0,(1*AE26)),AE26),"")</f>
        <v/>
      </c>
      <c r="DK26" s="206" t="str">
        <f>IF(AG26&lt;&gt;"",IF(AF26="&lt;",IF(AND('Outfall 1 Limits'!$AM$64="Y",$CG$54&lt;&gt;"Y",AG26&lt;='Outfall 1 Limits'!$AL$64),0,(1*AG26)),AG26),"")</f>
        <v/>
      </c>
      <c r="DL26" s="206" t="str">
        <f>IF(AI26&lt;&gt;"",IF(AH26="&lt;",IF(AND('Outfall 1 Limits'!$AM$68="Y",$CH$54&lt;&gt;"Y",AI26&lt;='Outfall 1 Limits'!$AL$68),0,(1*AI26)),AI26),"")</f>
        <v/>
      </c>
      <c r="DM26" s="206" t="str">
        <f>IF(AK26&lt;&gt;"",IF(AJ26="&lt;",IF(AND('Outfall 1 Limits'!$AM$72="Y",$CI$54&lt;&gt;"Y",AK26&lt;='Outfall 1 Limits'!$AL$72),0,(1*AK26)),AK26),"")</f>
        <v/>
      </c>
      <c r="DN26" s="206" t="str">
        <f>IF(AM26&lt;&gt;"",IF(AL26="&lt;",IF(AND('Outfall 1 Limits'!$AM$76="Y",$CJ$54&lt;&gt;"Y",AM26&lt;='Outfall 1 Limits'!$AL$76),0,(1*AM26)),AM26),"")</f>
        <v/>
      </c>
      <c r="DO26" s="206" t="str">
        <f>IF(AO26&lt;&gt;"",IF(AN26="&lt;",IF(AND('Outfall 1 Limits'!$AM$80="Y",$CK$54&lt;&gt;"Y",AO26&lt;='Outfall 1 Limits'!$AL$80),0,(1*AO26)),AO26),"")</f>
        <v/>
      </c>
      <c r="DP26" s="206" t="str">
        <f>IF(AQ26&lt;&gt;"",IF(AP26="&lt;",IF(AND('Outfall 1 Limits'!$AM$84="Y",$CL$54&lt;&gt;"Y",AQ26&lt;='Outfall 1 Limits'!$AL$84),0,(1*AQ26)),AQ26),"")</f>
        <v/>
      </c>
      <c r="DQ26" s="206" t="str">
        <f>IF(AS26&lt;&gt;"",IF(AR26="&lt;",IF(AND('Outfall 1 Limits'!$AM$88="Y",$CM$54&lt;&gt;"Y",AS26&lt;='Outfall 1 Limits'!$AL$88),0,(1*AS26)),AS26),"")</f>
        <v/>
      </c>
      <c r="DR26" s="206" t="str">
        <f>IF(AU26&lt;&gt;"",IF(AT26="&lt;",IF(AND('Outfall 1 Limits'!$AM$92="Y",$CN$54&lt;&gt;"Y",AU26&lt;='Outfall 1 Limits'!$AL$92),0,(1*AU26)),AU26),"")</f>
        <v/>
      </c>
      <c r="DS26" s="206" t="str">
        <f>IF(AW26&lt;&gt;"",IF(AV26="&lt;",IF(AND('Outfall 1 Limits'!$AM$96="Y",$CO$54&lt;&gt;"Y",AW26&lt;='Outfall 1 Limits'!$AL$96),0,(1*AW26)),AW26),"")</f>
        <v/>
      </c>
      <c r="DT26" s="206" t="str">
        <f>IF(AY26&lt;&gt;"",IF(AX26="&lt;",IF(AND('Outfall 1 Limits'!$AM$100="Y",$CP$54&lt;&gt;"Y",AY26&lt;='Outfall 1 Limits'!$AL$100),0,(1*AY26)),AY26),"")</f>
        <v/>
      </c>
      <c r="DU26" s="206" t="str">
        <f>IF(BA26&lt;&gt;"",IF(AZ26="&lt;",IF(AND('Outfall 1 Limits'!$AM$104="Y",$CQ$54&lt;&gt;"Y",BA26&lt;='Outfall 1 Limits'!$AL$104),0,(1*BA26)),BA26),"")</f>
        <v/>
      </c>
      <c r="DV26" s="206" t="str">
        <f>IF(BC26&lt;&gt;"",IF(BB26="&lt;",IF(AND('Outfall 1 Limits'!$AM$108="Y",$CR$54&lt;&gt;"Y",BC26&lt;='Outfall 1 Limits'!$AL$108),0,(1*BC26)),BC26),"")</f>
        <v/>
      </c>
      <c r="DW26" s="206" t="str">
        <f>IF(BE26&lt;&gt;"",IF(BD26="&lt;",IF(AND('Outfall 1 Limits'!$AM$112="Y",$CS$54&lt;&gt;"Y",BE26&lt;='Outfall 1 Limits'!$AL$112),0,(1*BE26)),BE26),"")</f>
        <v/>
      </c>
      <c r="DX26" s="206" t="str">
        <f>IF(BG26&lt;&gt;"",IF(BF26="&lt;",IF(AND('Outfall 1 Limits'!$AM$116="Y",$CT$54&lt;&gt;"Y",BG26&lt;='Outfall 1 Limits'!$AL$116),0,(1*BG26)),BG26),"")</f>
        <v/>
      </c>
      <c r="DY26" s="206" t="str">
        <f>IF(BI26&lt;&gt;"",IF(BH26="&lt;",IF(AND('Outfall 1 Limits'!$AM$120="Y",$CU$54&lt;&gt;"Y",BI26&lt;='Outfall 1 Limits'!$AL$120),0,(1*BI26)),BI26),"")</f>
        <v/>
      </c>
      <c r="DZ26" s="206" t="str">
        <f>IF(BK26&lt;&gt;"",IF(BJ26="&lt;",IF(AND('Outfall 1 Limits'!$AM$124="Y",$CV$54&lt;&gt;"Y",BK26&lt;='Outfall 1 Limits'!$AL$124),0,(1*BK26)),BK26),"")</f>
        <v/>
      </c>
      <c r="EA26" s="223" t="str">
        <f>IF(BM26&lt;&gt;"",IF(BL26="&lt;",IF(AND('Outfall 1 Limits'!$AM$128="Y",$CW$54&lt;&gt;"Y",BM26&lt;='Outfall 1 Limits'!$AL$128),0,(1*BM26)),BM26),"")</f>
        <v/>
      </c>
      <c r="EB26" s="209"/>
      <c r="EC26" s="202"/>
      <c r="ED26" s="196"/>
      <c r="EE26" s="196"/>
      <c r="EF26" s="196"/>
      <c r="EG26" s="196"/>
      <c r="EH26" s="196"/>
      <c r="EI26" s="196"/>
      <c r="EJ26" s="196"/>
      <c r="EK26" s="196"/>
      <c r="EL26" s="196"/>
      <c r="EM26" s="196"/>
      <c r="EN26" s="196"/>
      <c r="EO26" s="196"/>
      <c r="EP26" s="196"/>
      <c r="EQ26" s="196"/>
      <c r="ER26" s="196"/>
      <c r="ES26" s="196"/>
      <c r="ET26" s="196"/>
      <c r="EU26" s="196"/>
      <c r="EV26" s="196"/>
      <c r="EW26" s="196"/>
      <c r="EX26" s="196"/>
      <c r="EY26" s="196"/>
      <c r="EZ26" s="196"/>
      <c r="FA26" s="196"/>
      <c r="FB26" s="196"/>
      <c r="FC26" s="196"/>
      <c r="FD26" s="196"/>
      <c r="FE26" s="210"/>
      <c r="FG26" s="212" t="str">
        <f>IF(AND($G26&lt;&gt;"",$G26&gt;0,'Outfall 1 Limits'!$AX$16="C1",I26&lt;&gt;""),I26*$G26*8.34,IF(AND($I26&lt;&gt;"",'Outfall 1 Limits'!$AX$16="L"),I26,""))</f>
        <v/>
      </c>
      <c r="FH26" s="206" t="str">
        <f>IF(AND($G26&lt;&gt;"",$G26&gt;0,'Outfall 1 Limits'!$AX$20="C1",$K26&lt;&gt;""),$K26*$G26*8.34,IF(AND($K26&lt;&gt;"",'Outfall 1 Limits'!$AX$20="L"),$K26,""))</f>
        <v/>
      </c>
      <c r="FI26" s="206" t="str">
        <f>IF(AND($G26&lt;&gt;"",$G26&gt;0,'Outfall 1 Limits'!$AX$24="C1",$M26&lt;&gt;""),$M26*$G26*8.34,IF(AND($M26&lt;&gt;"",'Outfall 1 Limits'!$AX$24="L"),$M26,""))</f>
        <v/>
      </c>
      <c r="FJ26" s="206" t="str">
        <f>IF(AND($G26&lt;&gt;"",$G26&gt;0,'Outfall 1 Limits'!$AX$28="C1",$O26&lt;&gt;""),$O26*$G26*8.34,IF(AND($O26&lt;&gt;"",'Outfall 1 Limits'!$AX$28="L"),$O26,""))</f>
        <v/>
      </c>
      <c r="FK26" s="206" t="str">
        <f>IF(AND($G26&lt;&gt;"",$G26&gt;0,'Outfall 1 Limits'!$AX$32="C1",$Q26&lt;&gt;""),$Q26*$G26*8.34,IF(AND($Q26&lt;&gt;"",'Outfall 1 Limits'!$AX$32="L"),$Q26,""))</f>
        <v/>
      </c>
      <c r="FL26" s="206" t="str">
        <f>IF(AND($G26&lt;&gt;"",$G26&gt;0,'Outfall 1 Limits'!$AX$36="C1",$S26&lt;&gt;""),$S26*$G26*8.34,IF(AND($S26&lt;&gt;"",'Outfall 1 Limits'!$AX$36="L"),$S26,""))</f>
        <v/>
      </c>
      <c r="FM26" s="206" t="str">
        <f>IF(AND($G26&lt;&gt;"",$G26&gt;0,'Outfall 1 Limits'!$AX$40="C1",$U26&lt;&gt;""),$U26*$G26*8.34,IF(AND($U26&lt;&gt;"",'Outfall 1 Limits'!$AX$40="L"),$U26,""))</f>
        <v/>
      </c>
      <c r="FN26" s="206" t="str">
        <f>IF(AND($G26&lt;&gt;"",$G26&gt;0,'Outfall 1 Limits'!$AX$44="C1",$W26&lt;&gt;""),$W26*$G26*8.34,IF(AND($W26&lt;&gt;"",'Outfall 1 Limits'!$AX$44="L"),$W26,""))</f>
        <v/>
      </c>
      <c r="FO26" s="206" t="str">
        <f>IF(AND($G26&lt;&gt;"",$G26&gt;0,'Outfall 1 Limits'!$AX$48="C1",$Y26&lt;&gt;""),$Y26*$G26*8.34,IF(AND($Y26&lt;&gt;"",'Outfall 1 Limits'!$AX$48="L"),$Y26,""))</f>
        <v/>
      </c>
      <c r="FP26" s="206" t="str">
        <f>IF(AND($G26&lt;&gt;"",$G26&gt;0,'Outfall 1 Limits'!$AX$52="C1",$AA26&lt;&gt;""),$AA26*$G26*8.34,IF(AND($AA26&lt;&gt;"",'Outfall 1 Limits'!$AX$52="L"),$AA26,""))</f>
        <v/>
      </c>
      <c r="FQ26" s="206" t="str">
        <f>IF(AND($G26&lt;&gt;"",$G26&gt;0,'Outfall 1 Limits'!$AX$56="C1",$AC26&lt;&gt;""),$AC26*$G26*8.34,IF(AND($AC26&lt;&gt;"",'Outfall 1 Limits'!$AX$56="L"),$AC26,""))</f>
        <v/>
      </c>
      <c r="FR26" s="206" t="str">
        <f>IF(AND($G26&lt;&gt;"",$G26&gt;0,'Outfall 1 Limits'!$AX$60="C1",$AE26&lt;&gt;""),$AE26*$G26*8.34,IF(AND($AE26&lt;&gt;"",'Outfall 1 Limits'!$AX$60="L"),$AE26,""))</f>
        <v/>
      </c>
      <c r="FS26" s="206" t="str">
        <f>IF(AND($G26&lt;&gt;"",$G26&gt;0,'Outfall 1 Limits'!$AX$64="C1",$AG26&lt;&gt;""),$AG26*$G26*8.34,IF(AND($AG26&lt;&gt;"",'Outfall 1 Limits'!$AX$64="L"),$AG26,""))</f>
        <v/>
      </c>
      <c r="FT26" s="206" t="str">
        <f>IF(AND($G26&lt;&gt;"",$G26&gt;0,'Outfall 1 Limits'!$AX$68="C1",$AI26&lt;&gt;""),$AI26*$G26*8.34,IF(AND($AI26&lt;&gt;"",'Outfall 1 Limits'!$AX$68="L"),$AI26,""))</f>
        <v/>
      </c>
      <c r="FU26" s="206" t="str">
        <f>IF(AND($G26&lt;&gt;"",$G26&gt;0,'Outfall 1 Limits'!$AX$72="C1",$AK26&lt;&gt;""),$AK26*$G26*8.34,IF(AND($AK26&lt;&gt;"",'Outfall 1 Limits'!$AX$72="L"),$AK26,""))</f>
        <v/>
      </c>
      <c r="FV26" s="206" t="str">
        <f>IF(AND($G26&lt;&gt;"",$G26&gt;0,'Outfall 1 Limits'!$AX$76="C1",$AM26&lt;&gt;""),$AM26*$G26*8.34,IF(AND($AM26&lt;&gt;"",'Outfall 1 Limits'!$AX$76="L"),$AM26,""))</f>
        <v/>
      </c>
      <c r="FW26" s="206" t="str">
        <f>IF(AND($G26&lt;&gt;"",$G26&gt;0,'Outfall 1 Limits'!$AX$80="C1",$AO26&lt;&gt;""),$AO26*$G26*8.34,IF(AND($AO26&lt;&gt;"",'Outfall 1 Limits'!$AX$80="L"),$AO26,""))</f>
        <v/>
      </c>
      <c r="FX26" s="206" t="str">
        <f>IF(AND($G26&lt;&gt;"",$G26&gt;0,'Outfall 1 Limits'!$AX$84="C1",$AQ26&lt;&gt;""),$AQ26*$G26*8.34,IF(AND($AQ26&lt;&gt;"",'Outfall 1 Limits'!$AX$84="L"),$AQ26,""))</f>
        <v/>
      </c>
      <c r="FY26" s="206" t="str">
        <f>IF(AND($G26&lt;&gt;"",$G26&gt;0,'Outfall 1 Limits'!$AX$88="C1",$AS26&lt;&gt;""),$AS26*$G26*8.34,IF(AND($AS26&lt;&gt;"",'Outfall 1 Limits'!$AX$88="L"),$AS26,""))</f>
        <v/>
      </c>
      <c r="FZ26" s="206" t="str">
        <f>IF(AND($G26&lt;&gt;"",$G26&gt;0,'Outfall 1 Limits'!$AX$92="C1",$AU26&lt;&gt;""),$AU26*$G26*8.34,IF(AND($AU26&lt;&gt;"",'Outfall 1 Limits'!$AX$92="L"),$AU26,""))</f>
        <v/>
      </c>
      <c r="GA26" s="206" t="str">
        <f>IF(AND($G26&lt;&gt;"",$G26&gt;0,'Outfall 1 Limits'!$AX$96="C1",$AW26&lt;&gt;""),$AW26*$G26*8.34,IF(AND($AW26&lt;&gt;"",'Outfall 1 Limits'!$AX$96="L"),$AW26,""))</f>
        <v/>
      </c>
      <c r="GB26" s="206" t="str">
        <f>IF(AND($G26&lt;&gt;"",$G26&gt;0,'Outfall 1 Limits'!$AX$100="C1",$AY26&lt;&gt;""),$AY26*$G26*8.34,IF(AND($AY26&lt;&gt;"",'Outfall 1 Limits'!$AX$100="L"),$AY26,""))</f>
        <v/>
      </c>
      <c r="GC26" s="206" t="str">
        <f>IF(AND($G26&lt;&gt;"",$G26&gt;0,'Outfall 1 Limits'!$AX$104="C1",$BA26&lt;&gt;""),$BA26*$G26*8.34,IF(AND($BA26&lt;&gt;"",'Outfall 1 Limits'!$AX$104="L"),$BA26,""))</f>
        <v/>
      </c>
      <c r="GD26" s="206" t="str">
        <f>IF(AND($G26&lt;&gt;"",$G26&gt;0,'Outfall 1 Limits'!$AX$108="C1",$BC26&lt;&gt;""),$BC26*$G26*8.34,IF(AND($BC26&lt;&gt;"",'Outfall 1 Limits'!$AX$108="L"),$BC26,""))</f>
        <v/>
      </c>
      <c r="GE26" s="206" t="str">
        <f>IF(AND($G26&lt;&gt;"",$G26&gt;0,'Outfall 1 Limits'!$AX$112="C1",$BE26&lt;&gt;""),$BE26*$G26*8.34,IF(AND($BE26&lt;&gt;"",'Outfall 1 Limits'!$AX$112="L"),$BE26,""))</f>
        <v/>
      </c>
      <c r="GF26" s="206" t="str">
        <f>IF(AND($G26&lt;&gt;"",$G26&gt;0,'Outfall 1 Limits'!$AX$116="C1",$BG26&lt;&gt;""),$BG26*$G26*8.34,IF(AND($BG26&lt;&gt;"",'Outfall 1 Limits'!$AX$116="L"),$BG26,""))</f>
        <v/>
      </c>
      <c r="GG26" s="206" t="str">
        <f>IF(AND($G26&lt;&gt;"",$G26&gt;0,'Outfall 1 Limits'!$AX$120="C1",$BI26&lt;&gt;""),$BI26*$G26*8.34,IF(AND($BI26&lt;&gt;"",'Outfall 1 Limits'!$AX$120="L"),$BI26,""))</f>
        <v/>
      </c>
      <c r="GH26" s="206" t="str">
        <f>IF(AND($G26&lt;&gt;"",$G26&gt;0,'Outfall 1 Limits'!$AX$124="C1",$BK26&lt;&gt;""),$BK26*$G26*8.34,IF(AND($BK26&lt;&gt;"",'Outfall 1 Limits'!$AX$124="L"),$BK26,""))</f>
        <v/>
      </c>
      <c r="GI26" s="223" t="str">
        <f>IF(AND($G26&lt;&gt;"",$G26&gt;0,'Outfall 1 Limits'!$AX$128="C1",$BM26&lt;&gt;""),$BM26*$G26*8.34,IF(AND($BM26&lt;&gt;"",'Outfall 1 Limits'!$AX$128="L"),$BM26,""))</f>
        <v/>
      </c>
      <c r="GJ26" s="177" t="str">
        <f t="shared" si="59"/>
        <v/>
      </c>
      <c r="GK26" s="212" t="str">
        <f>IF(AND($G26&lt;&gt;"",$G26&gt;0,'Outfall 1 Limits'!$AX$16="C1",CY26&lt;&gt;""),CY26*$G26*8.34,IF(AND(CY26&lt;&gt;"",'Outfall 1 Limits'!$AX$16="L"),CY26,""))</f>
        <v/>
      </c>
      <c r="GL26" s="206" t="str">
        <f>IF(AND($G26&lt;&gt;"",$G26&gt;0,'Outfall 1 Limits'!$AX$20="C1",CZ26&lt;&gt;""),CZ26*$G26*8.34,IF(AND(CZ26&lt;&gt;"",'Outfall 1 Limits'!$AX$20="L"),CZ26,""))</f>
        <v/>
      </c>
      <c r="GM26" s="206" t="str">
        <f>IF(AND($G26&lt;&gt;"",$G26&gt;0,'Outfall 1 Limits'!$AX$24="C1",DA26&lt;&gt;""),DA26*$G26*8.34,IF(AND(DA26&lt;&gt;"",'Outfall 1 Limits'!$AX$24="L"),DA26,""))</f>
        <v/>
      </c>
      <c r="GN26" s="206" t="str">
        <f>IF(AND($G26&lt;&gt;"",$G26&gt;0,'Outfall 1 Limits'!$AX$28="C1",DB26&lt;&gt;""),DB26*$G26*8.34,IF(AND(DB26&lt;&gt;"",'Outfall 1 Limits'!$AX$28="L"),DB26,""))</f>
        <v/>
      </c>
      <c r="GO26" s="206" t="str">
        <f>IF(AND($G26&lt;&gt;"",$G26&gt;0,'Outfall 1 Limits'!$AX$32="C1",DC26&lt;&gt;""),DC26*$G26*8.34,IF(AND(DC26&lt;&gt;"",'Outfall 1 Limits'!$AX$32="L"),DC26,""))</f>
        <v/>
      </c>
      <c r="GP26" s="206" t="str">
        <f>IF(AND($G26&lt;&gt;"",$G26&gt;0,'Outfall 1 Limits'!$AX$36="C1",DD26&lt;&gt;""),DD26*$G26*8.34,IF(AND(DD26&lt;&gt;"",'Outfall 1 Limits'!$AX$36="L"),DD26,""))</f>
        <v/>
      </c>
      <c r="GQ26" s="206" t="str">
        <f>IF(AND($G26&lt;&gt;"",$G26&gt;0,'Outfall 1 Limits'!$AX$40="C1",DE26&lt;&gt;""),DE26*$G26*8.34,IF(AND(DE26&lt;&gt;"",'Outfall 1 Limits'!$AX$40="L"),DE26,""))</f>
        <v/>
      </c>
      <c r="GR26" s="206" t="str">
        <f>IF(AND($G26&lt;&gt;"",$G26&gt;0,'Outfall 1 Limits'!$AX$44="C1",DF26&lt;&gt;""),DF26*$G26*8.34,IF(AND(DF26&lt;&gt;"",'Outfall 1 Limits'!$AX$44="L"),DF26,""))</f>
        <v/>
      </c>
      <c r="GS26" s="206" t="str">
        <f>IF(AND($G26&lt;&gt;"",$G26&gt;0,'Outfall 1 Limits'!$AX$48="C1",DG26&lt;&gt;""),DG26*$G26*8.34,IF(AND(DG26&lt;&gt;"",'Outfall 1 Limits'!$AX$48="L"),DG26,""))</f>
        <v/>
      </c>
      <c r="GT26" s="206" t="str">
        <f>IF(AND($G26&lt;&gt;"",$G26&gt;0,'Outfall 1 Limits'!$AX$52="C1",DH26&lt;&gt;""),DH26*$G26*8.34,IF(AND(DH26&lt;&gt;"",'Outfall 1 Limits'!$AX$52="L"),DH26,""))</f>
        <v/>
      </c>
      <c r="GU26" s="206" t="str">
        <f>IF(AND($G26&lt;&gt;"",$G26&gt;0,'Outfall 1 Limits'!$AX$56="C1",DI26&lt;&gt;""),DI26*$G26*8.34,IF(AND(DI26&lt;&gt;"",'Outfall 1 Limits'!$AX$56="L"),DI26,""))</f>
        <v/>
      </c>
      <c r="GV26" s="206" t="str">
        <f>IF(AND($G26&lt;&gt;"",$G26&gt;0,'Outfall 1 Limits'!$AX$60="C1",DJ26&lt;&gt;""),DJ26*$G26*8.34,IF(AND(DJ26&lt;&gt;"",'Outfall 1 Limits'!$AX$60="L"),DJ26,""))</f>
        <v/>
      </c>
      <c r="GW26" s="206" t="str">
        <f>IF(AND($G26&lt;&gt;"",$G26&gt;0,'Outfall 1 Limits'!$AX$64="C1",DK26&lt;&gt;""),DK26*$G26*8.34,IF(AND(DK26&lt;&gt;"",'Outfall 1 Limits'!$AX$64="L"),DK26,""))</f>
        <v/>
      </c>
      <c r="GX26" s="206" t="str">
        <f>IF(AND($G26&lt;&gt;"",$G26&gt;0,'Outfall 1 Limits'!$AX$68="C1",DL26&lt;&gt;""),DL26*$G26*8.34,IF(AND(DL26&lt;&gt;"",'Outfall 1 Limits'!$AX$68="L"),DL26,""))</f>
        <v/>
      </c>
      <c r="GY26" s="206" t="str">
        <f>IF(AND($G26&lt;&gt;"",$G26&gt;0,'Outfall 1 Limits'!$AX$72="C1",DM26&lt;&gt;""),DM26*$G26*8.34,IF(AND(DM26&lt;&gt;"",'Outfall 1 Limits'!$AX$72="L"),DM26,""))</f>
        <v/>
      </c>
      <c r="GZ26" s="206" t="str">
        <f>IF(AND($G26&lt;&gt;"",$G26&gt;0,'Outfall 1 Limits'!$AX$76="C1",DN26&lt;&gt;""),DN26*$G26*8.34,IF(AND(DN26&lt;&gt;"",'Outfall 1 Limits'!$AX$76="L"),DN26,""))</f>
        <v/>
      </c>
      <c r="HA26" s="206" t="str">
        <f>IF(AND($G26&lt;&gt;"",$G26&gt;0,'Outfall 1 Limits'!$AX$80="C1",DO26&lt;&gt;""),DO26*$G26*8.34,IF(AND(DO26&lt;&gt;"",'Outfall 1 Limits'!$AX$80="L"),DO26,""))</f>
        <v/>
      </c>
      <c r="HB26" s="206" t="str">
        <f>IF(AND($G26&lt;&gt;"",$G26&gt;0,'Outfall 1 Limits'!$AX$84="C1",DP26&lt;&gt;""),DP26*$G26*8.34,IF(AND(DP26&lt;&gt;"",'Outfall 1 Limits'!$AX$84="L"),DP26,""))</f>
        <v/>
      </c>
      <c r="HC26" s="206" t="str">
        <f>IF(AND($G26&lt;&gt;"",$G26&gt;0,'Outfall 1 Limits'!$AX$88="C1",DQ26&lt;&gt;""),DQ26*$G26*8.34,IF(AND(DQ26&lt;&gt;"",'Outfall 1 Limits'!$AX$88="L"),DQ26,""))</f>
        <v/>
      </c>
      <c r="HD26" s="206" t="str">
        <f>IF(AND($G26&lt;&gt;"",$G26&gt;0,'Outfall 1 Limits'!$AX$92="C1",DR26&lt;&gt;""),DR26*$G26*8.34,IF(AND(DR26&lt;&gt;"",'Outfall 1 Limits'!$AX$92="L"),DR26,""))</f>
        <v/>
      </c>
      <c r="HE26" s="206" t="str">
        <f>IF(AND($G26&lt;&gt;"",$G26&gt;0,'Outfall 1 Limits'!$AX$96="C1",DS26&lt;&gt;""),DS26*$G26*8.34,IF(AND(DS26&lt;&gt;"",'Outfall 1 Limits'!$AX$96="L"),DS26,""))</f>
        <v/>
      </c>
      <c r="HF26" s="206" t="str">
        <f>IF(AND($G26&lt;&gt;"",$G26&gt;0,'Outfall 1 Limits'!$AX$100="C1",DT26&lt;&gt;""),DT26*$G26*8.34,IF(AND(DT26&lt;&gt;"",'Outfall 1 Limits'!$AX$100="L"),DT26,""))</f>
        <v/>
      </c>
      <c r="HG26" s="206" t="str">
        <f>IF(AND($G26&lt;&gt;"",$G26&gt;0,'Outfall 1 Limits'!$AX$104="C1",DU26&lt;&gt;""),DU26*$G26*8.34,IF(AND(DU26&lt;&gt;"",'Outfall 1 Limits'!$AX$104="L"),DU26,""))</f>
        <v/>
      </c>
      <c r="HH26" s="206" t="str">
        <f>IF(AND($G26&lt;&gt;"",$G26&gt;0,'Outfall 1 Limits'!$AX$108="C1",DV26&lt;&gt;""),DV26*$G26*8.34,IF(AND(DV26&lt;&gt;"",'Outfall 1 Limits'!$AX$108="L"),DV26,""))</f>
        <v/>
      </c>
      <c r="HI26" s="206" t="str">
        <f>IF(AND($G26&lt;&gt;"",$G26&gt;0,'Outfall 1 Limits'!$AX$112="C1",DW26&lt;&gt;""),DW26*$G26*8.34,IF(AND(DW26&lt;&gt;"",'Outfall 1 Limits'!$AX$112="L"),DW26,""))</f>
        <v/>
      </c>
      <c r="HJ26" s="206" t="str">
        <f>IF(AND($G26&lt;&gt;"",$G26&gt;0,'Outfall 1 Limits'!$AX$116="C1",DX26&lt;&gt;""),DX26*$G26*8.34,IF(AND(DX26&lt;&gt;"",'Outfall 1 Limits'!$AX$116="L"),DX26,""))</f>
        <v/>
      </c>
      <c r="HK26" s="206" t="str">
        <f>IF(AND($G26&lt;&gt;"",$G26&gt;0,'Outfall 1 Limits'!$AX$120="C1",DY26&lt;&gt;""),DY26*$G26*8.34,IF(AND(DY26&lt;&gt;"",'Outfall 1 Limits'!$AX$120="L"),DY26,""))</f>
        <v/>
      </c>
      <c r="HL26" s="206" t="str">
        <f>IF(AND($G26&lt;&gt;"",$G26&gt;0,'Outfall 1 Limits'!$AX$124="C1",DZ26&lt;&gt;""),DZ26*$G26*8.34,IF(AND(DZ26&lt;&gt;"",'Outfall 1 Limits'!$AX$124="L"),DZ26,""))</f>
        <v/>
      </c>
      <c r="HM26" s="223" t="str">
        <f>IF(AND($G26&lt;&gt;"",$G26&gt;0,'Outfall 1 Limits'!$AX$128="C1",EA26&lt;&gt;""),EA26*$G26*8.34,IF(AND(EA26&lt;&gt;"",'Outfall 1 Limits'!$AX$128="L"),EA26,""))</f>
        <v/>
      </c>
      <c r="HO26" s="224" t="str">
        <f t="shared" si="60"/>
        <v/>
      </c>
      <c r="HS26" s="202" t="str">
        <f t="shared" si="61"/>
        <v/>
      </c>
      <c r="HT26" s="196" t="str">
        <f t="shared" si="62"/>
        <v/>
      </c>
      <c r="HU26" s="196" t="str">
        <f t="shared" si="63"/>
        <v/>
      </c>
      <c r="HV26" s="196" t="str">
        <f t="shared" si="64"/>
        <v/>
      </c>
      <c r="HW26" s="196" t="str">
        <f t="shared" si="65"/>
        <v/>
      </c>
      <c r="HX26" s="196" t="str">
        <f t="shared" si="66"/>
        <v/>
      </c>
      <c r="HY26" s="196" t="str">
        <f t="shared" si="67"/>
        <v/>
      </c>
      <c r="HZ26" s="196" t="str">
        <f t="shared" si="68"/>
        <v/>
      </c>
      <c r="IA26" s="196" t="str">
        <f t="shared" si="69"/>
        <v/>
      </c>
      <c r="IB26" s="196" t="str">
        <f t="shared" si="70"/>
        <v/>
      </c>
      <c r="IC26" s="196" t="str">
        <f t="shared" si="71"/>
        <v/>
      </c>
      <c r="ID26" s="196" t="str">
        <f t="shared" si="72"/>
        <v/>
      </c>
      <c r="IE26" s="196" t="str">
        <f t="shared" si="73"/>
        <v/>
      </c>
      <c r="IF26" s="196" t="str">
        <f t="shared" si="74"/>
        <v/>
      </c>
      <c r="IG26" s="196" t="str">
        <f t="shared" si="75"/>
        <v/>
      </c>
      <c r="IH26" s="196" t="str">
        <f t="shared" si="76"/>
        <v/>
      </c>
      <c r="II26" s="196" t="str">
        <f t="shared" si="77"/>
        <v/>
      </c>
      <c r="IJ26" s="196" t="str">
        <f t="shared" si="78"/>
        <v/>
      </c>
      <c r="IK26" s="196" t="str">
        <f t="shared" si="79"/>
        <v/>
      </c>
      <c r="IL26" s="196" t="str">
        <f t="shared" si="80"/>
        <v/>
      </c>
      <c r="IM26" s="196" t="str">
        <f t="shared" si="81"/>
        <v/>
      </c>
      <c r="IN26" s="196" t="str">
        <f t="shared" si="82"/>
        <v/>
      </c>
      <c r="IO26" s="196" t="str">
        <f t="shared" si="83"/>
        <v/>
      </c>
      <c r="IP26" s="196" t="str">
        <f t="shared" si="84"/>
        <v/>
      </c>
      <c r="IQ26" s="196" t="str">
        <f t="shared" si="85"/>
        <v/>
      </c>
      <c r="IR26" s="196" t="str">
        <f t="shared" si="86"/>
        <v/>
      </c>
      <c r="IS26" s="196" t="str">
        <f t="shared" si="87"/>
        <v/>
      </c>
      <c r="IT26" s="196" t="str">
        <f t="shared" si="88"/>
        <v/>
      </c>
      <c r="IU26" s="210" t="str">
        <f t="shared" si="89"/>
        <v/>
      </c>
      <c r="IX26" s="202" t="str">
        <f t="shared" si="90"/>
        <v/>
      </c>
      <c r="IY26" s="196" t="str">
        <f t="shared" si="91"/>
        <v/>
      </c>
      <c r="IZ26" s="196" t="str">
        <f t="shared" si="92"/>
        <v/>
      </c>
      <c r="JA26" s="196" t="str">
        <f t="shared" si="93"/>
        <v/>
      </c>
      <c r="JB26" s="196" t="str">
        <f t="shared" si="94"/>
        <v/>
      </c>
      <c r="JC26" s="196" t="str">
        <f t="shared" si="95"/>
        <v/>
      </c>
      <c r="JD26" s="196" t="str">
        <f t="shared" si="96"/>
        <v/>
      </c>
      <c r="JE26" s="196" t="str">
        <f t="shared" si="97"/>
        <v/>
      </c>
      <c r="JF26" s="196" t="str">
        <f t="shared" si="98"/>
        <v/>
      </c>
      <c r="JG26" s="196" t="str">
        <f t="shared" si="99"/>
        <v/>
      </c>
      <c r="JH26" s="196" t="str">
        <f t="shared" si="100"/>
        <v/>
      </c>
      <c r="JI26" s="196" t="str">
        <f t="shared" si="101"/>
        <v/>
      </c>
      <c r="JJ26" s="196" t="str">
        <f t="shared" si="102"/>
        <v/>
      </c>
      <c r="JK26" s="196" t="str">
        <f t="shared" si="103"/>
        <v/>
      </c>
      <c r="JL26" s="196" t="str">
        <f t="shared" si="104"/>
        <v/>
      </c>
      <c r="JM26" s="196" t="str">
        <f t="shared" si="105"/>
        <v/>
      </c>
      <c r="JN26" s="196" t="str">
        <f t="shared" si="106"/>
        <v/>
      </c>
      <c r="JO26" s="196" t="str">
        <f t="shared" si="107"/>
        <v/>
      </c>
      <c r="JP26" s="196" t="str">
        <f t="shared" si="108"/>
        <v/>
      </c>
      <c r="JQ26" s="196" t="str">
        <f t="shared" si="109"/>
        <v/>
      </c>
      <c r="JR26" s="196" t="str">
        <f t="shared" si="110"/>
        <v/>
      </c>
      <c r="JS26" s="196" t="str">
        <f t="shared" si="111"/>
        <v/>
      </c>
      <c r="JT26" s="196" t="str">
        <f t="shared" si="112"/>
        <v/>
      </c>
      <c r="JU26" s="196" t="str">
        <f t="shared" si="113"/>
        <v/>
      </c>
      <c r="JV26" s="196" t="str">
        <f t="shared" si="114"/>
        <v/>
      </c>
      <c r="JW26" s="196" t="str">
        <f t="shared" si="115"/>
        <v/>
      </c>
      <c r="JX26" s="196" t="str">
        <f t="shared" si="116"/>
        <v/>
      </c>
      <c r="JY26" s="196" t="str">
        <f t="shared" si="117"/>
        <v/>
      </c>
      <c r="JZ26" s="210" t="str">
        <f t="shared" si="118"/>
        <v/>
      </c>
      <c r="KA26" s="196"/>
      <c r="KB26" s="176"/>
      <c r="KC26" s="227"/>
      <c r="KD26" s="218" t="str">
        <f t="shared" si="2"/>
        <v/>
      </c>
      <c r="KE26" s="196" t="str">
        <f t="shared" si="3"/>
        <v/>
      </c>
      <c r="KF26" s="196" t="str">
        <f t="shared" si="4"/>
        <v/>
      </c>
      <c r="KG26" s="196" t="str">
        <f t="shared" si="5"/>
        <v/>
      </c>
      <c r="KH26" s="196" t="str">
        <f t="shared" si="6"/>
        <v/>
      </c>
      <c r="KI26" s="196" t="str">
        <f t="shared" si="7"/>
        <v/>
      </c>
      <c r="KJ26" s="196" t="str">
        <f t="shared" si="8"/>
        <v/>
      </c>
      <c r="KK26" s="196" t="str">
        <f t="shared" si="9"/>
        <v/>
      </c>
      <c r="KL26" s="196" t="str">
        <f t="shared" si="10"/>
        <v/>
      </c>
      <c r="KM26" s="196" t="str">
        <f t="shared" si="11"/>
        <v/>
      </c>
      <c r="KN26" s="196" t="str">
        <f t="shared" si="12"/>
        <v/>
      </c>
      <c r="KO26" s="196" t="str">
        <f t="shared" si="13"/>
        <v/>
      </c>
      <c r="KP26" s="196" t="str">
        <f t="shared" si="14"/>
        <v/>
      </c>
      <c r="KQ26" s="196" t="str">
        <f t="shared" si="15"/>
        <v/>
      </c>
      <c r="KR26" s="196" t="str">
        <f t="shared" si="16"/>
        <v/>
      </c>
      <c r="KS26" s="196" t="str">
        <f t="shared" si="17"/>
        <v/>
      </c>
      <c r="KT26" s="196" t="str">
        <f t="shared" si="18"/>
        <v/>
      </c>
      <c r="KU26" s="196" t="str">
        <f t="shared" si="19"/>
        <v/>
      </c>
      <c r="KV26" s="196" t="str">
        <f t="shared" si="20"/>
        <v/>
      </c>
      <c r="KW26" s="196" t="str">
        <f t="shared" si="21"/>
        <v/>
      </c>
      <c r="KX26" s="196" t="str">
        <f t="shared" si="22"/>
        <v/>
      </c>
      <c r="KY26" s="196" t="str">
        <f t="shared" si="23"/>
        <v/>
      </c>
      <c r="KZ26" s="196" t="str">
        <f t="shared" si="24"/>
        <v/>
      </c>
      <c r="LA26" s="196" t="str">
        <f t="shared" si="25"/>
        <v/>
      </c>
      <c r="LB26" s="196" t="str">
        <f t="shared" si="26"/>
        <v/>
      </c>
      <c r="LC26" s="196" t="str">
        <f t="shared" si="27"/>
        <v/>
      </c>
      <c r="LD26" s="196" t="str">
        <f t="shared" si="28"/>
        <v/>
      </c>
      <c r="LE26" s="196" t="str">
        <f t="shared" si="29"/>
        <v/>
      </c>
      <c r="LF26" s="226" t="str">
        <f t="shared" si="30"/>
        <v/>
      </c>
    </row>
    <row r="27" spans="1:318" s="172" customFormat="1" ht="11.45" customHeight="1" thickBot="1" x14ac:dyDescent="0.25">
      <c r="A27" s="35"/>
      <c r="B27" s="54"/>
      <c r="C27" s="438">
        <f t="shared" si="0"/>
        <v>45301</v>
      </c>
      <c r="D27" s="438"/>
      <c r="E27" s="430">
        <f t="shared" si="119"/>
        <v>45301</v>
      </c>
      <c r="F27" s="431"/>
      <c r="G27" s="26"/>
      <c r="H27" s="51"/>
      <c r="I27" s="50"/>
      <c r="J27" s="51"/>
      <c r="K27" s="50"/>
      <c r="L27" s="51"/>
      <c r="M27" s="50"/>
      <c r="N27" s="51"/>
      <c r="O27" s="50"/>
      <c r="P27" s="51"/>
      <c r="Q27" s="50"/>
      <c r="R27" s="51"/>
      <c r="S27" s="50"/>
      <c r="T27" s="51"/>
      <c r="U27" s="50"/>
      <c r="V27" s="51"/>
      <c r="W27" s="50"/>
      <c r="X27" s="276"/>
      <c r="Y27" s="50"/>
      <c r="Z27" s="51"/>
      <c r="AA27" s="50"/>
      <c r="AB27" s="51"/>
      <c r="AC27" s="50"/>
      <c r="AD27" s="51"/>
      <c r="AE27" s="50"/>
      <c r="AF27" s="51"/>
      <c r="AG27" s="50"/>
      <c r="AH27" s="51"/>
      <c r="AI27" s="50"/>
      <c r="AJ27" s="51"/>
      <c r="AK27" s="50"/>
      <c r="AL27" s="51"/>
      <c r="AM27" s="50"/>
      <c r="AN27" s="51"/>
      <c r="AO27" s="50"/>
      <c r="AP27" s="51"/>
      <c r="AQ27" s="50"/>
      <c r="AR27" s="51"/>
      <c r="AS27" s="50"/>
      <c r="AT27" s="51"/>
      <c r="AU27" s="50"/>
      <c r="AV27" s="51"/>
      <c r="AW27" s="50"/>
      <c r="AX27" s="51"/>
      <c r="AY27" s="50"/>
      <c r="AZ27" s="51"/>
      <c r="BA27" s="50"/>
      <c r="BB27" s="51"/>
      <c r="BC27" s="50"/>
      <c r="BD27" s="51"/>
      <c r="BE27" s="50"/>
      <c r="BF27" s="51"/>
      <c r="BG27" s="50"/>
      <c r="BH27" s="51"/>
      <c r="BI27" s="50"/>
      <c r="BJ27" s="51"/>
      <c r="BK27" s="50"/>
      <c r="BL27" s="51"/>
      <c r="BM27" s="109"/>
      <c r="BO27" s="174"/>
      <c r="BP27" s="174">
        <v>2046</v>
      </c>
      <c r="BQ27" s="179" t="s">
        <v>42</v>
      </c>
      <c r="BR27" s="174"/>
      <c r="BS27" s="174" t="s">
        <v>1114</v>
      </c>
      <c r="BU27" s="202" t="str">
        <f t="shared" si="31"/>
        <v/>
      </c>
      <c r="BV27" s="196" t="str">
        <f t="shared" si="32"/>
        <v/>
      </c>
      <c r="BW27" s="196" t="str">
        <f t="shared" si="33"/>
        <v/>
      </c>
      <c r="BX27" s="196" t="str">
        <f t="shared" si="34"/>
        <v/>
      </c>
      <c r="BY27" s="196" t="str">
        <f t="shared" si="35"/>
        <v/>
      </c>
      <c r="BZ27" s="196" t="str">
        <f t="shared" si="36"/>
        <v/>
      </c>
      <c r="CA27" s="196" t="str">
        <f t="shared" si="37"/>
        <v/>
      </c>
      <c r="CB27" s="196" t="str">
        <f t="shared" si="38"/>
        <v/>
      </c>
      <c r="CC27" s="196" t="str">
        <f t="shared" si="39"/>
        <v/>
      </c>
      <c r="CD27" s="196" t="str">
        <f t="shared" si="40"/>
        <v/>
      </c>
      <c r="CE27" s="196" t="str">
        <f t="shared" si="41"/>
        <v/>
      </c>
      <c r="CF27" s="196" t="str">
        <f t="shared" si="42"/>
        <v/>
      </c>
      <c r="CG27" s="196" t="str">
        <f t="shared" si="43"/>
        <v/>
      </c>
      <c r="CH27" s="196" t="str">
        <f t="shared" si="44"/>
        <v/>
      </c>
      <c r="CI27" s="196" t="str">
        <f t="shared" si="45"/>
        <v/>
      </c>
      <c r="CJ27" s="196" t="str">
        <f t="shared" si="46"/>
        <v/>
      </c>
      <c r="CK27" s="196" t="str">
        <f t="shared" si="47"/>
        <v/>
      </c>
      <c r="CL27" s="196" t="str">
        <f t="shared" si="48"/>
        <v/>
      </c>
      <c r="CM27" s="196" t="str">
        <f t="shared" si="120"/>
        <v/>
      </c>
      <c r="CN27" s="196" t="str">
        <f t="shared" si="49"/>
        <v/>
      </c>
      <c r="CO27" s="196" t="str">
        <f t="shared" si="50"/>
        <v/>
      </c>
      <c r="CP27" s="196" t="str">
        <f t="shared" si="51"/>
        <v/>
      </c>
      <c r="CQ27" s="196" t="str">
        <f t="shared" si="52"/>
        <v/>
      </c>
      <c r="CR27" s="196" t="str">
        <f t="shared" si="53"/>
        <v/>
      </c>
      <c r="CS27" s="196" t="str">
        <f t="shared" si="54"/>
        <v/>
      </c>
      <c r="CT27" s="196" t="str">
        <f t="shared" si="55"/>
        <v/>
      </c>
      <c r="CU27" s="196" t="str">
        <f t="shared" si="56"/>
        <v/>
      </c>
      <c r="CV27" s="196" t="str">
        <f t="shared" si="57"/>
        <v/>
      </c>
      <c r="CW27" s="210" t="str">
        <f t="shared" si="58"/>
        <v/>
      </c>
      <c r="CY27" s="212" t="str">
        <f>IF(I27&lt;&gt;"",IF(H27="&lt;",IF(AND('Outfall 1 Limits'!$AM$16="Y",$BU$54&lt;&gt;"Y",I27&lt;='Outfall 1 Limits'!$AL$16),0,(1*I27)),I27),"")</f>
        <v/>
      </c>
      <c r="CZ27" s="206" t="str">
        <f>IF(K27&lt;&gt;"",IF(J27="&lt;",IF(AND('Outfall 1 Limits'!$AM$20="Y",$BV$54&lt;&gt;"Y",K27&lt;='Outfall 1 Limits'!$AL$20),0,(1*K27)),K27),"")</f>
        <v/>
      </c>
      <c r="DA27" s="206" t="str">
        <f>IF(M27&lt;&gt;"",IF(L27="&lt;",IF(AND('Outfall 1 Limits'!$AM$24="Y",$BW$54&lt;&gt;"Y",M27&lt;='Outfall 1 Limits'!$AL$24),0,(1*M27)),M27),"")</f>
        <v/>
      </c>
      <c r="DB27" s="206" t="str">
        <f>IF(O27&lt;&gt;"",IF(N27="&lt;",IF(AND('Outfall 1 Limits'!$AM$28="Y",$BX$54&lt;&gt;"Y",O27&lt;='Outfall 1 Limits'!$AL$28),0,(1*O27)),O27),"")</f>
        <v/>
      </c>
      <c r="DC27" s="206" t="str">
        <f>IF(Q27&lt;&gt;"",IF(P27="&lt;",IF(AND('Outfall 1 Limits'!$AM$32="Y",$BY$54&lt;&gt;"Y",Q27&lt;='Outfall 1 Limits'!$AL$32),0,(1*Q27)),Q27),"")</f>
        <v/>
      </c>
      <c r="DD27" s="206" t="str">
        <f>IF(S27&lt;&gt;"",IF(R27="&lt;",IF(AND('Outfall 1 Limits'!$AM$36="Y",$BZ$54&lt;&gt;"Y",S27&lt;='Outfall 1 Limits'!$AL$36),0,(1*S27)),S27),"")</f>
        <v/>
      </c>
      <c r="DE27" s="206" t="str">
        <f>IF(U27&lt;&gt;"",IF(T27="&lt;",IF(AND('Outfall 1 Limits'!$AM$40="Y",$CA$54&lt;&gt;"Y",U27&lt;='Outfall 1 Limits'!$AL$40),0,(1*U27)),U27),"")</f>
        <v/>
      </c>
      <c r="DF27" s="206" t="str">
        <f>IF(W27&lt;&gt;"",IF(V27="&lt;",IF(AND('Outfall 1 Limits'!$AM$44="Y",$CB$54&lt;&gt;"Y",W27&lt;='Outfall 1 Limits'!$AL$44),0,(1*W27)),W27),"")</f>
        <v/>
      </c>
      <c r="DG27" s="206" t="str">
        <f>IF(Y27&lt;&gt;"",IF(X27="&lt;",IF(AND('Outfall 1 Limits'!$AM$48="Y",$CC$54&lt;&gt;"Y",Y27&lt;='Outfall 1 Limits'!$AL$48),0,(1*Y27)),Y27),"")</f>
        <v/>
      </c>
      <c r="DH27" s="206" t="str">
        <f>IF(AA27&lt;&gt;"",IF(Z27="&lt;",IF(AND('Outfall 1 Limits'!$AM$52="Y",$CD$54&lt;&gt;"Y",AA27&lt;='Outfall 1 Limits'!$AL$52),0,(1*AA27)),AA27),"")</f>
        <v/>
      </c>
      <c r="DI27" s="206" t="str">
        <f>IF(AC27&lt;&gt;"",IF(AB27="&lt;",IF(AND('Outfall 1 Limits'!$AM$56="Y",$CE$54&lt;&gt;"Y",AC27&lt;='Outfall 1 Limits'!$AL$56),0,(1*AC27)),AC27),"")</f>
        <v/>
      </c>
      <c r="DJ27" s="206" t="str">
        <f>IF(AE27&lt;&gt;"",IF(AD27="&lt;",IF(AND('Outfall 1 Limits'!$AM$60="Y",$CF$54&lt;&gt;"Y",AE27&lt;='Outfall 1 Limits'!$AL$60),0,(1*AE27)),AE27),"")</f>
        <v/>
      </c>
      <c r="DK27" s="206" t="str">
        <f>IF(AG27&lt;&gt;"",IF(AF27="&lt;",IF(AND('Outfall 1 Limits'!$AM$64="Y",$CG$54&lt;&gt;"Y",AG27&lt;='Outfall 1 Limits'!$AL$64),0,(1*AG27)),AG27),"")</f>
        <v/>
      </c>
      <c r="DL27" s="206" t="str">
        <f>IF(AI27&lt;&gt;"",IF(AH27="&lt;",IF(AND('Outfall 1 Limits'!$AM$68="Y",$CH$54&lt;&gt;"Y",AI27&lt;='Outfall 1 Limits'!$AL$68),0,(1*AI27)),AI27),"")</f>
        <v/>
      </c>
      <c r="DM27" s="206" t="str">
        <f>IF(AK27&lt;&gt;"",IF(AJ27="&lt;",IF(AND('Outfall 1 Limits'!$AM$72="Y",$CI$54&lt;&gt;"Y",AK27&lt;='Outfall 1 Limits'!$AL$72),0,(1*AK27)),AK27),"")</f>
        <v/>
      </c>
      <c r="DN27" s="206" t="str">
        <f>IF(AM27&lt;&gt;"",IF(AL27="&lt;",IF(AND('Outfall 1 Limits'!$AM$76="Y",$CJ$54&lt;&gt;"Y",AM27&lt;='Outfall 1 Limits'!$AL$76),0,(1*AM27)),AM27),"")</f>
        <v/>
      </c>
      <c r="DO27" s="206" t="str">
        <f>IF(AO27&lt;&gt;"",IF(AN27="&lt;",IF(AND('Outfall 1 Limits'!$AM$80="Y",$CK$54&lt;&gt;"Y",AO27&lt;='Outfall 1 Limits'!$AL$80),0,(1*AO27)),AO27),"")</f>
        <v/>
      </c>
      <c r="DP27" s="206" t="str">
        <f>IF(AQ27&lt;&gt;"",IF(AP27="&lt;",IF(AND('Outfall 1 Limits'!$AM$84="Y",$CL$54&lt;&gt;"Y",AQ27&lt;='Outfall 1 Limits'!$AL$84),0,(1*AQ27)),AQ27),"")</f>
        <v/>
      </c>
      <c r="DQ27" s="206" t="str">
        <f>IF(AS27&lt;&gt;"",IF(AR27="&lt;",IF(AND('Outfall 1 Limits'!$AM$88="Y",$CM$54&lt;&gt;"Y",AS27&lt;='Outfall 1 Limits'!$AL$88),0,(1*AS27)),AS27),"")</f>
        <v/>
      </c>
      <c r="DR27" s="206" t="str">
        <f>IF(AU27&lt;&gt;"",IF(AT27="&lt;",IF(AND('Outfall 1 Limits'!$AM$92="Y",$CN$54&lt;&gt;"Y",AU27&lt;='Outfall 1 Limits'!$AL$92),0,(1*AU27)),AU27),"")</f>
        <v/>
      </c>
      <c r="DS27" s="206" t="str">
        <f>IF(AW27&lt;&gt;"",IF(AV27="&lt;",IF(AND('Outfall 1 Limits'!$AM$96="Y",$CO$54&lt;&gt;"Y",AW27&lt;='Outfall 1 Limits'!$AL$96),0,(1*AW27)),AW27),"")</f>
        <v/>
      </c>
      <c r="DT27" s="206" t="str">
        <f>IF(AY27&lt;&gt;"",IF(AX27="&lt;",IF(AND('Outfall 1 Limits'!$AM$100="Y",$CP$54&lt;&gt;"Y",AY27&lt;='Outfall 1 Limits'!$AL$100),0,(1*AY27)),AY27),"")</f>
        <v/>
      </c>
      <c r="DU27" s="206" t="str">
        <f>IF(BA27&lt;&gt;"",IF(AZ27="&lt;",IF(AND('Outfall 1 Limits'!$AM$104="Y",$CQ$54&lt;&gt;"Y",BA27&lt;='Outfall 1 Limits'!$AL$104),0,(1*BA27)),BA27),"")</f>
        <v/>
      </c>
      <c r="DV27" s="206" t="str">
        <f>IF(BC27&lt;&gt;"",IF(BB27="&lt;",IF(AND('Outfall 1 Limits'!$AM$108="Y",$CR$54&lt;&gt;"Y",BC27&lt;='Outfall 1 Limits'!$AL$108),0,(1*BC27)),BC27),"")</f>
        <v/>
      </c>
      <c r="DW27" s="206" t="str">
        <f>IF(BE27&lt;&gt;"",IF(BD27="&lt;",IF(AND('Outfall 1 Limits'!$AM$112="Y",$CS$54&lt;&gt;"Y",BE27&lt;='Outfall 1 Limits'!$AL$112),0,(1*BE27)),BE27),"")</f>
        <v/>
      </c>
      <c r="DX27" s="206" t="str">
        <f>IF(BG27&lt;&gt;"",IF(BF27="&lt;",IF(AND('Outfall 1 Limits'!$AM$116="Y",$CT$54&lt;&gt;"Y",BG27&lt;='Outfall 1 Limits'!$AL$116),0,(1*BG27)),BG27),"")</f>
        <v/>
      </c>
      <c r="DY27" s="206" t="str">
        <f>IF(BI27&lt;&gt;"",IF(BH27="&lt;",IF(AND('Outfall 1 Limits'!$AM$120="Y",$CU$54&lt;&gt;"Y",BI27&lt;='Outfall 1 Limits'!$AL$120),0,(1*BI27)),BI27),"")</f>
        <v/>
      </c>
      <c r="DZ27" s="206" t="str">
        <f>IF(BK27&lt;&gt;"",IF(BJ27="&lt;",IF(AND('Outfall 1 Limits'!$AM$124="Y",$CV$54&lt;&gt;"Y",BK27&lt;='Outfall 1 Limits'!$AL$124),0,(1*BK27)),BK27),"")</f>
        <v/>
      </c>
      <c r="EA27" s="223" t="str">
        <f>IF(BM27&lt;&gt;"",IF(BL27="&lt;",IF(AND('Outfall 1 Limits'!$AM$128="Y",$CW$54&lt;&gt;"Y",BM27&lt;='Outfall 1 Limits'!$AL$128),0,(1*BM27)),BM27),"")</f>
        <v/>
      </c>
      <c r="EB27" s="209" t="s">
        <v>383</v>
      </c>
      <c r="EC27" s="237" t="str">
        <f>IF(SUM(EC13:EC17)&gt;0,IF(EC25=EC18,"N","Y"),"")</f>
        <v/>
      </c>
      <c r="ED27" s="238" t="str">
        <f>IF(SUM(ED13:ED17)&gt;0,IF(ED25=ED18,"N","Y"),"")</f>
        <v/>
      </c>
      <c r="EE27" s="238" t="str">
        <f>IF(SUM(EE13:EE17)&gt;0,IF(EE25=EE18,"N","Y"),"")</f>
        <v/>
      </c>
      <c r="EF27" s="238" t="str">
        <f>IF(SUM(EF13:EF17)&gt;0,IF(EF25=EF18,"N","Y"),"")</f>
        <v/>
      </c>
      <c r="EG27" s="238" t="str">
        <f t="shared" ref="EG27:FE27" si="129">IF(SUM(EG13:EG17)&gt;0,IF(EG25=EG18,"N","Y"),"")</f>
        <v/>
      </c>
      <c r="EH27" s="238" t="str">
        <f t="shared" si="129"/>
        <v/>
      </c>
      <c r="EI27" s="238" t="str">
        <f t="shared" si="129"/>
        <v/>
      </c>
      <c r="EJ27" s="238" t="str">
        <f t="shared" si="129"/>
        <v/>
      </c>
      <c r="EK27" s="238" t="str">
        <f t="shared" si="129"/>
        <v/>
      </c>
      <c r="EL27" s="238" t="str">
        <f t="shared" si="129"/>
        <v/>
      </c>
      <c r="EM27" s="238" t="str">
        <f t="shared" si="129"/>
        <v/>
      </c>
      <c r="EN27" s="238" t="str">
        <f t="shared" si="129"/>
        <v/>
      </c>
      <c r="EO27" s="238" t="str">
        <f t="shared" si="129"/>
        <v/>
      </c>
      <c r="EP27" s="238" t="str">
        <f t="shared" si="129"/>
        <v/>
      </c>
      <c r="EQ27" s="238" t="str">
        <f t="shared" si="129"/>
        <v/>
      </c>
      <c r="ER27" s="238" t="str">
        <f t="shared" si="129"/>
        <v/>
      </c>
      <c r="ES27" s="238" t="str">
        <f t="shared" si="129"/>
        <v/>
      </c>
      <c r="ET27" s="238" t="str">
        <f t="shared" si="129"/>
        <v/>
      </c>
      <c r="EU27" s="238" t="str">
        <f t="shared" si="129"/>
        <v/>
      </c>
      <c r="EV27" s="238" t="str">
        <f t="shared" si="129"/>
        <v/>
      </c>
      <c r="EW27" s="238" t="str">
        <f t="shared" si="129"/>
        <v/>
      </c>
      <c r="EX27" s="238" t="str">
        <f t="shared" si="129"/>
        <v/>
      </c>
      <c r="EY27" s="238" t="str">
        <f t="shared" si="129"/>
        <v/>
      </c>
      <c r="EZ27" s="238" t="str">
        <f t="shared" si="129"/>
        <v/>
      </c>
      <c r="FA27" s="238" t="str">
        <f t="shared" si="129"/>
        <v/>
      </c>
      <c r="FB27" s="238" t="str">
        <f t="shared" si="129"/>
        <v/>
      </c>
      <c r="FC27" s="238" t="str">
        <f t="shared" si="129"/>
        <v/>
      </c>
      <c r="FD27" s="238" t="str">
        <f t="shared" si="129"/>
        <v/>
      </c>
      <c r="FE27" s="239" t="str">
        <f t="shared" si="129"/>
        <v/>
      </c>
      <c r="FG27" s="212" t="str">
        <f>IF(AND($G27&lt;&gt;"",$G27&gt;0,'Outfall 1 Limits'!$AX$16="C1",I27&lt;&gt;""),I27*$G27*8.34,IF(AND($I27&lt;&gt;"",'Outfall 1 Limits'!$AX$16="L"),I27,""))</f>
        <v/>
      </c>
      <c r="FH27" s="206" t="str">
        <f>IF(AND($G27&lt;&gt;"",$G27&gt;0,'Outfall 1 Limits'!$AX$20="C1",$K27&lt;&gt;""),$K27*$G27*8.34,IF(AND($K27&lt;&gt;"",'Outfall 1 Limits'!$AX$20="L"),$K27,""))</f>
        <v/>
      </c>
      <c r="FI27" s="206" t="str">
        <f>IF(AND($G27&lt;&gt;"",$G27&gt;0,'Outfall 1 Limits'!$AX$24="C1",$M27&lt;&gt;""),$M27*$G27*8.34,IF(AND($M27&lt;&gt;"",'Outfall 1 Limits'!$AX$24="L"),$M27,""))</f>
        <v/>
      </c>
      <c r="FJ27" s="206" t="str">
        <f>IF(AND($G27&lt;&gt;"",$G27&gt;0,'Outfall 1 Limits'!$AX$28="C1",$O27&lt;&gt;""),$O27*$G27*8.34,IF(AND($O27&lt;&gt;"",'Outfall 1 Limits'!$AX$28="L"),$O27,""))</f>
        <v/>
      </c>
      <c r="FK27" s="206" t="str">
        <f>IF(AND($G27&lt;&gt;"",$G27&gt;0,'Outfall 1 Limits'!$AX$32="C1",$Q27&lt;&gt;""),$Q27*$G27*8.34,IF(AND($Q27&lt;&gt;"",'Outfall 1 Limits'!$AX$32="L"),$Q27,""))</f>
        <v/>
      </c>
      <c r="FL27" s="206" t="str">
        <f>IF(AND($G27&lt;&gt;"",$G27&gt;0,'Outfall 1 Limits'!$AX$36="C1",$S27&lt;&gt;""),$S27*$G27*8.34,IF(AND($S27&lt;&gt;"",'Outfall 1 Limits'!$AX$36="L"),$S27,""))</f>
        <v/>
      </c>
      <c r="FM27" s="206" t="str">
        <f>IF(AND($G27&lt;&gt;"",$G27&gt;0,'Outfall 1 Limits'!$AX$40="C1",$U27&lt;&gt;""),$U27*$G27*8.34,IF(AND($U27&lt;&gt;"",'Outfall 1 Limits'!$AX$40="L"),$U27,""))</f>
        <v/>
      </c>
      <c r="FN27" s="206" t="str">
        <f>IF(AND($G27&lt;&gt;"",$G27&gt;0,'Outfall 1 Limits'!$AX$44="C1",$W27&lt;&gt;""),$W27*$G27*8.34,IF(AND($W27&lt;&gt;"",'Outfall 1 Limits'!$AX$44="L"),$W27,""))</f>
        <v/>
      </c>
      <c r="FO27" s="206" t="str">
        <f>IF(AND($G27&lt;&gt;"",$G27&gt;0,'Outfall 1 Limits'!$AX$48="C1",$Y27&lt;&gt;""),$Y27*$G27*8.34,IF(AND($Y27&lt;&gt;"",'Outfall 1 Limits'!$AX$48="L"),$Y27,""))</f>
        <v/>
      </c>
      <c r="FP27" s="206" t="str">
        <f>IF(AND($G27&lt;&gt;"",$G27&gt;0,'Outfall 1 Limits'!$AX$52="C1",$AA27&lt;&gt;""),$AA27*$G27*8.34,IF(AND($AA27&lt;&gt;"",'Outfall 1 Limits'!$AX$52="L"),$AA27,""))</f>
        <v/>
      </c>
      <c r="FQ27" s="206" t="str">
        <f>IF(AND($G27&lt;&gt;"",$G27&gt;0,'Outfall 1 Limits'!$AX$56="C1",$AC27&lt;&gt;""),$AC27*$G27*8.34,IF(AND($AC27&lt;&gt;"",'Outfall 1 Limits'!$AX$56="L"),$AC27,""))</f>
        <v/>
      </c>
      <c r="FR27" s="206" t="str">
        <f>IF(AND($G27&lt;&gt;"",$G27&gt;0,'Outfall 1 Limits'!$AX$60="C1",$AE27&lt;&gt;""),$AE27*$G27*8.34,IF(AND($AE27&lt;&gt;"",'Outfall 1 Limits'!$AX$60="L"),$AE27,""))</f>
        <v/>
      </c>
      <c r="FS27" s="206" t="str">
        <f>IF(AND($G27&lt;&gt;"",$G27&gt;0,'Outfall 1 Limits'!$AX$64="C1",$AG27&lt;&gt;""),$AG27*$G27*8.34,IF(AND($AG27&lt;&gt;"",'Outfall 1 Limits'!$AX$64="L"),$AG27,""))</f>
        <v/>
      </c>
      <c r="FT27" s="206" t="str">
        <f>IF(AND($G27&lt;&gt;"",$G27&gt;0,'Outfall 1 Limits'!$AX$68="C1",$AI27&lt;&gt;""),$AI27*$G27*8.34,IF(AND($AI27&lt;&gt;"",'Outfall 1 Limits'!$AX$68="L"),$AI27,""))</f>
        <v/>
      </c>
      <c r="FU27" s="206" t="str">
        <f>IF(AND($G27&lt;&gt;"",$G27&gt;0,'Outfall 1 Limits'!$AX$72="C1",$AK27&lt;&gt;""),$AK27*$G27*8.34,IF(AND($AK27&lt;&gt;"",'Outfall 1 Limits'!$AX$72="L"),$AK27,""))</f>
        <v/>
      </c>
      <c r="FV27" s="206" t="str">
        <f>IF(AND($G27&lt;&gt;"",$G27&gt;0,'Outfall 1 Limits'!$AX$76="C1",$AM27&lt;&gt;""),$AM27*$G27*8.34,IF(AND($AM27&lt;&gt;"",'Outfall 1 Limits'!$AX$76="L"),$AM27,""))</f>
        <v/>
      </c>
      <c r="FW27" s="206" t="str">
        <f>IF(AND($G27&lt;&gt;"",$G27&gt;0,'Outfall 1 Limits'!$AX$80="C1",$AO27&lt;&gt;""),$AO27*$G27*8.34,IF(AND($AO27&lt;&gt;"",'Outfall 1 Limits'!$AX$80="L"),$AO27,""))</f>
        <v/>
      </c>
      <c r="FX27" s="206" t="str">
        <f>IF(AND($G27&lt;&gt;"",$G27&gt;0,'Outfall 1 Limits'!$AX$84="C1",$AQ27&lt;&gt;""),$AQ27*$G27*8.34,IF(AND($AQ27&lt;&gt;"",'Outfall 1 Limits'!$AX$84="L"),$AQ27,""))</f>
        <v/>
      </c>
      <c r="FY27" s="206" t="str">
        <f>IF(AND($G27&lt;&gt;"",$G27&gt;0,'Outfall 1 Limits'!$AX$88="C1",$AS27&lt;&gt;""),$AS27*$G27*8.34,IF(AND($AS27&lt;&gt;"",'Outfall 1 Limits'!$AX$88="L"),$AS27,""))</f>
        <v/>
      </c>
      <c r="FZ27" s="206" t="str">
        <f>IF(AND($G27&lt;&gt;"",$G27&gt;0,'Outfall 1 Limits'!$AX$92="C1",$AU27&lt;&gt;""),$AU27*$G27*8.34,IF(AND($AU27&lt;&gt;"",'Outfall 1 Limits'!$AX$92="L"),$AU27,""))</f>
        <v/>
      </c>
      <c r="GA27" s="206" t="str">
        <f>IF(AND($G27&lt;&gt;"",$G27&gt;0,'Outfall 1 Limits'!$AX$96="C1",$AW27&lt;&gt;""),$AW27*$G27*8.34,IF(AND($AW27&lt;&gt;"",'Outfall 1 Limits'!$AX$96="L"),$AW27,""))</f>
        <v/>
      </c>
      <c r="GB27" s="206" t="str">
        <f>IF(AND($G27&lt;&gt;"",$G27&gt;0,'Outfall 1 Limits'!$AX$100="C1",$AY27&lt;&gt;""),$AY27*$G27*8.34,IF(AND($AY27&lt;&gt;"",'Outfall 1 Limits'!$AX$100="L"),$AY27,""))</f>
        <v/>
      </c>
      <c r="GC27" s="206" t="str">
        <f>IF(AND($G27&lt;&gt;"",$G27&gt;0,'Outfall 1 Limits'!$AX$104="C1",$BA27&lt;&gt;""),$BA27*$G27*8.34,IF(AND($BA27&lt;&gt;"",'Outfall 1 Limits'!$AX$104="L"),$BA27,""))</f>
        <v/>
      </c>
      <c r="GD27" s="206" t="str">
        <f>IF(AND($G27&lt;&gt;"",$G27&gt;0,'Outfall 1 Limits'!$AX$108="C1",$BC27&lt;&gt;""),$BC27*$G27*8.34,IF(AND($BC27&lt;&gt;"",'Outfall 1 Limits'!$AX$108="L"),$BC27,""))</f>
        <v/>
      </c>
      <c r="GE27" s="206" t="str">
        <f>IF(AND($G27&lt;&gt;"",$G27&gt;0,'Outfall 1 Limits'!$AX$112="C1",$BE27&lt;&gt;""),$BE27*$G27*8.34,IF(AND($BE27&lt;&gt;"",'Outfall 1 Limits'!$AX$112="L"),$BE27,""))</f>
        <v/>
      </c>
      <c r="GF27" s="206" t="str">
        <f>IF(AND($G27&lt;&gt;"",$G27&gt;0,'Outfall 1 Limits'!$AX$116="C1",$BG27&lt;&gt;""),$BG27*$G27*8.34,IF(AND($BG27&lt;&gt;"",'Outfall 1 Limits'!$AX$116="L"),$BG27,""))</f>
        <v/>
      </c>
      <c r="GG27" s="206" t="str">
        <f>IF(AND($G27&lt;&gt;"",$G27&gt;0,'Outfall 1 Limits'!$AX$120="C1",$BI27&lt;&gt;""),$BI27*$G27*8.34,IF(AND($BI27&lt;&gt;"",'Outfall 1 Limits'!$AX$120="L"),$BI27,""))</f>
        <v/>
      </c>
      <c r="GH27" s="206" t="str">
        <f>IF(AND($G27&lt;&gt;"",$G27&gt;0,'Outfall 1 Limits'!$AX$124="C1",$BK27&lt;&gt;""),$BK27*$G27*8.34,IF(AND($BK27&lt;&gt;"",'Outfall 1 Limits'!$AX$124="L"),$BK27,""))</f>
        <v/>
      </c>
      <c r="GI27" s="223" t="str">
        <f>IF(AND($G27&lt;&gt;"",$G27&gt;0,'Outfall 1 Limits'!$AX$128="C1",$BM27&lt;&gt;""),$BM27*$G27*8.34,IF(AND($BM27&lt;&gt;"",'Outfall 1 Limits'!$AX$128="L"),$BM27,""))</f>
        <v/>
      </c>
      <c r="GJ27" s="177" t="str">
        <f t="shared" si="59"/>
        <v/>
      </c>
      <c r="GK27" s="212" t="str">
        <f>IF(AND($G27&lt;&gt;"",$G27&gt;0,'Outfall 1 Limits'!$AX$16="C1",CY27&lt;&gt;""),CY27*$G27*8.34,IF(AND(CY27&lt;&gt;"",'Outfall 1 Limits'!$AX$16="L"),CY27,""))</f>
        <v/>
      </c>
      <c r="GL27" s="206" t="str">
        <f>IF(AND($G27&lt;&gt;"",$G27&gt;0,'Outfall 1 Limits'!$AX$20="C1",CZ27&lt;&gt;""),CZ27*$G27*8.34,IF(AND(CZ27&lt;&gt;"",'Outfall 1 Limits'!$AX$20="L"),CZ27,""))</f>
        <v/>
      </c>
      <c r="GM27" s="206" t="str">
        <f>IF(AND($G27&lt;&gt;"",$G27&gt;0,'Outfall 1 Limits'!$AX$24="C1",DA27&lt;&gt;""),DA27*$G27*8.34,IF(AND(DA27&lt;&gt;"",'Outfall 1 Limits'!$AX$24="L"),DA27,""))</f>
        <v/>
      </c>
      <c r="GN27" s="206" t="str">
        <f>IF(AND($G27&lt;&gt;"",$G27&gt;0,'Outfall 1 Limits'!$AX$28="C1",DB27&lt;&gt;""),DB27*$G27*8.34,IF(AND(DB27&lt;&gt;"",'Outfall 1 Limits'!$AX$28="L"),DB27,""))</f>
        <v/>
      </c>
      <c r="GO27" s="206" t="str">
        <f>IF(AND($G27&lt;&gt;"",$G27&gt;0,'Outfall 1 Limits'!$AX$32="C1",DC27&lt;&gt;""),DC27*$G27*8.34,IF(AND(DC27&lt;&gt;"",'Outfall 1 Limits'!$AX$32="L"),DC27,""))</f>
        <v/>
      </c>
      <c r="GP27" s="206" t="str">
        <f>IF(AND($G27&lt;&gt;"",$G27&gt;0,'Outfall 1 Limits'!$AX$36="C1",DD27&lt;&gt;""),DD27*$G27*8.34,IF(AND(DD27&lt;&gt;"",'Outfall 1 Limits'!$AX$36="L"),DD27,""))</f>
        <v/>
      </c>
      <c r="GQ27" s="206" t="str">
        <f>IF(AND($G27&lt;&gt;"",$G27&gt;0,'Outfall 1 Limits'!$AX$40="C1",DE27&lt;&gt;""),DE27*$G27*8.34,IF(AND(DE27&lt;&gt;"",'Outfall 1 Limits'!$AX$40="L"),DE27,""))</f>
        <v/>
      </c>
      <c r="GR27" s="206" t="str">
        <f>IF(AND($G27&lt;&gt;"",$G27&gt;0,'Outfall 1 Limits'!$AX$44="C1",DF27&lt;&gt;""),DF27*$G27*8.34,IF(AND(DF27&lt;&gt;"",'Outfall 1 Limits'!$AX$44="L"),DF27,""))</f>
        <v/>
      </c>
      <c r="GS27" s="206" t="str">
        <f>IF(AND($G27&lt;&gt;"",$G27&gt;0,'Outfall 1 Limits'!$AX$48="C1",DG27&lt;&gt;""),DG27*$G27*8.34,IF(AND(DG27&lt;&gt;"",'Outfall 1 Limits'!$AX$48="L"),DG27,""))</f>
        <v/>
      </c>
      <c r="GT27" s="206" t="str">
        <f>IF(AND($G27&lt;&gt;"",$G27&gt;0,'Outfall 1 Limits'!$AX$52="C1",DH27&lt;&gt;""),DH27*$G27*8.34,IF(AND(DH27&lt;&gt;"",'Outfall 1 Limits'!$AX$52="L"),DH27,""))</f>
        <v/>
      </c>
      <c r="GU27" s="206" t="str">
        <f>IF(AND($G27&lt;&gt;"",$G27&gt;0,'Outfall 1 Limits'!$AX$56="C1",DI27&lt;&gt;""),DI27*$G27*8.34,IF(AND(DI27&lt;&gt;"",'Outfall 1 Limits'!$AX$56="L"),DI27,""))</f>
        <v/>
      </c>
      <c r="GV27" s="206" t="str">
        <f>IF(AND($G27&lt;&gt;"",$G27&gt;0,'Outfall 1 Limits'!$AX$60="C1",DJ27&lt;&gt;""),DJ27*$G27*8.34,IF(AND(DJ27&lt;&gt;"",'Outfall 1 Limits'!$AX$60="L"),DJ27,""))</f>
        <v/>
      </c>
      <c r="GW27" s="206" t="str">
        <f>IF(AND($G27&lt;&gt;"",$G27&gt;0,'Outfall 1 Limits'!$AX$64="C1",DK27&lt;&gt;""),DK27*$G27*8.34,IF(AND(DK27&lt;&gt;"",'Outfall 1 Limits'!$AX$64="L"),DK27,""))</f>
        <v/>
      </c>
      <c r="GX27" s="206" t="str">
        <f>IF(AND($G27&lt;&gt;"",$G27&gt;0,'Outfall 1 Limits'!$AX$68="C1",DL27&lt;&gt;""),DL27*$G27*8.34,IF(AND(DL27&lt;&gt;"",'Outfall 1 Limits'!$AX$68="L"),DL27,""))</f>
        <v/>
      </c>
      <c r="GY27" s="206" t="str">
        <f>IF(AND($G27&lt;&gt;"",$G27&gt;0,'Outfall 1 Limits'!$AX$72="C1",DM27&lt;&gt;""),DM27*$G27*8.34,IF(AND(DM27&lt;&gt;"",'Outfall 1 Limits'!$AX$72="L"),DM27,""))</f>
        <v/>
      </c>
      <c r="GZ27" s="206" t="str">
        <f>IF(AND($G27&lt;&gt;"",$G27&gt;0,'Outfall 1 Limits'!$AX$76="C1",DN27&lt;&gt;""),DN27*$G27*8.34,IF(AND(DN27&lt;&gt;"",'Outfall 1 Limits'!$AX$76="L"),DN27,""))</f>
        <v/>
      </c>
      <c r="HA27" s="206" t="str">
        <f>IF(AND($G27&lt;&gt;"",$G27&gt;0,'Outfall 1 Limits'!$AX$80="C1",DO27&lt;&gt;""),DO27*$G27*8.34,IF(AND(DO27&lt;&gt;"",'Outfall 1 Limits'!$AX$80="L"),DO27,""))</f>
        <v/>
      </c>
      <c r="HB27" s="206" t="str">
        <f>IF(AND($G27&lt;&gt;"",$G27&gt;0,'Outfall 1 Limits'!$AX$84="C1",DP27&lt;&gt;""),DP27*$G27*8.34,IF(AND(DP27&lt;&gt;"",'Outfall 1 Limits'!$AX$84="L"),DP27,""))</f>
        <v/>
      </c>
      <c r="HC27" s="206" t="str">
        <f>IF(AND($G27&lt;&gt;"",$G27&gt;0,'Outfall 1 Limits'!$AX$88="C1",DQ27&lt;&gt;""),DQ27*$G27*8.34,IF(AND(DQ27&lt;&gt;"",'Outfall 1 Limits'!$AX$88="L"),DQ27,""))</f>
        <v/>
      </c>
      <c r="HD27" s="206" t="str">
        <f>IF(AND($G27&lt;&gt;"",$G27&gt;0,'Outfall 1 Limits'!$AX$92="C1",DR27&lt;&gt;""),DR27*$G27*8.34,IF(AND(DR27&lt;&gt;"",'Outfall 1 Limits'!$AX$92="L"),DR27,""))</f>
        <v/>
      </c>
      <c r="HE27" s="206" t="str">
        <f>IF(AND($G27&lt;&gt;"",$G27&gt;0,'Outfall 1 Limits'!$AX$96="C1",DS27&lt;&gt;""),DS27*$G27*8.34,IF(AND(DS27&lt;&gt;"",'Outfall 1 Limits'!$AX$96="L"),DS27,""))</f>
        <v/>
      </c>
      <c r="HF27" s="206" t="str">
        <f>IF(AND($G27&lt;&gt;"",$G27&gt;0,'Outfall 1 Limits'!$AX$100="C1",DT27&lt;&gt;""),DT27*$G27*8.34,IF(AND(DT27&lt;&gt;"",'Outfall 1 Limits'!$AX$100="L"),DT27,""))</f>
        <v/>
      </c>
      <c r="HG27" s="206" t="str">
        <f>IF(AND($G27&lt;&gt;"",$G27&gt;0,'Outfall 1 Limits'!$AX$104="C1",DU27&lt;&gt;""),DU27*$G27*8.34,IF(AND(DU27&lt;&gt;"",'Outfall 1 Limits'!$AX$104="L"),DU27,""))</f>
        <v/>
      </c>
      <c r="HH27" s="206" t="str">
        <f>IF(AND($G27&lt;&gt;"",$G27&gt;0,'Outfall 1 Limits'!$AX$108="C1",DV27&lt;&gt;""),DV27*$G27*8.34,IF(AND(DV27&lt;&gt;"",'Outfall 1 Limits'!$AX$108="L"),DV27,""))</f>
        <v/>
      </c>
      <c r="HI27" s="206" t="str">
        <f>IF(AND($G27&lt;&gt;"",$G27&gt;0,'Outfall 1 Limits'!$AX$112="C1",DW27&lt;&gt;""),DW27*$G27*8.34,IF(AND(DW27&lt;&gt;"",'Outfall 1 Limits'!$AX$112="L"),DW27,""))</f>
        <v/>
      </c>
      <c r="HJ27" s="206" t="str">
        <f>IF(AND($G27&lt;&gt;"",$G27&gt;0,'Outfall 1 Limits'!$AX$116="C1",DX27&lt;&gt;""),DX27*$G27*8.34,IF(AND(DX27&lt;&gt;"",'Outfall 1 Limits'!$AX$116="L"),DX27,""))</f>
        <v/>
      </c>
      <c r="HK27" s="206" t="str">
        <f>IF(AND($G27&lt;&gt;"",$G27&gt;0,'Outfall 1 Limits'!$AX$120="C1",DY27&lt;&gt;""),DY27*$G27*8.34,IF(AND(DY27&lt;&gt;"",'Outfall 1 Limits'!$AX$120="L"),DY27,""))</f>
        <v/>
      </c>
      <c r="HL27" s="206" t="str">
        <f>IF(AND($G27&lt;&gt;"",$G27&gt;0,'Outfall 1 Limits'!$AX$124="C1",DZ27&lt;&gt;""),DZ27*$G27*8.34,IF(AND(DZ27&lt;&gt;"",'Outfall 1 Limits'!$AX$124="L"),DZ27,""))</f>
        <v/>
      </c>
      <c r="HM27" s="223" t="str">
        <f>IF(AND($G27&lt;&gt;"",$G27&gt;0,'Outfall 1 Limits'!$AX$128="C1",EA27&lt;&gt;""),EA27*$G27*8.34,IF(AND(EA27&lt;&gt;"",'Outfall 1 Limits'!$AX$128="L"),EA27,""))</f>
        <v/>
      </c>
      <c r="HO27" s="224" t="str">
        <f t="shared" si="60"/>
        <v/>
      </c>
      <c r="HS27" s="202" t="str">
        <f t="shared" si="61"/>
        <v/>
      </c>
      <c r="HT27" s="196" t="str">
        <f t="shared" si="62"/>
        <v/>
      </c>
      <c r="HU27" s="196" t="str">
        <f t="shared" si="63"/>
        <v/>
      </c>
      <c r="HV27" s="196" t="str">
        <f t="shared" si="64"/>
        <v/>
      </c>
      <c r="HW27" s="196" t="str">
        <f t="shared" si="65"/>
        <v/>
      </c>
      <c r="HX27" s="196" t="str">
        <f t="shared" si="66"/>
        <v/>
      </c>
      <c r="HY27" s="196" t="str">
        <f t="shared" si="67"/>
        <v/>
      </c>
      <c r="HZ27" s="196" t="str">
        <f t="shared" si="68"/>
        <v/>
      </c>
      <c r="IA27" s="196" t="str">
        <f t="shared" si="69"/>
        <v/>
      </c>
      <c r="IB27" s="196" t="str">
        <f t="shared" si="70"/>
        <v/>
      </c>
      <c r="IC27" s="196" t="str">
        <f t="shared" si="71"/>
        <v/>
      </c>
      <c r="ID27" s="196" t="str">
        <f t="shared" si="72"/>
        <v/>
      </c>
      <c r="IE27" s="196" t="str">
        <f t="shared" si="73"/>
        <v/>
      </c>
      <c r="IF27" s="196" t="str">
        <f t="shared" si="74"/>
        <v/>
      </c>
      <c r="IG27" s="196" t="str">
        <f t="shared" si="75"/>
        <v/>
      </c>
      <c r="IH27" s="196" t="str">
        <f t="shared" si="76"/>
        <v/>
      </c>
      <c r="II27" s="196" t="str">
        <f t="shared" si="77"/>
        <v/>
      </c>
      <c r="IJ27" s="196" t="str">
        <f t="shared" si="78"/>
        <v/>
      </c>
      <c r="IK27" s="196" t="str">
        <f t="shared" si="79"/>
        <v/>
      </c>
      <c r="IL27" s="196" t="str">
        <f t="shared" si="80"/>
        <v/>
      </c>
      <c r="IM27" s="196" t="str">
        <f t="shared" si="81"/>
        <v/>
      </c>
      <c r="IN27" s="196" t="str">
        <f t="shared" si="82"/>
        <v/>
      </c>
      <c r="IO27" s="196" t="str">
        <f t="shared" si="83"/>
        <v/>
      </c>
      <c r="IP27" s="196" t="str">
        <f t="shared" si="84"/>
        <v/>
      </c>
      <c r="IQ27" s="196" t="str">
        <f t="shared" si="85"/>
        <v/>
      </c>
      <c r="IR27" s="196" t="str">
        <f t="shared" si="86"/>
        <v/>
      </c>
      <c r="IS27" s="196" t="str">
        <f t="shared" si="87"/>
        <v/>
      </c>
      <c r="IT27" s="196" t="str">
        <f t="shared" si="88"/>
        <v/>
      </c>
      <c r="IU27" s="210" t="str">
        <f t="shared" si="89"/>
        <v/>
      </c>
      <c r="IX27" s="202" t="str">
        <f t="shared" si="90"/>
        <v/>
      </c>
      <c r="IY27" s="196" t="str">
        <f t="shared" si="91"/>
        <v/>
      </c>
      <c r="IZ27" s="196" t="str">
        <f t="shared" si="92"/>
        <v/>
      </c>
      <c r="JA27" s="196" t="str">
        <f t="shared" si="93"/>
        <v/>
      </c>
      <c r="JB27" s="196" t="str">
        <f t="shared" si="94"/>
        <v/>
      </c>
      <c r="JC27" s="196" t="str">
        <f t="shared" si="95"/>
        <v/>
      </c>
      <c r="JD27" s="196" t="str">
        <f t="shared" si="96"/>
        <v/>
      </c>
      <c r="JE27" s="196" t="str">
        <f t="shared" si="97"/>
        <v/>
      </c>
      <c r="JF27" s="196" t="str">
        <f t="shared" si="98"/>
        <v/>
      </c>
      <c r="JG27" s="196" t="str">
        <f t="shared" si="99"/>
        <v/>
      </c>
      <c r="JH27" s="196" t="str">
        <f t="shared" si="100"/>
        <v/>
      </c>
      <c r="JI27" s="196" t="str">
        <f t="shared" si="101"/>
        <v/>
      </c>
      <c r="JJ27" s="196" t="str">
        <f t="shared" si="102"/>
        <v/>
      </c>
      <c r="JK27" s="196" t="str">
        <f t="shared" si="103"/>
        <v/>
      </c>
      <c r="JL27" s="196" t="str">
        <f t="shared" si="104"/>
        <v/>
      </c>
      <c r="JM27" s="196" t="str">
        <f t="shared" si="105"/>
        <v/>
      </c>
      <c r="JN27" s="196" t="str">
        <f t="shared" si="106"/>
        <v/>
      </c>
      <c r="JO27" s="196" t="str">
        <f t="shared" si="107"/>
        <v/>
      </c>
      <c r="JP27" s="196" t="str">
        <f t="shared" si="108"/>
        <v/>
      </c>
      <c r="JQ27" s="196" t="str">
        <f t="shared" si="109"/>
        <v/>
      </c>
      <c r="JR27" s="196" t="str">
        <f t="shared" si="110"/>
        <v/>
      </c>
      <c r="JS27" s="196" t="str">
        <f t="shared" si="111"/>
        <v/>
      </c>
      <c r="JT27" s="196" t="str">
        <f t="shared" si="112"/>
        <v/>
      </c>
      <c r="JU27" s="196" t="str">
        <f t="shared" si="113"/>
        <v/>
      </c>
      <c r="JV27" s="196" t="str">
        <f t="shared" si="114"/>
        <v/>
      </c>
      <c r="JW27" s="196" t="str">
        <f t="shared" si="115"/>
        <v/>
      </c>
      <c r="JX27" s="196" t="str">
        <f t="shared" si="116"/>
        <v/>
      </c>
      <c r="JY27" s="196" t="str">
        <f t="shared" si="117"/>
        <v/>
      </c>
      <c r="JZ27" s="210" t="str">
        <f t="shared" si="118"/>
        <v/>
      </c>
      <c r="KA27" s="196"/>
      <c r="KB27" s="176"/>
      <c r="KC27" s="227"/>
      <c r="KD27" s="218" t="str">
        <f t="shared" si="2"/>
        <v/>
      </c>
      <c r="KE27" s="196" t="str">
        <f t="shared" si="3"/>
        <v/>
      </c>
      <c r="KF27" s="196" t="str">
        <f t="shared" si="4"/>
        <v/>
      </c>
      <c r="KG27" s="196" t="str">
        <f t="shared" si="5"/>
        <v/>
      </c>
      <c r="KH27" s="196" t="str">
        <f t="shared" si="6"/>
        <v/>
      </c>
      <c r="KI27" s="196" t="str">
        <f t="shared" si="7"/>
        <v/>
      </c>
      <c r="KJ27" s="196" t="str">
        <f t="shared" si="8"/>
        <v/>
      </c>
      <c r="KK27" s="196" t="str">
        <f t="shared" si="9"/>
        <v/>
      </c>
      <c r="KL27" s="196" t="str">
        <f t="shared" si="10"/>
        <v/>
      </c>
      <c r="KM27" s="196" t="str">
        <f t="shared" si="11"/>
        <v/>
      </c>
      <c r="KN27" s="196" t="str">
        <f t="shared" si="12"/>
        <v/>
      </c>
      <c r="KO27" s="196" t="str">
        <f t="shared" si="13"/>
        <v/>
      </c>
      <c r="KP27" s="196" t="str">
        <f t="shared" si="14"/>
        <v/>
      </c>
      <c r="KQ27" s="196" t="str">
        <f t="shared" si="15"/>
        <v/>
      </c>
      <c r="KR27" s="196" t="str">
        <f t="shared" si="16"/>
        <v/>
      </c>
      <c r="KS27" s="196" t="str">
        <f t="shared" si="17"/>
        <v/>
      </c>
      <c r="KT27" s="196" t="str">
        <f t="shared" si="18"/>
        <v/>
      </c>
      <c r="KU27" s="196" t="str">
        <f t="shared" si="19"/>
        <v/>
      </c>
      <c r="KV27" s="196" t="str">
        <f t="shared" si="20"/>
        <v/>
      </c>
      <c r="KW27" s="196" t="str">
        <f t="shared" si="21"/>
        <v/>
      </c>
      <c r="KX27" s="196" t="str">
        <f t="shared" si="22"/>
        <v/>
      </c>
      <c r="KY27" s="196" t="str">
        <f t="shared" si="23"/>
        <v/>
      </c>
      <c r="KZ27" s="196" t="str">
        <f t="shared" si="24"/>
        <v/>
      </c>
      <c r="LA27" s="196" t="str">
        <f t="shared" si="25"/>
        <v/>
      </c>
      <c r="LB27" s="196" t="str">
        <f t="shared" si="26"/>
        <v/>
      </c>
      <c r="LC27" s="196" t="str">
        <f t="shared" si="27"/>
        <v/>
      </c>
      <c r="LD27" s="196" t="str">
        <f t="shared" si="28"/>
        <v/>
      </c>
      <c r="LE27" s="196" t="str">
        <f t="shared" si="29"/>
        <v/>
      </c>
      <c r="LF27" s="226" t="str">
        <f t="shared" si="30"/>
        <v/>
      </c>
    </row>
    <row r="28" spans="1:318" s="172" customFormat="1" ht="11.45" customHeight="1" thickTop="1" x14ac:dyDescent="0.2">
      <c r="A28" s="35"/>
      <c r="B28" s="54"/>
      <c r="C28" s="438">
        <f t="shared" si="0"/>
        <v>45302</v>
      </c>
      <c r="D28" s="438"/>
      <c r="E28" s="430">
        <f t="shared" si="119"/>
        <v>45302</v>
      </c>
      <c r="F28" s="431"/>
      <c r="G28" s="26"/>
      <c r="H28" s="51"/>
      <c r="I28" s="50"/>
      <c r="J28" s="51"/>
      <c r="K28" s="50"/>
      <c r="L28" s="51"/>
      <c r="M28" s="50"/>
      <c r="N28" s="51"/>
      <c r="O28" s="50"/>
      <c r="P28" s="51"/>
      <c r="Q28" s="50"/>
      <c r="R28" s="51"/>
      <c r="S28" s="50"/>
      <c r="T28" s="51"/>
      <c r="U28" s="50"/>
      <c r="V28" s="51"/>
      <c r="W28" s="50"/>
      <c r="X28" s="276"/>
      <c r="Y28" s="50"/>
      <c r="Z28" s="51"/>
      <c r="AA28" s="50"/>
      <c r="AB28" s="51"/>
      <c r="AC28" s="50"/>
      <c r="AD28" s="51"/>
      <c r="AE28" s="50"/>
      <c r="AF28" s="51"/>
      <c r="AG28" s="50"/>
      <c r="AH28" s="51"/>
      <c r="AI28" s="50"/>
      <c r="AJ28" s="51"/>
      <c r="AK28" s="50"/>
      <c r="AL28" s="51"/>
      <c r="AM28" s="50"/>
      <c r="AN28" s="51"/>
      <c r="AO28" s="50"/>
      <c r="AP28" s="51"/>
      <c r="AQ28" s="50"/>
      <c r="AR28" s="51"/>
      <c r="AS28" s="50"/>
      <c r="AT28" s="51"/>
      <c r="AU28" s="50"/>
      <c r="AV28" s="51"/>
      <c r="AW28" s="50"/>
      <c r="AX28" s="51"/>
      <c r="AY28" s="50"/>
      <c r="AZ28" s="51"/>
      <c r="BA28" s="50"/>
      <c r="BB28" s="51"/>
      <c r="BC28" s="50"/>
      <c r="BD28" s="51"/>
      <c r="BE28" s="50"/>
      <c r="BF28" s="51"/>
      <c r="BG28" s="50"/>
      <c r="BH28" s="51"/>
      <c r="BI28" s="50"/>
      <c r="BJ28" s="51"/>
      <c r="BK28" s="50"/>
      <c r="BL28" s="51"/>
      <c r="BM28" s="109"/>
      <c r="BO28" s="174"/>
      <c r="BP28" s="174">
        <v>2047</v>
      </c>
      <c r="BQ28" s="179" t="s">
        <v>43</v>
      </c>
      <c r="BR28" s="174"/>
      <c r="BS28" s="174" t="s">
        <v>1115</v>
      </c>
      <c r="BU28" s="202" t="str">
        <f t="shared" si="31"/>
        <v/>
      </c>
      <c r="BV28" s="196" t="str">
        <f t="shared" si="32"/>
        <v/>
      </c>
      <c r="BW28" s="196" t="str">
        <f t="shared" si="33"/>
        <v/>
      </c>
      <c r="BX28" s="196" t="str">
        <f t="shared" si="34"/>
        <v/>
      </c>
      <c r="BY28" s="196" t="str">
        <f t="shared" si="35"/>
        <v/>
      </c>
      <c r="BZ28" s="196" t="str">
        <f t="shared" si="36"/>
        <v/>
      </c>
      <c r="CA28" s="196" t="str">
        <f t="shared" si="37"/>
        <v/>
      </c>
      <c r="CB28" s="196" t="str">
        <f t="shared" si="38"/>
        <v/>
      </c>
      <c r="CC28" s="196" t="str">
        <f t="shared" si="39"/>
        <v/>
      </c>
      <c r="CD28" s="196" t="str">
        <f t="shared" si="40"/>
        <v/>
      </c>
      <c r="CE28" s="196" t="str">
        <f t="shared" si="41"/>
        <v/>
      </c>
      <c r="CF28" s="196" t="str">
        <f t="shared" si="42"/>
        <v/>
      </c>
      <c r="CG28" s="196" t="str">
        <f t="shared" si="43"/>
        <v/>
      </c>
      <c r="CH28" s="196" t="str">
        <f t="shared" si="44"/>
        <v/>
      </c>
      <c r="CI28" s="196" t="str">
        <f t="shared" si="45"/>
        <v/>
      </c>
      <c r="CJ28" s="196" t="str">
        <f t="shared" si="46"/>
        <v/>
      </c>
      <c r="CK28" s="196" t="str">
        <f t="shared" si="47"/>
        <v/>
      </c>
      <c r="CL28" s="196" t="str">
        <f t="shared" si="48"/>
        <v/>
      </c>
      <c r="CM28" s="196" t="str">
        <f t="shared" si="120"/>
        <v/>
      </c>
      <c r="CN28" s="196" t="str">
        <f t="shared" si="49"/>
        <v/>
      </c>
      <c r="CO28" s="196" t="str">
        <f t="shared" si="50"/>
        <v/>
      </c>
      <c r="CP28" s="196" t="str">
        <f t="shared" si="51"/>
        <v/>
      </c>
      <c r="CQ28" s="196" t="str">
        <f t="shared" si="52"/>
        <v/>
      </c>
      <c r="CR28" s="196" t="str">
        <f t="shared" si="53"/>
        <v/>
      </c>
      <c r="CS28" s="196" t="str">
        <f t="shared" si="54"/>
        <v/>
      </c>
      <c r="CT28" s="196" t="str">
        <f t="shared" si="55"/>
        <v/>
      </c>
      <c r="CU28" s="196" t="str">
        <f t="shared" si="56"/>
        <v/>
      </c>
      <c r="CV28" s="196" t="str">
        <f t="shared" si="57"/>
        <v/>
      </c>
      <c r="CW28" s="210" t="str">
        <f t="shared" si="58"/>
        <v/>
      </c>
      <c r="CY28" s="212" t="str">
        <f>IF(I28&lt;&gt;"",IF(H28="&lt;",IF(AND('Outfall 1 Limits'!$AM$16="Y",$BU$54&lt;&gt;"Y",I28&lt;='Outfall 1 Limits'!$AL$16),0,(1*I28)),I28),"")</f>
        <v/>
      </c>
      <c r="CZ28" s="206" t="str">
        <f>IF(K28&lt;&gt;"",IF(J28="&lt;",IF(AND('Outfall 1 Limits'!$AM$20="Y",$BV$54&lt;&gt;"Y",K28&lt;='Outfall 1 Limits'!$AL$20),0,(1*K28)),K28),"")</f>
        <v/>
      </c>
      <c r="DA28" s="206" t="str">
        <f>IF(M28&lt;&gt;"",IF(L28="&lt;",IF(AND('Outfall 1 Limits'!$AM$24="Y",$BW$54&lt;&gt;"Y",M28&lt;='Outfall 1 Limits'!$AL$24),0,(1*M28)),M28),"")</f>
        <v/>
      </c>
      <c r="DB28" s="206" t="str">
        <f>IF(O28&lt;&gt;"",IF(N28="&lt;",IF(AND('Outfall 1 Limits'!$AM$28="Y",$BX$54&lt;&gt;"Y",O28&lt;='Outfall 1 Limits'!$AL$28),0,(1*O28)),O28),"")</f>
        <v/>
      </c>
      <c r="DC28" s="206" t="str">
        <f>IF(Q28&lt;&gt;"",IF(P28="&lt;",IF(AND('Outfall 1 Limits'!$AM$32="Y",$BY$54&lt;&gt;"Y",Q28&lt;='Outfall 1 Limits'!$AL$32),0,(1*Q28)),Q28),"")</f>
        <v/>
      </c>
      <c r="DD28" s="206" t="str">
        <f>IF(S28&lt;&gt;"",IF(R28="&lt;",IF(AND('Outfall 1 Limits'!$AM$36="Y",$BZ$54&lt;&gt;"Y",S28&lt;='Outfall 1 Limits'!$AL$36),0,(1*S28)),S28),"")</f>
        <v/>
      </c>
      <c r="DE28" s="206" t="str">
        <f>IF(U28&lt;&gt;"",IF(T28="&lt;",IF(AND('Outfall 1 Limits'!$AM$40="Y",$CA$54&lt;&gt;"Y",U28&lt;='Outfall 1 Limits'!$AL$40),0,(1*U28)),U28),"")</f>
        <v/>
      </c>
      <c r="DF28" s="206" t="str">
        <f>IF(W28&lt;&gt;"",IF(V28="&lt;",IF(AND('Outfall 1 Limits'!$AM$44="Y",$CB$54&lt;&gt;"Y",W28&lt;='Outfall 1 Limits'!$AL$44),0,(1*W28)),W28),"")</f>
        <v/>
      </c>
      <c r="DG28" s="206" t="str">
        <f>IF(Y28&lt;&gt;"",IF(X28="&lt;",IF(AND('Outfall 1 Limits'!$AM$48="Y",$CC$54&lt;&gt;"Y",Y28&lt;='Outfall 1 Limits'!$AL$48),0,(1*Y28)),Y28),"")</f>
        <v/>
      </c>
      <c r="DH28" s="206" t="str">
        <f>IF(AA28&lt;&gt;"",IF(Z28="&lt;",IF(AND('Outfall 1 Limits'!$AM$52="Y",$CD$54&lt;&gt;"Y",AA28&lt;='Outfall 1 Limits'!$AL$52),0,(1*AA28)),AA28),"")</f>
        <v/>
      </c>
      <c r="DI28" s="206" t="str">
        <f>IF(AC28&lt;&gt;"",IF(AB28="&lt;",IF(AND('Outfall 1 Limits'!$AM$56="Y",$CE$54&lt;&gt;"Y",AC28&lt;='Outfall 1 Limits'!$AL$56),0,(1*AC28)),AC28),"")</f>
        <v/>
      </c>
      <c r="DJ28" s="206" t="str">
        <f>IF(AE28&lt;&gt;"",IF(AD28="&lt;",IF(AND('Outfall 1 Limits'!$AM$60="Y",$CF$54&lt;&gt;"Y",AE28&lt;='Outfall 1 Limits'!$AL$60),0,(1*AE28)),AE28),"")</f>
        <v/>
      </c>
      <c r="DK28" s="206" t="str">
        <f>IF(AG28&lt;&gt;"",IF(AF28="&lt;",IF(AND('Outfall 1 Limits'!$AM$64="Y",$CG$54&lt;&gt;"Y",AG28&lt;='Outfall 1 Limits'!$AL$64),0,(1*AG28)),AG28),"")</f>
        <v/>
      </c>
      <c r="DL28" s="206" t="str">
        <f>IF(AI28&lt;&gt;"",IF(AH28="&lt;",IF(AND('Outfall 1 Limits'!$AM$68="Y",$CH$54&lt;&gt;"Y",AI28&lt;='Outfall 1 Limits'!$AL$68),0,(1*AI28)),AI28),"")</f>
        <v/>
      </c>
      <c r="DM28" s="206" t="str">
        <f>IF(AK28&lt;&gt;"",IF(AJ28="&lt;",IF(AND('Outfall 1 Limits'!$AM$72="Y",$CI$54&lt;&gt;"Y",AK28&lt;='Outfall 1 Limits'!$AL$72),0,(1*AK28)),AK28),"")</f>
        <v/>
      </c>
      <c r="DN28" s="206" t="str">
        <f>IF(AM28&lt;&gt;"",IF(AL28="&lt;",IF(AND('Outfall 1 Limits'!$AM$76="Y",$CJ$54&lt;&gt;"Y",AM28&lt;='Outfall 1 Limits'!$AL$76),0,(1*AM28)),AM28),"")</f>
        <v/>
      </c>
      <c r="DO28" s="206" t="str">
        <f>IF(AO28&lt;&gt;"",IF(AN28="&lt;",IF(AND('Outfall 1 Limits'!$AM$80="Y",$CK$54&lt;&gt;"Y",AO28&lt;='Outfall 1 Limits'!$AL$80),0,(1*AO28)),AO28),"")</f>
        <v/>
      </c>
      <c r="DP28" s="206" t="str">
        <f>IF(AQ28&lt;&gt;"",IF(AP28="&lt;",IF(AND('Outfall 1 Limits'!$AM$84="Y",$CL$54&lt;&gt;"Y",AQ28&lt;='Outfall 1 Limits'!$AL$84),0,(1*AQ28)),AQ28),"")</f>
        <v/>
      </c>
      <c r="DQ28" s="206" t="str">
        <f>IF(AS28&lt;&gt;"",IF(AR28="&lt;",IF(AND('Outfall 1 Limits'!$AM$88="Y",$CM$54&lt;&gt;"Y",AS28&lt;='Outfall 1 Limits'!$AL$88),0,(1*AS28)),AS28),"")</f>
        <v/>
      </c>
      <c r="DR28" s="206" t="str">
        <f>IF(AU28&lt;&gt;"",IF(AT28="&lt;",IF(AND('Outfall 1 Limits'!$AM$92="Y",$CN$54&lt;&gt;"Y",AU28&lt;='Outfall 1 Limits'!$AL$92),0,(1*AU28)),AU28),"")</f>
        <v/>
      </c>
      <c r="DS28" s="206" t="str">
        <f>IF(AW28&lt;&gt;"",IF(AV28="&lt;",IF(AND('Outfall 1 Limits'!$AM$96="Y",$CO$54&lt;&gt;"Y",AW28&lt;='Outfall 1 Limits'!$AL$96),0,(1*AW28)),AW28),"")</f>
        <v/>
      </c>
      <c r="DT28" s="206" t="str">
        <f>IF(AY28&lt;&gt;"",IF(AX28="&lt;",IF(AND('Outfall 1 Limits'!$AM$100="Y",$CP$54&lt;&gt;"Y",AY28&lt;='Outfall 1 Limits'!$AL$100),0,(1*AY28)),AY28),"")</f>
        <v/>
      </c>
      <c r="DU28" s="206" t="str">
        <f>IF(BA28&lt;&gt;"",IF(AZ28="&lt;",IF(AND('Outfall 1 Limits'!$AM$104="Y",$CQ$54&lt;&gt;"Y",BA28&lt;='Outfall 1 Limits'!$AL$104),0,(1*BA28)),BA28),"")</f>
        <v/>
      </c>
      <c r="DV28" s="206" t="str">
        <f>IF(BC28&lt;&gt;"",IF(BB28="&lt;",IF(AND('Outfall 1 Limits'!$AM$108="Y",$CR$54&lt;&gt;"Y",BC28&lt;='Outfall 1 Limits'!$AL$108),0,(1*BC28)),BC28),"")</f>
        <v/>
      </c>
      <c r="DW28" s="206" t="str">
        <f>IF(BE28&lt;&gt;"",IF(BD28="&lt;",IF(AND('Outfall 1 Limits'!$AM$112="Y",$CS$54&lt;&gt;"Y",BE28&lt;='Outfall 1 Limits'!$AL$112),0,(1*BE28)),BE28),"")</f>
        <v/>
      </c>
      <c r="DX28" s="206" t="str">
        <f>IF(BG28&lt;&gt;"",IF(BF28="&lt;",IF(AND('Outfall 1 Limits'!$AM$116="Y",$CT$54&lt;&gt;"Y",BG28&lt;='Outfall 1 Limits'!$AL$116),0,(1*BG28)),BG28),"")</f>
        <v/>
      </c>
      <c r="DY28" s="206" t="str">
        <f>IF(BI28&lt;&gt;"",IF(BH28="&lt;",IF(AND('Outfall 1 Limits'!$AM$120="Y",$CU$54&lt;&gt;"Y",BI28&lt;='Outfall 1 Limits'!$AL$120),0,(1*BI28)),BI28),"")</f>
        <v/>
      </c>
      <c r="DZ28" s="206" t="str">
        <f>IF(BK28&lt;&gt;"",IF(BJ28="&lt;",IF(AND('Outfall 1 Limits'!$AM$124="Y",$CV$54&lt;&gt;"Y",BK28&lt;='Outfall 1 Limits'!$AL$124),0,(1*BK28)),BK28),"")</f>
        <v/>
      </c>
      <c r="EA28" s="223" t="str">
        <f>IF(BM28&lt;&gt;"",IF(BL28="&lt;",IF(AND('Outfall 1 Limits'!$AM$128="Y",$CW$54&lt;&gt;"Y",BM28&lt;='Outfall 1 Limits'!$AL$128),0,(1*BM28)),BM28),"")</f>
        <v/>
      </c>
      <c r="EB28" s="176"/>
      <c r="EC28" s="177"/>
      <c r="EE28" s="177"/>
      <c r="EF28" s="177"/>
      <c r="EG28" s="177"/>
      <c r="EH28" s="177"/>
      <c r="EI28" s="177"/>
      <c r="EJ28" s="177"/>
      <c r="EK28" s="177"/>
      <c r="EL28" s="177"/>
      <c r="EM28" s="177"/>
      <c r="EN28" s="177"/>
      <c r="EO28" s="177"/>
      <c r="EP28" s="177"/>
      <c r="EQ28" s="177"/>
      <c r="ER28" s="177"/>
      <c r="ES28" s="177"/>
      <c r="ET28" s="177"/>
      <c r="EU28" s="177"/>
      <c r="EV28" s="177"/>
      <c r="EW28" s="177"/>
      <c r="EX28" s="177"/>
      <c r="EY28" s="177"/>
      <c r="EZ28" s="177"/>
      <c r="FG28" s="212" t="str">
        <f>IF(AND($G28&lt;&gt;"",$G28&gt;0,'Outfall 1 Limits'!$AX$16="C1",I28&lt;&gt;""),I28*$G28*8.34,IF(AND($I28&lt;&gt;"",'Outfall 1 Limits'!$AX$16="L"),I28,""))</f>
        <v/>
      </c>
      <c r="FH28" s="206" t="str">
        <f>IF(AND($G28&lt;&gt;"",$G28&gt;0,'Outfall 1 Limits'!$AX$20="C1",$K28&lt;&gt;""),$K28*$G28*8.34,IF(AND($K28&lt;&gt;"",'Outfall 1 Limits'!$AX$20="L"),$K28,""))</f>
        <v/>
      </c>
      <c r="FI28" s="206" t="str">
        <f>IF(AND($G28&lt;&gt;"",$G28&gt;0,'Outfall 1 Limits'!$AX$24="C1",$M28&lt;&gt;""),$M28*$G28*8.34,IF(AND($M28&lt;&gt;"",'Outfall 1 Limits'!$AX$24="L"),$M28,""))</f>
        <v/>
      </c>
      <c r="FJ28" s="206" t="str">
        <f>IF(AND($G28&lt;&gt;"",$G28&gt;0,'Outfall 1 Limits'!$AX$28="C1",$O28&lt;&gt;""),$O28*$G28*8.34,IF(AND($O28&lt;&gt;"",'Outfall 1 Limits'!$AX$28="L"),$O28,""))</f>
        <v/>
      </c>
      <c r="FK28" s="206" t="str">
        <f>IF(AND($G28&lt;&gt;"",$G28&gt;0,'Outfall 1 Limits'!$AX$32="C1",$Q28&lt;&gt;""),$Q28*$G28*8.34,IF(AND($Q28&lt;&gt;"",'Outfall 1 Limits'!$AX$32="L"),$Q28,""))</f>
        <v/>
      </c>
      <c r="FL28" s="206" t="str">
        <f>IF(AND($G28&lt;&gt;"",$G28&gt;0,'Outfall 1 Limits'!$AX$36="C1",$S28&lt;&gt;""),$S28*$G28*8.34,IF(AND($S28&lt;&gt;"",'Outfall 1 Limits'!$AX$36="L"),$S28,""))</f>
        <v/>
      </c>
      <c r="FM28" s="206" t="str">
        <f>IF(AND($G28&lt;&gt;"",$G28&gt;0,'Outfall 1 Limits'!$AX$40="C1",$U28&lt;&gt;""),$U28*$G28*8.34,IF(AND($U28&lt;&gt;"",'Outfall 1 Limits'!$AX$40="L"),$U28,""))</f>
        <v/>
      </c>
      <c r="FN28" s="206" t="str">
        <f>IF(AND($G28&lt;&gt;"",$G28&gt;0,'Outfall 1 Limits'!$AX$44="C1",$W28&lt;&gt;""),$W28*$G28*8.34,IF(AND($W28&lt;&gt;"",'Outfall 1 Limits'!$AX$44="L"),$W28,""))</f>
        <v/>
      </c>
      <c r="FO28" s="206" t="str">
        <f>IF(AND($G28&lt;&gt;"",$G28&gt;0,'Outfall 1 Limits'!$AX$48="C1",$Y28&lt;&gt;""),$Y28*$G28*8.34,IF(AND($Y28&lt;&gt;"",'Outfall 1 Limits'!$AX$48="L"),$Y28,""))</f>
        <v/>
      </c>
      <c r="FP28" s="206" t="str">
        <f>IF(AND($G28&lt;&gt;"",$G28&gt;0,'Outfall 1 Limits'!$AX$52="C1",$AA28&lt;&gt;""),$AA28*$G28*8.34,IF(AND($AA28&lt;&gt;"",'Outfall 1 Limits'!$AX$52="L"),$AA28,""))</f>
        <v/>
      </c>
      <c r="FQ28" s="206" t="str">
        <f>IF(AND($G28&lt;&gt;"",$G28&gt;0,'Outfall 1 Limits'!$AX$56="C1",$AC28&lt;&gt;""),$AC28*$G28*8.34,IF(AND($AC28&lt;&gt;"",'Outfall 1 Limits'!$AX$56="L"),$AC28,""))</f>
        <v/>
      </c>
      <c r="FR28" s="206" t="str">
        <f>IF(AND($G28&lt;&gt;"",$G28&gt;0,'Outfall 1 Limits'!$AX$60="C1",$AE28&lt;&gt;""),$AE28*$G28*8.34,IF(AND($AE28&lt;&gt;"",'Outfall 1 Limits'!$AX$60="L"),$AE28,""))</f>
        <v/>
      </c>
      <c r="FS28" s="206" t="str">
        <f>IF(AND($G28&lt;&gt;"",$G28&gt;0,'Outfall 1 Limits'!$AX$64="C1",$AG28&lt;&gt;""),$AG28*$G28*8.34,IF(AND($AG28&lt;&gt;"",'Outfall 1 Limits'!$AX$64="L"),$AG28,""))</f>
        <v/>
      </c>
      <c r="FT28" s="206" t="str">
        <f>IF(AND($G28&lt;&gt;"",$G28&gt;0,'Outfall 1 Limits'!$AX$68="C1",$AI28&lt;&gt;""),$AI28*$G28*8.34,IF(AND($AI28&lt;&gt;"",'Outfall 1 Limits'!$AX$68="L"),$AI28,""))</f>
        <v/>
      </c>
      <c r="FU28" s="206" t="str">
        <f>IF(AND($G28&lt;&gt;"",$G28&gt;0,'Outfall 1 Limits'!$AX$72="C1",$AK28&lt;&gt;""),$AK28*$G28*8.34,IF(AND($AK28&lt;&gt;"",'Outfall 1 Limits'!$AX$72="L"),$AK28,""))</f>
        <v/>
      </c>
      <c r="FV28" s="206" t="str">
        <f>IF(AND($G28&lt;&gt;"",$G28&gt;0,'Outfall 1 Limits'!$AX$76="C1",$AM28&lt;&gt;""),$AM28*$G28*8.34,IF(AND($AM28&lt;&gt;"",'Outfall 1 Limits'!$AX$76="L"),$AM28,""))</f>
        <v/>
      </c>
      <c r="FW28" s="206" t="str">
        <f>IF(AND($G28&lt;&gt;"",$G28&gt;0,'Outfall 1 Limits'!$AX$80="C1",$AO28&lt;&gt;""),$AO28*$G28*8.34,IF(AND($AO28&lt;&gt;"",'Outfall 1 Limits'!$AX$80="L"),$AO28,""))</f>
        <v/>
      </c>
      <c r="FX28" s="206" t="str">
        <f>IF(AND($G28&lt;&gt;"",$G28&gt;0,'Outfall 1 Limits'!$AX$84="C1",$AQ28&lt;&gt;""),$AQ28*$G28*8.34,IF(AND($AQ28&lt;&gt;"",'Outfall 1 Limits'!$AX$84="L"),$AQ28,""))</f>
        <v/>
      </c>
      <c r="FY28" s="206" t="str">
        <f>IF(AND($G28&lt;&gt;"",$G28&gt;0,'Outfall 1 Limits'!$AX$88="C1",$AS28&lt;&gt;""),$AS28*$G28*8.34,IF(AND($AS28&lt;&gt;"",'Outfall 1 Limits'!$AX$88="L"),$AS28,""))</f>
        <v/>
      </c>
      <c r="FZ28" s="206" t="str">
        <f>IF(AND($G28&lt;&gt;"",$G28&gt;0,'Outfall 1 Limits'!$AX$92="C1",$AU28&lt;&gt;""),$AU28*$G28*8.34,IF(AND($AU28&lt;&gt;"",'Outfall 1 Limits'!$AX$92="L"),$AU28,""))</f>
        <v/>
      </c>
      <c r="GA28" s="206" t="str">
        <f>IF(AND($G28&lt;&gt;"",$G28&gt;0,'Outfall 1 Limits'!$AX$96="C1",$AW28&lt;&gt;""),$AW28*$G28*8.34,IF(AND($AW28&lt;&gt;"",'Outfall 1 Limits'!$AX$96="L"),$AW28,""))</f>
        <v/>
      </c>
      <c r="GB28" s="206" t="str">
        <f>IF(AND($G28&lt;&gt;"",$G28&gt;0,'Outfall 1 Limits'!$AX$100="C1",$AY28&lt;&gt;""),$AY28*$G28*8.34,IF(AND($AY28&lt;&gt;"",'Outfall 1 Limits'!$AX$100="L"),$AY28,""))</f>
        <v/>
      </c>
      <c r="GC28" s="206" t="str">
        <f>IF(AND($G28&lt;&gt;"",$G28&gt;0,'Outfall 1 Limits'!$AX$104="C1",$BA28&lt;&gt;""),$BA28*$G28*8.34,IF(AND($BA28&lt;&gt;"",'Outfall 1 Limits'!$AX$104="L"),$BA28,""))</f>
        <v/>
      </c>
      <c r="GD28" s="206" t="str">
        <f>IF(AND($G28&lt;&gt;"",$G28&gt;0,'Outfall 1 Limits'!$AX$108="C1",$BC28&lt;&gt;""),$BC28*$G28*8.34,IF(AND($BC28&lt;&gt;"",'Outfall 1 Limits'!$AX$108="L"),$BC28,""))</f>
        <v/>
      </c>
      <c r="GE28" s="206" t="str">
        <f>IF(AND($G28&lt;&gt;"",$G28&gt;0,'Outfall 1 Limits'!$AX$112="C1",$BE28&lt;&gt;""),$BE28*$G28*8.34,IF(AND($BE28&lt;&gt;"",'Outfall 1 Limits'!$AX$112="L"),$BE28,""))</f>
        <v/>
      </c>
      <c r="GF28" s="206" t="str">
        <f>IF(AND($G28&lt;&gt;"",$G28&gt;0,'Outfall 1 Limits'!$AX$116="C1",$BG28&lt;&gt;""),$BG28*$G28*8.34,IF(AND($BG28&lt;&gt;"",'Outfall 1 Limits'!$AX$116="L"),$BG28,""))</f>
        <v/>
      </c>
      <c r="GG28" s="206" t="str">
        <f>IF(AND($G28&lt;&gt;"",$G28&gt;0,'Outfall 1 Limits'!$AX$120="C1",$BI28&lt;&gt;""),$BI28*$G28*8.34,IF(AND($BI28&lt;&gt;"",'Outfall 1 Limits'!$AX$120="L"),$BI28,""))</f>
        <v/>
      </c>
      <c r="GH28" s="206" t="str">
        <f>IF(AND($G28&lt;&gt;"",$G28&gt;0,'Outfall 1 Limits'!$AX$124="C1",$BK28&lt;&gt;""),$BK28*$G28*8.34,IF(AND($BK28&lt;&gt;"",'Outfall 1 Limits'!$AX$124="L"),$BK28,""))</f>
        <v/>
      </c>
      <c r="GI28" s="223" t="str">
        <f>IF(AND($G28&lt;&gt;"",$G28&gt;0,'Outfall 1 Limits'!$AX$128="C1",$BM28&lt;&gt;""),$BM28*$G28*8.34,IF(AND($BM28&lt;&gt;"",'Outfall 1 Limits'!$AX$128="L"),$BM28,""))</f>
        <v/>
      </c>
      <c r="GJ28" s="177" t="str">
        <f t="shared" si="59"/>
        <v/>
      </c>
      <c r="GK28" s="212" t="str">
        <f>IF(AND($G28&lt;&gt;"",$G28&gt;0,'Outfall 1 Limits'!$AX$16="C1",CY28&lt;&gt;""),CY28*$G28*8.34,IF(AND(CY28&lt;&gt;"",'Outfall 1 Limits'!$AX$16="L"),CY28,""))</f>
        <v/>
      </c>
      <c r="GL28" s="206" t="str">
        <f>IF(AND($G28&lt;&gt;"",$G28&gt;0,'Outfall 1 Limits'!$AX$20="C1",CZ28&lt;&gt;""),CZ28*$G28*8.34,IF(AND(CZ28&lt;&gt;"",'Outfall 1 Limits'!$AX$20="L"),CZ28,""))</f>
        <v/>
      </c>
      <c r="GM28" s="206" t="str">
        <f>IF(AND($G28&lt;&gt;"",$G28&gt;0,'Outfall 1 Limits'!$AX$24="C1",DA28&lt;&gt;""),DA28*$G28*8.34,IF(AND(DA28&lt;&gt;"",'Outfall 1 Limits'!$AX$24="L"),DA28,""))</f>
        <v/>
      </c>
      <c r="GN28" s="206" t="str">
        <f>IF(AND($G28&lt;&gt;"",$G28&gt;0,'Outfall 1 Limits'!$AX$28="C1",DB28&lt;&gt;""),DB28*$G28*8.34,IF(AND(DB28&lt;&gt;"",'Outfall 1 Limits'!$AX$28="L"),DB28,""))</f>
        <v/>
      </c>
      <c r="GO28" s="206" t="str">
        <f>IF(AND($G28&lt;&gt;"",$G28&gt;0,'Outfall 1 Limits'!$AX$32="C1",DC28&lt;&gt;""),DC28*$G28*8.34,IF(AND(DC28&lt;&gt;"",'Outfall 1 Limits'!$AX$32="L"),DC28,""))</f>
        <v/>
      </c>
      <c r="GP28" s="206" t="str">
        <f>IF(AND($G28&lt;&gt;"",$G28&gt;0,'Outfall 1 Limits'!$AX$36="C1",DD28&lt;&gt;""),DD28*$G28*8.34,IF(AND(DD28&lt;&gt;"",'Outfall 1 Limits'!$AX$36="L"),DD28,""))</f>
        <v/>
      </c>
      <c r="GQ28" s="206" t="str">
        <f>IF(AND($G28&lt;&gt;"",$G28&gt;0,'Outfall 1 Limits'!$AX$40="C1",DE28&lt;&gt;""),DE28*$G28*8.34,IF(AND(DE28&lt;&gt;"",'Outfall 1 Limits'!$AX$40="L"),DE28,""))</f>
        <v/>
      </c>
      <c r="GR28" s="206" t="str">
        <f>IF(AND($G28&lt;&gt;"",$G28&gt;0,'Outfall 1 Limits'!$AX$44="C1",DF28&lt;&gt;""),DF28*$G28*8.34,IF(AND(DF28&lt;&gt;"",'Outfall 1 Limits'!$AX$44="L"),DF28,""))</f>
        <v/>
      </c>
      <c r="GS28" s="206" t="str">
        <f>IF(AND($G28&lt;&gt;"",$G28&gt;0,'Outfall 1 Limits'!$AX$48="C1",DG28&lt;&gt;""),DG28*$G28*8.34,IF(AND(DG28&lt;&gt;"",'Outfall 1 Limits'!$AX$48="L"),DG28,""))</f>
        <v/>
      </c>
      <c r="GT28" s="206" t="str">
        <f>IF(AND($G28&lt;&gt;"",$G28&gt;0,'Outfall 1 Limits'!$AX$52="C1",DH28&lt;&gt;""),DH28*$G28*8.34,IF(AND(DH28&lt;&gt;"",'Outfall 1 Limits'!$AX$52="L"),DH28,""))</f>
        <v/>
      </c>
      <c r="GU28" s="206" t="str">
        <f>IF(AND($G28&lt;&gt;"",$G28&gt;0,'Outfall 1 Limits'!$AX$56="C1",DI28&lt;&gt;""),DI28*$G28*8.34,IF(AND(DI28&lt;&gt;"",'Outfall 1 Limits'!$AX$56="L"),DI28,""))</f>
        <v/>
      </c>
      <c r="GV28" s="206" t="str">
        <f>IF(AND($G28&lt;&gt;"",$G28&gt;0,'Outfall 1 Limits'!$AX$60="C1",DJ28&lt;&gt;""),DJ28*$G28*8.34,IF(AND(DJ28&lt;&gt;"",'Outfall 1 Limits'!$AX$60="L"),DJ28,""))</f>
        <v/>
      </c>
      <c r="GW28" s="206" t="str">
        <f>IF(AND($G28&lt;&gt;"",$G28&gt;0,'Outfall 1 Limits'!$AX$64="C1",DK28&lt;&gt;""),DK28*$G28*8.34,IF(AND(DK28&lt;&gt;"",'Outfall 1 Limits'!$AX$64="L"),DK28,""))</f>
        <v/>
      </c>
      <c r="GX28" s="206" t="str">
        <f>IF(AND($G28&lt;&gt;"",$G28&gt;0,'Outfall 1 Limits'!$AX$68="C1",DL28&lt;&gt;""),DL28*$G28*8.34,IF(AND(DL28&lt;&gt;"",'Outfall 1 Limits'!$AX$68="L"),DL28,""))</f>
        <v/>
      </c>
      <c r="GY28" s="206" t="str">
        <f>IF(AND($G28&lt;&gt;"",$G28&gt;0,'Outfall 1 Limits'!$AX$72="C1",DM28&lt;&gt;""),DM28*$G28*8.34,IF(AND(DM28&lt;&gt;"",'Outfall 1 Limits'!$AX$72="L"),DM28,""))</f>
        <v/>
      </c>
      <c r="GZ28" s="206" t="str">
        <f>IF(AND($G28&lt;&gt;"",$G28&gt;0,'Outfall 1 Limits'!$AX$76="C1",DN28&lt;&gt;""),DN28*$G28*8.34,IF(AND(DN28&lt;&gt;"",'Outfall 1 Limits'!$AX$76="L"),DN28,""))</f>
        <v/>
      </c>
      <c r="HA28" s="206" t="str">
        <f>IF(AND($G28&lt;&gt;"",$G28&gt;0,'Outfall 1 Limits'!$AX$80="C1",DO28&lt;&gt;""),DO28*$G28*8.34,IF(AND(DO28&lt;&gt;"",'Outfall 1 Limits'!$AX$80="L"),DO28,""))</f>
        <v/>
      </c>
      <c r="HB28" s="206" t="str">
        <f>IF(AND($G28&lt;&gt;"",$G28&gt;0,'Outfall 1 Limits'!$AX$84="C1",DP28&lt;&gt;""),DP28*$G28*8.34,IF(AND(DP28&lt;&gt;"",'Outfall 1 Limits'!$AX$84="L"),DP28,""))</f>
        <v/>
      </c>
      <c r="HC28" s="206" t="str">
        <f>IF(AND($G28&lt;&gt;"",$G28&gt;0,'Outfall 1 Limits'!$AX$88="C1",DQ28&lt;&gt;""),DQ28*$G28*8.34,IF(AND(DQ28&lt;&gt;"",'Outfall 1 Limits'!$AX$88="L"),DQ28,""))</f>
        <v/>
      </c>
      <c r="HD28" s="206" t="str">
        <f>IF(AND($G28&lt;&gt;"",$G28&gt;0,'Outfall 1 Limits'!$AX$92="C1",DR28&lt;&gt;""),DR28*$G28*8.34,IF(AND(DR28&lt;&gt;"",'Outfall 1 Limits'!$AX$92="L"),DR28,""))</f>
        <v/>
      </c>
      <c r="HE28" s="206" t="str">
        <f>IF(AND($G28&lt;&gt;"",$G28&gt;0,'Outfall 1 Limits'!$AX$96="C1",DS28&lt;&gt;""),DS28*$G28*8.34,IF(AND(DS28&lt;&gt;"",'Outfall 1 Limits'!$AX$96="L"),DS28,""))</f>
        <v/>
      </c>
      <c r="HF28" s="206" t="str">
        <f>IF(AND($G28&lt;&gt;"",$G28&gt;0,'Outfall 1 Limits'!$AX$100="C1",DT28&lt;&gt;""),DT28*$G28*8.34,IF(AND(DT28&lt;&gt;"",'Outfall 1 Limits'!$AX$100="L"),DT28,""))</f>
        <v/>
      </c>
      <c r="HG28" s="206" t="str">
        <f>IF(AND($G28&lt;&gt;"",$G28&gt;0,'Outfall 1 Limits'!$AX$104="C1",DU28&lt;&gt;""),DU28*$G28*8.34,IF(AND(DU28&lt;&gt;"",'Outfall 1 Limits'!$AX$104="L"),DU28,""))</f>
        <v/>
      </c>
      <c r="HH28" s="206" t="str">
        <f>IF(AND($G28&lt;&gt;"",$G28&gt;0,'Outfall 1 Limits'!$AX$108="C1",DV28&lt;&gt;""),DV28*$G28*8.34,IF(AND(DV28&lt;&gt;"",'Outfall 1 Limits'!$AX$108="L"),DV28,""))</f>
        <v/>
      </c>
      <c r="HI28" s="206" t="str">
        <f>IF(AND($G28&lt;&gt;"",$G28&gt;0,'Outfall 1 Limits'!$AX$112="C1",DW28&lt;&gt;""),DW28*$G28*8.34,IF(AND(DW28&lt;&gt;"",'Outfall 1 Limits'!$AX$112="L"),DW28,""))</f>
        <v/>
      </c>
      <c r="HJ28" s="206" t="str">
        <f>IF(AND($G28&lt;&gt;"",$G28&gt;0,'Outfall 1 Limits'!$AX$116="C1",DX28&lt;&gt;""),DX28*$G28*8.34,IF(AND(DX28&lt;&gt;"",'Outfall 1 Limits'!$AX$116="L"),DX28,""))</f>
        <v/>
      </c>
      <c r="HK28" s="206" t="str">
        <f>IF(AND($G28&lt;&gt;"",$G28&gt;0,'Outfall 1 Limits'!$AX$120="C1",DY28&lt;&gt;""),DY28*$G28*8.34,IF(AND(DY28&lt;&gt;"",'Outfall 1 Limits'!$AX$120="L"),DY28,""))</f>
        <v/>
      </c>
      <c r="HL28" s="206" t="str">
        <f>IF(AND($G28&lt;&gt;"",$G28&gt;0,'Outfall 1 Limits'!$AX$124="C1",DZ28&lt;&gt;""),DZ28*$G28*8.34,IF(AND(DZ28&lt;&gt;"",'Outfall 1 Limits'!$AX$124="L"),DZ28,""))</f>
        <v/>
      </c>
      <c r="HM28" s="223" t="str">
        <f>IF(AND($G28&lt;&gt;"",$G28&gt;0,'Outfall 1 Limits'!$AX$128="C1",EA28&lt;&gt;""),EA28*$G28*8.34,IF(AND(EA28&lt;&gt;"",'Outfall 1 Limits'!$AX$128="L"),EA28,""))</f>
        <v/>
      </c>
      <c r="HO28" s="224" t="str">
        <f t="shared" si="60"/>
        <v/>
      </c>
      <c r="HS28" s="202" t="str">
        <f t="shared" si="61"/>
        <v/>
      </c>
      <c r="HT28" s="196" t="str">
        <f t="shared" si="62"/>
        <v/>
      </c>
      <c r="HU28" s="196" t="str">
        <f t="shared" si="63"/>
        <v/>
      </c>
      <c r="HV28" s="196" t="str">
        <f t="shared" si="64"/>
        <v/>
      </c>
      <c r="HW28" s="196" t="str">
        <f t="shared" si="65"/>
        <v/>
      </c>
      <c r="HX28" s="196" t="str">
        <f t="shared" si="66"/>
        <v/>
      </c>
      <c r="HY28" s="196" t="str">
        <f t="shared" si="67"/>
        <v/>
      </c>
      <c r="HZ28" s="196" t="str">
        <f t="shared" si="68"/>
        <v/>
      </c>
      <c r="IA28" s="196" t="str">
        <f t="shared" si="69"/>
        <v/>
      </c>
      <c r="IB28" s="196" t="str">
        <f t="shared" si="70"/>
        <v/>
      </c>
      <c r="IC28" s="196" t="str">
        <f t="shared" si="71"/>
        <v/>
      </c>
      <c r="ID28" s="196" t="str">
        <f t="shared" si="72"/>
        <v/>
      </c>
      <c r="IE28" s="196" t="str">
        <f t="shared" si="73"/>
        <v/>
      </c>
      <c r="IF28" s="196" t="str">
        <f t="shared" si="74"/>
        <v/>
      </c>
      <c r="IG28" s="196" t="str">
        <f t="shared" si="75"/>
        <v/>
      </c>
      <c r="IH28" s="196" t="str">
        <f t="shared" si="76"/>
        <v/>
      </c>
      <c r="II28" s="196" t="str">
        <f t="shared" si="77"/>
        <v/>
      </c>
      <c r="IJ28" s="196" t="str">
        <f t="shared" si="78"/>
        <v/>
      </c>
      <c r="IK28" s="196" t="str">
        <f t="shared" si="79"/>
        <v/>
      </c>
      <c r="IL28" s="196" t="str">
        <f t="shared" si="80"/>
        <v/>
      </c>
      <c r="IM28" s="196" t="str">
        <f t="shared" si="81"/>
        <v/>
      </c>
      <c r="IN28" s="196" t="str">
        <f t="shared" si="82"/>
        <v/>
      </c>
      <c r="IO28" s="196" t="str">
        <f t="shared" si="83"/>
        <v/>
      </c>
      <c r="IP28" s="196" t="str">
        <f t="shared" si="84"/>
        <v/>
      </c>
      <c r="IQ28" s="196" t="str">
        <f t="shared" si="85"/>
        <v/>
      </c>
      <c r="IR28" s="196" t="str">
        <f t="shared" si="86"/>
        <v/>
      </c>
      <c r="IS28" s="196" t="str">
        <f t="shared" si="87"/>
        <v/>
      </c>
      <c r="IT28" s="196" t="str">
        <f t="shared" si="88"/>
        <v/>
      </c>
      <c r="IU28" s="210" t="str">
        <f t="shared" si="89"/>
        <v/>
      </c>
      <c r="IX28" s="202" t="str">
        <f t="shared" si="90"/>
        <v/>
      </c>
      <c r="IY28" s="196" t="str">
        <f t="shared" si="91"/>
        <v/>
      </c>
      <c r="IZ28" s="196" t="str">
        <f t="shared" si="92"/>
        <v/>
      </c>
      <c r="JA28" s="196" t="str">
        <f t="shared" si="93"/>
        <v/>
      </c>
      <c r="JB28" s="196" t="str">
        <f t="shared" si="94"/>
        <v/>
      </c>
      <c r="JC28" s="196" t="str">
        <f t="shared" si="95"/>
        <v/>
      </c>
      <c r="JD28" s="196" t="str">
        <f t="shared" si="96"/>
        <v/>
      </c>
      <c r="JE28" s="196" t="str">
        <f t="shared" si="97"/>
        <v/>
      </c>
      <c r="JF28" s="196" t="str">
        <f t="shared" si="98"/>
        <v/>
      </c>
      <c r="JG28" s="196" t="str">
        <f t="shared" si="99"/>
        <v/>
      </c>
      <c r="JH28" s="196" t="str">
        <f t="shared" si="100"/>
        <v/>
      </c>
      <c r="JI28" s="196" t="str">
        <f t="shared" si="101"/>
        <v/>
      </c>
      <c r="JJ28" s="196" t="str">
        <f t="shared" si="102"/>
        <v/>
      </c>
      <c r="JK28" s="196" t="str">
        <f t="shared" si="103"/>
        <v/>
      </c>
      <c r="JL28" s="196" t="str">
        <f t="shared" si="104"/>
        <v/>
      </c>
      <c r="JM28" s="196" t="str">
        <f t="shared" si="105"/>
        <v/>
      </c>
      <c r="JN28" s="196" t="str">
        <f t="shared" si="106"/>
        <v/>
      </c>
      <c r="JO28" s="196" t="str">
        <f t="shared" si="107"/>
        <v/>
      </c>
      <c r="JP28" s="196" t="str">
        <f t="shared" si="108"/>
        <v/>
      </c>
      <c r="JQ28" s="196" t="str">
        <f t="shared" si="109"/>
        <v/>
      </c>
      <c r="JR28" s="196" t="str">
        <f t="shared" si="110"/>
        <v/>
      </c>
      <c r="JS28" s="196" t="str">
        <f t="shared" si="111"/>
        <v/>
      </c>
      <c r="JT28" s="196" t="str">
        <f t="shared" si="112"/>
        <v/>
      </c>
      <c r="JU28" s="196" t="str">
        <f t="shared" si="113"/>
        <v/>
      </c>
      <c r="JV28" s="196" t="str">
        <f t="shared" si="114"/>
        <v/>
      </c>
      <c r="JW28" s="196" t="str">
        <f t="shared" si="115"/>
        <v/>
      </c>
      <c r="JX28" s="196" t="str">
        <f t="shared" si="116"/>
        <v/>
      </c>
      <c r="JY28" s="196" t="str">
        <f t="shared" si="117"/>
        <v/>
      </c>
      <c r="JZ28" s="210" t="str">
        <f t="shared" si="118"/>
        <v/>
      </c>
      <c r="KA28" s="196"/>
      <c r="KB28" s="176"/>
      <c r="KC28" s="227"/>
      <c r="KD28" s="218" t="str">
        <f t="shared" si="2"/>
        <v/>
      </c>
      <c r="KE28" s="196" t="str">
        <f t="shared" si="3"/>
        <v/>
      </c>
      <c r="KF28" s="196" t="str">
        <f t="shared" si="4"/>
        <v/>
      </c>
      <c r="KG28" s="196" t="str">
        <f t="shared" si="5"/>
        <v/>
      </c>
      <c r="KH28" s="196" t="str">
        <f t="shared" si="6"/>
        <v/>
      </c>
      <c r="KI28" s="196" t="str">
        <f t="shared" si="7"/>
        <v/>
      </c>
      <c r="KJ28" s="196" t="str">
        <f t="shared" si="8"/>
        <v/>
      </c>
      <c r="KK28" s="196" t="str">
        <f t="shared" si="9"/>
        <v/>
      </c>
      <c r="KL28" s="196" t="str">
        <f t="shared" si="10"/>
        <v/>
      </c>
      <c r="KM28" s="196" t="str">
        <f t="shared" si="11"/>
        <v/>
      </c>
      <c r="KN28" s="196" t="str">
        <f t="shared" si="12"/>
        <v/>
      </c>
      <c r="KO28" s="196" t="str">
        <f t="shared" si="13"/>
        <v/>
      </c>
      <c r="KP28" s="196" t="str">
        <f t="shared" si="14"/>
        <v/>
      </c>
      <c r="KQ28" s="196" t="str">
        <f t="shared" si="15"/>
        <v/>
      </c>
      <c r="KR28" s="196" t="str">
        <f t="shared" si="16"/>
        <v/>
      </c>
      <c r="KS28" s="196" t="str">
        <f t="shared" si="17"/>
        <v/>
      </c>
      <c r="KT28" s="196" t="str">
        <f t="shared" si="18"/>
        <v/>
      </c>
      <c r="KU28" s="196" t="str">
        <f t="shared" si="19"/>
        <v/>
      </c>
      <c r="KV28" s="196" t="str">
        <f t="shared" si="20"/>
        <v/>
      </c>
      <c r="KW28" s="196" t="str">
        <f t="shared" si="21"/>
        <v/>
      </c>
      <c r="KX28" s="196" t="str">
        <f t="shared" si="22"/>
        <v/>
      </c>
      <c r="KY28" s="196" t="str">
        <f t="shared" si="23"/>
        <v/>
      </c>
      <c r="KZ28" s="196" t="str">
        <f t="shared" si="24"/>
        <v/>
      </c>
      <c r="LA28" s="196" t="str">
        <f t="shared" si="25"/>
        <v/>
      </c>
      <c r="LB28" s="196" t="str">
        <f t="shared" si="26"/>
        <v/>
      </c>
      <c r="LC28" s="196" t="str">
        <f t="shared" si="27"/>
        <v/>
      </c>
      <c r="LD28" s="196" t="str">
        <f t="shared" si="28"/>
        <v/>
      </c>
      <c r="LE28" s="196" t="str">
        <f t="shared" si="29"/>
        <v/>
      </c>
      <c r="LF28" s="226" t="str">
        <f t="shared" si="30"/>
        <v/>
      </c>
    </row>
    <row r="29" spans="1:318" s="172" customFormat="1" ht="11.45" customHeight="1" thickBot="1" x14ac:dyDescent="0.25">
      <c r="A29" s="35"/>
      <c r="B29" s="54"/>
      <c r="C29" s="438">
        <f t="shared" si="0"/>
        <v>45303</v>
      </c>
      <c r="D29" s="438"/>
      <c r="E29" s="430">
        <f t="shared" si="119"/>
        <v>45303</v>
      </c>
      <c r="F29" s="431"/>
      <c r="G29" s="26"/>
      <c r="H29" s="51"/>
      <c r="I29" s="50"/>
      <c r="J29" s="51"/>
      <c r="K29" s="50"/>
      <c r="L29" s="51"/>
      <c r="M29" s="50"/>
      <c r="N29" s="51"/>
      <c r="O29" s="50"/>
      <c r="P29" s="51"/>
      <c r="Q29" s="50"/>
      <c r="R29" s="51"/>
      <c r="S29" s="50"/>
      <c r="T29" s="51"/>
      <c r="U29" s="50"/>
      <c r="V29" s="51"/>
      <c r="W29" s="50"/>
      <c r="X29" s="276"/>
      <c r="Y29" s="50"/>
      <c r="Z29" s="51"/>
      <c r="AA29" s="50"/>
      <c r="AB29" s="51"/>
      <c r="AC29" s="50"/>
      <c r="AD29" s="51"/>
      <c r="AE29" s="50"/>
      <c r="AF29" s="51"/>
      <c r="AG29" s="50"/>
      <c r="AH29" s="51"/>
      <c r="AI29" s="50"/>
      <c r="AJ29" s="51"/>
      <c r="AK29" s="50"/>
      <c r="AL29" s="51"/>
      <c r="AM29" s="50"/>
      <c r="AN29" s="51"/>
      <c r="AO29" s="50"/>
      <c r="AP29" s="51"/>
      <c r="AQ29" s="50"/>
      <c r="AR29" s="51"/>
      <c r="AS29" s="50"/>
      <c r="AT29" s="51"/>
      <c r="AU29" s="50"/>
      <c r="AV29" s="51"/>
      <c r="AW29" s="50"/>
      <c r="AX29" s="51"/>
      <c r="AY29" s="50"/>
      <c r="AZ29" s="51"/>
      <c r="BA29" s="50"/>
      <c r="BB29" s="51"/>
      <c r="BC29" s="50"/>
      <c r="BD29" s="51"/>
      <c r="BE29" s="50"/>
      <c r="BF29" s="51"/>
      <c r="BG29" s="50"/>
      <c r="BH29" s="51"/>
      <c r="BI29" s="50"/>
      <c r="BJ29" s="51"/>
      <c r="BK29" s="50"/>
      <c r="BL29" s="51"/>
      <c r="BM29" s="109"/>
      <c r="BO29" s="174"/>
      <c r="BP29" s="174">
        <v>2048</v>
      </c>
      <c r="BQ29" s="179" t="s">
        <v>44</v>
      </c>
      <c r="BR29" s="174"/>
      <c r="BS29" s="174" t="s">
        <v>1116</v>
      </c>
      <c r="BU29" s="202" t="str">
        <f t="shared" si="31"/>
        <v/>
      </c>
      <c r="BV29" s="196" t="str">
        <f t="shared" si="32"/>
        <v/>
      </c>
      <c r="BW29" s="196" t="str">
        <f t="shared" si="33"/>
        <v/>
      </c>
      <c r="BX29" s="196" t="str">
        <f t="shared" si="34"/>
        <v/>
      </c>
      <c r="BY29" s="196" t="str">
        <f t="shared" si="35"/>
        <v/>
      </c>
      <c r="BZ29" s="196" t="str">
        <f t="shared" si="36"/>
        <v/>
      </c>
      <c r="CA29" s="196" t="str">
        <f t="shared" si="37"/>
        <v/>
      </c>
      <c r="CB29" s="196" t="str">
        <f t="shared" si="38"/>
        <v/>
      </c>
      <c r="CC29" s="196" t="str">
        <f t="shared" si="39"/>
        <v/>
      </c>
      <c r="CD29" s="196" t="str">
        <f t="shared" si="40"/>
        <v/>
      </c>
      <c r="CE29" s="196" t="str">
        <f t="shared" si="41"/>
        <v/>
      </c>
      <c r="CF29" s="196" t="str">
        <f t="shared" si="42"/>
        <v/>
      </c>
      <c r="CG29" s="196" t="str">
        <f t="shared" si="43"/>
        <v/>
      </c>
      <c r="CH29" s="196" t="str">
        <f t="shared" si="44"/>
        <v/>
      </c>
      <c r="CI29" s="196" t="str">
        <f t="shared" si="45"/>
        <v/>
      </c>
      <c r="CJ29" s="196" t="str">
        <f t="shared" si="46"/>
        <v/>
      </c>
      <c r="CK29" s="196" t="str">
        <f t="shared" si="47"/>
        <v/>
      </c>
      <c r="CL29" s="196" t="str">
        <f t="shared" si="48"/>
        <v/>
      </c>
      <c r="CM29" s="196" t="str">
        <f t="shared" si="120"/>
        <v/>
      </c>
      <c r="CN29" s="196" t="str">
        <f t="shared" si="49"/>
        <v/>
      </c>
      <c r="CO29" s="196" t="str">
        <f t="shared" si="50"/>
        <v/>
      </c>
      <c r="CP29" s="196" t="str">
        <f t="shared" si="51"/>
        <v/>
      </c>
      <c r="CQ29" s="196" t="str">
        <f t="shared" si="52"/>
        <v/>
      </c>
      <c r="CR29" s="196" t="str">
        <f t="shared" si="53"/>
        <v/>
      </c>
      <c r="CS29" s="196" t="str">
        <f t="shared" si="54"/>
        <v/>
      </c>
      <c r="CT29" s="196" t="str">
        <f t="shared" si="55"/>
        <v/>
      </c>
      <c r="CU29" s="196" t="str">
        <f t="shared" si="56"/>
        <v/>
      </c>
      <c r="CV29" s="196" t="str">
        <f t="shared" si="57"/>
        <v/>
      </c>
      <c r="CW29" s="210" t="str">
        <f t="shared" si="58"/>
        <v/>
      </c>
      <c r="CY29" s="212" t="str">
        <f>IF(I29&lt;&gt;"",IF(H29="&lt;",IF(AND('Outfall 1 Limits'!$AM$16="Y",$BU$54&lt;&gt;"Y",I29&lt;='Outfall 1 Limits'!$AL$16),0,(1*I29)),I29),"")</f>
        <v/>
      </c>
      <c r="CZ29" s="206" t="str">
        <f>IF(K29&lt;&gt;"",IF(J29="&lt;",IF(AND('Outfall 1 Limits'!$AM$20="Y",$BV$54&lt;&gt;"Y",K29&lt;='Outfall 1 Limits'!$AL$20),0,(1*K29)),K29),"")</f>
        <v/>
      </c>
      <c r="DA29" s="206" t="str">
        <f>IF(M29&lt;&gt;"",IF(L29="&lt;",IF(AND('Outfall 1 Limits'!$AM$24="Y",$BW$54&lt;&gt;"Y",M29&lt;='Outfall 1 Limits'!$AL$24),0,(1*M29)),M29),"")</f>
        <v/>
      </c>
      <c r="DB29" s="206" t="str">
        <f>IF(O29&lt;&gt;"",IF(N29="&lt;",IF(AND('Outfall 1 Limits'!$AM$28="Y",$BX$54&lt;&gt;"Y",O29&lt;='Outfall 1 Limits'!$AL$28),0,(1*O29)),O29),"")</f>
        <v/>
      </c>
      <c r="DC29" s="206" t="str">
        <f>IF(Q29&lt;&gt;"",IF(P29="&lt;",IF(AND('Outfall 1 Limits'!$AM$32="Y",$BY$54&lt;&gt;"Y",Q29&lt;='Outfall 1 Limits'!$AL$32),0,(1*Q29)),Q29),"")</f>
        <v/>
      </c>
      <c r="DD29" s="206" t="str">
        <f>IF(S29&lt;&gt;"",IF(R29="&lt;",IF(AND('Outfall 1 Limits'!$AM$36="Y",$BZ$54&lt;&gt;"Y",S29&lt;='Outfall 1 Limits'!$AL$36),0,(1*S29)),S29),"")</f>
        <v/>
      </c>
      <c r="DE29" s="206" t="str">
        <f>IF(U29&lt;&gt;"",IF(T29="&lt;",IF(AND('Outfall 1 Limits'!$AM$40="Y",$CA$54&lt;&gt;"Y",U29&lt;='Outfall 1 Limits'!$AL$40),0,(1*U29)),U29),"")</f>
        <v/>
      </c>
      <c r="DF29" s="206" t="str">
        <f>IF(W29&lt;&gt;"",IF(V29="&lt;",IF(AND('Outfall 1 Limits'!$AM$44="Y",$CB$54&lt;&gt;"Y",W29&lt;='Outfall 1 Limits'!$AL$44),0,(1*W29)),W29),"")</f>
        <v/>
      </c>
      <c r="DG29" s="206" t="str">
        <f>IF(Y29&lt;&gt;"",IF(X29="&lt;",IF(AND('Outfall 1 Limits'!$AM$48="Y",$CC$54&lt;&gt;"Y",Y29&lt;='Outfall 1 Limits'!$AL$48),0,(1*Y29)),Y29),"")</f>
        <v/>
      </c>
      <c r="DH29" s="206" t="str">
        <f>IF(AA29&lt;&gt;"",IF(Z29="&lt;",IF(AND('Outfall 1 Limits'!$AM$52="Y",$CD$54&lt;&gt;"Y",AA29&lt;='Outfall 1 Limits'!$AL$52),0,(1*AA29)),AA29),"")</f>
        <v/>
      </c>
      <c r="DI29" s="206" t="str">
        <f>IF(AC29&lt;&gt;"",IF(AB29="&lt;",IF(AND('Outfall 1 Limits'!$AM$56="Y",$CE$54&lt;&gt;"Y",AC29&lt;='Outfall 1 Limits'!$AL$56),0,(1*AC29)),AC29),"")</f>
        <v/>
      </c>
      <c r="DJ29" s="206" t="str">
        <f>IF(AE29&lt;&gt;"",IF(AD29="&lt;",IF(AND('Outfall 1 Limits'!$AM$60="Y",$CF$54&lt;&gt;"Y",AE29&lt;='Outfall 1 Limits'!$AL$60),0,(1*AE29)),AE29),"")</f>
        <v/>
      </c>
      <c r="DK29" s="206" t="str">
        <f>IF(AG29&lt;&gt;"",IF(AF29="&lt;",IF(AND('Outfall 1 Limits'!$AM$64="Y",$CG$54&lt;&gt;"Y",AG29&lt;='Outfall 1 Limits'!$AL$64),0,(1*AG29)),AG29),"")</f>
        <v/>
      </c>
      <c r="DL29" s="206" t="str">
        <f>IF(AI29&lt;&gt;"",IF(AH29="&lt;",IF(AND('Outfall 1 Limits'!$AM$68="Y",$CH$54&lt;&gt;"Y",AI29&lt;='Outfall 1 Limits'!$AL$68),0,(1*AI29)),AI29),"")</f>
        <v/>
      </c>
      <c r="DM29" s="206" t="str">
        <f>IF(AK29&lt;&gt;"",IF(AJ29="&lt;",IF(AND('Outfall 1 Limits'!$AM$72="Y",$CI$54&lt;&gt;"Y",AK29&lt;='Outfall 1 Limits'!$AL$72),0,(1*AK29)),AK29),"")</f>
        <v/>
      </c>
      <c r="DN29" s="206" t="str">
        <f>IF(AM29&lt;&gt;"",IF(AL29="&lt;",IF(AND('Outfall 1 Limits'!$AM$76="Y",$CJ$54&lt;&gt;"Y",AM29&lt;='Outfall 1 Limits'!$AL$76),0,(1*AM29)),AM29),"")</f>
        <v/>
      </c>
      <c r="DO29" s="206" t="str">
        <f>IF(AO29&lt;&gt;"",IF(AN29="&lt;",IF(AND('Outfall 1 Limits'!$AM$80="Y",$CK$54&lt;&gt;"Y",AO29&lt;='Outfall 1 Limits'!$AL$80),0,(1*AO29)),AO29),"")</f>
        <v/>
      </c>
      <c r="DP29" s="206" t="str">
        <f>IF(AQ29&lt;&gt;"",IF(AP29="&lt;",IF(AND('Outfall 1 Limits'!$AM$84="Y",$CL$54&lt;&gt;"Y",AQ29&lt;='Outfall 1 Limits'!$AL$84),0,(1*AQ29)),AQ29),"")</f>
        <v/>
      </c>
      <c r="DQ29" s="206" t="str">
        <f>IF(AS29&lt;&gt;"",IF(AR29="&lt;",IF(AND('Outfall 1 Limits'!$AM$88="Y",$CM$54&lt;&gt;"Y",AS29&lt;='Outfall 1 Limits'!$AL$88),0,(1*AS29)),AS29),"")</f>
        <v/>
      </c>
      <c r="DR29" s="206" t="str">
        <f>IF(AU29&lt;&gt;"",IF(AT29="&lt;",IF(AND('Outfall 1 Limits'!$AM$92="Y",$CN$54&lt;&gt;"Y",AU29&lt;='Outfall 1 Limits'!$AL$92),0,(1*AU29)),AU29),"")</f>
        <v/>
      </c>
      <c r="DS29" s="206" t="str">
        <f>IF(AW29&lt;&gt;"",IF(AV29="&lt;",IF(AND('Outfall 1 Limits'!$AM$96="Y",$CO$54&lt;&gt;"Y",AW29&lt;='Outfall 1 Limits'!$AL$96),0,(1*AW29)),AW29),"")</f>
        <v/>
      </c>
      <c r="DT29" s="206" t="str">
        <f>IF(AY29&lt;&gt;"",IF(AX29="&lt;",IF(AND('Outfall 1 Limits'!$AM$100="Y",$CP$54&lt;&gt;"Y",AY29&lt;='Outfall 1 Limits'!$AL$100),0,(1*AY29)),AY29),"")</f>
        <v/>
      </c>
      <c r="DU29" s="206" t="str">
        <f>IF(BA29&lt;&gt;"",IF(AZ29="&lt;",IF(AND('Outfall 1 Limits'!$AM$104="Y",$CQ$54&lt;&gt;"Y",BA29&lt;='Outfall 1 Limits'!$AL$104),0,(1*BA29)),BA29),"")</f>
        <v/>
      </c>
      <c r="DV29" s="206" t="str">
        <f>IF(BC29&lt;&gt;"",IF(BB29="&lt;",IF(AND('Outfall 1 Limits'!$AM$108="Y",$CR$54&lt;&gt;"Y",BC29&lt;='Outfall 1 Limits'!$AL$108),0,(1*BC29)),BC29),"")</f>
        <v/>
      </c>
      <c r="DW29" s="206" t="str">
        <f>IF(BE29&lt;&gt;"",IF(BD29="&lt;",IF(AND('Outfall 1 Limits'!$AM$112="Y",$CS$54&lt;&gt;"Y",BE29&lt;='Outfall 1 Limits'!$AL$112),0,(1*BE29)),BE29),"")</f>
        <v/>
      </c>
      <c r="DX29" s="206" t="str">
        <f>IF(BG29&lt;&gt;"",IF(BF29="&lt;",IF(AND('Outfall 1 Limits'!$AM$116="Y",$CT$54&lt;&gt;"Y",BG29&lt;='Outfall 1 Limits'!$AL$116),0,(1*BG29)),BG29),"")</f>
        <v/>
      </c>
      <c r="DY29" s="206" t="str">
        <f>IF(BI29&lt;&gt;"",IF(BH29="&lt;",IF(AND('Outfall 1 Limits'!$AM$120="Y",$CU$54&lt;&gt;"Y",BI29&lt;='Outfall 1 Limits'!$AL$120),0,(1*BI29)),BI29),"")</f>
        <v/>
      </c>
      <c r="DZ29" s="206" t="str">
        <f>IF(BK29&lt;&gt;"",IF(BJ29="&lt;",IF(AND('Outfall 1 Limits'!$AM$124="Y",$CV$54&lt;&gt;"Y",BK29&lt;='Outfall 1 Limits'!$AL$124),0,(1*BK29)),BK29),"")</f>
        <v/>
      </c>
      <c r="EA29" s="223" t="str">
        <f>IF(BM29&lt;&gt;"",IF(BL29="&lt;",IF(AND('Outfall 1 Limits'!$AM$128="Y",$CW$54&lt;&gt;"Y",BM29&lt;='Outfall 1 Limits'!$AL$128),0,(1*BM29)),BM29),"")</f>
        <v/>
      </c>
      <c r="EB29" s="176"/>
      <c r="EC29" s="185" t="s">
        <v>1151</v>
      </c>
      <c r="ED29" s="182"/>
      <c r="EE29" s="182"/>
      <c r="EF29" s="182"/>
      <c r="EG29" s="182"/>
      <c r="EH29" s="182"/>
      <c r="EI29" s="182"/>
      <c r="EJ29" s="182"/>
      <c r="EK29" s="182"/>
      <c r="EL29" s="182"/>
      <c r="EM29" s="182"/>
      <c r="EN29" s="182"/>
      <c r="EO29" s="182"/>
      <c r="EP29" s="182"/>
      <c r="EQ29" s="182"/>
      <c r="ER29" s="182"/>
      <c r="ES29" s="182"/>
      <c r="ET29" s="182"/>
      <c r="EU29" s="182"/>
      <c r="EV29" s="182"/>
      <c r="EW29" s="182"/>
      <c r="EX29" s="182"/>
      <c r="EY29" s="182"/>
      <c r="EZ29" s="182"/>
      <c r="FA29" s="182"/>
      <c r="FB29" s="182"/>
      <c r="FC29" s="182"/>
      <c r="FD29" s="182"/>
      <c r="FE29" s="182"/>
      <c r="FG29" s="212" t="str">
        <f>IF(AND($G29&lt;&gt;"",$G29&gt;0,'Outfall 1 Limits'!$AX$16="C1",I29&lt;&gt;""),I29*$G29*8.34,IF(AND($I29&lt;&gt;"",'Outfall 1 Limits'!$AX$16="L"),I29,""))</f>
        <v/>
      </c>
      <c r="FH29" s="206" t="str">
        <f>IF(AND($G29&lt;&gt;"",$G29&gt;0,'Outfall 1 Limits'!$AX$20="C1",$K29&lt;&gt;""),$K29*$G29*8.34,IF(AND($K29&lt;&gt;"",'Outfall 1 Limits'!$AX$20="L"),$K29,""))</f>
        <v/>
      </c>
      <c r="FI29" s="206" t="str">
        <f>IF(AND($G29&lt;&gt;"",$G29&gt;0,'Outfall 1 Limits'!$AX$24="C1",$M29&lt;&gt;""),$M29*$G29*8.34,IF(AND($M29&lt;&gt;"",'Outfall 1 Limits'!$AX$24="L"),$M29,""))</f>
        <v/>
      </c>
      <c r="FJ29" s="206" t="str">
        <f>IF(AND($G29&lt;&gt;"",$G29&gt;0,'Outfall 1 Limits'!$AX$28="C1",$O29&lt;&gt;""),$O29*$G29*8.34,IF(AND($O29&lt;&gt;"",'Outfall 1 Limits'!$AX$28="L"),$O29,""))</f>
        <v/>
      </c>
      <c r="FK29" s="206" t="str">
        <f>IF(AND($G29&lt;&gt;"",$G29&gt;0,'Outfall 1 Limits'!$AX$32="C1",$Q29&lt;&gt;""),$Q29*$G29*8.34,IF(AND($Q29&lt;&gt;"",'Outfall 1 Limits'!$AX$32="L"),$Q29,""))</f>
        <v/>
      </c>
      <c r="FL29" s="206" t="str">
        <f>IF(AND($G29&lt;&gt;"",$G29&gt;0,'Outfall 1 Limits'!$AX$36="C1",$S29&lt;&gt;""),$S29*$G29*8.34,IF(AND($S29&lt;&gt;"",'Outfall 1 Limits'!$AX$36="L"),$S29,""))</f>
        <v/>
      </c>
      <c r="FM29" s="206" t="str">
        <f>IF(AND($G29&lt;&gt;"",$G29&gt;0,'Outfall 1 Limits'!$AX$40="C1",$U29&lt;&gt;""),$U29*$G29*8.34,IF(AND($U29&lt;&gt;"",'Outfall 1 Limits'!$AX$40="L"),$U29,""))</f>
        <v/>
      </c>
      <c r="FN29" s="206" t="str">
        <f>IF(AND($G29&lt;&gt;"",$G29&gt;0,'Outfall 1 Limits'!$AX$44="C1",$W29&lt;&gt;""),$W29*$G29*8.34,IF(AND($W29&lt;&gt;"",'Outfall 1 Limits'!$AX$44="L"),$W29,""))</f>
        <v/>
      </c>
      <c r="FO29" s="206" t="str">
        <f>IF(AND($G29&lt;&gt;"",$G29&gt;0,'Outfall 1 Limits'!$AX$48="C1",$Y29&lt;&gt;""),$Y29*$G29*8.34,IF(AND($Y29&lt;&gt;"",'Outfall 1 Limits'!$AX$48="L"),$Y29,""))</f>
        <v/>
      </c>
      <c r="FP29" s="206" t="str">
        <f>IF(AND($G29&lt;&gt;"",$G29&gt;0,'Outfall 1 Limits'!$AX$52="C1",$AA29&lt;&gt;""),$AA29*$G29*8.34,IF(AND($AA29&lt;&gt;"",'Outfall 1 Limits'!$AX$52="L"),$AA29,""))</f>
        <v/>
      </c>
      <c r="FQ29" s="206" t="str">
        <f>IF(AND($G29&lt;&gt;"",$G29&gt;0,'Outfall 1 Limits'!$AX$56="C1",$AC29&lt;&gt;""),$AC29*$G29*8.34,IF(AND($AC29&lt;&gt;"",'Outfall 1 Limits'!$AX$56="L"),$AC29,""))</f>
        <v/>
      </c>
      <c r="FR29" s="206" t="str">
        <f>IF(AND($G29&lt;&gt;"",$G29&gt;0,'Outfall 1 Limits'!$AX$60="C1",$AE29&lt;&gt;""),$AE29*$G29*8.34,IF(AND($AE29&lt;&gt;"",'Outfall 1 Limits'!$AX$60="L"),$AE29,""))</f>
        <v/>
      </c>
      <c r="FS29" s="206" t="str">
        <f>IF(AND($G29&lt;&gt;"",$G29&gt;0,'Outfall 1 Limits'!$AX$64="C1",$AG29&lt;&gt;""),$AG29*$G29*8.34,IF(AND($AG29&lt;&gt;"",'Outfall 1 Limits'!$AX$64="L"),$AG29,""))</f>
        <v/>
      </c>
      <c r="FT29" s="206" t="str">
        <f>IF(AND($G29&lt;&gt;"",$G29&gt;0,'Outfall 1 Limits'!$AX$68="C1",$AI29&lt;&gt;""),$AI29*$G29*8.34,IF(AND($AI29&lt;&gt;"",'Outfall 1 Limits'!$AX$68="L"),$AI29,""))</f>
        <v/>
      </c>
      <c r="FU29" s="206" t="str">
        <f>IF(AND($G29&lt;&gt;"",$G29&gt;0,'Outfall 1 Limits'!$AX$72="C1",$AK29&lt;&gt;""),$AK29*$G29*8.34,IF(AND($AK29&lt;&gt;"",'Outfall 1 Limits'!$AX$72="L"),$AK29,""))</f>
        <v/>
      </c>
      <c r="FV29" s="206" t="str">
        <f>IF(AND($G29&lt;&gt;"",$G29&gt;0,'Outfall 1 Limits'!$AX$76="C1",$AM29&lt;&gt;""),$AM29*$G29*8.34,IF(AND($AM29&lt;&gt;"",'Outfall 1 Limits'!$AX$76="L"),$AM29,""))</f>
        <v/>
      </c>
      <c r="FW29" s="206" t="str">
        <f>IF(AND($G29&lt;&gt;"",$G29&gt;0,'Outfall 1 Limits'!$AX$80="C1",$AO29&lt;&gt;""),$AO29*$G29*8.34,IF(AND($AO29&lt;&gt;"",'Outfall 1 Limits'!$AX$80="L"),$AO29,""))</f>
        <v/>
      </c>
      <c r="FX29" s="206" t="str">
        <f>IF(AND($G29&lt;&gt;"",$G29&gt;0,'Outfall 1 Limits'!$AX$84="C1",$AQ29&lt;&gt;""),$AQ29*$G29*8.34,IF(AND($AQ29&lt;&gt;"",'Outfall 1 Limits'!$AX$84="L"),$AQ29,""))</f>
        <v/>
      </c>
      <c r="FY29" s="206" t="str">
        <f>IF(AND($G29&lt;&gt;"",$G29&gt;0,'Outfall 1 Limits'!$AX$88="C1",$AS29&lt;&gt;""),$AS29*$G29*8.34,IF(AND($AS29&lt;&gt;"",'Outfall 1 Limits'!$AX$88="L"),$AS29,""))</f>
        <v/>
      </c>
      <c r="FZ29" s="206" t="str">
        <f>IF(AND($G29&lt;&gt;"",$G29&gt;0,'Outfall 1 Limits'!$AX$92="C1",$AU29&lt;&gt;""),$AU29*$G29*8.34,IF(AND($AU29&lt;&gt;"",'Outfall 1 Limits'!$AX$92="L"),$AU29,""))</f>
        <v/>
      </c>
      <c r="GA29" s="206" t="str">
        <f>IF(AND($G29&lt;&gt;"",$G29&gt;0,'Outfall 1 Limits'!$AX$96="C1",$AW29&lt;&gt;""),$AW29*$G29*8.34,IF(AND($AW29&lt;&gt;"",'Outfall 1 Limits'!$AX$96="L"),$AW29,""))</f>
        <v/>
      </c>
      <c r="GB29" s="206" t="str">
        <f>IF(AND($G29&lt;&gt;"",$G29&gt;0,'Outfall 1 Limits'!$AX$100="C1",$AY29&lt;&gt;""),$AY29*$G29*8.34,IF(AND($AY29&lt;&gt;"",'Outfall 1 Limits'!$AX$100="L"),$AY29,""))</f>
        <v/>
      </c>
      <c r="GC29" s="206" t="str">
        <f>IF(AND($G29&lt;&gt;"",$G29&gt;0,'Outfall 1 Limits'!$AX$104="C1",$BA29&lt;&gt;""),$BA29*$G29*8.34,IF(AND($BA29&lt;&gt;"",'Outfall 1 Limits'!$AX$104="L"),$BA29,""))</f>
        <v/>
      </c>
      <c r="GD29" s="206" t="str">
        <f>IF(AND($G29&lt;&gt;"",$G29&gt;0,'Outfall 1 Limits'!$AX$108="C1",$BC29&lt;&gt;""),$BC29*$G29*8.34,IF(AND($BC29&lt;&gt;"",'Outfall 1 Limits'!$AX$108="L"),$BC29,""))</f>
        <v/>
      </c>
      <c r="GE29" s="206" t="str">
        <f>IF(AND($G29&lt;&gt;"",$G29&gt;0,'Outfall 1 Limits'!$AX$112="C1",$BE29&lt;&gt;""),$BE29*$G29*8.34,IF(AND($BE29&lt;&gt;"",'Outfall 1 Limits'!$AX$112="L"),$BE29,""))</f>
        <v/>
      </c>
      <c r="GF29" s="206" t="str">
        <f>IF(AND($G29&lt;&gt;"",$G29&gt;0,'Outfall 1 Limits'!$AX$116="C1",$BG29&lt;&gt;""),$BG29*$G29*8.34,IF(AND($BG29&lt;&gt;"",'Outfall 1 Limits'!$AX$116="L"),$BG29,""))</f>
        <v/>
      </c>
      <c r="GG29" s="206" t="str">
        <f>IF(AND($G29&lt;&gt;"",$G29&gt;0,'Outfall 1 Limits'!$AX$120="C1",$BI29&lt;&gt;""),$BI29*$G29*8.34,IF(AND($BI29&lt;&gt;"",'Outfall 1 Limits'!$AX$120="L"),$BI29,""))</f>
        <v/>
      </c>
      <c r="GH29" s="206" t="str">
        <f>IF(AND($G29&lt;&gt;"",$G29&gt;0,'Outfall 1 Limits'!$AX$124="C1",$BK29&lt;&gt;""),$BK29*$G29*8.34,IF(AND($BK29&lt;&gt;"",'Outfall 1 Limits'!$AX$124="L"),$BK29,""))</f>
        <v/>
      </c>
      <c r="GI29" s="223" t="str">
        <f>IF(AND($G29&lt;&gt;"",$G29&gt;0,'Outfall 1 Limits'!$AX$128="C1",$BM29&lt;&gt;""),$BM29*$G29*8.34,IF(AND($BM29&lt;&gt;"",'Outfall 1 Limits'!$AX$128="L"),$BM29,""))</f>
        <v/>
      </c>
      <c r="GJ29" s="177" t="str">
        <f t="shared" si="59"/>
        <v/>
      </c>
      <c r="GK29" s="212" t="str">
        <f>IF(AND($G29&lt;&gt;"",$G29&gt;0,'Outfall 1 Limits'!$AX$16="C1",CY29&lt;&gt;""),CY29*$G29*8.34,IF(AND(CY29&lt;&gt;"",'Outfall 1 Limits'!$AX$16="L"),CY29,""))</f>
        <v/>
      </c>
      <c r="GL29" s="206" t="str">
        <f>IF(AND($G29&lt;&gt;"",$G29&gt;0,'Outfall 1 Limits'!$AX$20="C1",CZ29&lt;&gt;""),CZ29*$G29*8.34,IF(AND(CZ29&lt;&gt;"",'Outfall 1 Limits'!$AX$20="L"),CZ29,""))</f>
        <v/>
      </c>
      <c r="GM29" s="206" t="str">
        <f>IF(AND($G29&lt;&gt;"",$G29&gt;0,'Outfall 1 Limits'!$AX$24="C1",DA29&lt;&gt;""),DA29*$G29*8.34,IF(AND(DA29&lt;&gt;"",'Outfall 1 Limits'!$AX$24="L"),DA29,""))</f>
        <v/>
      </c>
      <c r="GN29" s="206" t="str">
        <f>IF(AND($G29&lt;&gt;"",$G29&gt;0,'Outfall 1 Limits'!$AX$28="C1",DB29&lt;&gt;""),DB29*$G29*8.34,IF(AND(DB29&lt;&gt;"",'Outfall 1 Limits'!$AX$28="L"),DB29,""))</f>
        <v/>
      </c>
      <c r="GO29" s="206" t="str">
        <f>IF(AND($G29&lt;&gt;"",$G29&gt;0,'Outfall 1 Limits'!$AX$32="C1",DC29&lt;&gt;""),DC29*$G29*8.34,IF(AND(DC29&lt;&gt;"",'Outfall 1 Limits'!$AX$32="L"),DC29,""))</f>
        <v/>
      </c>
      <c r="GP29" s="206" t="str">
        <f>IF(AND($G29&lt;&gt;"",$G29&gt;0,'Outfall 1 Limits'!$AX$36="C1",DD29&lt;&gt;""),DD29*$G29*8.34,IF(AND(DD29&lt;&gt;"",'Outfall 1 Limits'!$AX$36="L"),DD29,""))</f>
        <v/>
      </c>
      <c r="GQ29" s="206" t="str">
        <f>IF(AND($G29&lt;&gt;"",$G29&gt;0,'Outfall 1 Limits'!$AX$40="C1",DE29&lt;&gt;""),DE29*$G29*8.34,IF(AND(DE29&lt;&gt;"",'Outfall 1 Limits'!$AX$40="L"),DE29,""))</f>
        <v/>
      </c>
      <c r="GR29" s="206" t="str">
        <f>IF(AND($G29&lt;&gt;"",$G29&gt;0,'Outfall 1 Limits'!$AX$44="C1",DF29&lt;&gt;""),DF29*$G29*8.34,IF(AND(DF29&lt;&gt;"",'Outfall 1 Limits'!$AX$44="L"),DF29,""))</f>
        <v/>
      </c>
      <c r="GS29" s="206" t="str">
        <f>IF(AND($G29&lt;&gt;"",$G29&gt;0,'Outfall 1 Limits'!$AX$48="C1",DG29&lt;&gt;""),DG29*$G29*8.34,IF(AND(DG29&lt;&gt;"",'Outfall 1 Limits'!$AX$48="L"),DG29,""))</f>
        <v/>
      </c>
      <c r="GT29" s="206" t="str">
        <f>IF(AND($G29&lt;&gt;"",$G29&gt;0,'Outfall 1 Limits'!$AX$52="C1",DH29&lt;&gt;""),DH29*$G29*8.34,IF(AND(DH29&lt;&gt;"",'Outfall 1 Limits'!$AX$52="L"),DH29,""))</f>
        <v/>
      </c>
      <c r="GU29" s="206" t="str">
        <f>IF(AND($G29&lt;&gt;"",$G29&gt;0,'Outfall 1 Limits'!$AX$56="C1",DI29&lt;&gt;""),DI29*$G29*8.34,IF(AND(DI29&lt;&gt;"",'Outfall 1 Limits'!$AX$56="L"),DI29,""))</f>
        <v/>
      </c>
      <c r="GV29" s="206" t="str">
        <f>IF(AND($G29&lt;&gt;"",$G29&gt;0,'Outfall 1 Limits'!$AX$60="C1",DJ29&lt;&gt;""),DJ29*$G29*8.34,IF(AND(DJ29&lt;&gt;"",'Outfall 1 Limits'!$AX$60="L"),DJ29,""))</f>
        <v/>
      </c>
      <c r="GW29" s="206" t="str">
        <f>IF(AND($G29&lt;&gt;"",$G29&gt;0,'Outfall 1 Limits'!$AX$64="C1",DK29&lt;&gt;""),DK29*$G29*8.34,IF(AND(DK29&lt;&gt;"",'Outfall 1 Limits'!$AX$64="L"),DK29,""))</f>
        <v/>
      </c>
      <c r="GX29" s="206" t="str">
        <f>IF(AND($G29&lt;&gt;"",$G29&gt;0,'Outfall 1 Limits'!$AX$68="C1",DL29&lt;&gt;""),DL29*$G29*8.34,IF(AND(DL29&lt;&gt;"",'Outfall 1 Limits'!$AX$68="L"),DL29,""))</f>
        <v/>
      </c>
      <c r="GY29" s="206" t="str">
        <f>IF(AND($G29&lt;&gt;"",$G29&gt;0,'Outfall 1 Limits'!$AX$72="C1",DM29&lt;&gt;""),DM29*$G29*8.34,IF(AND(DM29&lt;&gt;"",'Outfall 1 Limits'!$AX$72="L"),DM29,""))</f>
        <v/>
      </c>
      <c r="GZ29" s="206" t="str">
        <f>IF(AND($G29&lt;&gt;"",$G29&gt;0,'Outfall 1 Limits'!$AX$76="C1",DN29&lt;&gt;""),DN29*$G29*8.34,IF(AND(DN29&lt;&gt;"",'Outfall 1 Limits'!$AX$76="L"),DN29,""))</f>
        <v/>
      </c>
      <c r="HA29" s="206" t="str">
        <f>IF(AND($G29&lt;&gt;"",$G29&gt;0,'Outfall 1 Limits'!$AX$80="C1",DO29&lt;&gt;""),DO29*$G29*8.34,IF(AND(DO29&lt;&gt;"",'Outfall 1 Limits'!$AX$80="L"),DO29,""))</f>
        <v/>
      </c>
      <c r="HB29" s="206" t="str">
        <f>IF(AND($G29&lt;&gt;"",$G29&gt;0,'Outfall 1 Limits'!$AX$84="C1",DP29&lt;&gt;""),DP29*$G29*8.34,IF(AND(DP29&lt;&gt;"",'Outfall 1 Limits'!$AX$84="L"),DP29,""))</f>
        <v/>
      </c>
      <c r="HC29" s="206" t="str">
        <f>IF(AND($G29&lt;&gt;"",$G29&gt;0,'Outfall 1 Limits'!$AX$88="C1",DQ29&lt;&gt;""),DQ29*$G29*8.34,IF(AND(DQ29&lt;&gt;"",'Outfall 1 Limits'!$AX$88="L"),DQ29,""))</f>
        <v/>
      </c>
      <c r="HD29" s="206" t="str">
        <f>IF(AND($G29&lt;&gt;"",$G29&gt;0,'Outfall 1 Limits'!$AX$92="C1",DR29&lt;&gt;""),DR29*$G29*8.34,IF(AND(DR29&lt;&gt;"",'Outfall 1 Limits'!$AX$92="L"),DR29,""))</f>
        <v/>
      </c>
      <c r="HE29" s="206" t="str">
        <f>IF(AND($G29&lt;&gt;"",$G29&gt;0,'Outfall 1 Limits'!$AX$96="C1",DS29&lt;&gt;""),DS29*$G29*8.34,IF(AND(DS29&lt;&gt;"",'Outfall 1 Limits'!$AX$96="L"),DS29,""))</f>
        <v/>
      </c>
      <c r="HF29" s="206" t="str">
        <f>IF(AND($G29&lt;&gt;"",$G29&gt;0,'Outfall 1 Limits'!$AX$100="C1",DT29&lt;&gt;""),DT29*$G29*8.34,IF(AND(DT29&lt;&gt;"",'Outfall 1 Limits'!$AX$100="L"),DT29,""))</f>
        <v/>
      </c>
      <c r="HG29" s="206" t="str">
        <f>IF(AND($G29&lt;&gt;"",$G29&gt;0,'Outfall 1 Limits'!$AX$104="C1",DU29&lt;&gt;""),DU29*$G29*8.34,IF(AND(DU29&lt;&gt;"",'Outfall 1 Limits'!$AX$104="L"),DU29,""))</f>
        <v/>
      </c>
      <c r="HH29" s="206" t="str">
        <f>IF(AND($G29&lt;&gt;"",$G29&gt;0,'Outfall 1 Limits'!$AX$108="C1",DV29&lt;&gt;""),DV29*$G29*8.34,IF(AND(DV29&lt;&gt;"",'Outfall 1 Limits'!$AX$108="L"),DV29,""))</f>
        <v/>
      </c>
      <c r="HI29" s="206" t="str">
        <f>IF(AND($G29&lt;&gt;"",$G29&gt;0,'Outfall 1 Limits'!$AX$112="C1",DW29&lt;&gt;""),DW29*$G29*8.34,IF(AND(DW29&lt;&gt;"",'Outfall 1 Limits'!$AX$112="L"),DW29,""))</f>
        <v/>
      </c>
      <c r="HJ29" s="206" t="str">
        <f>IF(AND($G29&lt;&gt;"",$G29&gt;0,'Outfall 1 Limits'!$AX$116="C1",DX29&lt;&gt;""),DX29*$G29*8.34,IF(AND(DX29&lt;&gt;"",'Outfall 1 Limits'!$AX$116="L"),DX29,""))</f>
        <v/>
      </c>
      <c r="HK29" s="206" t="str">
        <f>IF(AND($G29&lt;&gt;"",$G29&gt;0,'Outfall 1 Limits'!$AX$120="C1",DY29&lt;&gt;""),DY29*$G29*8.34,IF(AND(DY29&lt;&gt;"",'Outfall 1 Limits'!$AX$120="L"),DY29,""))</f>
        <v/>
      </c>
      <c r="HL29" s="206" t="str">
        <f>IF(AND($G29&lt;&gt;"",$G29&gt;0,'Outfall 1 Limits'!$AX$124="C1",DZ29&lt;&gt;""),DZ29*$G29*8.34,IF(AND(DZ29&lt;&gt;"",'Outfall 1 Limits'!$AX$124="L"),DZ29,""))</f>
        <v/>
      </c>
      <c r="HM29" s="223" t="str">
        <f>IF(AND($G29&lt;&gt;"",$G29&gt;0,'Outfall 1 Limits'!$AX$128="C1",EA29&lt;&gt;""),EA29*$G29*8.34,IF(AND(EA29&lt;&gt;"",'Outfall 1 Limits'!$AX$128="L"),EA29,""))</f>
        <v/>
      </c>
      <c r="HO29" s="224" t="str">
        <f t="shared" si="60"/>
        <v/>
      </c>
      <c r="HS29" s="202" t="str">
        <f t="shared" si="61"/>
        <v/>
      </c>
      <c r="HT29" s="196" t="str">
        <f t="shared" si="62"/>
        <v/>
      </c>
      <c r="HU29" s="196" t="str">
        <f t="shared" si="63"/>
        <v/>
      </c>
      <c r="HV29" s="196" t="str">
        <f t="shared" si="64"/>
        <v/>
      </c>
      <c r="HW29" s="196" t="str">
        <f t="shared" si="65"/>
        <v/>
      </c>
      <c r="HX29" s="196" t="str">
        <f t="shared" si="66"/>
        <v/>
      </c>
      <c r="HY29" s="196" t="str">
        <f t="shared" si="67"/>
        <v/>
      </c>
      <c r="HZ29" s="196" t="str">
        <f t="shared" si="68"/>
        <v/>
      </c>
      <c r="IA29" s="196" t="str">
        <f t="shared" si="69"/>
        <v/>
      </c>
      <c r="IB29" s="196" t="str">
        <f t="shared" si="70"/>
        <v/>
      </c>
      <c r="IC29" s="196" t="str">
        <f t="shared" si="71"/>
        <v/>
      </c>
      <c r="ID29" s="196" t="str">
        <f t="shared" si="72"/>
        <v/>
      </c>
      <c r="IE29" s="196" t="str">
        <f t="shared" si="73"/>
        <v/>
      </c>
      <c r="IF29" s="196" t="str">
        <f t="shared" si="74"/>
        <v/>
      </c>
      <c r="IG29" s="196" t="str">
        <f t="shared" si="75"/>
        <v/>
      </c>
      <c r="IH29" s="196" t="str">
        <f t="shared" si="76"/>
        <v/>
      </c>
      <c r="II29" s="196" t="str">
        <f t="shared" si="77"/>
        <v/>
      </c>
      <c r="IJ29" s="196" t="str">
        <f t="shared" si="78"/>
        <v/>
      </c>
      <c r="IK29" s="196" t="str">
        <f t="shared" si="79"/>
        <v/>
      </c>
      <c r="IL29" s="196" t="str">
        <f t="shared" si="80"/>
        <v/>
      </c>
      <c r="IM29" s="196" t="str">
        <f t="shared" si="81"/>
        <v/>
      </c>
      <c r="IN29" s="196" t="str">
        <f t="shared" si="82"/>
        <v/>
      </c>
      <c r="IO29" s="196" t="str">
        <f t="shared" si="83"/>
        <v/>
      </c>
      <c r="IP29" s="196" t="str">
        <f t="shared" si="84"/>
        <v/>
      </c>
      <c r="IQ29" s="196" t="str">
        <f t="shared" si="85"/>
        <v/>
      </c>
      <c r="IR29" s="196" t="str">
        <f t="shared" si="86"/>
        <v/>
      </c>
      <c r="IS29" s="196" t="str">
        <f t="shared" si="87"/>
        <v/>
      </c>
      <c r="IT29" s="196" t="str">
        <f t="shared" si="88"/>
        <v/>
      </c>
      <c r="IU29" s="210" t="str">
        <f t="shared" si="89"/>
        <v/>
      </c>
      <c r="IX29" s="202" t="str">
        <f t="shared" si="90"/>
        <v/>
      </c>
      <c r="IY29" s="196" t="str">
        <f t="shared" si="91"/>
        <v/>
      </c>
      <c r="IZ29" s="196" t="str">
        <f t="shared" si="92"/>
        <v/>
      </c>
      <c r="JA29" s="196" t="str">
        <f t="shared" si="93"/>
        <v/>
      </c>
      <c r="JB29" s="196" t="str">
        <f t="shared" si="94"/>
        <v/>
      </c>
      <c r="JC29" s="196" t="str">
        <f t="shared" si="95"/>
        <v/>
      </c>
      <c r="JD29" s="196" t="str">
        <f t="shared" si="96"/>
        <v/>
      </c>
      <c r="JE29" s="196" t="str">
        <f t="shared" si="97"/>
        <v/>
      </c>
      <c r="JF29" s="196" t="str">
        <f t="shared" si="98"/>
        <v/>
      </c>
      <c r="JG29" s="196" t="str">
        <f t="shared" si="99"/>
        <v/>
      </c>
      <c r="JH29" s="196" t="str">
        <f t="shared" si="100"/>
        <v/>
      </c>
      <c r="JI29" s="196" t="str">
        <f t="shared" si="101"/>
        <v/>
      </c>
      <c r="JJ29" s="196" t="str">
        <f t="shared" si="102"/>
        <v/>
      </c>
      <c r="JK29" s="196" t="str">
        <f t="shared" si="103"/>
        <v/>
      </c>
      <c r="JL29" s="196" t="str">
        <f t="shared" si="104"/>
        <v/>
      </c>
      <c r="JM29" s="196" t="str">
        <f t="shared" si="105"/>
        <v/>
      </c>
      <c r="JN29" s="196" t="str">
        <f t="shared" si="106"/>
        <v/>
      </c>
      <c r="JO29" s="196" t="str">
        <f t="shared" si="107"/>
        <v/>
      </c>
      <c r="JP29" s="196" t="str">
        <f t="shared" si="108"/>
        <v/>
      </c>
      <c r="JQ29" s="196" t="str">
        <f t="shared" si="109"/>
        <v/>
      </c>
      <c r="JR29" s="196" t="str">
        <f t="shared" si="110"/>
        <v/>
      </c>
      <c r="JS29" s="196" t="str">
        <f t="shared" si="111"/>
        <v/>
      </c>
      <c r="JT29" s="196" t="str">
        <f t="shared" si="112"/>
        <v/>
      </c>
      <c r="JU29" s="196" t="str">
        <f t="shared" si="113"/>
        <v/>
      </c>
      <c r="JV29" s="196" t="str">
        <f t="shared" si="114"/>
        <v/>
      </c>
      <c r="JW29" s="196" t="str">
        <f t="shared" si="115"/>
        <v/>
      </c>
      <c r="JX29" s="196" t="str">
        <f t="shared" si="116"/>
        <v/>
      </c>
      <c r="JY29" s="196" t="str">
        <f t="shared" si="117"/>
        <v/>
      </c>
      <c r="JZ29" s="210" t="str">
        <f t="shared" si="118"/>
        <v/>
      </c>
      <c r="KA29" s="196"/>
      <c r="KB29" s="176"/>
      <c r="KC29" s="227"/>
      <c r="KD29" s="218" t="str">
        <f t="shared" si="2"/>
        <v/>
      </c>
      <c r="KE29" s="196" t="str">
        <f t="shared" si="3"/>
        <v/>
      </c>
      <c r="KF29" s="196" t="str">
        <f t="shared" si="4"/>
        <v/>
      </c>
      <c r="KG29" s="196" t="str">
        <f t="shared" si="5"/>
        <v/>
      </c>
      <c r="KH29" s="196" t="str">
        <f t="shared" si="6"/>
        <v/>
      </c>
      <c r="KI29" s="196" t="str">
        <f t="shared" si="7"/>
        <v/>
      </c>
      <c r="KJ29" s="196" t="str">
        <f t="shared" si="8"/>
        <v/>
      </c>
      <c r="KK29" s="196" t="str">
        <f t="shared" si="9"/>
        <v/>
      </c>
      <c r="KL29" s="196" t="str">
        <f t="shared" si="10"/>
        <v/>
      </c>
      <c r="KM29" s="196" t="str">
        <f t="shared" si="11"/>
        <v/>
      </c>
      <c r="KN29" s="196" t="str">
        <f t="shared" si="12"/>
        <v/>
      </c>
      <c r="KO29" s="196" t="str">
        <f t="shared" si="13"/>
        <v/>
      </c>
      <c r="KP29" s="196" t="str">
        <f t="shared" si="14"/>
        <v/>
      </c>
      <c r="KQ29" s="196" t="str">
        <f t="shared" si="15"/>
        <v/>
      </c>
      <c r="KR29" s="196" t="str">
        <f t="shared" si="16"/>
        <v/>
      </c>
      <c r="KS29" s="196" t="str">
        <f t="shared" si="17"/>
        <v/>
      </c>
      <c r="KT29" s="196" t="str">
        <f t="shared" si="18"/>
        <v/>
      </c>
      <c r="KU29" s="196" t="str">
        <f t="shared" si="19"/>
        <v/>
      </c>
      <c r="KV29" s="196" t="str">
        <f t="shared" si="20"/>
        <v/>
      </c>
      <c r="KW29" s="196" t="str">
        <f t="shared" si="21"/>
        <v/>
      </c>
      <c r="KX29" s="196" t="str">
        <f t="shared" si="22"/>
        <v/>
      </c>
      <c r="KY29" s="196" t="str">
        <f t="shared" si="23"/>
        <v/>
      </c>
      <c r="KZ29" s="196" t="str">
        <f t="shared" si="24"/>
        <v/>
      </c>
      <c r="LA29" s="196" t="str">
        <f t="shared" si="25"/>
        <v/>
      </c>
      <c r="LB29" s="196" t="str">
        <f t="shared" si="26"/>
        <v/>
      </c>
      <c r="LC29" s="196" t="str">
        <f t="shared" si="27"/>
        <v/>
      </c>
      <c r="LD29" s="196" t="str">
        <f t="shared" si="28"/>
        <v/>
      </c>
      <c r="LE29" s="196" t="str">
        <f t="shared" si="29"/>
        <v/>
      </c>
      <c r="LF29" s="226" t="str">
        <f t="shared" si="30"/>
        <v/>
      </c>
    </row>
    <row r="30" spans="1:318" s="172" customFormat="1" ht="11.45" customHeight="1" thickTop="1" x14ac:dyDescent="0.2">
      <c r="A30" s="35"/>
      <c r="B30" s="54"/>
      <c r="C30" s="438">
        <f t="shared" si="0"/>
        <v>45304</v>
      </c>
      <c r="D30" s="438"/>
      <c r="E30" s="430">
        <f t="shared" si="119"/>
        <v>45304</v>
      </c>
      <c r="F30" s="431"/>
      <c r="G30" s="26"/>
      <c r="H30" s="51"/>
      <c r="I30" s="50"/>
      <c r="J30" s="51"/>
      <c r="K30" s="50"/>
      <c r="L30" s="51"/>
      <c r="M30" s="50"/>
      <c r="N30" s="51"/>
      <c r="O30" s="50"/>
      <c r="P30" s="51"/>
      <c r="Q30" s="50"/>
      <c r="R30" s="51"/>
      <c r="S30" s="50"/>
      <c r="T30" s="51"/>
      <c r="U30" s="50"/>
      <c r="V30" s="51"/>
      <c r="W30" s="50"/>
      <c r="X30" s="276"/>
      <c r="Y30" s="50"/>
      <c r="Z30" s="51"/>
      <c r="AA30" s="50"/>
      <c r="AB30" s="51"/>
      <c r="AC30" s="50"/>
      <c r="AD30" s="51"/>
      <c r="AE30" s="50"/>
      <c r="AF30" s="51"/>
      <c r="AG30" s="50"/>
      <c r="AH30" s="51"/>
      <c r="AI30" s="50"/>
      <c r="AJ30" s="51"/>
      <c r="AK30" s="50"/>
      <c r="AL30" s="51"/>
      <c r="AM30" s="50"/>
      <c r="AN30" s="51"/>
      <c r="AO30" s="50"/>
      <c r="AP30" s="51"/>
      <c r="AQ30" s="50"/>
      <c r="AR30" s="51"/>
      <c r="AS30" s="50"/>
      <c r="AT30" s="51"/>
      <c r="AU30" s="50"/>
      <c r="AV30" s="51"/>
      <c r="AW30" s="50"/>
      <c r="AX30" s="51"/>
      <c r="AY30" s="50"/>
      <c r="AZ30" s="51"/>
      <c r="BA30" s="50"/>
      <c r="BB30" s="51"/>
      <c r="BC30" s="50"/>
      <c r="BD30" s="51"/>
      <c r="BE30" s="50"/>
      <c r="BF30" s="51"/>
      <c r="BG30" s="50"/>
      <c r="BH30" s="51"/>
      <c r="BI30" s="50"/>
      <c r="BJ30" s="51"/>
      <c r="BK30" s="50"/>
      <c r="BL30" s="51"/>
      <c r="BM30" s="109"/>
      <c r="BO30" s="174"/>
      <c r="BP30" s="174">
        <v>2049</v>
      </c>
      <c r="BQ30" s="179" t="s">
        <v>45</v>
      </c>
      <c r="BR30" s="174"/>
      <c r="BS30" s="174" t="s">
        <v>1117</v>
      </c>
      <c r="BU30" s="202" t="str">
        <f t="shared" si="31"/>
        <v/>
      </c>
      <c r="BV30" s="196" t="str">
        <f t="shared" si="32"/>
        <v/>
      </c>
      <c r="BW30" s="196" t="str">
        <f t="shared" si="33"/>
        <v/>
      </c>
      <c r="BX30" s="196" t="str">
        <f t="shared" si="34"/>
        <v/>
      </c>
      <c r="BY30" s="196" t="str">
        <f t="shared" si="35"/>
        <v/>
      </c>
      <c r="BZ30" s="196" t="str">
        <f t="shared" si="36"/>
        <v/>
      </c>
      <c r="CA30" s="196" t="str">
        <f t="shared" si="37"/>
        <v/>
      </c>
      <c r="CB30" s="196" t="str">
        <f t="shared" si="38"/>
        <v/>
      </c>
      <c r="CC30" s="196" t="str">
        <f t="shared" si="39"/>
        <v/>
      </c>
      <c r="CD30" s="196" t="str">
        <f t="shared" si="40"/>
        <v/>
      </c>
      <c r="CE30" s="196" t="str">
        <f t="shared" si="41"/>
        <v/>
      </c>
      <c r="CF30" s="196" t="str">
        <f t="shared" si="42"/>
        <v/>
      </c>
      <c r="CG30" s="196" t="str">
        <f t="shared" si="43"/>
        <v/>
      </c>
      <c r="CH30" s="196" t="str">
        <f t="shared" si="44"/>
        <v/>
      </c>
      <c r="CI30" s="196" t="str">
        <f t="shared" si="45"/>
        <v/>
      </c>
      <c r="CJ30" s="196" t="str">
        <f t="shared" si="46"/>
        <v/>
      </c>
      <c r="CK30" s="196" t="str">
        <f t="shared" si="47"/>
        <v/>
      </c>
      <c r="CL30" s="196" t="str">
        <f t="shared" si="48"/>
        <v/>
      </c>
      <c r="CM30" s="196" t="str">
        <f t="shared" si="120"/>
        <v/>
      </c>
      <c r="CN30" s="196" t="str">
        <f t="shared" si="49"/>
        <v/>
      </c>
      <c r="CO30" s="196" t="str">
        <f t="shared" si="50"/>
        <v/>
      </c>
      <c r="CP30" s="196" t="str">
        <f t="shared" si="51"/>
        <v/>
      </c>
      <c r="CQ30" s="196" t="str">
        <f t="shared" si="52"/>
        <v/>
      </c>
      <c r="CR30" s="196" t="str">
        <f t="shared" si="53"/>
        <v/>
      </c>
      <c r="CS30" s="196" t="str">
        <f t="shared" si="54"/>
        <v/>
      </c>
      <c r="CT30" s="196" t="str">
        <f t="shared" si="55"/>
        <v/>
      </c>
      <c r="CU30" s="196" t="str">
        <f t="shared" si="56"/>
        <v/>
      </c>
      <c r="CV30" s="196" t="str">
        <f t="shared" si="57"/>
        <v/>
      </c>
      <c r="CW30" s="210" t="str">
        <f t="shared" si="58"/>
        <v/>
      </c>
      <c r="CY30" s="212" t="str">
        <f>IF(I30&lt;&gt;"",IF(H30="&lt;",IF(AND('Outfall 1 Limits'!$AM$16="Y",$BU$54&lt;&gt;"Y",I30&lt;='Outfall 1 Limits'!$AL$16),0,(1*I30)),I30),"")</f>
        <v/>
      </c>
      <c r="CZ30" s="206" t="str">
        <f>IF(K30&lt;&gt;"",IF(J30="&lt;",IF(AND('Outfall 1 Limits'!$AM$20="Y",$BV$54&lt;&gt;"Y",K30&lt;='Outfall 1 Limits'!$AL$20),0,(1*K30)),K30),"")</f>
        <v/>
      </c>
      <c r="DA30" s="206" t="str">
        <f>IF(M30&lt;&gt;"",IF(L30="&lt;",IF(AND('Outfall 1 Limits'!$AM$24="Y",$BW$54&lt;&gt;"Y",M30&lt;='Outfall 1 Limits'!$AL$24),0,(1*M30)),M30),"")</f>
        <v/>
      </c>
      <c r="DB30" s="206" t="str">
        <f>IF(O30&lt;&gt;"",IF(N30="&lt;",IF(AND('Outfall 1 Limits'!$AM$28="Y",$BX$54&lt;&gt;"Y",O30&lt;='Outfall 1 Limits'!$AL$28),0,(1*O30)),O30),"")</f>
        <v/>
      </c>
      <c r="DC30" s="206" t="str">
        <f>IF(Q30&lt;&gt;"",IF(P30="&lt;",IF(AND('Outfall 1 Limits'!$AM$32="Y",$BY$54&lt;&gt;"Y",Q30&lt;='Outfall 1 Limits'!$AL$32),0,(1*Q30)),Q30),"")</f>
        <v/>
      </c>
      <c r="DD30" s="206" t="str">
        <f>IF(S30&lt;&gt;"",IF(R30="&lt;",IF(AND('Outfall 1 Limits'!$AM$36="Y",$BZ$54&lt;&gt;"Y",S30&lt;='Outfall 1 Limits'!$AL$36),0,(1*S30)),S30),"")</f>
        <v/>
      </c>
      <c r="DE30" s="206" t="str">
        <f>IF(U30&lt;&gt;"",IF(T30="&lt;",IF(AND('Outfall 1 Limits'!$AM$40="Y",$CA$54&lt;&gt;"Y",U30&lt;='Outfall 1 Limits'!$AL$40),0,(1*U30)),U30),"")</f>
        <v/>
      </c>
      <c r="DF30" s="206" t="str">
        <f>IF(W30&lt;&gt;"",IF(V30="&lt;",IF(AND('Outfall 1 Limits'!$AM$44="Y",$CB$54&lt;&gt;"Y",W30&lt;='Outfall 1 Limits'!$AL$44),0,(1*W30)),W30),"")</f>
        <v/>
      </c>
      <c r="DG30" s="206" t="str">
        <f>IF(Y30&lt;&gt;"",IF(X30="&lt;",IF(AND('Outfall 1 Limits'!$AM$48="Y",$CC$54&lt;&gt;"Y",Y30&lt;='Outfall 1 Limits'!$AL$48),0,(1*Y30)),Y30),"")</f>
        <v/>
      </c>
      <c r="DH30" s="206" t="str">
        <f>IF(AA30&lt;&gt;"",IF(Z30="&lt;",IF(AND('Outfall 1 Limits'!$AM$52="Y",$CD$54&lt;&gt;"Y",AA30&lt;='Outfall 1 Limits'!$AL$52),0,(1*AA30)),AA30),"")</f>
        <v/>
      </c>
      <c r="DI30" s="206" t="str">
        <f>IF(AC30&lt;&gt;"",IF(AB30="&lt;",IF(AND('Outfall 1 Limits'!$AM$56="Y",$CE$54&lt;&gt;"Y",AC30&lt;='Outfall 1 Limits'!$AL$56),0,(1*AC30)),AC30),"")</f>
        <v/>
      </c>
      <c r="DJ30" s="206" t="str">
        <f>IF(AE30&lt;&gt;"",IF(AD30="&lt;",IF(AND('Outfall 1 Limits'!$AM$60="Y",$CF$54&lt;&gt;"Y",AE30&lt;='Outfall 1 Limits'!$AL$60),0,(1*AE30)),AE30),"")</f>
        <v/>
      </c>
      <c r="DK30" s="206" t="str">
        <f>IF(AG30&lt;&gt;"",IF(AF30="&lt;",IF(AND('Outfall 1 Limits'!$AM$64="Y",$CG$54&lt;&gt;"Y",AG30&lt;='Outfall 1 Limits'!$AL$64),0,(1*AG30)),AG30),"")</f>
        <v/>
      </c>
      <c r="DL30" s="206" t="str">
        <f>IF(AI30&lt;&gt;"",IF(AH30="&lt;",IF(AND('Outfall 1 Limits'!$AM$68="Y",$CH$54&lt;&gt;"Y",AI30&lt;='Outfall 1 Limits'!$AL$68),0,(1*AI30)),AI30),"")</f>
        <v/>
      </c>
      <c r="DM30" s="206" t="str">
        <f>IF(AK30&lt;&gt;"",IF(AJ30="&lt;",IF(AND('Outfall 1 Limits'!$AM$72="Y",$CI$54&lt;&gt;"Y",AK30&lt;='Outfall 1 Limits'!$AL$72),0,(1*AK30)),AK30),"")</f>
        <v/>
      </c>
      <c r="DN30" s="206" t="str">
        <f>IF(AM30&lt;&gt;"",IF(AL30="&lt;",IF(AND('Outfall 1 Limits'!$AM$76="Y",$CJ$54&lt;&gt;"Y",AM30&lt;='Outfall 1 Limits'!$AL$76),0,(1*AM30)),AM30),"")</f>
        <v/>
      </c>
      <c r="DO30" s="206" t="str">
        <f>IF(AO30&lt;&gt;"",IF(AN30="&lt;",IF(AND('Outfall 1 Limits'!$AM$80="Y",$CK$54&lt;&gt;"Y",AO30&lt;='Outfall 1 Limits'!$AL$80),0,(1*AO30)),AO30),"")</f>
        <v/>
      </c>
      <c r="DP30" s="206" t="str">
        <f>IF(AQ30&lt;&gt;"",IF(AP30="&lt;",IF(AND('Outfall 1 Limits'!$AM$84="Y",$CL$54&lt;&gt;"Y",AQ30&lt;='Outfall 1 Limits'!$AL$84),0,(1*AQ30)),AQ30),"")</f>
        <v/>
      </c>
      <c r="DQ30" s="206" t="str">
        <f>IF(AS30&lt;&gt;"",IF(AR30="&lt;",IF(AND('Outfall 1 Limits'!$AM$88="Y",$CM$54&lt;&gt;"Y",AS30&lt;='Outfall 1 Limits'!$AL$88),0,(1*AS30)),AS30),"")</f>
        <v/>
      </c>
      <c r="DR30" s="206" t="str">
        <f>IF(AU30&lt;&gt;"",IF(AT30="&lt;",IF(AND('Outfall 1 Limits'!$AM$92="Y",$CN$54&lt;&gt;"Y",AU30&lt;='Outfall 1 Limits'!$AL$92),0,(1*AU30)),AU30),"")</f>
        <v/>
      </c>
      <c r="DS30" s="206" t="str">
        <f>IF(AW30&lt;&gt;"",IF(AV30="&lt;",IF(AND('Outfall 1 Limits'!$AM$96="Y",$CO$54&lt;&gt;"Y",AW30&lt;='Outfall 1 Limits'!$AL$96),0,(1*AW30)),AW30),"")</f>
        <v/>
      </c>
      <c r="DT30" s="206" t="str">
        <f>IF(AY30&lt;&gt;"",IF(AX30="&lt;",IF(AND('Outfall 1 Limits'!$AM$100="Y",$CP$54&lt;&gt;"Y",AY30&lt;='Outfall 1 Limits'!$AL$100),0,(1*AY30)),AY30),"")</f>
        <v/>
      </c>
      <c r="DU30" s="206" t="str">
        <f>IF(BA30&lt;&gt;"",IF(AZ30="&lt;",IF(AND('Outfall 1 Limits'!$AM$104="Y",$CQ$54&lt;&gt;"Y",BA30&lt;='Outfall 1 Limits'!$AL$104),0,(1*BA30)),BA30),"")</f>
        <v/>
      </c>
      <c r="DV30" s="206" t="str">
        <f>IF(BC30&lt;&gt;"",IF(BB30="&lt;",IF(AND('Outfall 1 Limits'!$AM$108="Y",$CR$54&lt;&gt;"Y",BC30&lt;='Outfall 1 Limits'!$AL$108),0,(1*BC30)),BC30),"")</f>
        <v/>
      </c>
      <c r="DW30" s="206" t="str">
        <f>IF(BE30&lt;&gt;"",IF(BD30="&lt;",IF(AND('Outfall 1 Limits'!$AM$112="Y",$CS$54&lt;&gt;"Y",BE30&lt;='Outfall 1 Limits'!$AL$112),0,(1*BE30)),BE30),"")</f>
        <v/>
      </c>
      <c r="DX30" s="206" t="str">
        <f>IF(BG30&lt;&gt;"",IF(BF30="&lt;",IF(AND('Outfall 1 Limits'!$AM$116="Y",$CT$54&lt;&gt;"Y",BG30&lt;='Outfall 1 Limits'!$AL$116),0,(1*BG30)),BG30),"")</f>
        <v/>
      </c>
      <c r="DY30" s="206" t="str">
        <f>IF(BI30&lt;&gt;"",IF(BH30="&lt;",IF(AND('Outfall 1 Limits'!$AM$120="Y",$CU$54&lt;&gt;"Y",BI30&lt;='Outfall 1 Limits'!$AL$120),0,(1*BI30)),BI30),"")</f>
        <v/>
      </c>
      <c r="DZ30" s="206" t="str">
        <f>IF(BK30&lt;&gt;"",IF(BJ30="&lt;",IF(AND('Outfall 1 Limits'!$AM$124="Y",$CV$54&lt;&gt;"Y",BK30&lt;='Outfall 1 Limits'!$AL$124),0,(1*BK30)),BK30),"")</f>
        <v/>
      </c>
      <c r="EA30" s="223" t="str">
        <f>IF(BM30&lt;&gt;"",IF(BL30="&lt;",IF(AND('Outfall 1 Limits'!$AM$128="Y",$CW$54&lt;&gt;"Y",BM30&lt;='Outfall 1 Limits'!$AL$128),0,(1*BM30)),BM30),"")</f>
        <v/>
      </c>
      <c r="EB30" s="176"/>
      <c r="EC30" s="189">
        <v>1</v>
      </c>
      <c r="ED30" s="190">
        <v>2</v>
      </c>
      <c r="EE30" s="190">
        <v>3</v>
      </c>
      <c r="EF30" s="190">
        <v>4</v>
      </c>
      <c r="EG30" s="190">
        <v>5</v>
      </c>
      <c r="EH30" s="190">
        <v>6</v>
      </c>
      <c r="EI30" s="190">
        <v>7</v>
      </c>
      <c r="EJ30" s="190">
        <v>8</v>
      </c>
      <c r="EK30" s="190">
        <v>9</v>
      </c>
      <c r="EL30" s="190">
        <v>10</v>
      </c>
      <c r="EM30" s="190">
        <v>11</v>
      </c>
      <c r="EN30" s="190">
        <v>12</v>
      </c>
      <c r="EO30" s="190">
        <v>13</v>
      </c>
      <c r="EP30" s="190">
        <v>14</v>
      </c>
      <c r="EQ30" s="190">
        <v>15</v>
      </c>
      <c r="ER30" s="190">
        <v>16</v>
      </c>
      <c r="ES30" s="190">
        <v>17</v>
      </c>
      <c r="ET30" s="190">
        <v>18</v>
      </c>
      <c r="EU30" s="190">
        <v>19</v>
      </c>
      <c r="EV30" s="190">
        <v>20</v>
      </c>
      <c r="EW30" s="190">
        <v>21</v>
      </c>
      <c r="EX30" s="190">
        <v>22</v>
      </c>
      <c r="EY30" s="190">
        <v>23</v>
      </c>
      <c r="EZ30" s="190">
        <v>24</v>
      </c>
      <c r="FA30" s="190">
        <v>25</v>
      </c>
      <c r="FB30" s="190">
        <v>26</v>
      </c>
      <c r="FC30" s="190">
        <v>27</v>
      </c>
      <c r="FD30" s="190">
        <v>28</v>
      </c>
      <c r="FE30" s="191">
        <v>29</v>
      </c>
      <c r="FG30" s="212" t="str">
        <f>IF(AND($G30&lt;&gt;"",$G30&gt;0,'Outfall 1 Limits'!$AX$16="C1",I30&lt;&gt;""),I30*$G30*8.34,IF(AND($I30&lt;&gt;"",'Outfall 1 Limits'!$AX$16="L"),I30,""))</f>
        <v/>
      </c>
      <c r="FH30" s="206" t="str">
        <f>IF(AND($G30&lt;&gt;"",$G30&gt;0,'Outfall 1 Limits'!$AX$20="C1",$K30&lt;&gt;""),$K30*$G30*8.34,IF(AND($K30&lt;&gt;"",'Outfall 1 Limits'!$AX$20="L"),$K30,""))</f>
        <v/>
      </c>
      <c r="FI30" s="206" t="str">
        <f>IF(AND($G30&lt;&gt;"",$G30&gt;0,'Outfall 1 Limits'!$AX$24="C1",$M30&lt;&gt;""),$M30*$G30*8.34,IF(AND($M30&lt;&gt;"",'Outfall 1 Limits'!$AX$24="L"),$M30,""))</f>
        <v/>
      </c>
      <c r="FJ30" s="206" t="str">
        <f>IF(AND($G30&lt;&gt;"",$G30&gt;0,'Outfall 1 Limits'!$AX$28="C1",$O30&lt;&gt;""),$O30*$G30*8.34,IF(AND($O30&lt;&gt;"",'Outfall 1 Limits'!$AX$28="L"),$O30,""))</f>
        <v/>
      </c>
      <c r="FK30" s="206" t="str">
        <f>IF(AND($G30&lt;&gt;"",$G30&gt;0,'Outfall 1 Limits'!$AX$32="C1",$Q30&lt;&gt;""),$Q30*$G30*8.34,IF(AND($Q30&lt;&gt;"",'Outfall 1 Limits'!$AX$32="L"),$Q30,""))</f>
        <v/>
      </c>
      <c r="FL30" s="206" t="str">
        <f>IF(AND($G30&lt;&gt;"",$G30&gt;0,'Outfall 1 Limits'!$AX$36="C1",$S30&lt;&gt;""),$S30*$G30*8.34,IF(AND($S30&lt;&gt;"",'Outfall 1 Limits'!$AX$36="L"),$S30,""))</f>
        <v/>
      </c>
      <c r="FM30" s="206" t="str">
        <f>IF(AND($G30&lt;&gt;"",$G30&gt;0,'Outfall 1 Limits'!$AX$40="C1",$U30&lt;&gt;""),$U30*$G30*8.34,IF(AND($U30&lt;&gt;"",'Outfall 1 Limits'!$AX$40="L"),$U30,""))</f>
        <v/>
      </c>
      <c r="FN30" s="206" t="str">
        <f>IF(AND($G30&lt;&gt;"",$G30&gt;0,'Outfall 1 Limits'!$AX$44="C1",$W30&lt;&gt;""),$W30*$G30*8.34,IF(AND($W30&lt;&gt;"",'Outfall 1 Limits'!$AX$44="L"),$W30,""))</f>
        <v/>
      </c>
      <c r="FO30" s="206" t="str">
        <f>IF(AND($G30&lt;&gt;"",$G30&gt;0,'Outfall 1 Limits'!$AX$48="C1",$Y30&lt;&gt;""),$Y30*$G30*8.34,IF(AND($Y30&lt;&gt;"",'Outfall 1 Limits'!$AX$48="L"),$Y30,""))</f>
        <v/>
      </c>
      <c r="FP30" s="206" t="str">
        <f>IF(AND($G30&lt;&gt;"",$G30&gt;0,'Outfall 1 Limits'!$AX$52="C1",$AA30&lt;&gt;""),$AA30*$G30*8.34,IF(AND($AA30&lt;&gt;"",'Outfall 1 Limits'!$AX$52="L"),$AA30,""))</f>
        <v/>
      </c>
      <c r="FQ30" s="206" t="str">
        <f>IF(AND($G30&lt;&gt;"",$G30&gt;0,'Outfall 1 Limits'!$AX$56="C1",$AC30&lt;&gt;""),$AC30*$G30*8.34,IF(AND($AC30&lt;&gt;"",'Outfall 1 Limits'!$AX$56="L"),$AC30,""))</f>
        <v/>
      </c>
      <c r="FR30" s="206" t="str">
        <f>IF(AND($G30&lt;&gt;"",$G30&gt;0,'Outfall 1 Limits'!$AX$60="C1",$AE30&lt;&gt;""),$AE30*$G30*8.34,IF(AND($AE30&lt;&gt;"",'Outfall 1 Limits'!$AX$60="L"),$AE30,""))</f>
        <v/>
      </c>
      <c r="FS30" s="206" t="str">
        <f>IF(AND($G30&lt;&gt;"",$G30&gt;0,'Outfall 1 Limits'!$AX$64="C1",$AG30&lt;&gt;""),$AG30*$G30*8.34,IF(AND($AG30&lt;&gt;"",'Outfall 1 Limits'!$AX$64="L"),$AG30,""))</f>
        <v/>
      </c>
      <c r="FT30" s="206" t="str">
        <f>IF(AND($G30&lt;&gt;"",$G30&gt;0,'Outfall 1 Limits'!$AX$68="C1",$AI30&lt;&gt;""),$AI30*$G30*8.34,IF(AND($AI30&lt;&gt;"",'Outfall 1 Limits'!$AX$68="L"),$AI30,""))</f>
        <v/>
      </c>
      <c r="FU30" s="206" t="str">
        <f>IF(AND($G30&lt;&gt;"",$G30&gt;0,'Outfall 1 Limits'!$AX$72="C1",$AK30&lt;&gt;""),$AK30*$G30*8.34,IF(AND($AK30&lt;&gt;"",'Outfall 1 Limits'!$AX$72="L"),$AK30,""))</f>
        <v/>
      </c>
      <c r="FV30" s="206" t="str">
        <f>IF(AND($G30&lt;&gt;"",$G30&gt;0,'Outfall 1 Limits'!$AX$76="C1",$AM30&lt;&gt;""),$AM30*$G30*8.34,IF(AND($AM30&lt;&gt;"",'Outfall 1 Limits'!$AX$76="L"),$AM30,""))</f>
        <v/>
      </c>
      <c r="FW30" s="206" t="str">
        <f>IF(AND($G30&lt;&gt;"",$G30&gt;0,'Outfall 1 Limits'!$AX$80="C1",$AO30&lt;&gt;""),$AO30*$G30*8.34,IF(AND($AO30&lt;&gt;"",'Outfall 1 Limits'!$AX$80="L"),$AO30,""))</f>
        <v/>
      </c>
      <c r="FX30" s="206" t="str">
        <f>IF(AND($G30&lt;&gt;"",$G30&gt;0,'Outfall 1 Limits'!$AX$84="C1",$AQ30&lt;&gt;""),$AQ30*$G30*8.34,IF(AND($AQ30&lt;&gt;"",'Outfall 1 Limits'!$AX$84="L"),$AQ30,""))</f>
        <v/>
      </c>
      <c r="FY30" s="206" t="str">
        <f>IF(AND($G30&lt;&gt;"",$G30&gt;0,'Outfall 1 Limits'!$AX$88="C1",$AS30&lt;&gt;""),$AS30*$G30*8.34,IF(AND($AS30&lt;&gt;"",'Outfall 1 Limits'!$AX$88="L"),$AS30,""))</f>
        <v/>
      </c>
      <c r="FZ30" s="206" t="str">
        <f>IF(AND($G30&lt;&gt;"",$G30&gt;0,'Outfall 1 Limits'!$AX$92="C1",$AU30&lt;&gt;""),$AU30*$G30*8.34,IF(AND($AU30&lt;&gt;"",'Outfall 1 Limits'!$AX$92="L"),$AU30,""))</f>
        <v/>
      </c>
      <c r="GA30" s="206" t="str">
        <f>IF(AND($G30&lt;&gt;"",$G30&gt;0,'Outfall 1 Limits'!$AX$96="C1",$AW30&lt;&gt;""),$AW30*$G30*8.34,IF(AND($AW30&lt;&gt;"",'Outfall 1 Limits'!$AX$96="L"),$AW30,""))</f>
        <v/>
      </c>
      <c r="GB30" s="206" t="str">
        <f>IF(AND($G30&lt;&gt;"",$G30&gt;0,'Outfall 1 Limits'!$AX$100="C1",$AY30&lt;&gt;""),$AY30*$G30*8.34,IF(AND($AY30&lt;&gt;"",'Outfall 1 Limits'!$AX$100="L"),$AY30,""))</f>
        <v/>
      </c>
      <c r="GC30" s="206" t="str">
        <f>IF(AND($G30&lt;&gt;"",$G30&gt;0,'Outfall 1 Limits'!$AX$104="C1",$BA30&lt;&gt;""),$BA30*$G30*8.34,IF(AND($BA30&lt;&gt;"",'Outfall 1 Limits'!$AX$104="L"),$BA30,""))</f>
        <v/>
      </c>
      <c r="GD30" s="206" t="str">
        <f>IF(AND($G30&lt;&gt;"",$G30&gt;0,'Outfall 1 Limits'!$AX$108="C1",$BC30&lt;&gt;""),$BC30*$G30*8.34,IF(AND($BC30&lt;&gt;"",'Outfall 1 Limits'!$AX$108="L"),$BC30,""))</f>
        <v/>
      </c>
      <c r="GE30" s="206" t="str">
        <f>IF(AND($G30&lt;&gt;"",$G30&gt;0,'Outfall 1 Limits'!$AX$112="C1",$BE30&lt;&gt;""),$BE30*$G30*8.34,IF(AND($BE30&lt;&gt;"",'Outfall 1 Limits'!$AX$112="L"),$BE30,""))</f>
        <v/>
      </c>
      <c r="GF30" s="206" t="str">
        <f>IF(AND($G30&lt;&gt;"",$G30&gt;0,'Outfall 1 Limits'!$AX$116="C1",$BG30&lt;&gt;""),$BG30*$G30*8.34,IF(AND($BG30&lt;&gt;"",'Outfall 1 Limits'!$AX$116="L"),$BG30,""))</f>
        <v/>
      </c>
      <c r="GG30" s="206" t="str">
        <f>IF(AND($G30&lt;&gt;"",$G30&gt;0,'Outfall 1 Limits'!$AX$120="C1",$BI30&lt;&gt;""),$BI30*$G30*8.34,IF(AND($BI30&lt;&gt;"",'Outfall 1 Limits'!$AX$120="L"),$BI30,""))</f>
        <v/>
      </c>
      <c r="GH30" s="206" t="str">
        <f>IF(AND($G30&lt;&gt;"",$G30&gt;0,'Outfall 1 Limits'!$AX$124="C1",$BK30&lt;&gt;""),$BK30*$G30*8.34,IF(AND($BK30&lt;&gt;"",'Outfall 1 Limits'!$AX$124="L"),$BK30,""))</f>
        <v/>
      </c>
      <c r="GI30" s="223" t="str">
        <f>IF(AND($G30&lt;&gt;"",$G30&gt;0,'Outfall 1 Limits'!$AX$128="C1",$BM30&lt;&gt;""),$BM30*$G30*8.34,IF(AND($BM30&lt;&gt;"",'Outfall 1 Limits'!$AX$128="L"),$BM30,""))</f>
        <v/>
      </c>
      <c r="GJ30" s="177" t="str">
        <f t="shared" si="59"/>
        <v/>
      </c>
      <c r="GK30" s="212" t="str">
        <f>IF(AND($G30&lt;&gt;"",$G30&gt;0,'Outfall 1 Limits'!$AX$16="C1",CY30&lt;&gt;""),CY30*$G30*8.34,IF(AND(CY30&lt;&gt;"",'Outfall 1 Limits'!$AX$16="L"),CY30,""))</f>
        <v/>
      </c>
      <c r="GL30" s="206" t="str">
        <f>IF(AND($G30&lt;&gt;"",$G30&gt;0,'Outfall 1 Limits'!$AX$20="C1",CZ30&lt;&gt;""),CZ30*$G30*8.34,IF(AND(CZ30&lt;&gt;"",'Outfall 1 Limits'!$AX$20="L"),CZ30,""))</f>
        <v/>
      </c>
      <c r="GM30" s="206" t="str">
        <f>IF(AND($G30&lt;&gt;"",$G30&gt;0,'Outfall 1 Limits'!$AX$24="C1",DA30&lt;&gt;""),DA30*$G30*8.34,IF(AND(DA30&lt;&gt;"",'Outfall 1 Limits'!$AX$24="L"),DA30,""))</f>
        <v/>
      </c>
      <c r="GN30" s="206" t="str">
        <f>IF(AND($G30&lt;&gt;"",$G30&gt;0,'Outfall 1 Limits'!$AX$28="C1",DB30&lt;&gt;""),DB30*$G30*8.34,IF(AND(DB30&lt;&gt;"",'Outfall 1 Limits'!$AX$28="L"),DB30,""))</f>
        <v/>
      </c>
      <c r="GO30" s="206" t="str">
        <f>IF(AND($G30&lt;&gt;"",$G30&gt;0,'Outfall 1 Limits'!$AX$32="C1",DC30&lt;&gt;""),DC30*$G30*8.34,IF(AND(DC30&lt;&gt;"",'Outfall 1 Limits'!$AX$32="L"),DC30,""))</f>
        <v/>
      </c>
      <c r="GP30" s="206" t="str">
        <f>IF(AND($G30&lt;&gt;"",$G30&gt;0,'Outfall 1 Limits'!$AX$36="C1",DD30&lt;&gt;""),DD30*$G30*8.34,IF(AND(DD30&lt;&gt;"",'Outfall 1 Limits'!$AX$36="L"),DD30,""))</f>
        <v/>
      </c>
      <c r="GQ30" s="206" t="str">
        <f>IF(AND($G30&lt;&gt;"",$G30&gt;0,'Outfall 1 Limits'!$AX$40="C1",DE30&lt;&gt;""),DE30*$G30*8.34,IF(AND(DE30&lt;&gt;"",'Outfall 1 Limits'!$AX$40="L"),DE30,""))</f>
        <v/>
      </c>
      <c r="GR30" s="206" t="str">
        <f>IF(AND($G30&lt;&gt;"",$G30&gt;0,'Outfall 1 Limits'!$AX$44="C1",DF30&lt;&gt;""),DF30*$G30*8.34,IF(AND(DF30&lt;&gt;"",'Outfall 1 Limits'!$AX$44="L"),DF30,""))</f>
        <v/>
      </c>
      <c r="GS30" s="206" t="str">
        <f>IF(AND($G30&lt;&gt;"",$G30&gt;0,'Outfall 1 Limits'!$AX$48="C1",DG30&lt;&gt;""),DG30*$G30*8.34,IF(AND(DG30&lt;&gt;"",'Outfall 1 Limits'!$AX$48="L"),DG30,""))</f>
        <v/>
      </c>
      <c r="GT30" s="206" t="str">
        <f>IF(AND($G30&lt;&gt;"",$G30&gt;0,'Outfall 1 Limits'!$AX$52="C1",DH30&lt;&gt;""),DH30*$G30*8.34,IF(AND(DH30&lt;&gt;"",'Outfall 1 Limits'!$AX$52="L"),DH30,""))</f>
        <v/>
      </c>
      <c r="GU30" s="206" t="str">
        <f>IF(AND($G30&lt;&gt;"",$G30&gt;0,'Outfall 1 Limits'!$AX$56="C1",DI30&lt;&gt;""),DI30*$G30*8.34,IF(AND(DI30&lt;&gt;"",'Outfall 1 Limits'!$AX$56="L"),DI30,""))</f>
        <v/>
      </c>
      <c r="GV30" s="206" t="str">
        <f>IF(AND($G30&lt;&gt;"",$G30&gt;0,'Outfall 1 Limits'!$AX$60="C1",DJ30&lt;&gt;""),DJ30*$G30*8.34,IF(AND(DJ30&lt;&gt;"",'Outfall 1 Limits'!$AX$60="L"),DJ30,""))</f>
        <v/>
      </c>
      <c r="GW30" s="206" t="str">
        <f>IF(AND($G30&lt;&gt;"",$G30&gt;0,'Outfall 1 Limits'!$AX$64="C1",DK30&lt;&gt;""),DK30*$G30*8.34,IF(AND(DK30&lt;&gt;"",'Outfall 1 Limits'!$AX$64="L"),DK30,""))</f>
        <v/>
      </c>
      <c r="GX30" s="206" t="str">
        <f>IF(AND($G30&lt;&gt;"",$G30&gt;0,'Outfall 1 Limits'!$AX$68="C1",DL30&lt;&gt;""),DL30*$G30*8.34,IF(AND(DL30&lt;&gt;"",'Outfall 1 Limits'!$AX$68="L"),DL30,""))</f>
        <v/>
      </c>
      <c r="GY30" s="206" t="str">
        <f>IF(AND($G30&lt;&gt;"",$G30&gt;0,'Outfall 1 Limits'!$AX$72="C1",DM30&lt;&gt;""),DM30*$G30*8.34,IF(AND(DM30&lt;&gt;"",'Outfall 1 Limits'!$AX$72="L"),DM30,""))</f>
        <v/>
      </c>
      <c r="GZ30" s="206" t="str">
        <f>IF(AND($G30&lt;&gt;"",$G30&gt;0,'Outfall 1 Limits'!$AX$76="C1",DN30&lt;&gt;""),DN30*$G30*8.34,IF(AND(DN30&lt;&gt;"",'Outfall 1 Limits'!$AX$76="L"),DN30,""))</f>
        <v/>
      </c>
      <c r="HA30" s="206" t="str">
        <f>IF(AND($G30&lt;&gt;"",$G30&gt;0,'Outfall 1 Limits'!$AX$80="C1",DO30&lt;&gt;""),DO30*$G30*8.34,IF(AND(DO30&lt;&gt;"",'Outfall 1 Limits'!$AX$80="L"),DO30,""))</f>
        <v/>
      </c>
      <c r="HB30" s="206" t="str">
        <f>IF(AND($G30&lt;&gt;"",$G30&gt;0,'Outfall 1 Limits'!$AX$84="C1",DP30&lt;&gt;""),DP30*$G30*8.34,IF(AND(DP30&lt;&gt;"",'Outfall 1 Limits'!$AX$84="L"),DP30,""))</f>
        <v/>
      </c>
      <c r="HC30" s="206" t="str">
        <f>IF(AND($G30&lt;&gt;"",$G30&gt;0,'Outfall 1 Limits'!$AX$88="C1",DQ30&lt;&gt;""),DQ30*$G30*8.34,IF(AND(DQ30&lt;&gt;"",'Outfall 1 Limits'!$AX$88="L"),DQ30,""))</f>
        <v/>
      </c>
      <c r="HD30" s="206" t="str">
        <f>IF(AND($G30&lt;&gt;"",$G30&gt;0,'Outfall 1 Limits'!$AX$92="C1",DR30&lt;&gt;""),DR30*$G30*8.34,IF(AND(DR30&lt;&gt;"",'Outfall 1 Limits'!$AX$92="L"),DR30,""))</f>
        <v/>
      </c>
      <c r="HE30" s="206" t="str">
        <f>IF(AND($G30&lt;&gt;"",$G30&gt;0,'Outfall 1 Limits'!$AX$96="C1",DS30&lt;&gt;""),DS30*$G30*8.34,IF(AND(DS30&lt;&gt;"",'Outfall 1 Limits'!$AX$96="L"),DS30,""))</f>
        <v/>
      </c>
      <c r="HF30" s="206" t="str">
        <f>IF(AND($G30&lt;&gt;"",$G30&gt;0,'Outfall 1 Limits'!$AX$100="C1",DT30&lt;&gt;""),DT30*$G30*8.34,IF(AND(DT30&lt;&gt;"",'Outfall 1 Limits'!$AX$100="L"),DT30,""))</f>
        <v/>
      </c>
      <c r="HG30" s="206" t="str">
        <f>IF(AND($G30&lt;&gt;"",$G30&gt;0,'Outfall 1 Limits'!$AX$104="C1",DU30&lt;&gt;""),DU30*$G30*8.34,IF(AND(DU30&lt;&gt;"",'Outfall 1 Limits'!$AX$104="L"),DU30,""))</f>
        <v/>
      </c>
      <c r="HH30" s="206" t="str">
        <f>IF(AND($G30&lt;&gt;"",$G30&gt;0,'Outfall 1 Limits'!$AX$108="C1",DV30&lt;&gt;""),DV30*$G30*8.34,IF(AND(DV30&lt;&gt;"",'Outfall 1 Limits'!$AX$108="L"),DV30,""))</f>
        <v/>
      </c>
      <c r="HI30" s="206" t="str">
        <f>IF(AND($G30&lt;&gt;"",$G30&gt;0,'Outfall 1 Limits'!$AX$112="C1",DW30&lt;&gt;""),DW30*$G30*8.34,IF(AND(DW30&lt;&gt;"",'Outfall 1 Limits'!$AX$112="L"),DW30,""))</f>
        <v/>
      </c>
      <c r="HJ30" s="206" t="str">
        <f>IF(AND($G30&lt;&gt;"",$G30&gt;0,'Outfall 1 Limits'!$AX$116="C1",DX30&lt;&gt;""),DX30*$G30*8.34,IF(AND(DX30&lt;&gt;"",'Outfall 1 Limits'!$AX$116="L"),DX30,""))</f>
        <v/>
      </c>
      <c r="HK30" s="206" t="str">
        <f>IF(AND($G30&lt;&gt;"",$G30&gt;0,'Outfall 1 Limits'!$AX$120="C1",DY30&lt;&gt;""),DY30*$G30*8.34,IF(AND(DY30&lt;&gt;"",'Outfall 1 Limits'!$AX$120="L"),DY30,""))</f>
        <v/>
      </c>
      <c r="HL30" s="206" t="str">
        <f>IF(AND($G30&lt;&gt;"",$G30&gt;0,'Outfall 1 Limits'!$AX$124="C1",DZ30&lt;&gt;""),DZ30*$G30*8.34,IF(AND(DZ30&lt;&gt;"",'Outfall 1 Limits'!$AX$124="L"),DZ30,""))</f>
        <v/>
      </c>
      <c r="HM30" s="223" t="str">
        <f>IF(AND($G30&lt;&gt;"",$G30&gt;0,'Outfall 1 Limits'!$AX$128="C1",EA30&lt;&gt;""),EA30*$G30*8.34,IF(AND(EA30&lt;&gt;"",'Outfall 1 Limits'!$AX$128="L"),EA30,""))</f>
        <v/>
      </c>
      <c r="HO30" s="224" t="str">
        <f t="shared" si="60"/>
        <v/>
      </c>
      <c r="HS30" s="202" t="str">
        <f t="shared" si="61"/>
        <v/>
      </c>
      <c r="HT30" s="196" t="str">
        <f t="shared" si="62"/>
        <v/>
      </c>
      <c r="HU30" s="196" t="str">
        <f t="shared" si="63"/>
        <v/>
      </c>
      <c r="HV30" s="196" t="str">
        <f t="shared" si="64"/>
        <v/>
      </c>
      <c r="HW30" s="196" t="str">
        <f t="shared" si="65"/>
        <v/>
      </c>
      <c r="HX30" s="196" t="str">
        <f t="shared" si="66"/>
        <v/>
      </c>
      <c r="HY30" s="196" t="str">
        <f t="shared" si="67"/>
        <v/>
      </c>
      <c r="HZ30" s="196" t="str">
        <f t="shared" si="68"/>
        <v/>
      </c>
      <c r="IA30" s="196" t="str">
        <f t="shared" si="69"/>
        <v/>
      </c>
      <c r="IB30" s="196" t="str">
        <f t="shared" si="70"/>
        <v/>
      </c>
      <c r="IC30" s="196" t="str">
        <f t="shared" si="71"/>
        <v/>
      </c>
      <c r="ID30" s="196" t="str">
        <f t="shared" si="72"/>
        <v/>
      </c>
      <c r="IE30" s="196" t="str">
        <f t="shared" si="73"/>
        <v/>
      </c>
      <c r="IF30" s="196" t="str">
        <f t="shared" si="74"/>
        <v/>
      </c>
      <c r="IG30" s="196" t="str">
        <f t="shared" si="75"/>
        <v/>
      </c>
      <c r="IH30" s="196" t="str">
        <f t="shared" si="76"/>
        <v/>
      </c>
      <c r="II30" s="196" t="str">
        <f t="shared" si="77"/>
        <v/>
      </c>
      <c r="IJ30" s="196" t="str">
        <f t="shared" si="78"/>
        <v/>
      </c>
      <c r="IK30" s="196" t="str">
        <f t="shared" si="79"/>
        <v/>
      </c>
      <c r="IL30" s="196" t="str">
        <f t="shared" si="80"/>
        <v/>
      </c>
      <c r="IM30" s="196" t="str">
        <f t="shared" si="81"/>
        <v/>
      </c>
      <c r="IN30" s="196" t="str">
        <f t="shared" si="82"/>
        <v/>
      </c>
      <c r="IO30" s="196" t="str">
        <f t="shared" si="83"/>
        <v/>
      </c>
      <c r="IP30" s="196" t="str">
        <f t="shared" si="84"/>
        <v/>
      </c>
      <c r="IQ30" s="196" t="str">
        <f t="shared" si="85"/>
        <v/>
      </c>
      <c r="IR30" s="196" t="str">
        <f t="shared" si="86"/>
        <v/>
      </c>
      <c r="IS30" s="196" t="str">
        <f t="shared" si="87"/>
        <v/>
      </c>
      <c r="IT30" s="196" t="str">
        <f t="shared" si="88"/>
        <v/>
      </c>
      <c r="IU30" s="210" t="str">
        <f t="shared" si="89"/>
        <v/>
      </c>
      <c r="IX30" s="202" t="str">
        <f t="shared" si="90"/>
        <v/>
      </c>
      <c r="IY30" s="196" t="str">
        <f t="shared" si="91"/>
        <v/>
      </c>
      <c r="IZ30" s="196" t="str">
        <f t="shared" si="92"/>
        <v/>
      </c>
      <c r="JA30" s="196" t="str">
        <f t="shared" si="93"/>
        <v/>
      </c>
      <c r="JB30" s="196" t="str">
        <f t="shared" si="94"/>
        <v/>
      </c>
      <c r="JC30" s="196" t="str">
        <f t="shared" si="95"/>
        <v/>
      </c>
      <c r="JD30" s="196" t="str">
        <f t="shared" si="96"/>
        <v/>
      </c>
      <c r="JE30" s="196" t="str">
        <f t="shared" si="97"/>
        <v/>
      </c>
      <c r="JF30" s="196" t="str">
        <f t="shared" si="98"/>
        <v/>
      </c>
      <c r="JG30" s="196" t="str">
        <f t="shared" si="99"/>
        <v/>
      </c>
      <c r="JH30" s="196" t="str">
        <f t="shared" si="100"/>
        <v/>
      </c>
      <c r="JI30" s="196" t="str">
        <f t="shared" si="101"/>
        <v/>
      </c>
      <c r="JJ30" s="196" t="str">
        <f t="shared" si="102"/>
        <v/>
      </c>
      <c r="JK30" s="196" t="str">
        <f t="shared" si="103"/>
        <v/>
      </c>
      <c r="JL30" s="196" t="str">
        <f t="shared" si="104"/>
        <v/>
      </c>
      <c r="JM30" s="196" t="str">
        <f t="shared" si="105"/>
        <v/>
      </c>
      <c r="JN30" s="196" t="str">
        <f t="shared" si="106"/>
        <v/>
      </c>
      <c r="JO30" s="196" t="str">
        <f t="shared" si="107"/>
        <v/>
      </c>
      <c r="JP30" s="196" t="str">
        <f t="shared" si="108"/>
        <v/>
      </c>
      <c r="JQ30" s="196" t="str">
        <f t="shared" si="109"/>
        <v/>
      </c>
      <c r="JR30" s="196" t="str">
        <f t="shared" si="110"/>
        <v/>
      </c>
      <c r="JS30" s="196" t="str">
        <f t="shared" si="111"/>
        <v/>
      </c>
      <c r="JT30" s="196" t="str">
        <f t="shared" si="112"/>
        <v/>
      </c>
      <c r="JU30" s="196" t="str">
        <f t="shared" si="113"/>
        <v/>
      </c>
      <c r="JV30" s="196" t="str">
        <f t="shared" si="114"/>
        <v/>
      </c>
      <c r="JW30" s="196" t="str">
        <f t="shared" si="115"/>
        <v/>
      </c>
      <c r="JX30" s="196" t="str">
        <f t="shared" si="116"/>
        <v/>
      </c>
      <c r="JY30" s="196" t="str">
        <f t="shared" si="117"/>
        <v/>
      </c>
      <c r="JZ30" s="210" t="str">
        <f t="shared" si="118"/>
        <v/>
      </c>
      <c r="KA30" s="196"/>
      <c r="KB30" s="176"/>
      <c r="KC30" s="227"/>
      <c r="KD30" s="218" t="str">
        <f t="shared" si="2"/>
        <v/>
      </c>
      <c r="KE30" s="196" t="str">
        <f t="shared" si="3"/>
        <v/>
      </c>
      <c r="KF30" s="196" t="str">
        <f t="shared" si="4"/>
        <v/>
      </c>
      <c r="KG30" s="196" t="str">
        <f t="shared" si="5"/>
        <v/>
      </c>
      <c r="KH30" s="196" t="str">
        <f t="shared" si="6"/>
        <v/>
      </c>
      <c r="KI30" s="196" t="str">
        <f t="shared" si="7"/>
        <v/>
      </c>
      <c r="KJ30" s="196" t="str">
        <f t="shared" si="8"/>
        <v/>
      </c>
      <c r="KK30" s="196" t="str">
        <f t="shared" si="9"/>
        <v/>
      </c>
      <c r="KL30" s="196" t="str">
        <f t="shared" si="10"/>
        <v/>
      </c>
      <c r="KM30" s="196" t="str">
        <f t="shared" si="11"/>
        <v/>
      </c>
      <c r="KN30" s="196" t="str">
        <f t="shared" si="12"/>
        <v/>
      </c>
      <c r="KO30" s="196" t="str">
        <f t="shared" si="13"/>
        <v/>
      </c>
      <c r="KP30" s="196" t="str">
        <f t="shared" si="14"/>
        <v/>
      </c>
      <c r="KQ30" s="196" t="str">
        <f t="shared" si="15"/>
        <v/>
      </c>
      <c r="KR30" s="196" t="str">
        <f t="shared" si="16"/>
        <v/>
      </c>
      <c r="KS30" s="196" t="str">
        <f t="shared" si="17"/>
        <v/>
      </c>
      <c r="KT30" s="196" t="str">
        <f t="shared" si="18"/>
        <v/>
      </c>
      <c r="KU30" s="196" t="str">
        <f t="shared" si="19"/>
        <v/>
      </c>
      <c r="KV30" s="196" t="str">
        <f t="shared" si="20"/>
        <v/>
      </c>
      <c r="KW30" s="196" t="str">
        <f t="shared" si="21"/>
        <v/>
      </c>
      <c r="KX30" s="196" t="str">
        <f t="shared" si="22"/>
        <v/>
      </c>
      <c r="KY30" s="196" t="str">
        <f t="shared" si="23"/>
        <v/>
      </c>
      <c r="KZ30" s="196" t="str">
        <f t="shared" si="24"/>
        <v/>
      </c>
      <c r="LA30" s="196" t="str">
        <f t="shared" si="25"/>
        <v/>
      </c>
      <c r="LB30" s="196" t="str">
        <f t="shared" si="26"/>
        <v/>
      </c>
      <c r="LC30" s="196" t="str">
        <f t="shared" si="27"/>
        <v/>
      </c>
      <c r="LD30" s="196" t="str">
        <f t="shared" si="28"/>
        <v/>
      </c>
      <c r="LE30" s="196" t="str">
        <f t="shared" si="29"/>
        <v/>
      </c>
      <c r="LF30" s="226" t="str">
        <f t="shared" si="30"/>
        <v/>
      </c>
    </row>
    <row r="31" spans="1:318" s="172" customFormat="1" ht="11.45" customHeight="1" x14ac:dyDescent="0.2">
      <c r="A31" s="35"/>
      <c r="B31" s="54">
        <v>3</v>
      </c>
      <c r="C31" s="438">
        <f t="shared" si="0"/>
        <v>45305</v>
      </c>
      <c r="D31" s="438"/>
      <c r="E31" s="430">
        <f t="shared" si="119"/>
        <v>45305</v>
      </c>
      <c r="F31" s="431"/>
      <c r="G31" s="26"/>
      <c r="H31" s="51"/>
      <c r="I31" s="50"/>
      <c r="J31" s="51"/>
      <c r="K31" s="50"/>
      <c r="L31" s="51"/>
      <c r="M31" s="50"/>
      <c r="N31" s="51"/>
      <c r="O31" s="50"/>
      <c r="P31" s="51"/>
      <c r="Q31" s="50"/>
      <c r="R31" s="51"/>
      <c r="S31" s="50"/>
      <c r="T31" s="51"/>
      <c r="U31" s="50"/>
      <c r="V31" s="51"/>
      <c r="W31" s="50"/>
      <c r="X31" s="276"/>
      <c r="Y31" s="50"/>
      <c r="Z31" s="51"/>
      <c r="AA31" s="50"/>
      <c r="AB31" s="51"/>
      <c r="AC31" s="50"/>
      <c r="AD31" s="51"/>
      <c r="AE31" s="50"/>
      <c r="AF31" s="51"/>
      <c r="AG31" s="50"/>
      <c r="AH31" s="51"/>
      <c r="AI31" s="50"/>
      <c r="AJ31" s="51"/>
      <c r="AK31" s="50"/>
      <c r="AL31" s="51"/>
      <c r="AM31" s="50"/>
      <c r="AN31" s="51"/>
      <c r="AO31" s="50"/>
      <c r="AP31" s="51"/>
      <c r="AQ31" s="50"/>
      <c r="AR31" s="51"/>
      <c r="AS31" s="50"/>
      <c r="AT31" s="51"/>
      <c r="AU31" s="50"/>
      <c r="AV31" s="51"/>
      <c r="AW31" s="50"/>
      <c r="AX31" s="51"/>
      <c r="AY31" s="50"/>
      <c r="AZ31" s="51"/>
      <c r="BA31" s="50"/>
      <c r="BB31" s="51"/>
      <c r="BC31" s="50"/>
      <c r="BD31" s="51"/>
      <c r="BE31" s="50"/>
      <c r="BF31" s="51"/>
      <c r="BG31" s="50"/>
      <c r="BH31" s="51"/>
      <c r="BI31" s="50"/>
      <c r="BJ31" s="51"/>
      <c r="BK31" s="50"/>
      <c r="BL31" s="51"/>
      <c r="BM31" s="109"/>
      <c r="BO31" s="174"/>
      <c r="BP31" s="174">
        <v>2050</v>
      </c>
      <c r="BQ31" s="221" t="s">
        <v>46</v>
      </c>
      <c r="BR31" s="222"/>
      <c r="BS31" s="174" t="s">
        <v>5</v>
      </c>
      <c r="BU31" s="202" t="str">
        <f t="shared" si="31"/>
        <v/>
      </c>
      <c r="BV31" s="196" t="str">
        <f t="shared" si="32"/>
        <v/>
      </c>
      <c r="BW31" s="196" t="str">
        <f t="shared" si="33"/>
        <v/>
      </c>
      <c r="BX31" s="196" t="str">
        <f t="shared" si="34"/>
        <v/>
      </c>
      <c r="BY31" s="196" t="str">
        <f t="shared" si="35"/>
        <v/>
      </c>
      <c r="BZ31" s="196" t="str">
        <f t="shared" si="36"/>
        <v/>
      </c>
      <c r="CA31" s="196" t="str">
        <f t="shared" si="37"/>
        <v/>
      </c>
      <c r="CB31" s="196" t="str">
        <f t="shared" si="38"/>
        <v/>
      </c>
      <c r="CC31" s="196" t="str">
        <f t="shared" si="39"/>
        <v/>
      </c>
      <c r="CD31" s="196" t="str">
        <f t="shared" si="40"/>
        <v/>
      </c>
      <c r="CE31" s="196" t="str">
        <f t="shared" si="41"/>
        <v/>
      </c>
      <c r="CF31" s="196" t="str">
        <f t="shared" si="42"/>
        <v/>
      </c>
      <c r="CG31" s="196" t="str">
        <f t="shared" si="43"/>
        <v/>
      </c>
      <c r="CH31" s="196" t="str">
        <f t="shared" si="44"/>
        <v/>
      </c>
      <c r="CI31" s="196" t="str">
        <f t="shared" si="45"/>
        <v/>
      </c>
      <c r="CJ31" s="196" t="str">
        <f t="shared" si="46"/>
        <v/>
      </c>
      <c r="CK31" s="196" t="str">
        <f t="shared" si="47"/>
        <v/>
      </c>
      <c r="CL31" s="196" t="str">
        <f t="shared" si="48"/>
        <v/>
      </c>
      <c r="CM31" s="196" t="str">
        <f t="shared" si="120"/>
        <v/>
      </c>
      <c r="CN31" s="196" t="str">
        <f t="shared" si="49"/>
        <v/>
      </c>
      <c r="CO31" s="196" t="str">
        <f t="shared" si="50"/>
        <v/>
      </c>
      <c r="CP31" s="196" t="str">
        <f t="shared" si="51"/>
        <v/>
      </c>
      <c r="CQ31" s="196" t="str">
        <f t="shared" si="52"/>
        <v/>
      </c>
      <c r="CR31" s="196" t="str">
        <f t="shared" si="53"/>
        <v/>
      </c>
      <c r="CS31" s="196" t="str">
        <f t="shared" si="54"/>
        <v/>
      </c>
      <c r="CT31" s="196" t="str">
        <f t="shared" si="55"/>
        <v/>
      </c>
      <c r="CU31" s="196" t="str">
        <f t="shared" si="56"/>
        <v/>
      </c>
      <c r="CV31" s="196" t="str">
        <f t="shared" si="57"/>
        <v/>
      </c>
      <c r="CW31" s="210" t="str">
        <f t="shared" si="58"/>
        <v/>
      </c>
      <c r="CY31" s="212" t="str">
        <f>IF(I31&lt;&gt;"",IF(H31="&lt;",IF(AND('Outfall 1 Limits'!$AM$16="Y",$BU$54&lt;&gt;"Y",I31&lt;='Outfall 1 Limits'!$AL$16),0,(1*I31)),I31),"")</f>
        <v/>
      </c>
      <c r="CZ31" s="206" t="str">
        <f>IF(K31&lt;&gt;"",IF(J31="&lt;",IF(AND('Outfall 1 Limits'!$AM$20="Y",$BV$54&lt;&gt;"Y",K31&lt;='Outfall 1 Limits'!$AL$20),0,(1*K31)),K31),"")</f>
        <v/>
      </c>
      <c r="DA31" s="206" t="str">
        <f>IF(M31&lt;&gt;"",IF(L31="&lt;",IF(AND('Outfall 1 Limits'!$AM$24="Y",$BW$54&lt;&gt;"Y",M31&lt;='Outfall 1 Limits'!$AL$24),0,(1*M31)),M31),"")</f>
        <v/>
      </c>
      <c r="DB31" s="206" t="str">
        <f>IF(O31&lt;&gt;"",IF(N31="&lt;",IF(AND('Outfall 1 Limits'!$AM$28="Y",$BX$54&lt;&gt;"Y",O31&lt;='Outfall 1 Limits'!$AL$28),0,(1*O31)),O31),"")</f>
        <v/>
      </c>
      <c r="DC31" s="206" t="str">
        <f>IF(Q31&lt;&gt;"",IF(P31="&lt;",IF(AND('Outfall 1 Limits'!$AM$32="Y",$BY$54&lt;&gt;"Y",Q31&lt;='Outfall 1 Limits'!$AL$32),0,(1*Q31)),Q31),"")</f>
        <v/>
      </c>
      <c r="DD31" s="206" t="str">
        <f>IF(S31&lt;&gt;"",IF(R31="&lt;",IF(AND('Outfall 1 Limits'!$AM$36="Y",$BZ$54&lt;&gt;"Y",S31&lt;='Outfall 1 Limits'!$AL$36),0,(1*S31)),S31),"")</f>
        <v/>
      </c>
      <c r="DE31" s="206" t="str">
        <f>IF(U31&lt;&gt;"",IF(T31="&lt;",IF(AND('Outfall 1 Limits'!$AM$40="Y",$CA$54&lt;&gt;"Y",U31&lt;='Outfall 1 Limits'!$AL$40),0,(1*U31)),U31),"")</f>
        <v/>
      </c>
      <c r="DF31" s="206" t="str">
        <f>IF(W31&lt;&gt;"",IF(V31="&lt;",IF(AND('Outfall 1 Limits'!$AM$44="Y",$CB$54&lt;&gt;"Y",W31&lt;='Outfall 1 Limits'!$AL$44),0,(1*W31)),W31),"")</f>
        <v/>
      </c>
      <c r="DG31" s="206" t="str">
        <f>IF(Y31&lt;&gt;"",IF(X31="&lt;",IF(AND('Outfall 1 Limits'!$AM$48="Y",$CC$54&lt;&gt;"Y",Y31&lt;='Outfall 1 Limits'!$AL$48),0,(1*Y31)),Y31),"")</f>
        <v/>
      </c>
      <c r="DH31" s="206" t="str">
        <f>IF(AA31&lt;&gt;"",IF(Z31="&lt;",IF(AND('Outfall 1 Limits'!$AM$52="Y",$CD$54&lt;&gt;"Y",AA31&lt;='Outfall 1 Limits'!$AL$52),0,(1*AA31)),AA31),"")</f>
        <v/>
      </c>
      <c r="DI31" s="206" t="str">
        <f>IF(AC31&lt;&gt;"",IF(AB31="&lt;",IF(AND('Outfall 1 Limits'!$AM$56="Y",$CE$54&lt;&gt;"Y",AC31&lt;='Outfall 1 Limits'!$AL$56),0,(1*AC31)),AC31),"")</f>
        <v/>
      </c>
      <c r="DJ31" s="206" t="str">
        <f>IF(AE31&lt;&gt;"",IF(AD31="&lt;",IF(AND('Outfall 1 Limits'!$AM$60="Y",$CF$54&lt;&gt;"Y",AE31&lt;='Outfall 1 Limits'!$AL$60),0,(1*AE31)),AE31),"")</f>
        <v/>
      </c>
      <c r="DK31" s="206" t="str">
        <f>IF(AG31&lt;&gt;"",IF(AF31="&lt;",IF(AND('Outfall 1 Limits'!$AM$64="Y",$CG$54&lt;&gt;"Y",AG31&lt;='Outfall 1 Limits'!$AL$64),0,(1*AG31)),AG31),"")</f>
        <v/>
      </c>
      <c r="DL31" s="206" t="str">
        <f>IF(AI31&lt;&gt;"",IF(AH31="&lt;",IF(AND('Outfall 1 Limits'!$AM$68="Y",$CH$54&lt;&gt;"Y",AI31&lt;='Outfall 1 Limits'!$AL$68),0,(1*AI31)),AI31),"")</f>
        <v/>
      </c>
      <c r="DM31" s="206" t="str">
        <f>IF(AK31&lt;&gt;"",IF(AJ31="&lt;",IF(AND('Outfall 1 Limits'!$AM$72="Y",$CI$54&lt;&gt;"Y",AK31&lt;='Outfall 1 Limits'!$AL$72),0,(1*AK31)),AK31),"")</f>
        <v/>
      </c>
      <c r="DN31" s="206" t="str">
        <f>IF(AM31&lt;&gt;"",IF(AL31="&lt;",IF(AND('Outfall 1 Limits'!$AM$76="Y",$CJ$54&lt;&gt;"Y",AM31&lt;='Outfall 1 Limits'!$AL$76),0,(1*AM31)),AM31),"")</f>
        <v/>
      </c>
      <c r="DO31" s="206" t="str">
        <f>IF(AO31&lt;&gt;"",IF(AN31="&lt;",IF(AND('Outfall 1 Limits'!$AM$80="Y",$CK$54&lt;&gt;"Y",AO31&lt;='Outfall 1 Limits'!$AL$80),0,(1*AO31)),AO31),"")</f>
        <v/>
      </c>
      <c r="DP31" s="206" t="str">
        <f>IF(AQ31&lt;&gt;"",IF(AP31="&lt;",IF(AND('Outfall 1 Limits'!$AM$84="Y",$CL$54&lt;&gt;"Y",AQ31&lt;='Outfall 1 Limits'!$AL$84),0,(1*AQ31)),AQ31),"")</f>
        <v/>
      </c>
      <c r="DQ31" s="206" t="str">
        <f>IF(AS31&lt;&gt;"",IF(AR31="&lt;",IF(AND('Outfall 1 Limits'!$AM$88="Y",$CM$54&lt;&gt;"Y",AS31&lt;='Outfall 1 Limits'!$AL$88),0,(1*AS31)),AS31),"")</f>
        <v/>
      </c>
      <c r="DR31" s="206" t="str">
        <f>IF(AU31&lt;&gt;"",IF(AT31="&lt;",IF(AND('Outfall 1 Limits'!$AM$92="Y",$CN$54&lt;&gt;"Y",AU31&lt;='Outfall 1 Limits'!$AL$92),0,(1*AU31)),AU31),"")</f>
        <v/>
      </c>
      <c r="DS31" s="206" t="str">
        <f>IF(AW31&lt;&gt;"",IF(AV31="&lt;",IF(AND('Outfall 1 Limits'!$AM$96="Y",$CO$54&lt;&gt;"Y",AW31&lt;='Outfall 1 Limits'!$AL$96),0,(1*AW31)),AW31),"")</f>
        <v/>
      </c>
      <c r="DT31" s="206" t="str">
        <f>IF(AY31&lt;&gt;"",IF(AX31="&lt;",IF(AND('Outfall 1 Limits'!$AM$100="Y",$CP$54&lt;&gt;"Y",AY31&lt;='Outfall 1 Limits'!$AL$100),0,(1*AY31)),AY31),"")</f>
        <v/>
      </c>
      <c r="DU31" s="206" t="str">
        <f>IF(BA31&lt;&gt;"",IF(AZ31="&lt;",IF(AND('Outfall 1 Limits'!$AM$104="Y",$CQ$54&lt;&gt;"Y",BA31&lt;='Outfall 1 Limits'!$AL$104),0,(1*BA31)),BA31),"")</f>
        <v/>
      </c>
      <c r="DV31" s="206" t="str">
        <f>IF(BC31&lt;&gt;"",IF(BB31="&lt;",IF(AND('Outfall 1 Limits'!$AM$108="Y",$CR$54&lt;&gt;"Y",BC31&lt;='Outfall 1 Limits'!$AL$108),0,(1*BC31)),BC31),"")</f>
        <v/>
      </c>
      <c r="DW31" s="206" t="str">
        <f>IF(BE31&lt;&gt;"",IF(BD31="&lt;",IF(AND('Outfall 1 Limits'!$AM$112="Y",$CS$54&lt;&gt;"Y",BE31&lt;='Outfall 1 Limits'!$AL$112),0,(1*BE31)),BE31),"")</f>
        <v/>
      </c>
      <c r="DX31" s="206" t="str">
        <f>IF(BG31&lt;&gt;"",IF(BF31="&lt;",IF(AND('Outfall 1 Limits'!$AM$116="Y",$CT$54&lt;&gt;"Y",BG31&lt;='Outfall 1 Limits'!$AL$116),0,(1*BG31)),BG31),"")</f>
        <v/>
      </c>
      <c r="DY31" s="206" t="str">
        <f>IF(BI31&lt;&gt;"",IF(BH31="&lt;",IF(AND('Outfall 1 Limits'!$AM$120="Y",$CU$54&lt;&gt;"Y",BI31&lt;='Outfall 1 Limits'!$AL$120),0,(1*BI31)),BI31),"")</f>
        <v/>
      </c>
      <c r="DZ31" s="206" t="str">
        <f>IF(BK31&lt;&gt;"",IF(BJ31="&lt;",IF(AND('Outfall 1 Limits'!$AM$124="Y",$CV$54&lt;&gt;"Y",BK31&lt;='Outfall 1 Limits'!$AL$124),0,(1*BK31)),BK31),"")</f>
        <v/>
      </c>
      <c r="EA31" s="223" t="str">
        <f>IF(BM31&lt;&gt;"",IF(BL31="&lt;",IF(AND('Outfall 1 Limits'!$AM$128="Y",$CW$54&lt;&gt;"Y",BM31&lt;='Outfall 1 Limits'!$AL$128),0,(1*BM31)),BM31),"")</f>
        <v/>
      </c>
      <c r="EB31" s="209" t="s">
        <v>377</v>
      </c>
      <c r="EC31" s="202" t="str">
        <f>IF(SUM(FG17:FG23)&lt;&gt;0,IF(BU68="Y",AVERAGE(FG17:FG23),AVERAGE(GK17:GK23)),"")</f>
        <v/>
      </c>
      <c r="ED31" s="196" t="str">
        <f t="shared" ref="ED31:FE31" si="130">IF(SUM(FH17:FH23)&lt;&gt;0,IF(BV68="Y",AVERAGE(FH17:FH23),AVERAGE(GL17:GL23)),"")</f>
        <v/>
      </c>
      <c r="EE31" s="196" t="str">
        <f t="shared" si="130"/>
        <v/>
      </c>
      <c r="EF31" s="196" t="str">
        <f t="shared" si="130"/>
        <v/>
      </c>
      <c r="EG31" s="196" t="str">
        <f t="shared" si="130"/>
        <v/>
      </c>
      <c r="EH31" s="196" t="str">
        <f t="shared" si="130"/>
        <v/>
      </c>
      <c r="EI31" s="196" t="str">
        <f t="shared" si="130"/>
        <v/>
      </c>
      <c r="EJ31" s="196" t="str">
        <f t="shared" si="130"/>
        <v/>
      </c>
      <c r="EK31" s="196" t="str">
        <f t="shared" si="130"/>
        <v/>
      </c>
      <c r="EL31" s="196" t="str">
        <f t="shared" si="130"/>
        <v/>
      </c>
      <c r="EM31" s="196" t="str">
        <f t="shared" si="130"/>
        <v/>
      </c>
      <c r="EN31" s="196" t="str">
        <f t="shared" si="130"/>
        <v/>
      </c>
      <c r="EO31" s="196" t="str">
        <f t="shared" si="130"/>
        <v/>
      </c>
      <c r="EP31" s="196" t="str">
        <f t="shared" si="130"/>
        <v/>
      </c>
      <c r="EQ31" s="196" t="str">
        <f t="shared" si="130"/>
        <v/>
      </c>
      <c r="ER31" s="196" t="str">
        <f t="shared" si="130"/>
        <v/>
      </c>
      <c r="ES31" s="196" t="str">
        <f t="shared" si="130"/>
        <v/>
      </c>
      <c r="ET31" s="196" t="str">
        <f t="shared" si="130"/>
        <v/>
      </c>
      <c r="EU31" s="196" t="str">
        <f t="shared" si="130"/>
        <v/>
      </c>
      <c r="EV31" s="196" t="str">
        <f t="shared" si="130"/>
        <v/>
      </c>
      <c r="EW31" s="196" t="str">
        <f t="shared" si="130"/>
        <v/>
      </c>
      <c r="EX31" s="196" t="str">
        <f t="shared" si="130"/>
        <v/>
      </c>
      <c r="EY31" s="196" t="str">
        <f t="shared" si="130"/>
        <v/>
      </c>
      <c r="EZ31" s="196" t="str">
        <f t="shared" si="130"/>
        <v/>
      </c>
      <c r="FA31" s="196" t="str">
        <f t="shared" si="130"/>
        <v/>
      </c>
      <c r="FB31" s="196" t="str">
        <f t="shared" si="130"/>
        <v/>
      </c>
      <c r="FC31" s="196" t="str">
        <f t="shared" si="130"/>
        <v/>
      </c>
      <c r="FD31" s="196" t="str">
        <f t="shared" si="130"/>
        <v/>
      </c>
      <c r="FE31" s="210" t="str">
        <f t="shared" si="130"/>
        <v/>
      </c>
      <c r="FG31" s="212" t="str">
        <f>IF(AND($G31&lt;&gt;"",$G31&gt;0,'Outfall 1 Limits'!$AX$16="C1",I31&lt;&gt;""),I31*$G31*8.34,IF(AND($I31&lt;&gt;"",'Outfall 1 Limits'!$AX$16="L"),I31,""))</f>
        <v/>
      </c>
      <c r="FH31" s="206" t="str">
        <f>IF(AND($G31&lt;&gt;"",$G31&gt;0,'Outfall 1 Limits'!$AX$20="C1",$K31&lt;&gt;""),$K31*$G31*8.34,IF(AND($K31&lt;&gt;"",'Outfall 1 Limits'!$AX$20="L"),$K31,""))</f>
        <v/>
      </c>
      <c r="FI31" s="206" t="str">
        <f>IF(AND($G31&lt;&gt;"",$G31&gt;0,'Outfall 1 Limits'!$AX$24="C1",$M31&lt;&gt;""),$M31*$G31*8.34,IF(AND($M31&lt;&gt;"",'Outfall 1 Limits'!$AX$24="L"),$M31,""))</f>
        <v/>
      </c>
      <c r="FJ31" s="206" t="str">
        <f>IF(AND($G31&lt;&gt;"",$G31&gt;0,'Outfall 1 Limits'!$AX$28="C1",$O31&lt;&gt;""),$O31*$G31*8.34,IF(AND($O31&lt;&gt;"",'Outfall 1 Limits'!$AX$28="L"),$O31,""))</f>
        <v/>
      </c>
      <c r="FK31" s="206" t="str">
        <f>IF(AND($G31&lt;&gt;"",$G31&gt;0,'Outfall 1 Limits'!$AX$32="C1",$Q31&lt;&gt;""),$Q31*$G31*8.34,IF(AND($Q31&lt;&gt;"",'Outfall 1 Limits'!$AX$32="L"),$Q31,""))</f>
        <v/>
      </c>
      <c r="FL31" s="206" t="str">
        <f>IF(AND($G31&lt;&gt;"",$G31&gt;0,'Outfall 1 Limits'!$AX$36="C1",$S31&lt;&gt;""),$S31*$G31*8.34,IF(AND($S31&lt;&gt;"",'Outfall 1 Limits'!$AX$36="L"),$S31,""))</f>
        <v/>
      </c>
      <c r="FM31" s="206" t="str">
        <f>IF(AND($G31&lt;&gt;"",$G31&gt;0,'Outfall 1 Limits'!$AX$40="C1",$U31&lt;&gt;""),$U31*$G31*8.34,IF(AND($U31&lt;&gt;"",'Outfall 1 Limits'!$AX$40="L"),$U31,""))</f>
        <v/>
      </c>
      <c r="FN31" s="206" t="str">
        <f>IF(AND($G31&lt;&gt;"",$G31&gt;0,'Outfall 1 Limits'!$AX$44="C1",$W31&lt;&gt;""),$W31*$G31*8.34,IF(AND($W31&lt;&gt;"",'Outfall 1 Limits'!$AX$44="L"),$W31,""))</f>
        <v/>
      </c>
      <c r="FO31" s="206" t="str">
        <f>IF(AND($G31&lt;&gt;"",$G31&gt;0,'Outfall 1 Limits'!$AX$48="C1",$Y31&lt;&gt;""),$Y31*$G31*8.34,IF(AND($Y31&lt;&gt;"",'Outfall 1 Limits'!$AX$48="L"),$Y31,""))</f>
        <v/>
      </c>
      <c r="FP31" s="206" t="str">
        <f>IF(AND($G31&lt;&gt;"",$G31&gt;0,'Outfall 1 Limits'!$AX$52="C1",$AA31&lt;&gt;""),$AA31*$G31*8.34,IF(AND($AA31&lt;&gt;"",'Outfall 1 Limits'!$AX$52="L"),$AA31,""))</f>
        <v/>
      </c>
      <c r="FQ31" s="206" t="str">
        <f>IF(AND($G31&lt;&gt;"",$G31&gt;0,'Outfall 1 Limits'!$AX$56="C1",$AC31&lt;&gt;""),$AC31*$G31*8.34,IF(AND($AC31&lt;&gt;"",'Outfall 1 Limits'!$AX$56="L"),$AC31,""))</f>
        <v/>
      </c>
      <c r="FR31" s="206" t="str">
        <f>IF(AND($G31&lt;&gt;"",$G31&gt;0,'Outfall 1 Limits'!$AX$60="C1",$AE31&lt;&gt;""),$AE31*$G31*8.34,IF(AND($AE31&lt;&gt;"",'Outfall 1 Limits'!$AX$60="L"),$AE31,""))</f>
        <v/>
      </c>
      <c r="FS31" s="206" t="str">
        <f>IF(AND($G31&lt;&gt;"",$G31&gt;0,'Outfall 1 Limits'!$AX$64="C1",$AG31&lt;&gt;""),$AG31*$G31*8.34,IF(AND($AG31&lt;&gt;"",'Outfall 1 Limits'!$AX$64="L"),$AG31,""))</f>
        <v/>
      </c>
      <c r="FT31" s="206" t="str">
        <f>IF(AND($G31&lt;&gt;"",$G31&gt;0,'Outfall 1 Limits'!$AX$68="C1",$AI31&lt;&gt;""),$AI31*$G31*8.34,IF(AND($AI31&lt;&gt;"",'Outfall 1 Limits'!$AX$68="L"),$AI31,""))</f>
        <v/>
      </c>
      <c r="FU31" s="206" t="str">
        <f>IF(AND($G31&lt;&gt;"",$G31&gt;0,'Outfall 1 Limits'!$AX$72="C1",$AK31&lt;&gt;""),$AK31*$G31*8.34,IF(AND($AK31&lt;&gt;"",'Outfall 1 Limits'!$AX$72="L"),$AK31,""))</f>
        <v/>
      </c>
      <c r="FV31" s="206" t="str">
        <f>IF(AND($G31&lt;&gt;"",$G31&gt;0,'Outfall 1 Limits'!$AX$76="C1",$AM31&lt;&gt;""),$AM31*$G31*8.34,IF(AND($AM31&lt;&gt;"",'Outfall 1 Limits'!$AX$76="L"),$AM31,""))</f>
        <v/>
      </c>
      <c r="FW31" s="206" t="str">
        <f>IF(AND($G31&lt;&gt;"",$G31&gt;0,'Outfall 1 Limits'!$AX$80="C1",$AO31&lt;&gt;""),$AO31*$G31*8.34,IF(AND($AO31&lt;&gt;"",'Outfall 1 Limits'!$AX$80="L"),$AO31,""))</f>
        <v/>
      </c>
      <c r="FX31" s="206" t="str">
        <f>IF(AND($G31&lt;&gt;"",$G31&gt;0,'Outfall 1 Limits'!$AX$84="C1",$AQ31&lt;&gt;""),$AQ31*$G31*8.34,IF(AND($AQ31&lt;&gt;"",'Outfall 1 Limits'!$AX$84="L"),$AQ31,""))</f>
        <v/>
      </c>
      <c r="FY31" s="206" t="str">
        <f>IF(AND($G31&lt;&gt;"",$G31&gt;0,'Outfall 1 Limits'!$AX$88="C1",$AS31&lt;&gt;""),$AS31*$G31*8.34,IF(AND($AS31&lt;&gt;"",'Outfall 1 Limits'!$AX$88="L"),$AS31,""))</f>
        <v/>
      </c>
      <c r="FZ31" s="206" t="str">
        <f>IF(AND($G31&lt;&gt;"",$G31&gt;0,'Outfall 1 Limits'!$AX$92="C1",$AU31&lt;&gt;""),$AU31*$G31*8.34,IF(AND($AU31&lt;&gt;"",'Outfall 1 Limits'!$AX$92="L"),$AU31,""))</f>
        <v/>
      </c>
      <c r="GA31" s="206" t="str">
        <f>IF(AND($G31&lt;&gt;"",$G31&gt;0,'Outfall 1 Limits'!$AX$96="C1",$AW31&lt;&gt;""),$AW31*$G31*8.34,IF(AND($AW31&lt;&gt;"",'Outfall 1 Limits'!$AX$96="L"),$AW31,""))</f>
        <v/>
      </c>
      <c r="GB31" s="206" t="str">
        <f>IF(AND($G31&lt;&gt;"",$G31&gt;0,'Outfall 1 Limits'!$AX$100="C1",$AY31&lt;&gt;""),$AY31*$G31*8.34,IF(AND($AY31&lt;&gt;"",'Outfall 1 Limits'!$AX$100="L"),$AY31,""))</f>
        <v/>
      </c>
      <c r="GC31" s="206" t="str">
        <f>IF(AND($G31&lt;&gt;"",$G31&gt;0,'Outfall 1 Limits'!$AX$104="C1",$BA31&lt;&gt;""),$BA31*$G31*8.34,IF(AND($BA31&lt;&gt;"",'Outfall 1 Limits'!$AX$104="L"),$BA31,""))</f>
        <v/>
      </c>
      <c r="GD31" s="206" t="str">
        <f>IF(AND($G31&lt;&gt;"",$G31&gt;0,'Outfall 1 Limits'!$AX$108="C1",$BC31&lt;&gt;""),$BC31*$G31*8.34,IF(AND($BC31&lt;&gt;"",'Outfall 1 Limits'!$AX$108="L"),$BC31,""))</f>
        <v/>
      </c>
      <c r="GE31" s="206" t="str">
        <f>IF(AND($G31&lt;&gt;"",$G31&gt;0,'Outfall 1 Limits'!$AX$112="C1",$BE31&lt;&gt;""),$BE31*$G31*8.34,IF(AND($BE31&lt;&gt;"",'Outfall 1 Limits'!$AX$112="L"),$BE31,""))</f>
        <v/>
      </c>
      <c r="GF31" s="206" t="str">
        <f>IF(AND($G31&lt;&gt;"",$G31&gt;0,'Outfall 1 Limits'!$AX$116="C1",$BG31&lt;&gt;""),$BG31*$G31*8.34,IF(AND($BG31&lt;&gt;"",'Outfall 1 Limits'!$AX$116="L"),$BG31,""))</f>
        <v/>
      </c>
      <c r="GG31" s="206" t="str">
        <f>IF(AND($G31&lt;&gt;"",$G31&gt;0,'Outfall 1 Limits'!$AX$120="C1",$BI31&lt;&gt;""),$BI31*$G31*8.34,IF(AND($BI31&lt;&gt;"",'Outfall 1 Limits'!$AX$120="L"),$BI31,""))</f>
        <v/>
      </c>
      <c r="GH31" s="206" t="str">
        <f>IF(AND($G31&lt;&gt;"",$G31&gt;0,'Outfall 1 Limits'!$AX$124="C1",$BK31&lt;&gt;""),$BK31*$G31*8.34,IF(AND($BK31&lt;&gt;"",'Outfall 1 Limits'!$AX$124="L"),$BK31,""))</f>
        <v/>
      </c>
      <c r="GI31" s="223" t="str">
        <f>IF(AND($G31&lt;&gt;"",$G31&gt;0,'Outfall 1 Limits'!$AX$128="C1",$BM31&lt;&gt;""),$BM31*$G31*8.34,IF(AND($BM31&lt;&gt;"",'Outfall 1 Limits'!$AX$128="L"),$BM31,""))</f>
        <v/>
      </c>
      <c r="GJ31" s="177" t="str">
        <f t="shared" si="59"/>
        <v/>
      </c>
      <c r="GK31" s="212" t="str">
        <f>IF(AND($G31&lt;&gt;"",$G31&gt;0,'Outfall 1 Limits'!$AX$16="C1",CY31&lt;&gt;""),CY31*$G31*8.34,IF(AND(CY31&lt;&gt;"",'Outfall 1 Limits'!$AX$16="L"),CY31,""))</f>
        <v/>
      </c>
      <c r="GL31" s="206" t="str">
        <f>IF(AND($G31&lt;&gt;"",$G31&gt;0,'Outfall 1 Limits'!$AX$20="C1",CZ31&lt;&gt;""),CZ31*$G31*8.34,IF(AND(CZ31&lt;&gt;"",'Outfall 1 Limits'!$AX$20="L"),CZ31,""))</f>
        <v/>
      </c>
      <c r="GM31" s="206" t="str">
        <f>IF(AND($G31&lt;&gt;"",$G31&gt;0,'Outfall 1 Limits'!$AX$24="C1",DA31&lt;&gt;""),DA31*$G31*8.34,IF(AND(DA31&lt;&gt;"",'Outfall 1 Limits'!$AX$24="L"),DA31,""))</f>
        <v/>
      </c>
      <c r="GN31" s="206" t="str">
        <f>IF(AND($G31&lt;&gt;"",$G31&gt;0,'Outfall 1 Limits'!$AX$28="C1",DB31&lt;&gt;""),DB31*$G31*8.34,IF(AND(DB31&lt;&gt;"",'Outfall 1 Limits'!$AX$28="L"),DB31,""))</f>
        <v/>
      </c>
      <c r="GO31" s="206" t="str">
        <f>IF(AND($G31&lt;&gt;"",$G31&gt;0,'Outfall 1 Limits'!$AX$32="C1",DC31&lt;&gt;""),DC31*$G31*8.34,IF(AND(DC31&lt;&gt;"",'Outfall 1 Limits'!$AX$32="L"),DC31,""))</f>
        <v/>
      </c>
      <c r="GP31" s="206" t="str">
        <f>IF(AND($G31&lt;&gt;"",$G31&gt;0,'Outfall 1 Limits'!$AX$36="C1",DD31&lt;&gt;""),DD31*$G31*8.34,IF(AND(DD31&lt;&gt;"",'Outfall 1 Limits'!$AX$36="L"),DD31,""))</f>
        <v/>
      </c>
      <c r="GQ31" s="206" t="str">
        <f>IF(AND($G31&lt;&gt;"",$G31&gt;0,'Outfall 1 Limits'!$AX$40="C1",DE31&lt;&gt;""),DE31*$G31*8.34,IF(AND(DE31&lt;&gt;"",'Outfall 1 Limits'!$AX$40="L"),DE31,""))</f>
        <v/>
      </c>
      <c r="GR31" s="206" t="str">
        <f>IF(AND($G31&lt;&gt;"",$G31&gt;0,'Outfall 1 Limits'!$AX$44="C1",DF31&lt;&gt;""),DF31*$G31*8.34,IF(AND(DF31&lt;&gt;"",'Outfall 1 Limits'!$AX$44="L"),DF31,""))</f>
        <v/>
      </c>
      <c r="GS31" s="206" t="str">
        <f>IF(AND($G31&lt;&gt;"",$G31&gt;0,'Outfall 1 Limits'!$AX$48="C1",DG31&lt;&gt;""),DG31*$G31*8.34,IF(AND(DG31&lt;&gt;"",'Outfall 1 Limits'!$AX$48="L"),DG31,""))</f>
        <v/>
      </c>
      <c r="GT31" s="206" t="str">
        <f>IF(AND($G31&lt;&gt;"",$G31&gt;0,'Outfall 1 Limits'!$AX$52="C1",DH31&lt;&gt;""),DH31*$G31*8.34,IF(AND(DH31&lt;&gt;"",'Outfall 1 Limits'!$AX$52="L"),DH31,""))</f>
        <v/>
      </c>
      <c r="GU31" s="206" t="str">
        <f>IF(AND($G31&lt;&gt;"",$G31&gt;0,'Outfall 1 Limits'!$AX$56="C1",DI31&lt;&gt;""),DI31*$G31*8.34,IF(AND(DI31&lt;&gt;"",'Outfall 1 Limits'!$AX$56="L"),DI31,""))</f>
        <v/>
      </c>
      <c r="GV31" s="206" t="str">
        <f>IF(AND($G31&lt;&gt;"",$G31&gt;0,'Outfall 1 Limits'!$AX$60="C1",DJ31&lt;&gt;""),DJ31*$G31*8.34,IF(AND(DJ31&lt;&gt;"",'Outfall 1 Limits'!$AX$60="L"),DJ31,""))</f>
        <v/>
      </c>
      <c r="GW31" s="206" t="str">
        <f>IF(AND($G31&lt;&gt;"",$G31&gt;0,'Outfall 1 Limits'!$AX$64="C1",DK31&lt;&gt;""),DK31*$G31*8.34,IF(AND(DK31&lt;&gt;"",'Outfall 1 Limits'!$AX$64="L"),DK31,""))</f>
        <v/>
      </c>
      <c r="GX31" s="206" t="str">
        <f>IF(AND($G31&lt;&gt;"",$G31&gt;0,'Outfall 1 Limits'!$AX$68="C1",DL31&lt;&gt;""),DL31*$G31*8.34,IF(AND(DL31&lt;&gt;"",'Outfall 1 Limits'!$AX$68="L"),DL31,""))</f>
        <v/>
      </c>
      <c r="GY31" s="206" t="str">
        <f>IF(AND($G31&lt;&gt;"",$G31&gt;0,'Outfall 1 Limits'!$AX$72="C1",DM31&lt;&gt;""),DM31*$G31*8.34,IF(AND(DM31&lt;&gt;"",'Outfall 1 Limits'!$AX$72="L"),DM31,""))</f>
        <v/>
      </c>
      <c r="GZ31" s="206" t="str">
        <f>IF(AND($G31&lt;&gt;"",$G31&gt;0,'Outfall 1 Limits'!$AX$76="C1",DN31&lt;&gt;""),DN31*$G31*8.34,IF(AND(DN31&lt;&gt;"",'Outfall 1 Limits'!$AX$76="L"),DN31,""))</f>
        <v/>
      </c>
      <c r="HA31" s="206" t="str">
        <f>IF(AND($G31&lt;&gt;"",$G31&gt;0,'Outfall 1 Limits'!$AX$80="C1",DO31&lt;&gt;""),DO31*$G31*8.34,IF(AND(DO31&lt;&gt;"",'Outfall 1 Limits'!$AX$80="L"),DO31,""))</f>
        <v/>
      </c>
      <c r="HB31" s="206" t="str">
        <f>IF(AND($G31&lt;&gt;"",$G31&gt;0,'Outfall 1 Limits'!$AX$84="C1",DP31&lt;&gt;""),DP31*$G31*8.34,IF(AND(DP31&lt;&gt;"",'Outfall 1 Limits'!$AX$84="L"),DP31,""))</f>
        <v/>
      </c>
      <c r="HC31" s="206" t="str">
        <f>IF(AND($G31&lt;&gt;"",$G31&gt;0,'Outfall 1 Limits'!$AX$88="C1",DQ31&lt;&gt;""),DQ31*$G31*8.34,IF(AND(DQ31&lt;&gt;"",'Outfall 1 Limits'!$AX$88="L"),DQ31,""))</f>
        <v/>
      </c>
      <c r="HD31" s="206" t="str">
        <f>IF(AND($G31&lt;&gt;"",$G31&gt;0,'Outfall 1 Limits'!$AX$92="C1",DR31&lt;&gt;""),DR31*$G31*8.34,IF(AND(DR31&lt;&gt;"",'Outfall 1 Limits'!$AX$92="L"),DR31,""))</f>
        <v/>
      </c>
      <c r="HE31" s="206" t="str">
        <f>IF(AND($G31&lt;&gt;"",$G31&gt;0,'Outfall 1 Limits'!$AX$96="C1",DS31&lt;&gt;""),DS31*$G31*8.34,IF(AND(DS31&lt;&gt;"",'Outfall 1 Limits'!$AX$96="L"),DS31,""))</f>
        <v/>
      </c>
      <c r="HF31" s="206" t="str">
        <f>IF(AND($G31&lt;&gt;"",$G31&gt;0,'Outfall 1 Limits'!$AX$100="C1",DT31&lt;&gt;""),DT31*$G31*8.34,IF(AND(DT31&lt;&gt;"",'Outfall 1 Limits'!$AX$100="L"),DT31,""))</f>
        <v/>
      </c>
      <c r="HG31" s="206" t="str">
        <f>IF(AND($G31&lt;&gt;"",$G31&gt;0,'Outfall 1 Limits'!$AX$104="C1",DU31&lt;&gt;""),DU31*$G31*8.34,IF(AND(DU31&lt;&gt;"",'Outfall 1 Limits'!$AX$104="L"),DU31,""))</f>
        <v/>
      </c>
      <c r="HH31" s="206" t="str">
        <f>IF(AND($G31&lt;&gt;"",$G31&gt;0,'Outfall 1 Limits'!$AX$108="C1",DV31&lt;&gt;""),DV31*$G31*8.34,IF(AND(DV31&lt;&gt;"",'Outfall 1 Limits'!$AX$108="L"),DV31,""))</f>
        <v/>
      </c>
      <c r="HI31" s="206" t="str">
        <f>IF(AND($G31&lt;&gt;"",$G31&gt;0,'Outfall 1 Limits'!$AX$112="C1",DW31&lt;&gt;""),DW31*$G31*8.34,IF(AND(DW31&lt;&gt;"",'Outfall 1 Limits'!$AX$112="L"),DW31,""))</f>
        <v/>
      </c>
      <c r="HJ31" s="206" t="str">
        <f>IF(AND($G31&lt;&gt;"",$G31&gt;0,'Outfall 1 Limits'!$AX$116="C1",DX31&lt;&gt;""),DX31*$G31*8.34,IF(AND(DX31&lt;&gt;"",'Outfall 1 Limits'!$AX$116="L"),DX31,""))</f>
        <v/>
      </c>
      <c r="HK31" s="206" t="str">
        <f>IF(AND($G31&lt;&gt;"",$G31&gt;0,'Outfall 1 Limits'!$AX$120="C1",DY31&lt;&gt;""),DY31*$G31*8.34,IF(AND(DY31&lt;&gt;"",'Outfall 1 Limits'!$AX$120="L"),DY31,""))</f>
        <v/>
      </c>
      <c r="HL31" s="206" t="str">
        <f>IF(AND($G31&lt;&gt;"",$G31&gt;0,'Outfall 1 Limits'!$AX$124="C1",DZ31&lt;&gt;""),DZ31*$G31*8.34,IF(AND(DZ31&lt;&gt;"",'Outfall 1 Limits'!$AX$124="L"),DZ31,""))</f>
        <v/>
      </c>
      <c r="HM31" s="223" t="str">
        <f>IF(AND($G31&lt;&gt;"",$G31&gt;0,'Outfall 1 Limits'!$AX$128="C1",EA31&lt;&gt;""),EA31*$G31*8.34,IF(AND(EA31&lt;&gt;"",'Outfall 1 Limits'!$AX$128="L"),EA31,""))</f>
        <v/>
      </c>
      <c r="HO31" s="224" t="str">
        <f t="shared" si="60"/>
        <v/>
      </c>
      <c r="HS31" s="202" t="str">
        <f t="shared" si="61"/>
        <v/>
      </c>
      <c r="HT31" s="196" t="str">
        <f t="shared" si="62"/>
        <v/>
      </c>
      <c r="HU31" s="196" t="str">
        <f t="shared" si="63"/>
        <v/>
      </c>
      <c r="HV31" s="196" t="str">
        <f t="shared" si="64"/>
        <v/>
      </c>
      <c r="HW31" s="196" t="str">
        <f t="shared" si="65"/>
        <v/>
      </c>
      <c r="HX31" s="196" t="str">
        <f t="shared" si="66"/>
        <v/>
      </c>
      <c r="HY31" s="196" t="str">
        <f t="shared" si="67"/>
        <v/>
      </c>
      <c r="HZ31" s="196" t="str">
        <f t="shared" si="68"/>
        <v/>
      </c>
      <c r="IA31" s="196" t="str">
        <f t="shared" si="69"/>
        <v/>
      </c>
      <c r="IB31" s="196" t="str">
        <f t="shared" si="70"/>
        <v/>
      </c>
      <c r="IC31" s="196" t="str">
        <f t="shared" si="71"/>
        <v/>
      </c>
      <c r="ID31" s="196" t="str">
        <f t="shared" si="72"/>
        <v/>
      </c>
      <c r="IE31" s="196" t="str">
        <f t="shared" si="73"/>
        <v/>
      </c>
      <c r="IF31" s="196" t="str">
        <f t="shared" si="74"/>
        <v/>
      </c>
      <c r="IG31" s="196" t="str">
        <f t="shared" si="75"/>
        <v/>
      </c>
      <c r="IH31" s="196" t="str">
        <f t="shared" si="76"/>
        <v/>
      </c>
      <c r="II31" s="196" t="str">
        <f t="shared" si="77"/>
        <v/>
      </c>
      <c r="IJ31" s="196" t="str">
        <f t="shared" si="78"/>
        <v/>
      </c>
      <c r="IK31" s="196" t="str">
        <f t="shared" si="79"/>
        <v/>
      </c>
      <c r="IL31" s="196" t="str">
        <f t="shared" si="80"/>
        <v/>
      </c>
      <c r="IM31" s="196" t="str">
        <f t="shared" si="81"/>
        <v/>
      </c>
      <c r="IN31" s="196" t="str">
        <f t="shared" si="82"/>
        <v/>
      </c>
      <c r="IO31" s="196" t="str">
        <f t="shared" si="83"/>
        <v/>
      </c>
      <c r="IP31" s="196" t="str">
        <f t="shared" si="84"/>
        <v/>
      </c>
      <c r="IQ31" s="196" t="str">
        <f t="shared" si="85"/>
        <v/>
      </c>
      <c r="IR31" s="196" t="str">
        <f t="shared" si="86"/>
        <v/>
      </c>
      <c r="IS31" s="196" t="str">
        <f t="shared" si="87"/>
        <v/>
      </c>
      <c r="IT31" s="196" t="str">
        <f t="shared" si="88"/>
        <v/>
      </c>
      <c r="IU31" s="210" t="str">
        <f t="shared" si="89"/>
        <v/>
      </c>
      <c r="IX31" s="202" t="str">
        <f t="shared" si="90"/>
        <v/>
      </c>
      <c r="IY31" s="196" t="str">
        <f t="shared" si="91"/>
        <v/>
      </c>
      <c r="IZ31" s="196" t="str">
        <f t="shared" si="92"/>
        <v/>
      </c>
      <c r="JA31" s="196" t="str">
        <f t="shared" si="93"/>
        <v/>
      </c>
      <c r="JB31" s="196" t="str">
        <f t="shared" si="94"/>
        <v/>
      </c>
      <c r="JC31" s="196" t="str">
        <f t="shared" si="95"/>
        <v/>
      </c>
      <c r="JD31" s="196" t="str">
        <f t="shared" si="96"/>
        <v/>
      </c>
      <c r="JE31" s="196" t="str">
        <f t="shared" si="97"/>
        <v/>
      </c>
      <c r="JF31" s="196" t="str">
        <f t="shared" si="98"/>
        <v/>
      </c>
      <c r="JG31" s="196" t="str">
        <f t="shared" si="99"/>
        <v/>
      </c>
      <c r="JH31" s="196" t="str">
        <f t="shared" si="100"/>
        <v/>
      </c>
      <c r="JI31" s="196" t="str">
        <f t="shared" si="101"/>
        <v/>
      </c>
      <c r="JJ31" s="196" t="str">
        <f t="shared" si="102"/>
        <v/>
      </c>
      <c r="JK31" s="196" t="str">
        <f t="shared" si="103"/>
        <v/>
      </c>
      <c r="JL31" s="196" t="str">
        <f t="shared" si="104"/>
        <v/>
      </c>
      <c r="JM31" s="196" t="str">
        <f t="shared" si="105"/>
        <v/>
      </c>
      <c r="JN31" s="196" t="str">
        <f t="shared" si="106"/>
        <v/>
      </c>
      <c r="JO31" s="196" t="str">
        <f t="shared" si="107"/>
        <v/>
      </c>
      <c r="JP31" s="196" t="str">
        <f t="shared" si="108"/>
        <v/>
      </c>
      <c r="JQ31" s="196" t="str">
        <f t="shared" si="109"/>
        <v/>
      </c>
      <c r="JR31" s="196" t="str">
        <f t="shared" si="110"/>
        <v/>
      </c>
      <c r="JS31" s="196" t="str">
        <f t="shared" si="111"/>
        <v/>
      </c>
      <c r="JT31" s="196" t="str">
        <f t="shared" si="112"/>
        <v/>
      </c>
      <c r="JU31" s="196" t="str">
        <f t="shared" si="113"/>
        <v/>
      </c>
      <c r="JV31" s="196" t="str">
        <f t="shared" si="114"/>
        <v/>
      </c>
      <c r="JW31" s="196" t="str">
        <f t="shared" si="115"/>
        <v/>
      </c>
      <c r="JX31" s="196" t="str">
        <f t="shared" si="116"/>
        <v/>
      </c>
      <c r="JY31" s="196" t="str">
        <f t="shared" si="117"/>
        <v/>
      </c>
      <c r="JZ31" s="210" t="str">
        <f t="shared" si="118"/>
        <v/>
      </c>
      <c r="KA31" s="196"/>
      <c r="KB31" s="176"/>
      <c r="KC31" s="227"/>
      <c r="KD31" s="218" t="str">
        <f t="shared" si="2"/>
        <v/>
      </c>
      <c r="KE31" s="196" t="str">
        <f t="shared" si="3"/>
        <v/>
      </c>
      <c r="KF31" s="196" t="str">
        <f t="shared" si="4"/>
        <v/>
      </c>
      <c r="KG31" s="196" t="str">
        <f t="shared" si="5"/>
        <v/>
      </c>
      <c r="KH31" s="196" t="str">
        <f t="shared" si="6"/>
        <v/>
      </c>
      <c r="KI31" s="196" t="str">
        <f t="shared" si="7"/>
        <v/>
      </c>
      <c r="KJ31" s="196" t="str">
        <f t="shared" si="8"/>
        <v/>
      </c>
      <c r="KK31" s="196" t="str">
        <f t="shared" si="9"/>
        <v/>
      </c>
      <c r="KL31" s="196" t="str">
        <f t="shared" si="10"/>
        <v/>
      </c>
      <c r="KM31" s="196" t="str">
        <f t="shared" si="11"/>
        <v/>
      </c>
      <c r="KN31" s="196" t="str">
        <f t="shared" si="12"/>
        <v/>
      </c>
      <c r="KO31" s="196" t="str">
        <f t="shared" si="13"/>
        <v/>
      </c>
      <c r="KP31" s="196" t="str">
        <f t="shared" si="14"/>
        <v/>
      </c>
      <c r="KQ31" s="196" t="str">
        <f t="shared" si="15"/>
        <v/>
      </c>
      <c r="KR31" s="196" t="str">
        <f t="shared" si="16"/>
        <v/>
      </c>
      <c r="KS31" s="196" t="str">
        <f t="shared" si="17"/>
        <v/>
      </c>
      <c r="KT31" s="196" t="str">
        <f t="shared" si="18"/>
        <v/>
      </c>
      <c r="KU31" s="196" t="str">
        <f t="shared" si="19"/>
        <v/>
      </c>
      <c r="KV31" s="196" t="str">
        <f t="shared" si="20"/>
        <v/>
      </c>
      <c r="KW31" s="196" t="str">
        <f t="shared" si="21"/>
        <v/>
      </c>
      <c r="KX31" s="196" t="str">
        <f t="shared" si="22"/>
        <v/>
      </c>
      <c r="KY31" s="196" t="str">
        <f t="shared" si="23"/>
        <v/>
      </c>
      <c r="KZ31" s="196" t="str">
        <f t="shared" si="24"/>
        <v/>
      </c>
      <c r="LA31" s="196" t="str">
        <f t="shared" si="25"/>
        <v/>
      </c>
      <c r="LB31" s="196" t="str">
        <f t="shared" si="26"/>
        <v/>
      </c>
      <c r="LC31" s="196" t="str">
        <f t="shared" si="27"/>
        <v/>
      </c>
      <c r="LD31" s="196" t="str">
        <f t="shared" si="28"/>
        <v/>
      </c>
      <c r="LE31" s="196" t="str">
        <f t="shared" si="29"/>
        <v/>
      </c>
      <c r="LF31" s="226" t="str">
        <f t="shared" si="30"/>
        <v/>
      </c>
    </row>
    <row r="32" spans="1:318" s="172" customFormat="1" ht="11.45" customHeight="1" x14ac:dyDescent="0.2">
      <c r="A32" s="35"/>
      <c r="B32" s="54"/>
      <c r="C32" s="438">
        <f t="shared" si="0"/>
        <v>45306</v>
      </c>
      <c r="D32" s="438"/>
      <c r="E32" s="430">
        <f t="shared" si="119"/>
        <v>45306</v>
      </c>
      <c r="F32" s="431"/>
      <c r="G32" s="26"/>
      <c r="H32" s="51"/>
      <c r="I32" s="50"/>
      <c r="J32" s="51"/>
      <c r="K32" s="50"/>
      <c r="L32" s="51"/>
      <c r="M32" s="50"/>
      <c r="N32" s="51"/>
      <c r="O32" s="50"/>
      <c r="P32" s="51"/>
      <c r="Q32" s="50"/>
      <c r="R32" s="51"/>
      <c r="S32" s="50"/>
      <c r="T32" s="51"/>
      <c r="U32" s="50"/>
      <c r="V32" s="51"/>
      <c r="W32" s="50"/>
      <c r="X32" s="276"/>
      <c r="Y32" s="50"/>
      <c r="Z32" s="51"/>
      <c r="AA32" s="50"/>
      <c r="AB32" s="51"/>
      <c r="AC32" s="50"/>
      <c r="AD32" s="51"/>
      <c r="AE32" s="50"/>
      <c r="AF32" s="51"/>
      <c r="AG32" s="50"/>
      <c r="AH32" s="51"/>
      <c r="AI32" s="50"/>
      <c r="AJ32" s="51"/>
      <c r="AK32" s="50"/>
      <c r="AL32" s="51"/>
      <c r="AM32" s="50"/>
      <c r="AN32" s="51"/>
      <c r="AO32" s="50"/>
      <c r="AP32" s="51"/>
      <c r="AQ32" s="50"/>
      <c r="AR32" s="51"/>
      <c r="AS32" s="50"/>
      <c r="AT32" s="51"/>
      <c r="AU32" s="50"/>
      <c r="AV32" s="51"/>
      <c r="AW32" s="50"/>
      <c r="AX32" s="51"/>
      <c r="AY32" s="50"/>
      <c r="AZ32" s="51"/>
      <c r="BA32" s="50"/>
      <c r="BB32" s="51"/>
      <c r="BC32" s="50"/>
      <c r="BD32" s="51"/>
      <c r="BE32" s="50"/>
      <c r="BF32" s="51"/>
      <c r="BG32" s="50"/>
      <c r="BH32" s="51"/>
      <c r="BI32" s="50"/>
      <c r="BJ32" s="51"/>
      <c r="BK32" s="50"/>
      <c r="BL32" s="51"/>
      <c r="BM32" s="109"/>
      <c r="BO32" s="174"/>
      <c r="BP32" s="174">
        <v>2051</v>
      </c>
      <c r="BQ32" s="221" t="s">
        <v>47</v>
      </c>
      <c r="BR32" s="222"/>
      <c r="BS32" s="174" t="s">
        <v>1121</v>
      </c>
      <c r="BU32" s="202" t="str">
        <f t="shared" si="31"/>
        <v/>
      </c>
      <c r="BV32" s="196" t="str">
        <f t="shared" si="32"/>
        <v/>
      </c>
      <c r="BW32" s="196" t="str">
        <f t="shared" si="33"/>
        <v/>
      </c>
      <c r="BX32" s="196" t="str">
        <f t="shared" si="34"/>
        <v/>
      </c>
      <c r="BY32" s="196" t="str">
        <f t="shared" si="35"/>
        <v/>
      </c>
      <c r="BZ32" s="196" t="str">
        <f t="shared" si="36"/>
        <v/>
      </c>
      <c r="CA32" s="196" t="str">
        <f t="shared" si="37"/>
        <v/>
      </c>
      <c r="CB32" s="196" t="str">
        <f t="shared" si="38"/>
        <v/>
      </c>
      <c r="CC32" s="196" t="str">
        <f t="shared" si="39"/>
        <v/>
      </c>
      <c r="CD32" s="196" t="str">
        <f t="shared" si="40"/>
        <v/>
      </c>
      <c r="CE32" s="196" t="str">
        <f t="shared" si="41"/>
        <v/>
      </c>
      <c r="CF32" s="196" t="str">
        <f t="shared" si="42"/>
        <v/>
      </c>
      <c r="CG32" s="196" t="str">
        <f t="shared" si="43"/>
        <v/>
      </c>
      <c r="CH32" s="196" t="str">
        <f t="shared" si="44"/>
        <v/>
      </c>
      <c r="CI32" s="196" t="str">
        <f t="shared" si="45"/>
        <v/>
      </c>
      <c r="CJ32" s="196" t="str">
        <f t="shared" si="46"/>
        <v/>
      </c>
      <c r="CK32" s="196" t="str">
        <f t="shared" si="47"/>
        <v/>
      </c>
      <c r="CL32" s="196" t="str">
        <f t="shared" si="48"/>
        <v/>
      </c>
      <c r="CM32" s="196" t="str">
        <f t="shared" si="120"/>
        <v/>
      </c>
      <c r="CN32" s="196" t="str">
        <f t="shared" si="49"/>
        <v/>
      </c>
      <c r="CO32" s="196" t="str">
        <f t="shared" si="50"/>
        <v/>
      </c>
      <c r="CP32" s="196" t="str">
        <f t="shared" si="51"/>
        <v/>
      </c>
      <c r="CQ32" s="196" t="str">
        <f t="shared" si="52"/>
        <v/>
      </c>
      <c r="CR32" s="196" t="str">
        <f t="shared" si="53"/>
        <v/>
      </c>
      <c r="CS32" s="196" t="str">
        <f t="shared" si="54"/>
        <v/>
      </c>
      <c r="CT32" s="196" t="str">
        <f t="shared" si="55"/>
        <v/>
      </c>
      <c r="CU32" s="196" t="str">
        <f t="shared" si="56"/>
        <v/>
      </c>
      <c r="CV32" s="196" t="str">
        <f t="shared" si="57"/>
        <v/>
      </c>
      <c r="CW32" s="210" t="str">
        <f t="shared" si="58"/>
        <v/>
      </c>
      <c r="CY32" s="212" t="str">
        <f>IF(I32&lt;&gt;"",IF(H32="&lt;",IF(AND('Outfall 1 Limits'!$AM$16="Y",$BU$54&lt;&gt;"Y",I32&lt;='Outfall 1 Limits'!$AL$16),0,(1*I32)),I32),"")</f>
        <v/>
      </c>
      <c r="CZ32" s="206" t="str">
        <f>IF(K32&lt;&gt;"",IF(J32="&lt;",IF(AND('Outfall 1 Limits'!$AM$20="Y",$BV$54&lt;&gt;"Y",K32&lt;='Outfall 1 Limits'!$AL$20),0,(1*K32)),K32),"")</f>
        <v/>
      </c>
      <c r="DA32" s="206" t="str">
        <f>IF(M32&lt;&gt;"",IF(L32="&lt;",IF(AND('Outfall 1 Limits'!$AM$24="Y",$BW$54&lt;&gt;"Y",M32&lt;='Outfall 1 Limits'!$AL$24),0,(1*M32)),M32),"")</f>
        <v/>
      </c>
      <c r="DB32" s="206" t="str">
        <f>IF(O32&lt;&gt;"",IF(N32="&lt;",IF(AND('Outfall 1 Limits'!$AM$28="Y",$BX$54&lt;&gt;"Y",O32&lt;='Outfall 1 Limits'!$AL$28),0,(1*O32)),O32),"")</f>
        <v/>
      </c>
      <c r="DC32" s="206" t="str">
        <f>IF(Q32&lt;&gt;"",IF(P32="&lt;",IF(AND('Outfall 1 Limits'!$AM$32="Y",$BY$54&lt;&gt;"Y",Q32&lt;='Outfall 1 Limits'!$AL$32),0,(1*Q32)),Q32),"")</f>
        <v/>
      </c>
      <c r="DD32" s="206" t="str">
        <f>IF(S32&lt;&gt;"",IF(R32="&lt;",IF(AND('Outfall 1 Limits'!$AM$36="Y",$BZ$54&lt;&gt;"Y",S32&lt;='Outfall 1 Limits'!$AL$36),0,(1*S32)),S32),"")</f>
        <v/>
      </c>
      <c r="DE32" s="206" t="str">
        <f>IF(U32&lt;&gt;"",IF(T32="&lt;",IF(AND('Outfall 1 Limits'!$AM$40="Y",$CA$54&lt;&gt;"Y",U32&lt;='Outfall 1 Limits'!$AL$40),0,(1*U32)),U32),"")</f>
        <v/>
      </c>
      <c r="DF32" s="206" t="str">
        <f>IF(W32&lt;&gt;"",IF(V32="&lt;",IF(AND('Outfall 1 Limits'!$AM$44="Y",$CB$54&lt;&gt;"Y",W32&lt;='Outfall 1 Limits'!$AL$44),0,(1*W32)),W32),"")</f>
        <v/>
      </c>
      <c r="DG32" s="206" t="str">
        <f>IF(Y32&lt;&gt;"",IF(X32="&lt;",IF(AND('Outfall 1 Limits'!$AM$48="Y",$CC$54&lt;&gt;"Y",Y32&lt;='Outfall 1 Limits'!$AL$48),0,(1*Y32)),Y32),"")</f>
        <v/>
      </c>
      <c r="DH32" s="206" t="str">
        <f>IF(AA32&lt;&gt;"",IF(Z32="&lt;",IF(AND('Outfall 1 Limits'!$AM$52="Y",$CD$54&lt;&gt;"Y",AA32&lt;='Outfall 1 Limits'!$AL$52),0,(1*AA32)),AA32),"")</f>
        <v/>
      </c>
      <c r="DI32" s="206" t="str">
        <f>IF(AC32&lt;&gt;"",IF(AB32="&lt;",IF(AND('Outfall 1 Limits'!$AM$56="Y",$CE$54&lt;&gt;"Y",AC32&lt;='Outfall 1 Limits'!$AL$56),0,(1*AC32)),AC32),"")</f>
        <v/>
      </c>
      <c r="DJ32" s="206" t="str">
        <f>IF(AE32&lt;&gt;"",IF(AD32="&lt;",IF(AND('Outfall 1 Limits'!$AM$60="Y",$CF$54&lt;&gt;"Y",AE32&lt;='Outfall 1 Limits'!$AL$60),0,(1*AE32)),AE32),"")</f>
        <v/>
      </c>
      <c r="DK32" s="206" t="str">
        <f>IF(AG32&lt;&gt;"",IF(AF32="&lt;",IF(AND('Outfall 1 Limits'!$AM$64="Y",$CG$54&lt;&gt;"Y",AG32&lt;='Outfall 1 Limits'!$AL$64),0,(1*AG32)),AG32),"")</f>
        <v/>
      </c>
      <c r="DL32" s="206" t="str">
        <f>IF(AI32&lt;&gt;"",IF(AH32="&lt;",IF(AND('Outfall 1 Limits'!$AM$68="Y",$CH$54&lt;&gt;"Y",AI32&lt;='Outfall 1 Limits'!$AL$68),0,(1*AI32)),AI32),"")</f>
        <v/>
      </c>
      <c r="DM32" s="206" t="str">
        <f>IF(AK32&lt;&gt;"",IF(AJ32="&lt;",IF(AND('Outfall 1 Limits'!$AM$72="Y",$CI$54&lt;&gt;"Y",AK32&lt;='Outfall 1 Limits'!$AL$72),0,(1*AK32)),AK32),"")</f>
        <v/>
      </c>
      <c r="DN32" s="206" t="str">
        <f>IF(AM32&lt;&gt;"",IF(AL32="&lt;",IF(AND('Outfall 1 Limits'!$AM$76="Y",$CJ$54&lt;&gt;"Y",AM32&lt;='Outfall 1 Limits'!$AL$76),0,(1*AM32)),AM32),"")</f>
        <v/>
      </c>
      <c r="DO32" s="206" t="str">
        <f>IF(AO32&lt;&gt;"",IF(AN32="&lt;",IF(AND('Outfall 1 Limits'!$AM$80="Y",$CK$54&lt;&gt;"Y",AO32&lt;='Outfall 1 Limits'!$AL$80),0,(1*AO32)),AO32),"")</f>
        <v/>
      </c>
      <c r="DP32" s="206" t="str">
        <f>IF(AQ32&lt;&gt;"",IF(AP32="&lt;",IF(AND('Outfall 1 Limits'!$AM$84="Y",$CL$54&lt;&gt;"Y",AQ32&lt;='Outfall 1 Limits'!$AL$84),0,(1*AQ32)),AQ32),"")</f>
        <v/>
      </c>
      <c r="DQ32" s="206" t="str">
        <f>IF(AS32&lt;&gt;"",IF(AR32="&lt;",IF(AND('Outfall 1 Limits'!$AM$88="Y",$CM$54&lt;&gt;"Y",AS32&lt;='Outfall 1 Limits'!$AL$88),0,(1*AS32)),AS32),"")</f>
        <v/>
      </c>
      <c r="DR32" s="206" t="str">
        <f>IF(AU32&lt;&gt;"",IF(AT32="&lt;",IF(AND('Outfall 1 Limits'!$AM$92="Y",$CN$54&lt;&gt;"Y",AU32&lt;='Outfall 1 Limits'!$AL$92),0,(1*AU32)),AU32),"")</f>
        <v/>
      </c>
      <c r="DS32" s="206" t="str">
        <f>IF(AW32&lt;&gt;"",IF(AV32="&lt;",IF(AND('Outfall 1 Limits'!$AM$96="Y",$CO$54&lt;&gt;"Y",AW32&lt;='Outfall 1 Limits'!$AL$96),0,(1*AW32)),AW32),"")</f>
        <v/>
      </c>
      <c r="DT32" s="206" t="str">
        <f>IF(AY32&lt;&gt;"",IF(AX32="&lt;",IF(AND('Outfall 1 Limits'!$AM$100="Y",$CP$54&lt;&gt;"Y",AY32&lt;='Outfall 1 Limits'!$AL$100),0,(1*AY32)),AY32),"")</f>
        <v/>
      </c>
      <c r="DU32" s="206" t="str">
        <f>IF(BA32&lt;&gt;"",IF(AZ32="&lt;",IF(AND('Outfall 1 Limits'!$AM$104="Y",$CQ$54&lt;&gt;"Y",BA32&lt;='Outfall 1 Limits'!$AL$104),0,(1*BA32)),BA32),"")</f>
        <v/>
      </c>
      <c r="DV32" s="206" t="str">
        <f>IF(BC32&lt;&gt;"",IF(BB32="&lt;",IF(AND('Outfall 1 Limits'!$AM$108="Y",$CR$54&lt;&gt;"Y",BC32&lt;='Outfall 1 Limits'!$AL$108),0,(1*BC32)),BC32),"")</f>
        <v/>
      </c>
      <c r="DW32" s="206" t="str">
        <f>IF(BE32&lt;&gt;"",IF(BD32="&lt;",IF(AND('Outfall 1 Limits'!$AM$112="Y",$CS$54&lt;&gt;"Y",BE32&lt;='Outfall 1 Limits'!$AL$112),0,(1*BE32)),BE32),"")</f>
        <v/>
      </c>
      <c r="DX32" s="206" t="str">
        <f>IF(BG32&lt;&gt;"",IF(BF32="&lt;",IF(AND('Outfall 1 Limits'!$AM$116="Y",$CT$54&lt;&gt;"Y",BG32&lt;='Outfall 1 Limits'!$AL$116),0,(1*BG32)),BG32),"")</f>
        <v/>
      </c>
      <c r="DY32" s="206" t="str">
        <f>IF(BI32&lt;&gt;"",IF(BH32="&lt;",IF(AND('Outfall 1 Limits'!$AM$120="Y",$CU$54&lt;&gt;"Y",BI32&lt;='Outfall 1 Limits'!$AL$120),0,(1*BI32)),BI32),"")</f>
        <v/>
      </c>
      <c r="DZ32" s="206" t="str">
        <f>IF(BK32&lt;&gt;"",IF(BJ32="&lt;",IF(AND('Outfall 1 Limits'!$AM$124="Y",$CV$54&lt;&gt;"Y",BK32&lt;='Outfall 1 Limits'!$AL$124),0,(1*BK32)),BK32),"")</f>
        <v/>
      </c>
      <c r="EA32" s="223" t="str">
        <f>IF(BM32&lt;&gt;"",IF(BL32="&lt;",IF(AND('Outfall 1 Limits'!$AM$128="Y",$CW$54&lt;&gt;"Y",BM32&lt;='Outfall 1 Limits'!$AL$128),0,(1*BM32)),BM32),"")</f>
        <v/>
      </c>
      <c r="EB32" s="209" t="s">
        <v>378</v>
      </c>
      <c r="EC32" s="202" t="str">
        <f>IF(SUM(FG24:FG30)&lt;&gt;0,IF(BU70="Y",AVERAGE(FG24:FG30),AVERAGE(GK24:GK30)),"")</f>
        <v/>
      </c>
      <c r="ED32" s="196" t="str">
        <f t="shared" ref="ED32:FE32" si="131">IF(SUM(FH24:FH30)&lt;&gt;0,IF(BV70="Y",AVERAGE(FH24:FH30),AVERAGE(GL24:GL30)),"")</f>
        <v/>
      </c>
      <c r="EE32" s="196" t="str">
        <f t="shared" si="131"/>
        <v/>
      </c>
      <c r="EF32" s="196" t="str">
        <f t="shared" si="131"/>
        <v/>
      </c>
      <c r="EG32" s="196" t="str">
        <f t="shared" si="131"/>
        <v/>
      </c>
      <c r="EH32" s="196" t="str">
        <f t="shared" si="131"/>
        <v/>
      </c>
      <c r="EI32" s="196" t="str">
        <f t="shared" si="131"/>
        <v/>
      </c>
      <c r="EJ32" s="196" t="str">
        <f t="shared" si="131"/>
        <v/>
      </c>
      <c r="EK32" s="196" t="str">
        <f t="shared" si="131"/>
        <v/>
      </c>
      <c r="EL32" s="196" t="str">
        <f t="shared" si="131"/>
        <v/>
      </c>
      <c r="EM32" s="196" t="str">
        <f t="shared" si="131"/>
        <v/>
      </c>
      <c r="EN32" s="196" t="str">
        <f t="shared" si="131"/>
        <v/>
      </c>
      <c r="EO32" s="196" t="str">
        <f t="shared" si="131"/>
        <v/>
      </c>
      <c r="EP32" s="196" t="str">
        <f t="shared" si="131"/>
        <v/>
      </c>
      <c r="EQ32" s="196" t="str">
        <f t="shared" si="131"/>
        <v/>
      </c>
      <c r="ER32" s="196" t="str">
        <f t="shared" si="131"/>
        <v/>
      </c>
      <c r="ES32" s="196" t="str">
        <f t="shared" si="131"/>
        <v/>
      </c>
      <c r="ET32" s="196" t="str">
        <f t="shared" si="131"/>
        <v/>
      </c>
      <c r="EU32" s="196" t="str">
        <f t="shared" si="131"/>
        <v/>
      </c>
      <c r="EV32" s="196" t="str">
        <f t="shared" si="131"/>
        <v/>
      </c>
      <c r="EW32" s="196" t="str">
        <f t="shared" si="131"/>
        <v/>
      </c>
      <c r="EX32" s="196" t="str">
        <f t="shared" si="131"/>
        <v/>
      </c>
      <c r="EY32" s="196" t="str">
        <f t="shared" si="131"/>
        <v/>
      </c>
      <c r="EZ32" s="196" t="str">
        <f t="shared" si="131"/>
        <v/>
      </c>
      <c r="FA32" s="196" t="str">
        <f t="shared" si="131"/>
        <v/>
      </c>
      <c r="FB32" s="196" t="str">
        <f t="shared" si="131"/>
        <v/>
      </c>
      <c r="FC32" s="196" t="str">
        <f t="shared" si="131"/>
        <v/>
      </c>
      <c r="FD32" s="196" t="str">
        <f t="shared" si="131"/>
        <v/>
      </c>
      <c r="FE32" s="210" t="str">
        <f t="shared" si="131"/>
        <v/>
      </c>
      <c r="FG32" s="212" t="str">
        <f>IF(AND($G32&lt;&gt;"",$G32&gt;0,'Outfall 1 Limits'!$AX$16="C1",I32&lt;&gt;""),I32*$G32*8.34,IF(AND($I32&lt;&gt;"",'Outfall 1 Limits'!$AX$16="L"),I32,""))</f>
        <v/>
      </c>
      <c r="FH32" s="206" t="str">
        <f>IF(AND($G32&lt;&gt;"",$G32&gt;0,'Outfall 1 Limits'!$AX$20="C1",$K32&lt;&gt;""),$K32*$G32*8.34,IF(AND($K32&lt;&gt;"",'Outfall 1 Limits'!$AX$20="L"),$K32,""))</f>
        <v/>
      </c>
      <c r="FI32" s="206" t="str">
        <f>IF(AND($G32&lt;&gt;"",$G32&gt;0,'Outfall 1 Limits'!$AX$24="C1",$M32&lt;&gt;""),$M32*$G32*8.34,IF(AND($M32&lt;&gt;"",'Outfall 1 Limits'!$AX$24="L"),$M32,""))</f>
        <v/>
      </c>
      <c r="FJ32" s="206" t="str">
        <f>IF(AND($G32&lt;&gt;"",$G32&gt;0,'Outfall 1 Limits'!$AX$28="C1",$O32&lt;&gt;""),$O32*$G32*8.34,IF(AND($O32&lt;&gt;"",'Outfall 1 Limits'!$AX$28="L"),$O32,""))</f>
        <v/>
      </c>
      <c r="FK32" s="206" t="str">
        <f>IF(AND($G32&lt;&gt;"",$G32&gt;0,'Outfall 1 Limits'!$AX$32="C1",$Q32&lt;&gt;""),$Q32*$G32*8.34,IF(AND($Q32&lt;&gt;"",'Outfall 1 Limits'!$AX$32="L"),$Q32,""))</f>
        <v/>
      </c>
      <c r="FL32" s="206" t="str">
        <f>IF(AND($G32&lt;&gt;"",$G32&gt;0,'Outfall 1 Limits'!$AX$36="C1",$S32&lt;&gt;""),$S32*$G32*8.34,IF(AND($S32&lt;&gt;"",'Outfall 1 Limits'!$AX$36="L"),$S32,""))</f>
        <v/>
      </c>
      <c r="FM32" s="206" t="str">
        <f>IF(AND($G32&lt;&gt;"",$G32&gt;0,'Outfall 1 Limits'!$AX$40="C1",$U32&lt;&gt;""),$U32*$G32*8.34,IF(AND($U32&lt;&gt;"",'Outfall 1 Limits'!$AX$40="L"),$U32,""))</f>
        <v/>
      </c>
      <c r="FN32" s="206" t="str">
        <f>IF(AND($G32&lt;&gt;"",$G32&gt;0,'Outfall 1 Limits'!$AX$44="C1",$W32&lt;&gt;""),$W32*$G32*8.34,IF(AND($W32&lt;&gt;"",'Outfall 1 Limits'!$AX$44="L"),$W32,""))</f>
        <v/>
      </c>
      <c r="FO32" s="206" t="str">
        <f>IF(AND($G32&lt;&gt;"",$G32&gt;0,'Outfall 1 Limits'!$AX$48="C1",$Y32&lt;&gt;""),$Y32*$G32*8.34,IF(AND($Y32&lt;&gt;"",'Outfall 1 Limits'!$AX$48="L"),$Y32,""))</f>
        <v/>
      </c>
      <c r="FP32" s="206" t="str">
        <f>IF(AND($G32&lt;&gt;"",$G32&gt;0,'Outfall 1 Limits'!$AX$52="C1",$AA32&lt;&gt;""),$AA32*$G32*8.34,IF(AND($AA32&lt;&gt;"",'Outfall 1 Limits'!$AX$52="L"),$AA32,""))</f>
        <v/>
      </c>
      <c r="FQ32" s="206" t="str">
        <f>IF(AND($G32&lt;&gt;"",$G32&gt;0,'Outfall 1 Limits'!$AX$56="C1",$AC32&lt;&gt;""),$AC32*$G32*8.34,IF(AND($AC32&lt;&gt;"",'Outfall 1 Limits'!$AX$56="L"),$AC32,""))</f>
        <v/>
      </c>
      <c r="FR32" s="206" t="str">
        <f>IF(AND($G32&lt;&gt;"",$G32&gt;0,'Outfall 1 Limits'!$AX$60="C1",$AE32&lt;&gt;""),$AE32*$G32*8.34,IF(AND($AE32&lt;&gt;"",'Outfall 1 Limits'!$AX$60="L"),$AE32,""))</f>
        <v/>
      </c>
      <c r="FS32" s="206" t="str">
        <f>IF(AND($G32&lt;&gt;"",$G32&gt;0,'Outfall 1 Limits'!$AX$64="C1",$AG32&lt;&gt;""),$AG32*$G32*8.34,IF(AND($AG32&lt;&gt;"",'Outfall 1 Limits'!$AX$64="L"),$AG32,""))</f>
        <v/>
      </c>
      <c r="FT32" s="206" t="str">
        <f>IF(AND($G32&lt;&gt;"",$G32&gt;0,'Outfall 1 Limits'!$AX$68="C1",$AI32&lt;&gt;""),$AI32*$G32*8.34,IF(AND($AI32&lt;&gt;"",'Outfall 1 Limits'!$AX$68="L"),$AI32,""))</f>
        <v/>
      </c>
      <c r="FU32" s="206" t="str">
        <f>IF(AND($G32&lt;&gt;"",$G32&gt;0,'Outfall 1 Limits'!$AX$72="C1",$AK32&lt;&gt;""),$AK32*$G32*8.34,IF(AND($AK32&lt;&gt;"",'Outfall 1 Limits'!$AX$72="L"),$AK32,""))</f>
        <v/>
      </c>
      <c r="FV32" s="206" t="str">
        <f>IF(AND($G32&lt;&gt;"",$G32&gt;0,'Outfall 1 Limits'!$AX$76="C1",$AM32&lt;&gt;""),$AM32*$G32*8.34,IF(AND($AM32&lt;&gt;"",'Outfall 1 Limits'!$AX$76="L"),$AM32,""))</f>
        <v/>
      </c>
      <c r="FW32" s="206" t="str">
        <f>IF(AND($G32&lt;&gt;"",$G32&gt;0,'Outfall 1 Limits'!$AX$80="C1",$AO32&lt;&gt;""),$AO32*$G32*8.34,IF(AND($AO32&lt;&gt;"",'Outfall 1 Limits'!$AX$80="L"),$AO32,""))</f>
        <v/>
      </c>
      <c r="FX32" s="206" t="str">
        <f>IF(AND($G32&lt;&gt;"",$G32&gt;0,'Outfall 1 Limits'!$AX$84="C1",$AQ32&lt;&gt;""),$AQ32*$G32*8.34,IF(AND($AQ32&lt;&gt;"",'Outfall 1 Limits'!$AX$84="L"),$AQ32,""))</f>
        <v/>
      </c>
      <c r="FY32" s="206" t="str">
        <f>IF(AND($G32&lt;&gt;"",$G32&gt;0,'Outfall 1 Limits'!$AX$88="C1",$AS32&lt;&gt;""),$AS32*$G32*8.34,IF(AND($AS32&lt;&gt;"",'Outfall 1 Limits'!$AX$88="L"),$AS32,""))</f>
        <v/>
      </c>
      <c r="FZ32" s="206" t="str">
        <f>IF(AND($G32&lt;&gt;"",$G32&gt;0,'Outfall 1 Limits'!$AX$92="C1",$AU32&lt;&gt;""),$AU32*$G32*8.34,IF(AND($AU32&lt;&gt;"",'Outfall 1 Limits'!$AX$92="L"),$AU32,""))</f>
        <v/>
      </c>
      <c r="GA32" s="206" t="str">
        <f>IF(AND($G32&lt;&gt;"",$G32&gt;0,'Outfall 1 Limits'!$AX$96="C1",$AW32&lt;&gt;""),$AW32*$G32*8.34,IF(AND($AW32&lt;&gt;"",'Outfall 1 Limits'!$AX$96="L"),$AW32,""))</f>
        <v/>
      </c>
      <c r="GB32" s="206" t="str">
        <f>IF(AND($G32&lt;&gt;"",$G32&gt;0,'Outfall 1 Limits'!$AX$100="C1",$AY32&lt;&gt;""),$AY32*$G32*8.34,IF(AND($AY32&lt;&gt;"",'Outfall 1 Limits'!$AX$100="L"),$AY32,""))</f>
        <v/>
      </c>
      <c r="GC32" s="206" t="str">
        <f>IF(AND($G32&lt;&gt;"",$G32&gt;0,'Outfall 1 Limits'!$AX$104="C1",$BA32&lt;&gt;""),$BA32*$G32*8.34,IF(AND($BA32&lt;&gt;"",'Outfall 1 Limits'!$AX$104="L"),$BA32,""))</f>
        <v/>
      </c>
      <c r="GD32" s="206" t="str">
        <f>IF(AND($G32&lt;&gt;"",$G32&gt;0,'Outfall 1 Limits'!$AX$108="C1",$BC32&lt;&gt;""),$BC32*$G32*8.34,IF(AND($BC32&lt;&gt;"",'Outfall 1 Limits'!$AX$108="L"),$BC32,""))</f>
        <v/>
      </c>
      <c r="GE32" s="206" t="str">
        <f>IF(AND($G32&lt;&gt;"",$G32&gt;0,'Outfall 1 Limits'!$AX$112="C1",$BE32&lt;&gt;""),$BE32*$G32*8.34,IF(AND($BE32&lt;&gt;"",'Outfall 1 Limits'!$AX$112="L"),$BE32,""))</f>
        <v/>
      </c>
      <c r="GF32" s="206" t="str">
        <f>IF(AND($G32&lt;&gt;"",$G32&gt;0,'Outfall 1 Limits'!$AX$116="C1",$BG32&lt;&gt;""),$BG32*$G32*8.34,IF(AND($BG32&lt;&gt;"",'Outfall 1 Limits'!$AX$116="L"),$BG32,""))</f>
        <v/>
      </c>
      <c r="GG32" s="206" t="str">
        <f>IF(AND($G32&lt;&gt;"",$G32&gt;0,'Outfall 1 Limits'!$AX$120="C1",$BI32&lt;&gt;""),$BI32*$G32*8.34,IF(AND($BI32&lt;&gt;"",'Outfall 1 Limits'!$AX$120="L"),$BI32,""))</f>
        <v/>
      </c>
      <c r="GH32" s="206" t="str">
        <f>IF(AND($G32&lt;&gt;"",$G32&gt;0,'Outfall 1 Limits'!$AX$124="C1",$BK32&lt;&gt;""),$BK32*$G32*8.34,IF(AND($BK32&lt;&gt;"",'Outfall 1 Limits'!$AX$124="L"),$BK32,""))</f>
        <v/>
      </c>
      <c r="GI32" s="223" t="str">
        <f>IF(AND($G32&lt;&gt;"",$G32&gt;0,'Outfall 1 Limits'!$AX$128="C1",$BM32&lt;&gt;""),$BM32*$G32*8.34,IF(AND($BM32&lt;&gt;"",'Outfall 1 Limits'!$AX$128="L"),$BM32,""))</f>
        <v/>
      </c>
      <c r="GJ32" s="177" t="str">
        <f t="shared" si="59"/>
        <v/>
      </c>
      <c r="GK32" s="212" t="str">
        <f>IF(AND($G32&lt;&gt;"",$G32&gt;0,'Outfall 1 Limits'!$AX$16="C1",CY32&lt;&gt;""),CY32*$G32*8.34,IF(AND(CY32&lt;&gt;"",'Outfall 1 Limits'!$AX$16="L"),CY32,""))</f>
        <v/>
      </c>
      <c r="GL32" s="206" t="str">
        <f>IF(AND($G32&lt;&gt;"",$G32&gt;0,'Outfall 1 Limits'!$AX$20="C1",CZ32&lt;&gt;""),CZ32*$G32*8.34,IF(AND(CZ32&lt;&gt;"",'Outfall 1 Limits'!$AX$20="L"),CZ32,""))</f>
        <v/>
      </c>
      <c r="GM32" s="206" t="str">
        <f>IF(AND($G32&lt;&gt;"",$G32&gt;0,'Outfall 1 Limits'!$AX$24="C1",DA32&lt;&gt;""),DA32*$G32*8.34,IF(AND(DA32&lt;&gt;"",'Outfall 1 Limits'!$AX$24="L"),DA32,""))</f>
        <v/>
      </c>
      <c r="GN32" s="206" t="str">
        <f>IF(AND($G32&lt;&gt;"",$G32&gt;0,'Outfall 1 Limits'!$AX$28="C1",DB32&lt;&gt;""),DB32*$G32*8.34,IF(AND(DB32&lt;&gt;"",'Outfall 1 Limits'!$AX$28="L"),DB32,""))</f>
        <v/>
      </c>
      <c r="GO32" s="206" t="str">
        <f>IF(AND($G32&lt;&gt;"",$G32&gt;0,'Outfall 1 Limits'!$AX$32="C1",DC32&lt;&gt;""),DC32*$G32*8.34,IF(AND(DC32&lt;&gt;"",'Outfall 1 Limits'!$AX$32="L"),DC32,""))</f>
        <v/>
      </c>
      <c r="GP32" s="206" t="str">
        <f>IF(AND($G32&lt;&gt;"",$G32&gt;0,'Outfall 1 Limits'!$AX$36="C1",DD32&lt;&gt;""),DD32*$G32*8.34,IF(AND(DD32&lt;&gt;"",'Outfall 1 Limits'!$AX$36="L"),DD32,""))</f>
        <v/>
      </c>
      <c r="GQ32" s="206" t="str">
        <f>IF(AND($G32&lt;&gt;"",$G32&gt;0,'Outfall 1 Limits'!$AX$40="C1",DE32&lt;&gt;""),DE32*$G32*8.34,IF(AND(DE32&lt;&gt;"",'Outfall 1 Limits'!$AX$40="L"),DE32,""))</f>
        <v/>
      </c>
      <c r="GR32" s="206" t="str">
        <f>IF(AND($G32&lt;&gt;"",$G32&gt;0,'Outfall 1 Limits'!$AX$44="C1",DF32&lt;&gt;""),DF32*$G32*8.34,IF(AND(DF32&lt;&gt;"",'Outfall 1 Limits'!$AX$44="L"),DF32,""))</f>
        <v/>
      </c>
      <c r="GS32" s="206" t="str">
        <f>IF(AND($G32&lt;&gt;"",$G32&gt;0,'Outfall 1 Limits'!$AX$48="C1",DG32&lt;&gt;""),DG32*$G32*8.34,IF(AND(DG32&lt;&gt;"",'Outfall 1 Limits'!$AX$48="L"),DG32,""))</f>
        <v/>
      </c>
      <c r="GT32" s="206" t="str">
        <f>IF(AND($G32&lt;&gt;"",$G32&gt;0,'Outfall 1 Limits'!$AX$52="C1",DH32&lt;&gt;""),DH32*$G32*8.34,IF(AND(DH32&lt;&gt;"",'Outfall 1 Limits'!$AX$52="L"),DH32,""))</f>
        <v/>
      </c>
      <c r="GU32" s="206" t="str">
        <f>IF(AND($G32&lt;&gt;"",$G32&gt;0,'Outfall 1 Limits'!$AX$56="C1",DI32&lt;&gt;""),DI32*$G32*8.34,IF(AND(DI32&lt;&gt;"",'Outfall 1 Limits'!$AX$56="L"),DI32,""))</f>
        <v/>
      </c>
      <c r="GV32" s="206" t="str">
        <f>IF(AND($G32&lt;&gt;"",$G32&gt;0,'Outfall 1 Limits'!$AX$60="C1",DJ32&lt;&gt;""),DJ32*$G32*8.34,IF(AND(DJ32&lt;&gt;"",'Outfall 1 Limits'!$AX$60="L"),DJ32,""))</f>
        <v/>
      </c>
      <c r="GW32" s="206" t="str">
        <f>IF(AND($G32&lt;&gt;"",$G32&gt;0,'Outfall 1 Limits'!$AX$64="C1",DK32&lt;&gt;""),DK32*$G32*8.34,IF(AND(DK32&lt;&gt;"",'Outfall 1 Limits'!$AX$64="L"),DK32,""))</f>
        <v/>
      </c>
      <c r="GX32" s="206" t="str">
        <f>IF(AND($G32&lt;&gt;"",$G32&gt;0,'Outfall 1 Limits'!$AX$68="C1",DL32&lt;&gt;""),DL32*$G32*8.34,IF(AND(DL32&lt;&gt;"",'Outfall 1 Limits'!$AX$68="L"),DL32,""))</f>
        <v/>
      </c>
      <c r="GY32" s="206" t="str">
        <f>IF(AND($G32&lt;&gt;"",$G32&gt;0,'Outfall 1 Limits'!$AX$72="C1",DM32&lt;&gt;""),DM32*$G32*8.34,IF(AND(DM32&lt;&gt;"",'Outfall 1 Limits'!$AX$72="L"),DM32,""))</f>
        <v/>
      </c>
      <c r="GZ32" s="206" t="str">
        <f>IF(AND($G32&lt;&gt;"",$G32&gt;0,'Outfall 1 Limits'!$AX$76="C1",DN32&lt;&gt;""),DN32*$G32*8.34,IF(AND(DN32&lt;&gt;"",'Outfall 1 Limits'!$AX$76="L"),DN32,""))</f>
        <v/>
      </c>
      <c r="HA32" s="206" t="str">
        <f>IF(AND($G32&lt;&gt;"",$G32&gt;0,'Outfall 1 Limits'!$AX$80="C1",DO32&lt;&gt;""),DO32*$G32*8.34,IF(AND(DO32&lt;&gt;"",'Outfall 1 Limits'!$AX$80="L"),DO32,""))</f>
        <v/>
      </c>
      <c r="HB32" s="206" t="str">
        <f>IF(AND($G32&lt;&gt;"",$G32&gt;0,'Outfall 1 Limits'!$AX$84="C1",DP32&lt;&gt;""),DP32*$G32*8.34,IF(AND(DP32&lt;&gt;"",'Outfall 1 Limits'!$AX$84="L"),DP32,""))</f>
        <v/>
      </c>
      <c r="HC32" s="206" t="str">
        <f>IF(AND($G32&lt;&gt;"",$G32&gt;0,'Outfall 1 Limits'!$AX$88="C1",DQ32&lt;&gt;""),DQ32*$G32*8.34,IF(AND(DQ32&lt;&gt;"",'Outfall 1 Limits'!$AX$88="L"),DQ32,""))</f>
        <v/>
      </c>
      <c r="HD32" s="206" t="str">
        <f>IF(AND($G32&lt;&gt;"",$G32&gt;0,'Outfall 1 Limits'!$AX$92="C1",DR32&lt;&gt;""),DR32*$G32*8.34,IF(AND(DR32&lt;&gt;"",'Outfall 1 Limits'!$AX$92="L"),DR32,""))</f>
        <v/>
      </c>
      <c r="HE32" s="206" t="str">
        <f>IF(AND($G32&lt;&gt;"",$G32&gt;0,'Outfall 1 Limits'!$AX$96="C1",DS32&lt;&gt;""),DS32*$G32*8.34,IF(AND(DS32&lt;&gt;"",'Outfall 1 Limits'!$AX$96="L"),DS32,""))</f>
        <v/>
      </c>
      <c r="HF32" s="206" t="str">
        <f>IF(AND($G32&lt;&gt;"",$G32&gt;0,'Outfall 1 Limits'!$AX$100="C1",DT32&lt;&gt;""),DT32*$G32*8.34,IF(AND(DT32&lt;&gt;"",'Outfall 1 Limits'!$AX$100="L"),DT32,""))</f>
        <v/>
      </c>
      <c r="HG32" s="206" t="str">
        <f>IF(AND($G32&lt;&gt;"",$G32&gt;0,'Outfall 1 Limits'!$AX$104="C1",DU32&lt;&gt;""),DU32*$G32*8.34,IF(AND(DU32&lt;&gt;"",'Outfall 1 Limits'!$AX$104="L"),DU32,""))</f>
        <v/>
      </c>
      <c r="HH32" s="206" t="str">
        <f>IF(AND($G32&lt;&gt;"",$G32&gt;0,'Outfall 1 Limits'!$AX$108="C1",DV32&lt;&gt;""),DV32*$G32*8.34,IF(AND(DV32&lt;&gt;"",'Outfall 1 Limits'!$AX$108="L"),DV32,""))</f>
        <v/>
      </c>
      <c r="HI32" s="206" t="str">
        <f>IF(AND($G32&lt;&gt;"",$G32&gt;0,'Outfall 1 Limits'!$AX$112="C1",DW32&lt;&gt;""),DW32*$G32*8.34,IF(AND(DW32&lt;&gt;"",'Outfall 1 Limits'!$AX$112="L"),DW32,""))</f>
        <v/>
      </c>
      <c r="HJ32" s="206" t="str">
        <f>IF(AND($G32&lt;&gt;"",$G32&gt;0,'Outfall 1 Limits'!$AX$116="C1",DX32&lt;&gt;""),DX32*$G32*8.34,IF(AND(DX32&lt;&gt;"",'Outfall 1 Limits'!$AX$116="L"),DX32,""))</f>
        <v/>
      </c>
      <c r="HK32" s="206" t="str">
        <f>IF(AND($G32&lt;&gt;"",$G32&gt;0,'Outfall 1 Limits'!$AX$120="C1",DY32&lt;&gt;""),DY32*$G32*8.34,IF(AND(DY32&lt;&gt;"",'Outfall 1 Limits'!$AX$120="L"),DY32,""))</f>
        <v/>
      </c>
      <c r="HL32" s="206" t="str">
        <f>IF(AND($G32&lt;&gt;"",$G32&gt;0,'Outfall 1 Limits'!$AX$124="C1",DZ32&lt;&gt;""),DZ32*$G32*8.34,IF(AND(DZ32&lt;&gt;"",'Outfall 1 Limits'!$AX$124="L"),DZ32,""))</f>
        <v/>
      </c>
      <c r="HM32" s="223" t="str">
        <f>IF(AND($G32&lt;&gt;"",$G32&gt;0,'Outfall 1 Limits'!$AX$128="C1",EA32&lt;&gt;""),EA32*$G32*8.34,IF(AND(EA32&lt;&gt;"",'Outfall 1 Limits'!$AX$128="L"),EA32,""))</f>
        <v/>
      </c>
      <c r="HO32" s="224" t="str">
        <f t="shared" si="60"/>
        <v/>
      </c>
      <c r="HS32" s="202" t="str">
        <f t="shared" si="61"/>
        <v/>
      </c>
      <c r="HT32" s="196" t="str">
        <f t="shared" si="62"/>
        <v/>
      </c>
      <c r="HU32" s="196" t="str">
        <f t="shared" si="63"/>
        <v/>
      </c>
      <c r="HV32" s="196" t="str">
        <f t="shared" si="64"/>
        <v/>
      </c>
      <c r="HW32" s="196" t="str">
        <f t="shared" si="65"/>
        <v/>
      </c>
      <c r="HX32" s="196" t="str">
        <f t="shared" si="66"/>
        <v/>
      </c>
      <c r="HY32" s="196" t="str">
        <f t="shared" si="67"/>
        <v/>
      </c>
      <c r="HZ32" s="196" t="str">
        <f t="shared" si="68"/>
        <v/>
      </c>
      <c r="IA32" s="196" t="str">
        <f t="shared" si="69"/>
        <v/>
      </c>
      <c r="IB32" s="196" t="str">
        <f t="shared" si="70"/>
        <v/>
      </c>
      <c r="IC32" s="196" t="str">
        <f t="shared" si="71"/>
        <v/>
      </c>
      <c r="ID32" s="196" t="str">
        <f t="shared" si="72"/>
        <v/>
      </c>
      <c r="IE32" s="196" t="str">
        <f t="shared" si="73"/>
        <v/>
      </c>
      <c r="IF32" s="196" t="str">
        <f t="shared" si="74"/>
        <v/>
      </c>
      <c r="IG32" s="196" t="str">
        <f t="shared" si="75"/>
        <v/>
      </c>
      <c r="IH32" s="196" t="str">
        <f t="shared" si="76"/>
        <v/>
      </c>
      <c r="II32" s="196" t="str">
        <f t="shared" si="77"/>
        <v/>
      </c>
      <c r="IJ32" s="196" t="str">
        <f t="shared" si="78"/>
        <v/>
      </c>
      <c r="IK32" s="196" t="str">
        <f t="shared" si="79"/>
        <v/>
      </c>
      <c r="IL32" s="196" t="str">
        <f t="shared" si="80"/>
        <v/>
      </c>
      <c r="IM32" s="196" t="str">
        <f t="shared" si="81"/>
        <v/>
      </c>
      <c r="IN32" s="196" t="str">
        <f t="shared" si="82"/>
        <v/>
      </c>
      <c r="IO32" s="196" t="str">
        <f t="shared" si="83"/>
        <v/>
      </c>
      <c r="IP32" s="196" t="str">
        <f t="shared" si="84"/>
        <v/>
      </c>
      <c r="IQ32" s="196" t="str">
        <f t="shared" si="85"/>
        <v/>
      </c>
      <c r="IR32" s="196" t="str">
        <f t="shared" si="86"/>
        <v/>
      </c>
      <c r="IS32" s="196" t="str">
        <f t="shared" si="87"/>
        <v/>
      </c>
      <c r="IT32" s="196" t="str">
        <f t="shared" si="88"/>
        <v/>
      </c>
      <c r="IU32" s="210" t="str">
        <f t="shared" si="89"/>
        <v/>
      </c>
      <c r="IX32" s="202" t="str">
        <f t="shared" si="90"/>
        <v/>
      </c>
      <c r="IY32" s="196" t="str">
        <f t="shared" si="91"/>
        <v/>
      </c>
      <c r="IZ32" s="196" t="str">
        <f t="shared" si="92"/>
        <v/>
      </c>
      <c r="JA32" s="196" t="str">
        <f t="shared" si="93"/>
        <v/>
      </c>
      <c r="JB32" s="196" t="str">
        <f t="shared" si="94"/>
        <v/>
      </c>
      <c r="JC32" s="196" t="str">
        <f t="shared" si="95"/>
        <v/>
      </c>
      <c r="JD32" s="196" t="str">
        <f t="shared" si="96"/>
        <v/>
      </c>
      <c r="JE32" s="196" t="str">
        <f t="shared" si="97"/>
        <v/>
      </c>
      <c r="JF32" s="196" t="str">
        <f t="shared" si="98"/>
        <v/>
      </c>
      <c r="JG32" s="196" t="str">
        <f t="shared" si="99"/>
        <v/>
      </c>
      <c r="JH32" s="196" t="str">
        <f t="shared" si="100"/>
        <v/>
      </c>
      <c r="JI32" s="196" t="str">
        <f t="shared" si="101"/>
        <v/>
      </c>
      <c r="JJ32" s="196" t="str">
        <f t="shared" si="102"/>
        <v/>
      </c>
      <c r="JK32" s="196" t="str">
        <f t="shared" si="103"/>
        <v/>
      </c>
      <c r="JL32" s="196" t="str">
        <f t="shared" si="104"/>
        <v/>
      </c>
      <c r="JM32" s="196" t="str">
        <f t="shared" si="105"/>
        <v/>
      </c>
      <c r="JN32" s="196" t="str">
        <f t="shared" si="106"/>
        <v/>
      </c>
      <c r="JO32" s="196" t="str">
        <f t="shared" si="107"/>
        <v/>
      </c>
      <c r="JP32" s="196" t="str">
        <f t="shared" si="108"/>
        <v/>
      </c>
      <c r="JQ32" s="196" t="str">
        <f t="shared" si="109"/>
        <v/>
      </c>
      <c r="JR32" s="196" t="str">
        <f t="shared" si="110"/>
        <v/>
      </c>
      <c r="JS32" s="196" t="str">
        <f t="shared" si="111"/>
        <v/>
      </c>
      <c r="JT32" s="196" t="str">
        <f t="shared" si="112"/>
        <v/>
      </c>
      <c r="JU32" s="196" t="str">
        <f t="shared" si="113"/>
        <v/>
      </c>
      <c r="JV32" s="196" t="str">
        <f t="shared" si="114"/>
        <v/>
      </c>
      <c r="JW32" s="196" t="str">
        <f t="shared" si="115"/>
        <v/>
      </c>
      <c r="JX32" s="196" t="str">
        <f t="shared" si="116"/>
        <v/>
      </c>
      <c r="JY32" s="196" t="str">
        <f t="shared" si="117"/>
        <v/>
      </c>
      <c r="JZ32" s="210" t="str">
        <f t="shared" si="118"/>
        <v/>
      </c>
      <c r="KA32" s="196"/>
      <c r="KB32" s="176"/>
      <c r="KC32" s="227"/>
      <c r="KD32" s="218" t="str">
        <f t="shared" si="2"/>
        <v/>
      </c>
      <c r="KE32" s="196" t="str">
        <f t="shared" si="3"/>
        <v/>
      </c>
      <c r="KF32" s="196" t="str">
        <f t="shared" si="4"/>
        <v/>
      </c>
      <c r="KG32" s="196" t="str">
        <f t="shared" si="5"/>
        <v/>
      </c>
      <c r="KH32" s="196" t="str">
        <f t="shared" si="6"/>
        <v/>
      </c>
      <c r="KI32" s="196" t="str">
        <f t="shared" si="7"/>
        <v/>
      </c>
      <c r="KJ32" s="196" t="str">
        <f t="shared" si="8"/>
        <v/>
      </c>
      <c r="KK32" s="196" t="str">
        <f t="shared" si="9"/>
        <v/>
      </c>
      <c r="KL32" s="196" t="str">
        <f t="shared" si="10"/>
        <v/>
      </c>
      <c r="KM32" s="196" t="str">
        <f t="shared" si="11"/>
        <v/>
      </c>
      <c r="KN32" s="196" t="str">
        <f t="shared" si="12"/>
        <v/>
      </c>
      <c r="KO32" s="196" t="str">
        <f t="shared" si="13"/>
        <v/>
      </c>
      <c r="KP32" s="196" t="str">
        <f t="shared" si="14"/>
        <v/>
      </c>
      <c r="KQ32" s="196" t="str">
        <f t="shared" si="15"/>
        <v/>
      </c>
      <c r="KR32" s="196" t="str">
        <f t="shared" si="16"/>
        <v/>
      </c>
      <c r="KS32" s="196" t="str">
        <f t="shared" si="17"/>
        <v/>
      </c>
      <c r="KT32" s="196" t="str">
        <f t="shared" si="18"/>
        <v/>
      </c>
      <c r="KU32" s="196" t="str">
        <f t="shared" si="19"/>
        <v/>
      </c>
      <c r="KV32" s="196" t="str">
        <f t="shared" si="20"/>
        <v/>
      </c>
      <c r="KW32" s="196" t="str">
        <f t="shared" si="21"/>
        <v/>
      </c>
      <c r="KX32" s="196" t="str">
        <f t="shared" si="22"/>
        <v/>
      </c>
      <c r="KY32" s="196" t="str">
        <f t="shared" si="23"/>
        <v/>
      </c>
      <c r="KZ32" s="196" t="str">
        <f t="shared" si="24"/>
        <v/>
      </c>
      <c r="LA32" s="196" t="str">
        <f t="shared" si="25"/>
        <v/>
      </c>
      <c r="LB32" s="196" t="str">
        <f t="shared" si="26"/>
        <v/>
      </c>
      <c r="LC32" s="196" t="str">
        <f t="shared" si="27"/>
        <v/>
      </c>
      <c r="LD32" s="196" t="str">
        <f t="shared" si="28"/>
        <v/>
      </c>
      <c r="LE32" s="196" t="str">
        <f t="shared" si="29"/>
        <v/>
      </c>
      <c r="LF32" s="226" t="str">
        <f t="shared" si="30"/>
        <v/>
      </c>
    </row>
    <row r="33" spans="1:318" s="172" customFormat="1" ht="11.45" customHeight="1" x14ac:dyDescent="0.2">
      <c r="A33" s="35"/>
      <c r="B33" s="54"/>
      <c r="C33" s="438">
        <f t="shared" si="0"/>
        <v>45307</v>
      </c>
      <c r="D33" s="438"/>
      <c r="E33" s="430">
        <f t="shared" si="119"/>
        <v>45307</v>
      </c>
      <c r="F33" s="431"/>
      <c r="G33" s="26"/>
      <c r="H33" s="51"/>
      <c r="I33" s="50"/>
      <c r="J33" s="51"/>
      <c r="K33" s="50"/>
      <c r="L33" s="51"/>
      <c r="M33" s="50"/>
      <c r="N33" s="51"/>
      <c r="O33" s="50"/>
      <c r="P33" s="51"/>
      <c r="Q33" s="50"/>
      <c r="R33" s="51"/>
      <c r="S33" s="50"/>
      <c r="T33" s="51"/>
      <c r="U33" s="50"/>
      <c r="V33" s="51"/>
      <c r="W33" s="50"/>
      <c r="X33" s="276"/>
      <c r="Y33" s="50"/>
      <c r="Z33" s="51"/>
      <c r="AA33" s="50"/>
      <c r="AB33" s="51"/>
      <c r="AC33" s="50"/>
      <c r="AD33" s="51"/>
      <c r="AE33" s="50"/>
      <c r="AF33" s="51"/>
      <c r="AG33" s="50"/>
      <c r="AH33" s="51"/>
      <c r="AI33" s="50"/>
      <c r="AJ33" s="51"/>
      <c r="AK33" s="50"/>
      <c r="AL33" s="51"/>
      <c r="AM33" s="50"/>
      <c r="AN33" s="51"/>
      <c r="AO33" s="50"/>
      <c r="AP33" s="51"/>
      <c r="AQ33" s="50"/>
      <c r="AR33" s="51"/>
      <c r="AS33" s="50"/>
      <c r="AT33" s="51"/>
      <c r="AU33" s="50"/>
      <c r="AV33" s="51"/>
      <c r="AW33" s="50"/>
      <c r="AX33" s="51"/>
      <c r="AY33" s="50"/>
      <c r="AZ33" s="51"/>
      <c r="BA33" s="50"/>
      <c r="BB33" s="51"/>
      <c r="BC33" s="50"/>
      <c r="BD33" s="51"/>
      <c r="BE33" s="50"/>
      <c r="BF33" s="51"/>
      <c r="BG33" s="50"/>
      <c r="BH33" s="51"/>
      <c r="BI33" s="50"/>
      <c r="BJ33" s="51"/>
      <c r="BK33" s="50"/>
      <c r="BL33" s="51"/>
      <c r="BM33" s="109"/>
      <c r="BO33" s="174"/>
      <c r="BP33" s="174">
        <v>2052</v>
      </c>
      <c r="BQ33" s="221" t="s">
        <v>48</v>
      </c>
      <c r="BR33" s="222"/>
      <c r="BS33" s="174" t="s">
        <v>1089</v>
      </c>
      <c r="BU33" s="202" t="str">
        <f t="shared" si="31"/>
        <v/>
      </c>
      <c r="BV33" s="196" t="str">
        <f t="shared" si="32"/>
        <v/>
      </c>
      <c r="BW33" s="196" t="str">
        <f t="shared" si="33"/>
        <v/>
      </c>
      <c r="BX33" s="196" t="str">
        <f t="shared" si="34"/>
        <v/>
      </c>
      <c r="BY33" s="196" t="str">
        <f t="shared" si="35"/>
        <v/>
      </c>
      <c r="BZ33" s="196" t="str">
        <f t="shared" si="36"/>
        <v/>
      </c>
      <c r="CA33" s="196" t="str">
        <f t="shared" si="37"/>
        <v/>
      </c>
      <c r="CB33" s="196" t="str">
        <f t="shared" si="38"/>
        <v/>
      </c>
      <c r="CC33" s="196" t="str">
        <f t="shared" si="39"/>
        <v/>
      </c>
      <c r="CD33" s="196" t="str">
        <f t="shared" si="40"/>
        <v/>
      </c>
      <c r="CE33" s="196" t="str">
        <f t="shared" si="41"/>
        <v/>
      </c>
      <c r="CF33" s="196" t="str">
        <f t="shared" si="42"/>
        <v/>
      </c>
      <c r="CG33" s="196" t="str">
        <f t="shared" si="43"/>
        <v/>
      </c>
      <c r="CH33" s="196" t="str">
        <f t="shared" si="44"/>
        <v/>
      </c>
      <c r="CI33" s="196" t="str">
        <f t="shared" si="45"/>
        <v/>
      </c>
      <c r="CJ33" s="196" t="str">
        <f t="shared" si="46"/>
        <v/>
      </c>
      <c r="CK33" s="196" t="str">
        <f t="shared" si="47"/>
        <v/>
      </c>
      <c r="CL33" s="196" t="str">
        <f t="shared" si="48"/>
        <v/>
      </c>
      <c r="CM33" s="196" t="str">
        <f t="shared" si="120"/>
        <v/>
      </c>
      <c r="CN33" s="196" t="str">
        <f t="shared" si="49"/>
        <v/>
      </c>
      <c r="CO33" s="196" t="str">
        <f t="shared" si="50"/>
        <v/>
      </c>
      <c r="CP33" s="196" t="str">
        <f t="shared" si="51"/>
        <v/>
      </c>
      <c r="CQ33" s="196" t="str">
        <f t="shared" si="52"/>
        <v/>
      </c>
      <c r="CR33" s="196" t="str">
        <f t="shared" si="53"/>
        <v/>
      </c>
      <c r="CS33" s="196" t="str">
        <f t="shared" si="54"/>
        <v/>
      </c>
      <c r="CT33" s="196" t="str">
        <f t="shared" si="55"/>
        <v/>
      </c>
      <c r="CU33" s="196" t="str">
        <f t="shared" si="56"/>
        <v/>
      </c>
      <c r="CV33" s="196" t="str">
        <f t="shared" si="57"/>
        <v/>
      </c>
      <c r="CW33" s="210" t="str">
        <f t="shared" si="58"/>
        <v/>
      </c>
      <c r="CY33" s="212" t="str">
        <f>IF(I33&lt;&gt;"",IF(H33="&lt;",IF(AND('Outfall 1 Limits'!$AM$16="Y",$BU$54&lt;&gt;"Y",I33&lt;='Outfall 1 Limits'!$AL$16),0,(1*I33)),I33),"")</f>
        <v/>
      </c>
      <c r="CZ33" s="206" t="str">
        <f>IF(K33&lt;&gt;"",IF(J33="&lt;",IF(AND('Outfall 1 Limits'!$AM$20="Y",$BV$54&lt;&gt;"Y",K33&lt;='Outfall 1 Limits'!$AL$20),0,(1*K33)),K33),"")</f>
        <v/>
      </c>
      <c r="DA33" s="206" t="str">
        <f>IF(M33&lt;&gt;"",IF(L33="&lt;",IF(AND('Outfall 1 Limits'!$AM$24="Y",$BW$54&lt;&gt;"Y",M33&lt;='Outfall 1 Limits'!$AL$24),0,(1*M33)),M33),"")</f>
        <v/>
      </c>
      <c r="DB33" s="206" t="str">
        <f>IF(O33&lt;&gt;"",IF(N33="&lt;",IF(AND('Outfall 1 Limits'!$AM$28="Y",$BX$54&lt;&gt;"Y",O33&lt;='Outfall 1 Limits'!$AL$28),0,(1*O33)),O33),"")</f>
        <v/>
      </c>
      <c r="DC33" s="206" t="str">
        <f>IF(Q33&lt;&gt;"",IF(P33="&lt;",IF(AND('Outfall 1 Limits'!$AM$32="Y",$BY$54&lt;&gt;"Y",Q33&lt;='Outfall 1 Limits'!$AL$32),0,(1*Q33)),Q33),"")</f>
        <v/>
      </c>
      <c r="DD33" s="206" t="str">
        <f>IF(S33&lt;&gt;"",IF(R33="&lt;",IF(AND('Outfall 1 Limits'!$AM$36="Y",$BZ$54&lt;&gt;"Y",S33&lt;='Outfall 1 Limits'!$AL$36),0,(1*S33)),S33),"")</f>
        <v/>
      </c>
      <c r="DE33" s="206" t="str">
        <f>IF(U33&lt;&gt;"",IF(T33="&lt;",IF(AND('Outfall 1 Limits'!$AM$40="Y",$CA$54&lt;&gt;"Y",U33&lt;='Outfall 1 Limits'!$AL$40),0,(1*U33)),U33),"")</f>
        <v/>
      </c>
      <c r="DF33" s="206" t="str">
        <f>IF(W33&lt;&gt;"",IF(V33="&lt;",IF(AND('Outfall 1 Limits'!$AM$44="Y",$CB$54&lt;&gt;"Y",W33&lt;='Outfall 1 Limits'!$AL$44),0,(1*W33)),W33),"")</f>
        <v/>
      </c>
      <c r="DG33" s="206" t="str">
        <f>IF(Y33&lt;&gt;"",IF(X33="&lt;",IF(AND('Outfall 1 Limits'!$AM$48="Y",$CC$54&lt;&gt;"Y",Y33&lt;='Outfall 1 Limits'!$AL$48),0,(1*Y33)),Y33),"")</f>
        <v/>
      </c>
      <c r="DH33" s="206" t="str">
        <f>IF(AA33&lt;&gt;"",IF(Z33="&lt;",IF(AND('Outfall 1 Limits'!$AM$52="Y",$CD$54&lt;&gt;"Y",AA33&lt;='Outfall 1 Limits'!$AL$52),0,(1*AA33)),AA33),"")</f>
        <v/>
      </c>
      <c r="DI33" s="206" t="str">
        <f>IF(AC33&lt;&gt;"",IF(AB33="&lt;",IF(AND('Outfall 1 Limits'!$AM$56="Y",$CE$54&lt;&gt;"Y",AC33&lt;='Outfall 1 Limits'!$AL$56),0,(1*AC33)),AC33),"")</f>
        <v/>
      </c>
      <c r="DJ33" s="206" t="str">
        <f>IF(AE33&lt;&gt;"",IF(AD33="&lt;",IF(AND('Outfall 1 Limits'!$AM$60="Y",$CF$54&lt;&gt;"Y",AE33&lt;='Outfall 1 Limits'!$AL$60),0,(1*AE33)),AE33),"")</f>
        <v/>
      </c>
      <c r="DK33" s="206" t="str">
        <f>IF(AG33&lt;&gt;"",IF(AF33="&lt;",IF(AND('Outfall 1 Limits'!$AM$64="Y",$CG$54&lt;&gt;"Y",AG33&lt;='Outfall 1 Limits'!$AL$64),0,(1*AG33)),AG33),"")</f>
        <v/>
      </c>
      <c r="DL33" s="206" t="str">
        <f>IF(AI33&lt;&gt;"",IF(AH33="&lt;",IF(AND('Outfall 1 Limits'!$AM$68="Y",$CH$54&lt;&gt;"Y",AI33&lt;='Outfall 1 Limits'!$AL$68),0,(1*AI33)),AI33),"")</f>
        <v/>
      </c>
      <c r="DM33" s="206" t="str">
        <f>IF(AK33&lt;&gt;"",IF(AJ33="&lt;",IF(AND('Outfall 1 Limits'!$AM$72="Y",$CI$54&lt;&gt;"Y",AK33&lt;='Outfall 1 Limits'!$AL$72),0,(1*AK33)),AK33),"")</f>
        <v/>
      </c>
      <c r="DN33" s="206" t="str">
        <f>IF(AM33&lt;&gt;"",IF(AL33="&lt;",IF(AND('Outfall 1 Limits'!$AM$76="Y",$CJ$54&lt;&gt;"Y",AM33&lt;='Outfall 1 Limits'!$AL$76),0,(1*AM33)),AM33),"")</f>
        <v/>
      </c>
      <c r="DO33" s="206" t="str">
        <f>IF(AO33&lt;&gt;"",IF(AN33="&lt;",IF(AND('Outfall 1 Limits'!$AM$80="Y",$CK$54&lt;&gt;"Y",AO33&lt;='Outfall 1 Limits'!$AL$80),0,(1*AO33)),AO33),"")</f>
        <v/>
      </c>
      <c r="DP33" s="206" t="str">
        <f>IF(AQ33&lt;&gt;"",IF(AP33="&lt;",IF(AND('Outfall 1 Limits'!$AM$84="Y",$CL$54&lt;&gt;"Y",AQ33&lt;='Outfall 1 Limits'!$AL$84),0,(1*AQ33)),AQ33),"")</f>
        <v/>
      </c>
      <c r="DQ33" s="206" t="str">
        <f>IF(AS33&lt;&gt;"",IF(AR33="&lt;",IF(AND('Outfall 1 Limits'!$AM$88="Y",$CM$54&lt;&gt;"Y",AS33&lt;='Outfall 1 Limits'!$AL$88),0,(1*AS33)),AS33),"")</f>
        <v/>
      </c>
      <c r="DR33" s="206" t="str">
        <f>IF(AU33&lt;&gt;"",IF(AT33="&lt;",IF(AND('Outfall 1 Limits'!$AM$92="Y",$CN$54&lt;&gt;"Y",AU33&lt;='Outfall 1 Limits'!$AL$92),0,(1*AU33)),AU33),"")</f>
        <v/>
      </c>
      <c r="DS33" s="206" t="str">
        <f>IF(AW33&lt;&gt;"",IF(AV33="&lt;",IF(AND('Outfall 1 Limits'!$AM$96="Y",$CO$54&lt;&gt;"Y",AW33&lt;='Outfall 1 Limits'!$AL$96),0,(1*AW33)),AW33),"")</f>
        <v/>
      </c>
      <c r="DT33" s="206" t="str">
        <f>IF(AY33&lt;&gt;"",IF(AX33="&lt;",IF(AND('Outfall 1 Limits'!$AM$100="Y",$CP$54&lt;&gt;"Y",AY33&lt;='Outfall 1 Limits'!$AL$100),0,(1*AY33)),AY33),"")</f>
        <v/>
      </c>
      <c r="DU33" s="206" t="str">
        <f>IF(BA33&lt;&gt;"",IF(AZ33="&lt;",IF(AND('Outfall 1 Limits'!$AM$104="Y",$CQ$54&lt;&gt;"Y",BA33&lt;='Outfall 1 Limits'!$AL$104),0,(1*BA33)),BA33),"")</f>
        <v/>
      </c>
      <c r="DV33" s="206" t="str">
        <f>IF(BC33&lt;&gt;"",IF(BB33="&lt;",IF(AND('Outfall 1 Limits'!$AM$108="Y",$CR$54&lt;&gt;"Y",BC33&lt;='Outfall 1 Limits'!$AL$108),0,(1*BC33)),BC33),"")</f>
        <v/>
      </c>
      <c r="DW33" s="206" t="str">
        <f>IF(BE33&lt;&gt;"",IF(BD33="&lt;",IF(AND('Outfall 1 Limits'!$AM$112="Y",$CS$54&lt;&gt;"Y",BE33&lt;='Outfall 1 Limits'!$AL$112),0,(1*BE33)),BE33),"")</f>
        <v/>
      </c>
      <c r="DX33" s="206" t="str">
        <f>IF(BG33&lt;&gt;"",IF(BF33="&lt;",IF(AND('Outfall 1 Limits'!$AM$116="Y",$CT$54&lt;&gt;"Y",BG33&lt;='Outfall 1 Limits'!$AL$116),0,(1*BG33)),BG33),"")</f>
        <v/>
      </c>
      <c r="DY33" s="206" t="str">
        <f>IF(BI33&lt;&gt;"",IF(BH33="&lt;",IF(AND('Outfall 1 Limits'!$AM$120="Y",$CU$54&lt;&gt;"Y",BI33&lt;='Outfall 1 Limits'!$AL$120),0,(1*BI33)),BI33),"")</f>
        <v/>
      </c>
      <c r="DZ33" s="206" t="str">
        <f>IF(BK33&lt;&gt;"",IF(BJ33="&lt;",IF(AND('Outfall 1 Limits'!$AM$124="Y",$CV$54&lt;&gt;"Y",BK33&lt;='Outfall 1 Limits'!$AL$124),0,(1*BK33)),BK33),"")</f>
        <v/>
      </c>
      <c r="EA33" s="223" t="str">
        <f>IF(BM33&lt;&gt;"",IF(BL33="&lt;",IF(AND('Outfall 1 Limits'!$AM$128="Y",$CW$54&lt;&gt;"Y",BM33&lt;='Outfall 1 Limits'!$AL$128),0,(1*BM33)),BM33),"")</f>
        <v/>
      </c>
      <c r="EB33" s="209" t="s">
        <v>379</v>
      </c>
      <c r="EC33" s="202" t="str">
        <f>IF(SUM(FG31:FG37)&lt;&gt;0,IF(BU72="Y",AVERAGE(FG31:FG37),AVERAGE(GK31:GK37)),"")</f>
        <v/>
      </c>
      <c r="ED33" s="196" t="str">
        <f t="shared" ref="ED33:FE33" si="132">IF(SUM(FH31:FH37)&lt;&gt;0,IF(BV72="Y",AVERAGE(FH31:FH37),AVERAGE(GL31:GL37)),"")</f>
        <v/>
      </c>
      <c r="EE33" s="196" t="str">
        <f t="shared" si="132"/>
        <v/>
      </c>
      <c r="EF33" s="196" t="str">
        <f t="shared" si="132"/>
        <v/>
      </c>
      <c r="EG33" s="196" t="str">
        <f t="shared" si="132"/>
        <v/>
      </c>
      <c r="EH33" s="196" t="str">
        <f t="shared" si="132"/>
        <v/>
      </c>
      <c r="EI33" s="196" t="str">
        <f t="shared" si="132"/>
        <v/>
      </c>
      <c r="EJ33" s="196" t="str">
        <f t="shared" si="132"/>
        <v/>
      </c>
      <c r="EK33" s="196" t="str">
        <f t="shared" si="132"/>
        <v/>
      </c>
      <c r="EL33" s="196" t="str">
        <f t="shared" si="132"/>
        <v/>
      </c>
      <c r="EM33" s="196" t="str">
        <f t="shared" si="132"/>
        <v/>
      </c>
      <c r="EN33" s="196" t="str">
        <f t="shared" si="132"/>
        <v/>
      </c>
      <c r="EO33" s="196" t="str">
        <f t="shared" si="132"/>
        <v/>
      </c>
      <c r="EP33" s="196" t="str">
        <f t="shared" si="132"/>
        <v/>
      </c>
      <c r="EQ33" s="196" t="str">
        <f t="shared" si="132"/>
        <v/>
      </c>
      <c r="ER33" s="196" t="str">
        <f t="shared" si="132"/>
        <v/>
      </c>
      <c r="ES33" s="196" t="str">
        <f t="shared" si="132"/>
        <v/>
      </c>
      <c r="ET33" s="196" t="str">
        <f t="shared" si="132"/>
        <v/>
      </c>
      <c r="EU33" s="196" t="str">
        <f t="shared" si="132"/>
        <v/>
      </c>
      <c r="EV33" s="196" t="str">
        <f t="shared" si="132"/>
        <v/>
      </c>
      <c r="EW33" s="196" t="str">
        <f t="shared" si="132"/>
        <v/>
      </c>
      <c r="EX33" s="196" t="str">
        <f t="shared" si="132"/>
        <v/>
      </c>
      <c r="EY33" s="196" t="str">
        <f t="shared" si="132"/>
        <v/>
      </c>
      <c r="EZ33" s="196" t="str">
        <f t="shared" si="132"/>
        <v/>
      </c>
      <c r="FA33" s="196" t="str">
        <f t="shared" si="132"/>
        <v/>
      </c>
      <c r="FB33" s="196" t="str">
        <f t="shared" si="132"/>
        <v/>
      </c>
      <c r="FC33" s="196" t="str">
        <f t="shared" si="132"/>
        <v/>
      </c>
      <c r="FD33" s="196" t="str">
        <f t="shared" si="132"/>
        <v/>
      </c>
      <c r="FE33" s="210" t="str">
        <f t="shared" si="132"/>
        <v/>
      </c>
      <c r="FG33" s="212" t="str">
        <f>IF(AND($G33&lt;&gt;"",$G33&gt;0,'Outfall 1 Limits'!$AX$16="C1",I33&lt;&gt;""),I33*$G33*8.34,IF(AND($I33&lt;&gt;"",'Outfall 1 Limits'!$AX$16="L"),I33,""))</f>
        <v/>
      </c>
      <c r="FH33" s="206" t="str">
        <f>IF(AND($G33&lt;&gt;"",$G33&gt;0,'Outfall 1 Limits'!$AX$20="C1",$K33&lt;&gt;""),$K33*$G33*8.34,IF(AND($K33&lt;&gt;"",'Outfall 1 Limits'!$AX$20="L"),$K33,""))</f>
        <v/>
      </c>
      <c r="FI33" s="206" t="str">
        <f>IF(AND($G33&lt;&gt;"",$G33&gt;0,'Outfall 1 Limits'!$AX$24="C1",$M33&lt;&gt;""),$M33*$G33*8.34,IF(AND($M33&lt;&gt;"",'Outfall 1 Limits'!$AX$24="L"),$M33,""))</f>
        <v/>
      </c>
      <c r="FJ33" s="206" t="str">
        <f>IF(AND($G33&lt;&gt;"",$G33&gt;0,'Outfall 1 Limits'!$AX$28="C1",$O33&lt;&gt;""),$O33*$G33*8.34,IF(AND($O33&lt;&gt;"",'Outfall 1 Limits'!$AX$28="L"),$O33,""))</f>
        <v/>
      </c>
      <c r="FK33" s="206" t="str">
        <f>IF(AND($G33&lt;&gt;"",$G33&gt;0,'Outfall 1 Limits'!$AX$32="C1",$Q33&lt;&gt;""),$Q33*$G33*8.34,IF(AND($Q33&lt;&gt;"",'Outfall 1 Limits'!$AX$32="L"),$Q33,""))</f>
        <v/>
      </c>
      <c r="FL33" s="206" t="str">
        <f>IF(AND($G33&lt;&gt;"",$G33&gt;0,'Outfall 1 Limits'!$AX$36="C1",$S33&lt;&gt;""),$S33*$G33*8.34,IF(AND($S33&lt;&gt;"",'Outfall 1 Limits'!$AX$36="L"),$S33,""))</f>
        <v/>
      </c>
      <c r="FM33" s="206" t="str">
        <f>IF(AND($G33&lt;&gt;"",$G33&gt;0,'Outfall 1 Limits'!$AX$40="C1",$U33&lt;&gt;""),$U33*$G33*8.34,IF(AND($U33&lt;&gt;"",'Outfall 1 Limits'!$AX$40="L"),$U33,""))</f>
        <v/>
      </c>
      <c r="FN33" s="206" t="str">
        <f>IF(AND($G33&lt;&gt;"",$G33&gt;0,'Outfall 1 Limits'!$AX$44="C1",$W33&lt;&gt;""),$W33*$G33*8.34,IF(AND($W33&lt;&gt;"",'Outfall 1 Limits'!$AX$44="L"),$W33,""))</f>
        <v/>
      </c>
      <c r="FO33" s="206" t="str">
        <f>IF(AND($G33&lt;&gt;"",$G33&gt;0,'Outfall 1 Limits'!$AX$48="C1",$Y33&lt;&gt;""),$Y33*$G33*8.34,IF(AND($Y33&lt;&gt;"",'Outfall 1 Limits'!$AX$48="L"),$Y33,""))</f>
        <v/>
      </c>
      <c r="FP33" s="206" t="str">
        <f>IF(AND($G33&lt;&gt;"",$G33&gt;0,'Outfall 1 Limits'!$AX$52="C1",$AA33&lt;&gt;""),$AA33*$G33*8.34,IF(AND($AA33&lt;&gt;"",'Outfall 1 Limits'!$AX$52="L"),$AA33,""))</f>
        <v/>
      </c>
      <c r="FQ33" s="206" t="str">
        <f>IF(AND($G33&lt;&gt;"",$G33&gt;0,'Outfall 1 Limits'!$AX$56="C1",$AC33&lt;&gt;""),$AC33*$G33*8.34,IF(AND($AC33&lt;&gt;"",'Outfall 1 Limits'!$AX$56="L"),$AC33,""))</f>
        <v/>
      </c>
      <c r="FR33" s="206" t="str">
        <f>IF(AND($G33&lt;&gt;"",$G33&gt;0,'Outfall 1 Limits'!$AX$60="C1",$AE33&lt;&gt;""),$AE33*$G33*8.34,IF(AND($AE33&lt;&gt;"",'Outfall 1 Limits'!$AX$60="L"),$AE33,""))</f>
        <v/>
      </c>
      <c r="FS33" s="206" t="str">
        <f>IF(AND($G33&lt;&gt;"",$G33&gt;0,'Outfall 1 Limits'!$AX$64="C1",$AG33&lt;&gt;""),$AG33*$G33*8.34,IF(AND($AG33&lt;&gt;"",'Outfall 1 Limits'!$AX$64="L"),$AG33,""))</f>
        <v/>
      </c>
      <c r="FT33" s="206" t="str">
        <f>IF(AND($G33&lt;&gt;"",$G33&gt;0,'Outfall 1 Limits'!$AX$68="C1",$AI33&lt;&gt;""),$AI33*$G33*8.34,IF(AND($AI33&lt;&gt;"",'Outfall 1 Limits'!$AX$68="L"),$AI33,""))</f>
        <v/>
      </c>
      <c r="FU33" s="206" t="str">
        <f>IF(AND($G33&lt;&gt;"",$G33&gt;0,'Outfall 1 Limits'!$AX$72="C1",$AK33&lt;&gt;""),$AK33*$G33*8.34,IF(AND($AK33&lt;&gt;"",'Outfall 1 Limits'!$AX$72="L"),$AK33,""))</f>
        <v/>
      </c>
      <c r="FV33" s="206" t="str">
        <f>IF(AND($G33&lt;&gt;"",$G33&gt;0,'Outfall 1 Limits'!$AX$76="C1",$AM33&lt;&gt;""),$AM33*$G33*8.34,IF(AND($AM33&lt;&gt;"",'Outfall 1 Limits'!$AX$76="L"),$AM33,""))</f>
        <v/>
      </c>
      <c r="FW33" s="206" t="str">
        <f>IF(AND($G33&lt;&gt;"",$G33&gt;0,'Outfall 1 Limits'!$AX$80="C1",$AO33&lt;&gt;""),$AO33*$G33*8.34,IF(AND($AO33&lt;&gt;"",'Outfall 1 Limits'!$AX$80="L"),$AO33,""))</f>
        <v/>
      </c>
      <c r="FX33" s="206" t="str">
        <f>IF(AND($G33&lt;&gt;"",$G33&gt;0,'Outfall 1 Limits'!$AX$84="C1",$AQ33&lt;&gt;""),$AQ33*$G33*8.34,IF(AND($AQ33&lt;&gt;"",'Outfall 1 Limits'!$AX$84="L"),$AQ33,""))</f>
        <v/>
      </c>
      <c r="FY33" s="206" t="str">
        <f>IF(AND($G33&lt;&gt;"",$G33&gt;0,'Outfall 1 Limits'!$AX$88="C1",$AS33&lt;&gt;""),$AS33*$G33*8.34,IF(AND($AS33&lt;&gt;"",'Outfall 1 Limits'!$AX$88="L"),$AS33,""))</f>
        <v/>
      </c>
      <c r="FZ33" s="206" t="str">
        <f>IF(AND($G33&lt;&gt;"",$G33&gt;0,'Outfall 1 Limits'!$AX$92="C1",$AU33&lt;&gt;""),$AU33*$G33*8.34,IF(AND($AU33&lt;&gt;"",'Outfall 1 Limits'!$AX$92="L"),$AU33,""))</f>
        <v/>
      </c>
      <c r="GA33" s="206" t="str">
        <f>IF(AND($G33&lt;&gt;"",$G33&gt;0,'Outfall 1 Limits'!$AX$96="C1",$AW33&lt;&gt;""),$AW33*$G33*8.34,IF(AND($AW33&lt;&gt;"",'Outfall 1 Limits'!$AX$96="L"),$AW33,""))</f>
        <v/>
      </c>
      <c r="GB33" s="206" t="str">
        <f>IF(AND($G33&lt;&gt;"",$G33&gt;0,'Outfall 1 Limits'!$AX$100="C1",$AY33&lt;&gt;""),$AY33*$G33*8.34,IF(AND($AY33&lt;&gt;"",'Outfall 1 Limits'!$AX$100="L"),$AY33,""))</f>
        <v/>
      </c>
      <c r="GC33" s="206" t="str">
        <f>IF(AND($G33&lt;&gt;"",$G33&gt;0,'Outfall 1 Limits'!$AX$104="C1",$BA33&lt;&gt;""),$BA33*$G33*8.34,IF(AND($BA33&lt;&gt;"",'Outfall 1 Limits'!$AX$104="L"),$BA33,""))</f>
        <v/>
      </c>
      <c r="GD33" s="206" t="str">
        <f>IF(AND($G33&lt;&gt;"",$G33&gt;0,'Outfall 1 Limits'!$AX$108="C1",$BC33&lt;&gt;""),$BC33*$G33*8.34,IF(AND($BC33&lt;&gt;"",'Outfall 1 Limits'!$AX$108="L"),$BC33,""))</f>
        <v/>
      </c>
      <c r="GE33" s="206" t="str">
        <f>IF(AND($G33&lt;&gt;"",$G33&gt;0,'Outfall 1 Limits'!$AX$112="C1",$BE33&lt;&gt;""),$BE33*$G33*8.34,IF(AND($BE33&lt;&gt;"",'Outfall 1 Limits'!$AX$112="L"),$BE33,""))</f>
        <v/>
      </c>
      <c r="GF33" s="206" t="str">
        <f>IF(AND($G33&lt;&gt;"",$G33&gt;0,'Outfall 1 Limits'!$AX$116="C1",$BG33&lt;&gt;""),$BG33*$G33*8.34,IF(AND($BG33&lt;&gt;"",'Outfall 1 Limits'!$AX$116="L"),$BG33,""))</f>
        <v/>
      </c>
      <c r="GG33" s="206" t="str">
        <f>IF(AND($G33&lt;&gt;"",$G33&gt;0,'Outfall 1 Limits'!$AX$120="C1",$BI33&lt;&gt;""),$BI33*$G33*8.34,IF(AND($BI33&lt;&gt;"",'Outfall 1 Limits'!$AX$120="L"),$BI33,""))</f>
        <v/>
      </c>
      <c r="GH33" s="206" t="str">
        <f>IF(AND($G33&lt;&gt;"",$G33&gt;0,'Outfall 1 Limits'!$AX$124="C1",$BK33&lt;&gt;""),$BK33*$G33*8.34,IF(AND($BK33&lt;&gt;"",'Outfall 1 Limits'!$AX$124="L"),$BK33,""))</f>
        <v/>
      </c>
      <c r="GI33" s="223" t="str">
        <f>IF(AND($G33&lt;&gt;"",$G33&gt;0,'Outfall 1 Limits'!$AX$128="C1",$BM33&lt;&gt;""),$BM33*$G33*8.34,IF(AND($BM33&lt;&gt;"",'Outfall 1 Limits'!$AX$128="L"),$BM33,""))</f>
        <v/>
      </c>
      <c r="GJ33" s="177" t="str">
        <f t="shared" si="59"/>
        <v/>
      </c>
      <c r="GK33" s="212" t="str">
        <f>IF(AND($G33&lt;&gt;"",$G33&gt;0,'Outfall 1 Limits'!$AX$16="C1",CY33&lt;&gt;""),CY33*$G33*8.34,IF(AND(CY33&lt;&gt;"",'Outfall 1 Limits'!$AX$16="L"),CY33,""))</f>
        <v/>
      </c>
      <c r="GL33" s="206" t="str">
        <f>IF(AND($G33&lt;&gt;"",$G33&gt;0,'Outfall 1 Limits'!$AX$20="C1",CZ33&lt;&gt;""),CZ33*$G33*8.34,IF(AND(CZ33&lt;&gt;"",'Outfall 1 Limits'!$AX$20="L"),CZ33,""))</f>
        <v/>
      </c>
      <c r="GM33" s="206" t="str">
        <f>IF(AND($G33&lt;&gt;"",$G33&gt;0,'Outfall 1 Limits'!$AX$24="C1",DA33&lt;&gt;""),DA33*$G33*8.34,IF(AND(DA33&lt;&gt;"",'Outfall 1 Limits'!$AX$24="L"),DA33,""))</f>
        <v/>
      </c>
      <c r="GN33" s="206" t="str">
        <f>IF(AND($G33&lt;&gt;"",$G33&gt;0,'Outfall 1 Limits'!$AX$28="C1",DB33&lt;&gt;""),DB33*$G33*8.34,IF(AND(DB33&lt;&gt;"",'Outfall 1 Limits'!$AX$28="L"),DB33,""))</f>
        <v/>
      </c>
      <c r="GO33" s="206" t="str">
        <f>IF(AND($G33&lt;&gt;"",$G33&gt;0,'Outfall 1 Limits'!$AX$32="C1",DC33&lt;&gt;""),DC33*$G33*8.34,IF(AND(DC33&lt;&gt;"",'Outfall 1 Limits'!$AX$32="L"),DC33,""))</f>
        <v/>
      </c>
      <c r="GP33" s="206" t="str">
        <f>IF(AND($G33&lt;&gt;"",$G33&gt;0,'Outfall 1 Limits'!$AX$36="C1",DD33&lt;&gt;""),DD33*$G33*8.34,IF(AND(DD33&lt;&gt;"",'Outfall 1 Limits'!$AX$36="L"),DD33,""))</f>
        <v/>
      </c>
      <c r="GQ33" s="206" t="str">
        <f>IF(AND($G33&lt;&gt;"",$G33&gt;0,'Outfall 1 Limits'!$AX$40="C1",DE33&lt;&gt;""),DE33*$G33*8.34,IF(AND(DE33&lt;&gt;"",'Outfall 1 Limits'!$AX$40="L"),DE33,""))</f>
        <v/>
      </c>
      <c r="GR33" s="206" t="str">
        <f>IF(AND($G33&lt;&gt;"",$G33&gt;0,'Outfall 1 Limits'!$AX$44="C1",DF33&lt;&gt;""),DF33*$G33*8.34,IF(AND(DF33&lt;&gt;"",'Outfall 1 Limits'!$AX$44="L"),DF33,""))</f>
        <v/>
      </c>
      <c r="GS33" s="206" t="str">
        <f>IF(AND($G33&lt;&gt;"",$G33&gt;0,'Outfall 1 Limits'!$AX$48="C1",DG33&lt;&gt;""),DG33*$G33*8.34,IF(AND(DG33&lt;&gt;"",'Outfall 1 Limits'!$AX$48="L"),DG33,""))</f>
        <v/>
      </c>
      <c r="GT33" s="206" t="str">
        <f>IF(AND($G33&lt;&gt;"",$G33&gt;0,'Outfall 1 Limits'!$AX$52="C1",DH33&lt;&gt;""),DH33*$G33*8.34,IF(AND(DH33&lt;&gt;"",'Outfall 1 Limits'!$AX$52="L"),DH33,""))</f>
        <v/>
      </c>
      <c r="GU33" s="206" t="str">
        <f>IF(AND($G33&lt;&gt;"",$G33&gt;0,'Outfall 1 Limits'!$AX$56="C1",DI33&lt;&gt;""),DI33*$G33*8.34,IF(AND(DI33&lt;&gt;"",'Outfall 1 Limits'!$AX$56="L"),DI33,""))</f>
        <v/>
      </c>
      <c r="GV33" s="206" t="str">
        <f>IF(AND($G33&lt;&gt;"",$G33&gt;0,'Outfall 1 Limits'!$AX$60="C1",DJ33&lt;&gt;""),DJ33*$G33*8.34,IF(AND(DJ33&lt;&gt;"",'Outfall 1 Limits'!$AX$60="L"),DJ33,""))</f>
        <v/>
      </c>
      <c r="GW33" s="206" t="str">
        <f>IF(AND($G33&lt;&gt;"",$G33&gt;0,'Outfall 1 Limits'!$AX$64="C1",DK33&lt;&gt;""),DK33*$G33*8.34,IF(AND(DK33&lt;&gt;"",'Outfall 1 Limits'!$AX$64="L"),DK33,""))</f>
        <v/>
      </c>
      <c r="GX33" s="206" t="str">
        <f>IF(AND($G33&lt;&gt;"",$G33&gt;0,'Outfall 1 Limits'!$AX$68="C1",DL33&lt;&gt;""),DL33*$G33*8.34,IF(AND(DL33&lt;&gt;"",'Outfall 1 Limits'!$AX$68="L"),DL33,""))</f>
        <v/>
      </c>
      <c r="GY33" s="206" t="str">
        <f>IF(AND($G33&lt;&gt;"",$G33&gt;0,'Outfall 1 Limits'!$AX$72="C1",DM33&lt;&gt;""),DM33*$G33*8.34,IF(AND(DM33&lt;&gt;"",'Outfall 1 Limits'!$AX$72="L"),DM33,""))</f>
        <v/>
      </c>
      <c r="GZ33" s="206" t="str">
        <f>IF(AND($G33&lt;&gt;"",$G33&gt;0,'Outfall 1 Limits'!$AX$76="C1",DN33&lt;&gt;""),DN33*$G33*8.34,IF(AND(DN33&lt;&gt;"",'Outfall 1 Limits'!$AX$76="L"),DN33,""))</f>
        <v/>
      </c>
      <c r="HA33" s="206" t="str">
        <f>IF(AND($G33&lt;&gt;"",$G33&gt;0,'Outfall 1 Limits'!$AX$80="C1",DO33&lt;&gt;""),DO33*$G33*8.34,IF(AND(DO33&lt;&gt;"",'Outfall 1 Limits'!$AX$80="L"),DO33,""))</f>
        <v/>
      </c>
      <c r="HB33" s="206" t="str">
        <f>IF(AND($G33&lt;&gt;"",$G33&gt;0,'Outfall 1 Limits'!$AX$84="C1",DP33&lt;&gt;""),DP33*$G33*8.34,IF(AND(DP33&lt;&gt;"",'Outfall 1 Limits'!$AX$84="L"),DP33,""))</f>
        <v/>
      </c>
      <c r="HC33" s="206" t="str">
        <f>IF(AND($G33&lt;&gt;"",$G33&gt;0,'Outfall 1 Limits'!$AX$88="C1",DQ33&lt;&gt;""),DQ33*$G33*8.34,IF(AND(DQ33&lt;&gt;"",'Outfall 1 Limits'!$AX$88="L"),DQ33,""))</f>
        <v/>
      </c>
      <c r="HD33" s="206" t="str">
        <f>IF(AND($G33&lt;&gt;"",$G33&gt;0,'Outfall 1 Limits'!$AX$92="C1",DR33&lt;&gt;""),DR33*$G33*8.34,IF(AND(DR33&lt;&gt;"",'Outfall 1 Limits'!$AX$92="L"),DR33,""))</f>
        <v/>
      </c>
      <c r="HE33" s="206" t="str">
        <f>IF(AND($G33&lt;&gt;"",$G33&gt;0,'Outfall 1 Limits'!$AX$96="C1",DS33&lt;&gt;""),DS33*$G33*8.34,IF(AND(DS33&lt;&gt;"",'Outfall 1 Limits'!$AX$96="L"),DS33,""))</f>
        <v/>
      </c>
      <c r="HF33" s="206" t="str">
        <f>IF(AND($G33&lt;&gt;"",$G33&gt;0,'Outfall 1 Limits'!$AX$100="C1",DT33&lt;&gt;""),DT33*$G33*8.34,IF(AND(DT33&lt;&gt;"",'Outfall 1 Limits'!$AX$100="L"),DT33,""))</f>
        <v/>
      </c>
      <c r="HG33" s="206" t="str">
        <f>IF(AND($G33&lt;&gt;"",$G33&gt;0,'Outfall 1 Limits'!$AX$104="C1",DU33&lt;&gt;""),DU33*$G33*8.34,IF(AND(DU33&lt;&gt;"",'Outfall 1 Limits'!$AX$104="L"),DU33,""))</f>
        <v/>
      </c>
      <c r="HH33" s="206" t="str">
        <f>IF(AND($G33&lt;&gt;"",$G33&gt;0,'Outfall 1 Limits'!$AX$108="C1",DV33&lt;&gt;""),DV33*$G33*8.34,IF(AND(DV33&lt;&gt;"",'Outfall 1 Limits'!$AX$108="L"),DV33,""))</f>
        <v/>
      </c>
      <c r="HI33" s="206" t="str">
        <f>IF(AND($G33&lt;&gt;"",$G33&gt;0,'Outfall 1 Limits'!$AX$112="C1",DW33&lt;&gt;""),DW33*$G33*8.34,IF(AND(DW33&lt;&gt;"",'Outfall 1 Limits'!$AX$112="L"),DW33,""))</f>
        <v/>
      </c>
      <c r="HJ33" s="206" t="str">
        <f>IF(AND($G33&lt;&gt;"",$G33&gt;0,'Outfall 1 Limits'!$AX$116="C1",DX33&lt;&gt;""),DX33*$G33*8.34,IF(AND(DX33&lt;&gt;"",'Outfall 1 Limits'!$AX$116="L"),DX33,""))</f>
        <v/>
      </c>
      <c r="HK33" s="206" t="str">
        <f>IF(AND($G33&lt;&gt;"",$G33&gt;0,'Outfall 1 Limits'!$AX$120="C1",DY33&lt;&gt;""),DY33*$G33*8.34,IF(AND(DY33&lt;&gt;"",'Outfall 1 Limits'!$AX$120="L"),DY33,""))</f>
        <v/>
      </c>
      <c r="HL33" s="206" t="str">
        <f>IF(AND($G33&lt;&gt;"",$G33&gt;0,'Outfall 1 Limits'!$AX$124="C1",DZ33&lt;&gt;""),DZ33*$G33*8.34,IF(AND(DZ33&lt;&gt;"",'Outfall 1 Limits'!$AX$124="L"),DZ33,""))</f>
        <v/>
      </c>
      <c r="HM33" s="223" t="str">
        <f>IF(AND($G33&lt;&gt;"",$G33&gt;0,'Outfall 1 Limits'!$AX$128="C1",EA33&lt;&gt;""),EA33*$G33*8.34,IF(AND(EA33&lt;&gt;"",'Outfall 1 Limits'!$AX$128="L"),EA33,""))</f>
        <v/>
      </c>
      <c r="HO33" s="224" t="str">
        <f t="shared" si="60"/>
        <v/>
      </c>
      <c r="HS33" s="202" t="str">
        <f t="shared" si="61"/>
        <v/>
      </c>
      <c r="HT33" s="196" t="str">
        <f t="shared" si="62"/>
        <v/>
      </c>
      <c r="HU33" s="196" t="str">
        <f t="shared" si="63"/>
        <v/>
      </c>
      <c r="HV33" s="196" t="str">
        <f t="shared" si="64"/>
        <v/>
      </c>
      <c r="HW33" s="196" t="str">
        <f t="shared" si="65"/>
        <v/>
      </c>
      <c r="HX33" s="196" t="str">
        <f t="shared" si="66"/>
        <v/>
      </c>
      <c r="HY33" s="196" t="str">
        <f t="shared" si="67"/>
        <v/>
      </c>
      <c r="HZ33" s="196" t="str">
        <f t="shared" si="68"/>
        <v/>
      </c>
      <c r="IA33" s="196" t="str">
        <f t="shared" si="69"/>
        <v/>
      </c>
      <c r="IB33" s="196" t="str">
        <f t="shared" si="70"/>
        <v/>
      </c>
      <c r="IC33" s="196" t="str">
        <f t="shared" si="71"/>
        <v/>
      </c>
      <c r="ID33" s="196" t="str">
        <f t="shared" si="72"/>
        <v/>
      </c>
      <c r="IE33" s="196" t="str">
        <f t="shared" si="73"/>
        <v/>
      </c>
      <c r="IF33" s="196" t="str">
        <f t="shared" si="74"/>
        <v/>
      </c>
      <c r="IG33" s="196" t="str">
        <f t="shared" si="75"/>
        <v/>
      </c>
      <c r="IH33" s="196" t="str">
        <f t="shared" si="76"/>
        <v/>
      </c>
      <c r="II33" s="196" t="str">
        <f t="shared" si="77"/>
        <v/>
      </c>
      <c r="IJ33" s="196" t="str">
        <f t="shared" si="78"/>
        <v/>
      </c>
      <c r="IK33" s="196" t="str">
        <f t="shared" si="79"/>
        <v/>
      </c>
      <c r="IL33" s="196" t="str">
        <f t="shared" si="80"/>
        <v/>
      </c>
      <c r="IM33" s="196" t="str">
        <f t="shared" si="81"/>
        <v/>
      </c>
      <c r="IN33" s="196" t="str">
        <f t="shared" si="82"/>
        <v/>
      </c>
      <c r="IO33" s="196" t="str">
        <f t="shared" si="83"/>
        <v/>
      </c>
      <c r="IP33" s="196" t="str">
        <f t="shared" si="84"/>
        <v/>
      </c>
      <c r="IQ33" s="196" t="str">
        <f t="shared" si="85"/>
        <v/>
      </c>
      <c r="IR33" s="196" t="str">
        <f t="shared" si="86"/>
        <v/>
      </c>
      <c r="IS33" s="196" t="str">
        <f t="shared" si="87"/>
        <v/>
      </c>
      <c r="IT33" s="196" t="str">
        <f t="shared" si="88"/>
        <v/>
      </c>
      <c r="IU33" s="210" t="str">
        <f t="shared" si="89"/>
        <v/>
      </c>
      <c r="IX33" s="202" t="str">
        <f t="shared" si="90"/>
        <v/>
      </c>
      <c r="IY33" s="196" t="str">
        <f t="shared" si="91"/>
        <v/>
      </c>
      <c r="IZ33" s="196" t="str">
        <f t="shared" si="92"/>
        <v/>
      </c>
      <c r="JA33" s="196" t="str">
        <f t="shared" si="93"/>
        <v/>
      </c>
      <c r="JB33" s="196" t="str">
        <f t="shared" si="94"/>
        <v/>
      </c>
      <c r="JC33" s="196" t="str">
        <f t="shared" si="95"/>
        <v/>
      </c>
      <c r="JD33" s="196" t="str">
        <f t="shared" si="96"/>
        <v/>
      </c>
      <c r="JE33" s="196" t="str">
        <f t="shared" si="97"/>
        <v/>
      </c>
      <c r="JF33" s="196" t="str">
        <f t="shared" si="98"/>
        <v/>
      </c>
      <c r="JG33" s="196" t="str">
        <f t="shared" si="99"/>
        <v/>
      </c>
      <c r="JH33" s="196" t="str">
        <f t="shared" si="100"/>
        <v/>
      </c>
      <c r="JI33" s="196" t="str">
        <f t="shared" si="101"/>
        <v/>
      </c>
      <c r="JJ33" s="196" t="str">
        <f t="shared" si="102"/>
        <v/>
      </c>
      <c r="JK33" s="196" t="str">
        <f t="shared" si="103"/>
        <v/>
      </c>
      <c r="JL33" s="196" t="str">
        <f t="shared" si="104"/>
        <v/>
      </c>
      <c r="JM33" s="196" t="str">
        <f t="shared" si="105"/>
        <v/>
      </c>
      <c r="JN33" s="196" t="str">
        <f t="shared" si="106"/>
        <v/>
      </c>
      <c r="JO33" s="196" t="str">
        <f t="shared" si="107"/>
        <v/>
      </c>
      <c r="JP33" s="196" t="str">
        <f t="shared" si="108"/>
        <v/>
      </c>
      <c r="JQ33" s="196" t="str">
        <f t="shared" si="109"/>
        <v/>
      </c>
      <c r="JR33" s="196" t="str">
        <f t="shared" si="110"/>
        <v/>
      </c>
      <c r="JS33" s="196" t="str">
        <f t="shared" si="111"/>
        <v/>
      </c>
      <c r="JT33" s="196" t="str">
        <f t="shared" si="112"/>
        <v/>
      </c>
      <c r="JU33" s="196" t="str">
        <f t="shared" si="113"/>
        <v/>
      </c>
      <c r="JV33" s="196" t="str">
        <f t="shared" si="114"/>
        <v/>
      </c>
      <c r="JW33" s="196" t="str">
        <f t="shared" si="115"/>
        <v/>
      </c>
      <c r="JX33" s="196" t="str">
        <f t="shared" si="116"/>
        <v/>
      </c>
      <c r="JY33" s="196" t="str">
        <f t="shared" si="117"/>
        <v/>
      </c>
      <c r="JZ33" s="210" t="str">
        <f t="shared" si="118"/>
        <v/>
      </c>
      <c r="KA33" s="196"/>
      <c r="KB33" s="176"/>
      <c r="KC33" s="227"/>
      <c r="KD33" s="218" t="str">
        <f t="shared" si="2"/>
        <v/>
      </c>
      <c r="KE33" s="196" t="str">
        <f t="shared" si="3"/>
        <v/>
      </c>
      <c r="KF33" s="196" t="str">
        <f t="shared" si="4"/>
        <v/>
      </c>
      <c r="KG33" s="196" t="str">
        <f t="shared" si="5"/>
        <v/>
      </c>
      <c r="KH33" s="196" t="str">
        <f t="shared" si="6"/>
        <v/>
      </c>
      <c r="KI33" s="196" t="str">
        <f t="shared" si="7"/>
        <v/>
      </c>
      <c r="KJ33" s="196" t="str">
        <f t="shared" si="8"/>
        <v/>
      </c>
      <c r="KK33" s="196" t="str">
        <f t="shared" si="9"/>
        <v/>
      </c>
      <c r="KL33" s="196" t="str">
        <f t="shared" si="10"/>
        <v/>
      </c>
      <c r="KM33" s="196" t="str">
        <f t="shared" si="11"/>
        <v/>
      </c>
      <c r="KN33" s="196" t="str">
        <f t="shared" si="12"/>
        <v/>
      </c>
      <c r="KO33" s="196" t="str">
        <f t="shared" si="13"/>
        <v/>
      </c>
      <c r="KP33" s="196" t="str">
        <f t="shared" si="14"/>
        <v/>
      </c>
      <c r="KQ33" s="196" t="str">
        <f t="shared" si="15"/>
        <v/>
      </c>
      <c r="KR33" s="196" t="str">
        <f t="shared" si="16"/>
        <v/>
      </c>
      <c r="KS33" s="196" t="str">
        <f t="shared" si="17"/>
        <v/>
      </c>
      <c r="KT33" s="196" t="str">
        <f t="shared" si="18"/>
        <v/>
      </c>
      <c r="KU33" s="196" t="str">
        <f t="shared" si="19"/>
        <v/>
      </c>
      <c r="KV33" s="196" t="str">
        <f t="shared" si="20"/>
        <v/>
      </c>
      <c r="KW33" s="196" t="str">
        <f t="shared" si="21"/>
        <v/>
      </c>
      <c r="KX33" s="196" t="str">
        <f t="shared" si="22"/>
        <v/>
      </c>
      <c r="KY33" s="196" t="str">
        <f t="shared" si="23"/>
        <v/>
      </c>
      <c r="KZ33" s="196" t="str">
        <f t="shared" si="24"/>
        <v/>
      </c>
      <c r="LA33" s="196" t="str">
        <f t="shared" si="25"/>
        <v/>
      </c>
      <c r="LB33" s="196" t="str">
        <f t="shared" si="26"/>
        <v/>
      </c>
      <c r="LC33" s="196" t="str">
        <f t="shared" si="27"/>
        <v/>
      </c>
      <c r="LD33" s="196" t="str">
        <f t="shared" si="28"/>
        <v/>
      </c>
      <c r="LE33" s="196" t="str">
        <f t="shared" si="29"/>
        <v/>
      </c>
      <c r="LF33" s="226" t="str">
        <f t="shared" si="30"/>
        <v/>
      </c>
    </row>
    <row r="34" spans="1:318" s="172" customFormat="1" ht="11.45" customHeight="1" x14ac:dyDescent="0.2">
      <c r="A34" s="35"/>
      <c r="B34" s="54"/>
      <c r="C34" s="438">
        <f t="shared" si="0"/>
        <v>45308</v>
      </c>
      <c r="D34" s="438"/>
      <c r="E34" s="430">
        <f t="shared" si="119"/>
        <v>45308</v>
      </c>
      <c r="F34" s="431"/>
      <c r="G34" s="26"/>
      <c r="H34" s="51"/>
      <c r="I34" s="50"/>
      <c r="J34" s="51"/>
      <c r="K34" s="50"/>
      <c r="L34" s="51"/>
      <c r="M34" s="50"/>
      <c r="N34" s="51"/>
      <c r="O34" s="50"/>
      <c r="P34" s="51"/>
      <c r="Q34" s="50"/>
      <c r="R34" s="51"/>
      <c r="S34" s="50"/>
      <c r="T34" s="51"/>
      <c r="U34" s="50"/>
      <c r="V34" s="51"/>
      <c r="W34" s="50"/>
      <c r="X34" s="276"/>
      <c r="Y34" s="50"/>
      <c r="Z34" s="51"/>
      <c r="AA34" s="50"/>
      <c r="AB34" s="51"/>
      <c r="AC34" s="50"/>
      <c r="AD34" s="51"/>
      <c r="AE34" s="50"/>
      <c r="AF34" s="51"/>
      <c r="AG34" s="50"/>
      <c r="AH34" s="51"/>
      <c r="AI34" s="50"/>
      <c r="AJ34" s="51"/>
      <c r="AK34" s="50"/>
      <c r="AL34" s="51"/>
      <c r="AM34" s="50"/>
      <c r="AN34" s="51"/>
      <c r="AO34" s="50"/>
      <c r="AP34" s="51"/>
      <c r="AQ34" s="50"/>
      <c r="AR34" s="51"/>
      <c r="AS34" s="50"/>
      <c r="AT34" s="51"/>
      <c r="AU34" s="50"/>
      <c r="AV34" s="51"/>
      <c r="AW34" s="50"/>
      <c r="AX34" s="51"/>
      <c r="AY34" s="50"/>
      <c r="AZ34" s="51"/>
      <c r="BA34" s="50"/>
      <c r="BB34" s="51"/>
      <c r="BC34" s="50"/>
      <c r="BD34" s="51"/>
      <c r="BE34" s="50"/>
      <c r="BF34" s="51"/>
      <c r="BG34" s="50"/>
      <c r="BH34" s="51"/>
      <c r="BI34" s="50"/>
      <c r="BJ34" s="51"/>
      <c r="BK34" s="50"/>
      <c r="BL34" s="51"/>
      <c r="BM34" s="109"/>
      <c r="BO34" s="174"/>
      <c r="BP34" s="174">
        <v>2053</v>
      </c>
      <c r="BQ34" s="221" t="s">
        <v>49</v>
      </c>
      <c r="BR34" s="222"/>
      <c r="BS34" s="174" t="s">
        <v>1125</v>
      </c>
      <c r="BU34" s="202" t="str">
        <f t="shared" si="31"/>
        <v/>
      </c>
      <c r="BV34" s="196" t="str">
        <f t="shared" si="32"/>
        <v/>
      </c>
      <c r="BW34" s="196" t="str">
        <f t="shared" si="33"/>
        <v/>
      </c>
      <c r="BX34" s="196" t="str">
        <f t="shared" si="34"/>
        <v/>
      </c>
      <c r="BY34" s="196" t="str">
        <f t="shared" si="35"/>
        <v/>
      </c>
      <c r="BZ34" s="196" t="str">
        <f t="shared" si="36"/>
        <v/>
      </c>
      <c r="CA34" s="196" t="str">
        <f t="shared" si="37"/>
        <v/>
      </c>
      <c r="CB34" s="196" t="str">
        <f t="shared" si="38"/>
        <v/>
      </c>
      <c r="CC34" s="196" t="str">
        <f t="shared" si="39"/>
        <v/>
      </c>
      <c r="CD34" s="196" t="str">
        <f t="shared" si="40"/>
        <v/>
      </c>
      <c r="CE34" s="196" t="str">
        <f t="shared" si="41"/>
        <v/>
      </c>
      <c r="CF34" s="196" t="str">
        <f t="shared" si="42"/>
        <v/>
      </c>
      <c r="CG34" s="196" t="str">
        <f t="shared" si="43"/>
        <v/>
      </c>
      <c r="CH34" s="196" t="str">
        <f t="shared" si="44"/>
        <v/>
      </c>
      <c r="CI34" s="196" t="str">
        <f t="shared" si="45"/>
        <v/>
      </c>
      <c r="CJ34" s="196" t="str">
        <f t="shared" si="46"/>
        <v/>
      </c>
      <c r="CK34" s="196" t="str">
        <f t="shared" si="47"/>
        <v/>
      </c>
      <c r="CL34" s="196" t="str">
        <f t="shared" si="48"/>
        <v/>
      </c>
      <c r="CM34" s="196" t="str">
        <f t="shared" si="120"/>
        <v/>
      </c>
      <c r="CN34" s="196" t="str">
        <f t="shared" si="49"/>
        <v/>
      </c>
      <c r="CO34" s="196" t="str">
        <f t="shared" si="50"/>
        <v/>
      </c>
      <c r="CP34" s="196" t="str">
        <f t="shared" si="51"/>
        <v/>
      </c>
      <c r="CQ34" s="196" t="str">
        <f t="shared" si="52"/>
        <v/>
      </c>
      <c r="CR34" s="196" t="str">
        <f t="shared" si="53"/>
        <v/>
      </c>
      <c r="CS34" s="196" t="str">
        <f t="shared" si="54"/>
        <v/>
      </c>
      <c r="CT34" s="196" t="str">
        <f t="shared" si="55"/>
        <v/>
      </c>
      <c r="CU34" s="196" t="str">
        <f t="shared" si="56"/>
        <v/>
      </c>
      <c r="CV34" s="196" t="str">
        <f t="shared" si="57"/>
        <v/>
      </c>
      <c r="CW34" s="210" t="str">
        <f t="shared" si="58"/>
        <v/>
      </c>
      <c r="CY34" s="212" t="str">
        <f>IF(I34&lt;&gt;"",IF(H34="&lt;",IF(AND('Outfall 1 Limits'!$AM$16="Y",$BU$54&lt;&gt;"Y",I34&lt;='Outfall 1 Limits'!$AL$16),0,(1*I34)),I34),"")</f>
        <v/>
      </c>
      <c r="CZ34" s="206" t="str">
        <f>IF(K34&lt;&gt;"",IF(J34="&lt;",IF(AND('Outfall 1 Limits'!$AM$20="Y",$BV$54&lt;&gt;"Y",K34&lt;='Outfall 1 Limits'!$AL$20),0,(1*K34)),K34),"")</f>
        <v/>
      </c>
      <c r="DA34" s="206" t="str">
        <f>IF(M34&lt;&gt;"",IF(L34="&lt;",IF(AND('Outfall 1 Limits'!$AM$24="Y",$BW$54&lt;&gt;"Y",M34&lt;='Outfall 1 Limits'!$AL$24),0,(1*M34)),M34),"")</f>
        <v/>
      </c>
      <c r="DB34" s="206" t="str">
        <f>IF(O34&lt;&gt;"",IF(N34="&lt;",IF(AND('Outfall 1 Limits'!$AM$28="Y",$BX$54&lt;&gt;"Y",O34&lt;='Outfall 1 Limits'!$AL$28),0,(1*O34)),O34),"")</f>
        <v/>
      </c>
      <c r="DC34" s="206" t="str">
        <f>IF(Q34&lt;&gt;"",IF(P34="&lt;",IF(AND('Outfall 1 Limits'!$AM$32="Y",$BY$54&lt;&gt;"Y",Q34&lt;='Outfall 1 Limits'!$AL$32),0,(1*Q34)),Q34),"")</f>
        <v/>
      </c>
      <c r="DD34" s="206" t="str">
        <f>IF(S34&lt;&gt;"",IF(R34="&lt;",IF(AND('Outfall 1 Limits'!$AM$36="Y",$BZ$54&lt;&gt;"Y",S34&lt;='Outfall 1 Limits'!$AL$36),0,(1*S34)),S34),"")</f>
        <v/>
      </c>
      <c r="DE34" s="206" t="str">
        <f>IF(U34&lt;&gt;"",IF(T34="&lt;",IF(AND('Outfall 1 Limits'!$AM$40="Y",$CA$54&lt;&gt;"Y",U34&lt;='Outfall 1 Limits'!$AL$40),0,(1*U34)),U34),"")</f>
        <v/>
      </c>
      <c r="DF34" s="206" t="str">
        <f>IF(W34&lt;&gt;"",IF(V34="&lt;",IF(AND('Outfall 1 Limits'!$AM$44="Y",$CB$54&lt;&gt;"Y",W34&lt;='Outfall 1 Limits'!$AL$44),0,(1*W34)),W34),"")</f>
        <v/>
      </c>
      <c r="DG34" s="206" t="str">
        <f>IF(Y34&lt;&gt;"",IF(X34="&lt;",IF(AND('Outfall 1 Limits'!$AM$48="Y",$CC$54&lt;&gt;"Y",Y34&lt;='Outfall 1 Limits'!$AL$48),0,(1*Y34)),Y34),"")</f>
        <v/>
      </c>
      <c r="DH34" s="206" t="str">
        <f>IF(AA34&lt;&gt;"",IF(Z34="&lt;",IF(AND('Outfall 1 Limits'!$AM$52="Y",$CD$54&lt;&gt;"Y",AA34&lt;='Outfall 1 Limits'!$AL$52),0,(1*AA34)),AA34),"")</f>
        <v/>
      </c>
      <c r="DI34" s="206" t="str">
        <f>IF(AC34&lt;&gt;"",IF(AB34="&lt;",IF(AND('Outfall 1 Limits'!$AM$56="Y",$CE$54&lt;&gt;"Y",AC34&lt;='Outfall 1 Limits'!$AL$56),0,(1*AC34)),AC34),"")</f>
        <v/>
      </c>
      <c r="DJ34" s="206" t="str">
        <f>IF(AE34&lt;&gt;"",IF(AD34="&lt;",IF(AND('Outfall 1 Limits'!$AM$60="Y",$CF$54&lt;&gt;"Y",AE34&lt;='Outfall 1 Limits'!$AL$60),0,(1*AE34)),AE34),"")</f>
        <v/>
      </c>
      <c r="DK34" s="206" t="str">
        <f>IF(AG34&lt;&gt;"",IF(AF34="&lt;",IF(AND('Outfall 1 Limits'!$AM$64="Y",$CG$54&lt;&gt;"Y",AG34&lt;='Outfall 1 Limits'!$AL$64),0,(1*AG34)),AG34),"")</f>
        <v/>
      </c>
      <c r="DL34" s="206" t="str">
        <f>IF(AI34&lt;&gt;"",IF(AH34="&lt;",IF(AND('Outfall 1 Limits'!$AM$68="Y",$CH$54&lt;&gt;"Y",AI34&lt;='Outfall 1 Limits'!$AL$68),0,(1*AI34)),AI34),"")</f>
        <v/>
      </c>
      <c r="DM34" s="206" t="str">
        <f>IF(AK34&lt;&gt;"",IF(AJ34="&lt;",IF(AND('Outfall 1 Limits'!$AM$72="Y",$CI$54&lt;&gt;"Y",AK34&lt;='Outfall 1 Limits'!$AL$72),0,(1*AK34)),AK34),"")</f>
        <v/>
      </c>
      <c r="DN34" s="206" t="str">
        <f>IF(AM34&lt;&gt;"",IF(AL34="&lt;",IF(AND('Outfall 1 Limits'!$AM$76="Y",$CJ$54&lt;&gt;"Y",AM34&lt;='Outfall 1 Limits'!$AL$76),0,(1*AM34)),AM34),"")</f>
        <v/>
      </c>
      <c r="DO34" s="206" t="str">
        <f>IF(AO34&lt;&gt;"",IF(AN34="&lt;",IF(AND('Outfall 1 Limits'!$AM$80="Y",$CK$54&lt;&gt;"Y",AO34&lt;='Outfall 1 Limits'!$AL$80),0,(1*AO34)),AO34),"")</f>
        <v/>
      </c>
      <c r="DP34" s="206" t="str">
        <f>IF(AQ34&lt;&gt;"",IF(AP34="&lt;",IF(AND('Outfall 1 Limits'!$AM$84="Y",$CL$54&lt;&gt;"Y",AQ34&lt;='Outfall 1 Limits'!$AL$84),0,(1*AQ34)),AQ34),"")</f>
        <v/>
      </c>
      <c r="DQ34" s="206" t="str">
        <f>IF(AS34&lt;&gt;"",IF(AR34="&lt;",IF(AND('Outfall 1 Limits'!$AM$88="Y",$CM$54&lt;&gt;"Y",AS34&lt;='Outfall 1 Limits'!$AL$88),0,(1*AS34)),AS34),"")</f>
        <v/>
      </c>
      <c r="DR34" s="206" t="str">
        <f>IF(AU34&lt;&gt;"",IF(AT34="&lt;",IF(AND('Outfall 1 Limits'!$AM$92="Y",$CN$54&lt;&gt;"Y",AU34&lt;='Outfall 1 Limits'!$AL$92),0,(1*AU34)),AU34),"")</f>
        <v/>
      </c>
      <c r="DS34" s="206" t="str">
        <f>IF(AW34&lt;&gt;"",IF(AV34="&lt;",IF(AND('Outfall 1 Limits'!$AM$96="Y",$CO$54&lt;&gt;"Y",AW34&lt;='Outfall 1 Limits'!$AL$96),0,(1*AW34)),AW34),"")</f>
        <v/>
      </c>
      <c r="DT34" s="206" t="str">
        <f>IF(AY34&lt;&gt;"",IF(AX34="&lt;",IF(AND('Outfall 1 Limits'!$AM$100="Y",$CP$54&lt;&gt;"Y",AY34&lt;='Outfall 1 Limits'!$AL$100),0,(1*AY34)),AY34),"")</f>
        <v/>
      </c>
      <c r="DU34" s="206" t="str">
        <f>IF(BA34&lt;&gt;"",IF(AZ34="&lt;",IF(AND('Outfall 1 Limits'!$AM$104="Y",$CQ$54&lt;&gt;"Y",BA34&lt;='Outfall 1 Limits'!$AL$104),0,(1*BA34)),BA34),"")</f>
        <v/>
      </c>
      <c r="DV34" s="206" t="str">
        <f>IF(BC34&lt;&gt;"",IF(BB34="&lt;",IF(AND('Outfall 1 Limits'!$AM$108="Y",$CR$54&lt;&gt;"Y",BC34&lt;='Outfall 1 Limits'!$AL$108),0,(1*BC34)),BC34),"")</f>
        <v/>
      </c>
      <c r="DW34" s="206" t="str">
        <f>IF(BE34&lt;&gt;"",IF(BD34="&lt;",IF(AND('Outfall 1 Limits'!$AM$112="Y",$CS$54&lt;&gt;"Y",BE34&lt;='Outfall 1 Limits'!$AL$112),0,(1*BE34)),BE34),"")</f>
        <v/>
      </c>
      <c r="DX34" s="206" t="str">
        <f>IF(BG34&lt;&gt;"",IF(BF34="&lt;",IF(AND('Outfall 1 Limits'!$AM$116="Y",$CT$54&lt;&gt;"Y",BG34&lt;='Outfall 1 Limits'!$AL$116),0,(1*BG34)),BG34),"")</f>
        <v/>
      </c>
      <c r="DY34" s="206" t="str">
        <f>IF(BI34&lt;&gt;"",IF(BH34="&lt;",IF(AND('Outfall 1 Limits'!$AM$120="Y",$CU$54&lt;&gt;"Y",BI34&lt;='Outfall 1 Limits'!$AL$120),0,(1*BI34)),BI34),"")</f>
        <v/>
      </c>
      <c r="DZ34" s="206" t="str">
        <f>IF(BK34&lt;&gt;"",IF(BJ34="&lt;",IF(AND('Outfall 1 Limits'!$AM$124="Y",$CV$54&lt;&gt;"Y",BK34&lt;='Outfall 1 Limits'!$AL$124),0,(1*BK34)),BK34),"")</f>
        <v/>
      </c>
      <c r="EA34" s="223" t="str">
        <f>IF(BM34&lt;&gt;"",IF(BL34="&lt;",IF(AND('Outfall 1 Limits'!$AM$128="Y",$CW$54&lt;&gt;"Y",BM34&lt;='Outfall 1 Limits'!$AL$128),0,(1*BM34)),BM34),"")</f>
        <v/>
      </c>
      <c r="EB34" s="209" t="s">
        <v>380</v>
      </c>
      <c r="EC34" s="202" t="str">
        <f>IF(SUM(FG38:FG44)&lt;&gt;0,IF(BU74="Y",AVERAGE(FG38:FG44),AVERAGE(GK38:GK44)),"")</f>
        <v/>
      </c>
      <c r="ED34" s="196" t="str">
        <f t="shared" ref="ED34:FE34" si="133">IF(SUM(FH38:FH44)&lt;&gt;0,IF(BV74="Y",AVERAGE(FH38:FH44),AVERAGE(GL38:GL44)),"")</f>
        <v/>
      </c>
      <c r="EE34" s="196" t="str">
        <f t="shared" si="133"/>
        <v/>
      </c>
      <c r="EF34" s="196" t="str">
        <f t="shared" si="133"/>
        <v/>
      </c>
      <c r="EG34" s="196" t="str">
        <f t="shared" si="133"/>
        <v/>
      </c>
      <c r="EH34" s="196" t="str">
        <f t="shared" si="133"/>
        <v/>
      </c>
      <c r="EI34" s="196" t="str">
        <f t="shared" si="133"/>
        <v/>
      </c>
      <c r="EJ34" s="196" t="str">
        <f t="shared" si="133"/>
        <v/>
      </c>
      <c r="EK34" s="196" t="str">
        <f t="shared" si="133"/>
        <v/>
      </c>
      <c r="EL34" s="196" t="str">
        <f t="shared" si="133"/>
        <v/>
      </c>
      <c r="EM34" s="196" t="str">
        <f t="shared" si="133"/>
        <v/>
      </c>
      <c r="EN34" s="196" t="str">
        <f t="shared" si="133"/>
        <v/>
      </c>
      <c r="EO34" s="196" t="str">
        <f t="shared" si="133"/>
        <v/>
      </c>
      <c r="EP34" s="196" t="str">
        <f t="shared" si="133"/>
        <v/>
      </c>
      <c r="EQ34" s="196" t="str">
        <f t="shared" si="133"/>
        <v/>
      </c>
      <c r="ER34" s="196" t="str">
        <f t="shared" si="133"/>
        <v/>
      </c>
      <c r="ES34" s="196" t="str">
        <f t="shared" si="133"/>
        <v/>
      </c>
      <c r="ET34" s="196" t="str">
        <f t="shared" si="133"/>
        <v/>
      </c>
      <c r="EU34" s="196" t="str">
        <f t="shared" si="133"/>
        <v/>
      </c>
      <c r="EV34" s="196" t="str">
        <f t="shared" si="133"/>
        <v/>
      </c>
      <c r="EW34" s="196" t="str">
        <f t="shared" si="133"/>
        <v/>
      </c>
      <c r="EX34" s="196" t="str">
        <f t="shared" si="133"/>
        <v/>
      </c>
      <c r="EY34" s="196" t="str">
        <f t="shared" si="133"/>
        <v/>
      </c>
      <c r="EZ34" s="196" t="str">
        <f t="shared" si="133"/>
        <v/>
      </c>
      <c r="FA34" s="196" t="str">
        <f t="shared" si="133"/>
        <v/>
      </c>
      <c r="FB34" s="196" t="str">
        <f t="shared" si="133"/>
        <v/>
      </c>
      <c r="FC34" s="196" t="str">
        <f t="shared" si="133"/>
        <v/>
      </c>
      <c r="FD34" s="196" t="str">
        <f t="shared" si="133"/>
        <v/>
      </c>
      <c r="FE34" s="210" t="str">
        <f t="shared" si="133"/>
        <v/>
      </c>
      <c r="FG34" s="212" t="str">
        <f>IF(AND($G34&lt;&gt;"",$G34&gt;0,'Outfall 1 Limits'!$AX$16="C1",I34&lt;&gt;""),I34*$G34*8.34,IF(AND($I34&lt;&gt;"",'Outfall 1 Limits'!$AX$16="L"),I34,""))</f>
        <v/>
      </c>
      <c r="FH34" s="206" t="str">
        <f>IF(AND($G34&lt;&gt;"",$G34&gt;0,'Outfall 1 Limits'!$AX$20="C1",$K34&lt;&gt;""),$K34*$G34*8.34,IF(AND($K34&lt;&gt;"",'Outfall 1 Limits'!$AX$20="L"),$K34,""))</f>
        <v/>
      </c>
      <c r="FI34" s="206" t="str">
        <f>IF(AND($G34&lt;&gt;"",$G34&gt;0,'Outfall 1 Limits'!$AX$24="C1",$M34&lt;&gt;""),$M34*$G34*8.34,IF(AND($M34&lt;&gt;"",'Outfall 1 Limits'!$AX$24="L"),$M34,""))</f>
        <v/>
      </c>
      <c r="FJ34" s="206" t="str">
        <f>IF(AND($G34&lt;&gt;"",$G34&gt;0,'Outfall 1 Limits'!$AX$28="C1",$O34&lt;&gt;""),$O34*$G34*8.34,IF(AND($O34&lt;&gt;"",'Outfall 1 Limits'!$AX$28="L"),$O34,""))</f>
        <v/>
      </c>
      <c r="FK34" s="206" t="str">
        <f>IF(AND($G34&lt;&gt;"",$G34&gt;0,'Outfall 1 Limits'!$AX$32="C1",$Q34&lt;&gt;""),$Q34*$G34*8.34,IF(AND($Q34&lt;&gt;"",'Outfall 1 Limits'!$AX$32="L"),$Q34,""))</f>
        <v/>
      </c>
      <c r="FL34" s="206" t="str">
        <f>IF(AND($G34&lt;&gt;"",$G34&gt;0,'Outfall 1 Limits'!$AX$36="C1",$S34&lt;&gt;""),$S34*$G34*8.34,IF(AND($S34&lt;&gt;"",'Outfall 1 Limits'!$AX$36="L"),$S34,""))</f>
        <v/>
      </c>
      <c r="FM34" s="206" t="str">
        <f>IF(AND($G34&lt;&gt;"",$G34&gt;0,'Outfall 1 Limits'!$AX$40="C1",$U34&lt;&gt;""),$U34*$G34*8.34,IF(AND($U34&lt;&gt;"",'Outfall 1 Limits'!$AX$40="L"),$U34,""))</f>
        <v/>
      </c>
      <c r="FN34" s="206" t="str">
        <f>IF(AND($G34&lt;&gt;"",$G34&gt;0,'Outfall 1 Limits'!$AX$44="C1",$W34&lt;&gt;""),$W34*$G34*8.34,IF(AND($W34&lt;&gt;"",'Outfall 1 Limits'!$AX$44="L"),$W34,""))</f>
        <v/>
      </c>
      <c r="FO34" s="206" t="str">
        <f>IF(AND($G34&lt;&gt;"",$G34&gt;0,'Outfall 1 Limits'!$AX$48="C1",$Y34&lt;&gt;""),$Y34*$G34*8.34,IF(AND($Y34&lt;&gt;"",'Outfall 1 Limits'!$AX$48="L"),$Y34,""))</f>
        <v/>
      </c>
      <c r="FP34" s="206" t="str">
        <f>IF(AND($G34&lt;&gt;"",$G34&gt;0,'Outfall 1 Limits'!$AX$52="C1",$AA34&lt;&gt;""),$AA34*$G34*8.34,IF(AND($AA34&lt;&gt;"",'Outfall 1 Limits'!$AX$52="L"),$AA34,""))</f>
        <v/>
      </c>
      <c r="FQ34" s="206" t="str">
        <f>IF(AND($G34&lt;&gt;"",$G34&gt;0,'Outfall 1 Limits'!$AX$56="C1",$AC34&lt;&gt;""),$AC34*$G34*8.34,IF(AND($AC34&lt;&gt;"",'Outfall 1 Limits'!$AX$56="L"),$AC34,""))</f>
        <v/>
      </c>
      <c r="FR34" s="206" t="str">
        <f>IF(AND($G34&lt;&gt;"",$G34&gt;0,'Outfall 1 Limits'!$AX$60="C1",$AE34&lt;&gt;""),$AE34*$G34*8.34,IF(AND($AE34&lt;&gt;"",'Outfall 1 Limits'!$AX$60="L"),$AE34,""))</f>
        <v/>
      </c>
      <c r="FS34" s="206" t="str">
        <f>IF(AND($G34&lt;&gt;"",$G34&gt;0,'Outfall 1 Limits'!$AX$64="C1",$AG34&lt;&gt;""),$AG34*$G34*8.34,IF(AND($AG34&lt;&gt;"",'Outfall 1 Limits'!$AX$64="L"),$AG34,""))</f>
        <v/>
      </c>
      <c r="FT34" s="206" t="str">
        <f>IF(AND($G34&lt;&gt;"",$G34&gt;0,'Outfall 1 Limits'!$AX$68="C1",$AI34&lt;&gt;""),$AI34*$G34*8.34,IF(AND($AI34&lt;&gt;"",'Outfall 1 Limits'!$AX$68="L"),$AI34,""))</f>
        <v/>
      </c>
      <c r="FU34" s="206" t="str">
        <f>IF(AND($G34&lt;&gt;"",$G34&gt;0,'Outfall 1 Limits'!$AX$72="C1",$AK34&lt;&gt;""),$AK34*$G34*8.34,IF(AND($AK34&lt;&gt;"",'Outfall 1 Limits'!$AX$72="L"),$AK34,""))</f>
        <v/>
      </c>
      <c r="FV34" s="206" t="str">
        <f>IF(AND($G34&lt;&gt;"",$G34&gt;0,'Outfall 1 Limits'!$AX$76="C1",$AM34&lt;&gt;""),$AM34*$G34*8.34,IF(AND($AM34&lt;&gt;"",'Outfall 1 Limits'!$AX$76="L"),$AM34,""))</f>
        <v/>
      </c>
      <c r="FW34" s="206" t="str">
        <f>IF(AND($G34&lt;&gt;"",$G34&gt;0,'Outfall 1 Limits'!$AX$80="C1",$AO34&lt;&gt;""),$AO34*$G34*8.34,IF(AND($AO34&lt;&gt;"",'Outfall 1 Limits'!$AX$80="L"),$AO34,""))</f>
        <v/>
      </c>
      <c r="FX34" s="206" t="str">
        <f>IF(AND($G34&lt;&gt;"",$G34&gt;0,'Outfall 1 Limits'!$AX$84="C1",$AQ34&lt;&gt;""),$AQ34*$G34*8.34,IF(AND($AQ34&lt;&gt;"",'Outfall 1 Limits'!$AX$84="L"),$AQ34,""))</f>
        <v/>
      </c>
      <c r="FY34" s="206" t="str">
        <f>IF(AND($G34&lt;&gt;"",$G34&gt;0,'Outfall 1 Limits'!$AX$88="C1",$AS34&lt;&gt;""),$AS34*$G34*8.34,IF(AND($AS34&lt;&gt;"",'Outfall 1 Limits'!$AX$88="L"),$AS34,""))</f>
        <v/>
      </c>
      <c r="FZ34" s="206" t="str">
        <f>IF(AND($G34&lt;&gt;"",$G34&gt;0,'Outfall 1 Limits'!$AX$92="C1",$AU34&lt;&gt;""),$AU34*$G34*8.34,IF(AND($AU34&lt;&gt;"",'Outfall 1 Limits'!$AX$92="L"),$AU34,""))</f>
        <v/>
      </c>
      <c r="GA34" s="206" t="str">
        <f>IF(AND($G34&lt;&gt;"",$G34&gt;0,'Outfall 1 Limits'!$AX$96="C1",$AW34&lt;&gt;""),$AW34*$G34*8.34,IF(AND($AW34&lt;&gt;"",'Outfall 1 Limits'!$AX$96="L"),$AW34,""))</f>
        <v/>
      </c>
      <c r="GB34" s="206" t="str">
        <f>IF(AND($G34&lt;&gt;"",$G34&gt;0,'Outfall 1 Limits'!$AX$100="C1",$AY34&lt;&gt;""),$AY34*$G34*8.34,IF(AND($AY34&lt;&gt;"",'Outfall 1 Limits'!$AX$100="L"),$AY34,""))</f>
        <v/>
      </c>
      <c r="GC34" s="206" t="str">
        <f>IF(AND($G34&lt;&gt;"",$G34&gt;0,'Outfall 1 Limits'!$AX$104="C1",$BA34&lt;&gt;""),$BA34*$G34*8.34,IF(AND($BA34&lt;&gt;"",'Outfall 1 Limits'!$AX$104="L"),$BA34,""))</f>
        <v/>
      </c>
      <c r="GD34" s="206" t="str">
        <f>IF(AND($G34&lt;&gt;"",$G34&gt;0,'Outfall 1 Limits'!$AX$108="C1",$BC34&lt;&gt;""),$BC34*$G34*8.34,IF(AND($BC34&lt;&gt;"",'Outfall 1 Limits'!$AX$108="L"),$BC34,""))</f>
        <v/>
      </c>
      <c r="GE34" s="206" t="str">
        <f>IF(AND($G34&lt;&gt;"",$G34&gt;0,'Outfall 1 Limits'!$AX$112="C1",$BE34&lt;&gt;""),$BE34*$G34*8.34,IF(AND($BE34&lt;&gt;"",'Outfall 1 Limits'!$AX$112="L"),$BE34,""))</f>
        <v/>
      </c>
      <c r="GF34" s="206" t="str">
        <f>IF(AND($G34&lt;&gt;"",$G34&gt;0,'Outfall 1 Limits'!$AX$116="C1",$BG34&lt;&gt;""),$BG34*$G34*8.34,IF(AND($BG34&lt;&gt;"",'Outfall 1 Limits'!$AX$116="L"),$BG34,""))</f>
        <v/>
      </c>
      <c r="GG34" s="206" t="str">
        <f>IF(AND($G34&lt;&gt;"",$G34&gt;0,'Outfall 1 Limits'!$AX$120="C1",$BI34&lt;&gt;""),$BI34*$G34*8.34,IF(AND($BI34&lt;&gt;"",'Outfall 1 Limits'!$AX$120="L"),$BI34,""))</f>
        <v/>
      </c>
      <c r="GH34" s="206" t="str">
        <f>IF(AND($G34&lt;&gt;"",$G34&gt;0,'Outfall 1 Limits'!$AX$124="C1",$BK34&lt;&gt;""),$BK34*$G34*8.34,IF(AND($BK34&lt;&gt;"",'Outfall 1 Limits'!$AX$124="L"),$BK34,""))</f>
        <v/>
      </c>
      <c r="GI34" s="223" t="str">
        <f>IF(AND($G34&lt;&gt;"",$G34&gt;0,'Outfall 1 Limits'!$AX$128="C1",$BM34&lt;&gt;""),$BM34*$G34*8.34,IF(AND($BM34&lt;&gt;"",'Outfall 1 Limits'!$AX$128="L"),$BM34,""))</f>
        <v/>
      </c>
      <c r="GJ34" s="177" t="str">
        <f t="shared" si="59"/>
        <v/>
      </c>
      <c r="GK34" s="212" t="str">
        <f>IF(AND($G34&lt;&gt;"",$G34&gt;0,'Outfall 1 Limits'!$AX$16="C1",CY34&lt;&gt;""),CY34*$G34*8.34,IF(AND(CY34&lt;&gt;"",'Outfall 1 Limits'!$AX$16="L"),CY34,""))</f>
        <v/>
      </c>
      <c r="GL34" s="206" t="str">
        <f>IF(AND($G34&lt;&gt;"",$G34&gt;0,'Outfall 1 Limits'!$AX$20="C1",CZ34&lt;&gt;""),CZ34*$G34*8.34,IF(AND(CZ34&lt;&gt;"",'Outfall 1 Limits'!$AX$20="L"),CZ34,""))</f>
        <v/>
      </c>
      <c r="GM34" s="206" t="str">
        <f>IF(AND($G34&lt;&gt;"",$G34&gt;0,'Outfall 1 Limits'!$AX$24="C1",DA34&lt;&gt;""),DA34*$G34*8.34,IF(AND(DA34&lt;&gt;"",'Outfall 1 Limits'!$AX$24="L"),DA34,""))</f>
        <v/>
      </c>
      <c r="GN34" s="206" t="str">
        <f>IF(AND($G34&lt;&gt;"",$G34&gt;0,'Outfall 1 Limits'!$AX$28="C1",DB34&lt;&gt;""),DB34*$G34*8.34,IF(AND(DB34&lt;&gt;"",'Outfall 1 Limits'!$AX$28="L"),DB34,""))</f>
        <v/>
      </c>
      <c r="GO34" s="206" t="str">
        <f>IF(AND($G34&lt;&gt;"",$G34&gt;0,'Outfall 1 Limits'!$AX$32="C1",DC34&lt;&gt;""),DC34*$G34*8.34,IF(AND(DC34&lt;&gt;"",'Outfall 1 Limits'!$AX$32="L"),DC34,""))</f>
        <v/>
      </c>
      <c r="GP34" s="206" t="str">
        <f>IF(AND($G34&lt;&gt;"",$G34&gt;0,'Outfall 1 Limits'!$AX$36="C1",DD34&lt;&gt;""),DD34*$G34*8.34,IF(AND(DD34&lt;&gt;"",'Outfall 1 Limits'!$AX$36="L"),DD34,""))</f>
        <v/>
      </c>
      <c r="GQ34" s="206" t="str">
        <f>IF(AND($G34&lt;&gt;"",$G34&gt;0,'Outfall 1 Limits'!$AX$40="C1",DE34&lt;&gt;""),DE34*$G34*8.34,IF(AND(DE34&lt;&gt;"",'Outfall 1 Limits'!$AX$40="L"),DE34,""))</f>
        <v/>
      </c>
      <c r="GR34" s="206" t="str">
        <f>IF(AND($G34&lt;&gt;"",$G34&gt;0,'Outfall 1 Limits'!$AX$44="C1",DF34&lt;&gt;""),DF34*$G34*8.34,IF(AND(DF34&lt;&gt;"",'Outfall 1 Limits'!$AX$44="L"),DF34,""))</f>
        <v/>
      </c>
      <c r="GS34" s="206" t="str">
        <f>IF(AND($G34&lt;&gt;"",$G34&gt;0,'Outfall 1 Limits'!$AX$48="C1",DG34&lt;&gt;""),DG34*$G34*8.34,IF(AND(DG34&lt;&gt;"",'Outfall 1 Limits'!$AX$48="L"),DG34,""))</f>
        <v/>
      </c>
      <c r="GT34" s="206" t="str">
        <f>IF(AND($G34&lt;&gt;"",$G34&gt;0,'Outfall 1 Limits'!$AX$52="C1",DH34&lt;&gt;""),DH34*$G34*8.34,IF(AND(DH34&lt;&gt;"",'Outfall 1 Limits'!$AX$52="L"),DH34,""))</f>
        <v/>
      </c>
      <c r="GU34" s="206" t="str">
        <f>IF(AND($G34&lt;&gt;"",$G34&gt;0,'Outfall 1 Limits'!$AX$56="C1",DI34&lt;&gt;""),DI34*$G34*8.34,IF(AND(DI34&lt;&gt;"",'Outfall 1 Limits'!$AX$56="L"),DI34,""))</f>
        <v/>
      </c>
      <c r="GV34" s="206" t="str">
        <f>IF(AND($G34&lt;&gt;"",$G34&gt;0,'Outfall 1 Limits'!$AX$60="C1",DJ34&lt;&gt;""),DJ34*$G34*8.34,IF(AND(DJ34&lt;&gt;"",'Outfall 1 Limits'!$AX$60="L"),DJ34,""))</f>
        <v/>
      </c>
      <c r="GW34" s="206" t="str">
        <f>IF(AND($G34&lt;&gt;"",$G34&gt;0,'Outfall 1 Limits'!$AX$64="C1",DK34&lt;&gt;""),DK34*$G34*8.34,IF(AND(DK34&lt;&gt;"",'Outfall 1 Limits'!$AX$64="L"),DK34,""))</f>
        <v/>
      </c>
      <c r="GX34" s="206" t="str">
        <f>IF(AND($G34&lt;&gt;"",$G34&gt;0,'Outfall 1 Limits'!$AX$68="C1",DL34&lt;&gt;""),DL34*$G34*8.34,IF(AND(DL34&lt;&gt;"",'Outfall 1 Limits'!$AX$68="L"),DL34,""))</f>
        <v/>
      </c>
      <c r="GY34" s="206" t="str">
        <f>IF(AND($G34&lt;&gt;"",$G34&gt;0,'Outfall 1 Limits'!$AX$72="C1",DM34&lt;&gt;""),DM34*$G34*8.34,IF(AND(DM34&lt;&gt;"",'Outfall 1 Limits'!$AX$72="L"),DM34,""))</f>
        <v/>
      </c>
      <c r="GZ34" s="206" t="str">
        <f>IF(AND($G34&lt;&gt;"",$G34&gt;0,'Outfall 1 Limits'!$AX$76="C1",DN34&lt;&gt;""),DN34*$G34*8.34,IF(AND(DN34&lt;&gt;"",'Outfall 1 Limits'!$AX$76="L"),DN34,""))</f>
        <v/>
      </c>
      <c r="HA34" s="206" t="str">
        <f>IF(AND($G34&lt;&gt;"",$G34&gt;0,'Outfall 1 Limits'!$AX$80="C1",DO34&lt;&gt;""),DO34*$G34*8.34,IF(AND(DO34&lt;&gt;"",'Outfall 1 Limits'!$AX$80="L"),DO34,""))</f>
        <v/>
      </c>
      <c r="HB34" s="206" t="str">
        <f>IF(AND($G34&lt;&gt;"",$G34&gt;0,'Outfall 1 Limits'!$AX$84="C1",DP34&lt;&gt;""),DP34*$G34*8.34,IF(AND(DP34&lt;&gt;"",'Outfall 1 Limits'!$AX$84="L"),DP34,""))</f>
        <v/>
      </c>
      <c r="HC34" s="206" t="str">
        <f>IF(AND($G34&lt;&gt;"",$G34&gt;0,'Outfall 1 Limits'!$AX$88="C1",DQ34&lt;&gt;""),DQ34*$G34*8.34,IF(AND(DQ34&lt;&gt;"",'Outfall 1 Limits'!$AX$88="L"),DQ34,""))</f>
        <v/>
      </c>
      <c r="HD34" s="206" t="str">
        <f>IF(AND($G34&lt;&gt;"",$G34&gt;0,'Outfall 1 Limits'!$AX$92="C1",DR34&lt;&gt;""),DR34*$G34*8.34,IF(AND(DR34&lt;&gt;"",'Outfall 1 Limits'!$AX$92="L"),DR34,""))</f>
        <v/>
      </c>
      <c r="HE34" s="206" t="str">
        <f>IF(AND($G34&lt;&gt;"",$G34&gt;0,'Outfall 1 Limits'!$AX$96="C1",DS34&lt;&gt;""),DS34*$G34*8.34,IF(AND(DS34&lt;&gt;"",'Outfall 1 Limits'!$AX$96="L"),DS34,""))</f>
        <v/>
      </c>
      <c r="HF34" s="206" t="str">
        <f>IF(AND($G34&lt;&gt;"",$G34&gt;0,'Outfall 1 Limits'!$AX$100="C1",DT34&lt;&gt;""),DT34*$G34*8.34,IF(AND(DT34&lt;&gt;"",'Outfall 1 Limits'!$AX$100="L"),DT34,""))</f>
        <v/>
      </c>
      <c r="HG34" s="206" t="str">
        <f>IF(AND($G34&lt;&gt;"",$G34&gt;0,'Outfall 1 Limits'!$AX$104="C1",DU34&lt;&gt;""),DU34*$G34*8.34,IF(AND(DU34&lt;&gt;"",'Outfall 1 Limits'!$AX$104="L"),DU34,""))</f>
        <v/>
      </c>
      <c r="HH34" s="206" t="str">
        <f>IF(AND($G34&lt;&gt;"",$G34&gt;0,'Outfall 1 Limits'!$AX$108="C1",DV34&lt;&gt;""),DV34*$G34*8.34,IF(AND(DV34&lt;&gt;"",'Outfall 1 Limits'!$AX$108="L"),DV34,""))</f>
        <v/>
      </c>
      <c r="HI34" s="206" t="str">
        <f>IF(AND($G34&lt;&gt;"",$G34&gt;0,'Outfall 1 Limits'!$AX$112="C1",DW34&lt;&gt;""),DW34*$G34*8.34,IF(AND(DW34&lt;&gt;"",'Outfall 1 Limits'!$AX$112="L"),DW34,""))</f>
        <v/>
      </c>
      <c r="HJ34" s="206" t="str">
        <f>IF(AND($G34&lt;&gt;"",$G34&gt;0,'Outfall 1 Limits'!$AX$116="C1",DX34&lt;&gt;""),DX34*$G34*8.34,IF(AND(DX34&lt;&gt;"",'Outfall 1 Limits'!$AX$116="L"),DX34,""))</f>
        <v/>
      </c>
      <c r="HK34" s="206" t="str">
        <f>IF(AND($G34&lt;&gt;"",$G34&gt;0,'Outfall 1 Limits'!$AX$120="C1",DY34&lt;&gt;""),DY34*$G34*8.34,IF(AND(DY34&lt;&gt;"",'Outfall 1 Limits'!$AX$120="L"),DY34,""))</f>
        <v/>
      </c>
      <c r="HL34" s="206" t="str">
        <f>IF(AND($G34&lt;&gt;"",$G34&gt;0,'Outfall 1 Limits'!$AX$124="C1",DZ34&lt;&gt;""),DZ34*$G34*8.34,IF(AND(DZ34&lt;&gt;"",'Outfall 1 Limits'!$AX$124="L"),DZ34,""))</f>
        <v/>
      </c>
      <c r="HM34" s="223" t="str">
        <f>IF(AND($G34&lt;&gt;"",$G34&gt;0,'Outfall 1 Limits'!$AX$128="C1",EA34&lt;&gt;""),EA34*$G34*8.34,IF(AND(EA34&lt;&gt;"",'Outfall 1 Limits'!$AX$128="L"),EA34,""))</f>
        <v/>
      </c>
      <c r="HO34" s="224" t="str">
        <f t="shared" si="60"/>
        <v/>
      </c>
      <c r="HS34" s="202" t="str">
        <f t="shared" si="61"/>
        <v/>
      </c>
      <c r="HT34" s="196" t="str">
        <f t="shared" si="62"/>
        <v/>
      </c>
      <c r="HU34" s="196" t="str">
        <f t="shared" si="63"/>
        <v/>
      </c>
      <c r="HV34" s="196" t="str">
        <f t="shared" si="64"/>
        <v/>
      </c>
      <c r="HW34" s="196" t="str">
        <f t="shared" si="65"/>
        <v/>
      </c>
      <c r="HX34" s="196" t="str">
        <f t="shared" si="66"/>
        <v/>
      </c>
      <c r="HY34" s="196" t="str">
        <f t="shared" si="67"/>
        <v/>
      </c>
      <c r="HZ34" s="196" t="str">
        <f t="shared" si="68"/>
        <v/>
      </c>
      <c r="IA34" s="196" t="str">
        <f t="shared" si="69"/>
        <v/>
      </c>
      <c r="IB34" s="196" t="str">
        <f t="shared" si="70"/>
        <v/>
      </c>
      <c r="IC34" s="196" t="str">
        <f t="shared" si="71"/>
        <v/>
      </c>
      <c r="ID34" s="196" t="str">
        <f t="shared" si="72"/>
        <v/>
      </c>
      <c r="IE34" s="196" t="str">
        <f t="shared" si="73"/>
        <v/>
      </c>
      <c r="IF34" s="196" t="str">
        <f t="shared" si="74"/>
        <v/>
      </c>
      <c r="IG34" s="196" t="str">
        <f t="shared" si="75"/>
        <v/>
      </c>
      <c r="IH34" s="196" t="str">
        <f t="shared" si="76"/>
        <v/>
      </c>
      <c r="II34" s="196" t="str">
        <f t="shared" si="77"/>
        <v/>
      </c>
      <c r="IJ34" s="196" t="str">
        <f t="shared" si="78"/>
        <v/>
      </c>
      <c r="IK34" s="196" t="str">
        <f t="shared" si="79"/>
        <v/>
      </c>
      <c r="IL34" s="196" t="str">
        <f t="shared" si="80"/>
        <v/>
      </c>
      <c r="IM34" s="196" t="str">
        <f t="shared" si="81"/>
        <v/>
      </c>
      <c r="IN34" s="196" t="str">
        <f t="shared" si="82"/>
        <v/>
      </c>
      <c r="IO34" s="196" t="str">
        <f t="shared" si="83"/>
        <v/>
      </c>
      <c r="IP34" s="196" t="str">
        <f t="shared" si="84"/>
        <v/>
      </c>
      <c r="IQ34" s="196" t="str">
        <f t="shared" si="85"/>
        <v/>
      </c>
      <c r="IR34" s="196" t="str">
        <f t="shared" si="86"/>
        <v/>
      </c>
      <c r="IS34" s="196" t="str">
        <f t="shared" si="87"/>
        <v/>
      </c>
      <c r="IT34" s="196" t="str">
        <f t="shared" si="88"/>
        <v/>
      </c>
      <c r="IU34" s="210" t="str">
        <f t="shared" si="89"/>
        <v/>
      </c>
      <c r="IX34" s="202" t="str">
        <f t="shared" si="90"/>
        <v/>
      </c>
      <c r="IY34" s="196" t="str">
        <f t="shared" si="91"/>
        <v/>
      </c>
      <c r="IZ34" s="196" t="str">
        <f t="shared" si="92"/>
        <v/>
      </c>
      <c r="JA34" s="196" t="str">
        <f t="shared" si="93"/>
        <v/>
      </c>
      <c r="JB34" s="196" t="str">
        <f t="shared" si="94"/>
        <v/>
      </c>
      <c r="JC34" s="196" t="str">
        <f t="shared" si="95"/>
        <v/>
      </c>
      <c r="JD34" s="196" t="str">
        <f t="shared" si="96"/>
        <v/>
      </c>
      <c r="JE34" s="196" t="str">
        <f t="shared" si="97"/>
        <v/>
      </c>
      <c r="JF34" s="196" t="str">
        <f t="shared" si="98"/>
        <v/>
      </c>
      <c r="JG34" s="196" t="str">
        <f t="shared" si="99"/>
        <v/>
      </c>
      <c r="JH34" s="196" t="str">
        <f t="shared" si="100"/>
        <v/>
      </c>
      <c r="JI34" s="196" t="str">
        <f t="shared" si="101"/>
        <v/>
      </c>
      <c r="JJ34" s="196" t="str">
        <f t="shared" si="102"/>
        <v/>
      </c>
      <c r="JK34" s="196" t="str">
        <f t="shared" si="103"/>
        <v/>
      </c>
      <c r="JL34" s="196" t="str">
        <f t="shared" si="104"/>
        <v/>
      </c>
      <c r="JM34" s="196" t="str">
        <f t="shared" si="105"/>
        <v/>
      </c>
      <c r="JN34" s="196" t="str">
        <f t="shared" si="106"/>
        <v/>
      </c>
      <c r="JO34" s="196" t="str">
        <f t="shared" si="107"/>
        <v/>
      </c>
      <c r="JP34" s="196" t="str">
        <f t="shared" si="108"/>
        <v/>
      </c>
      <c r="JQ34" s="196" t="str">
        <f t="shared" si="109"/>
        <v/>
      </c>
      <c r="JR34" s="196" t="str">
        <f t="shared" si="110"/>
        <v/>
      </c>
      <c r="JS34" s="196" t="str">
        <f t="shared" si="111"/>
        <v/>
      </c>
      <c r="JT34" s="196" t="str">
        <f t="shared" si="112"/>
        <v/>
      </c>
      <c r="JU34" s="196" t="str">
        <f t="shared" si="113"/>
        <v/>
      </c>
      <c r="JV34" s="196" t="str">
        <f t="shared" si="114"/>
        <v/>
      </c>
      <c r="JW34" s="196" t="str">
        <f t="shared" si="115"/>
        <v/>
      </c>
      <c r="JX34" s="196" t="str">
        <f t="shared" si="116"/>
        <v/>
      </c>
      <c r="JY34" s="196" t="str">
        <f t="shared" si="117"/>
        <v/>
      </c>
      <c r="JZ34" s="210" t="str">
        <f t="shared" si="118"/>
        <v/>
      </c>
      <c r="KA34" s="196"/>
      <c r="KB34" s="176"/>
      <c r="KC34" s="227"/>
      <c r="KD34" s="218" t="str">
        <f t="shared" si="2"/>
        <v/>
      </c>
      <c r="KE34" s="196" t="str">
        <f t="shared" si="3"/>
        <v/>
      </c>
      <c r="KF34" s="196" t="str">
        <f t="shared" si="4"/>
        <v/>
      </c>
      <c r="KG34" s="196" t="str">
        <f t="shared" si="5"/>
        <v/>
      </c>
      <c r="KH34" s="196" t="str">
        <f t="shared" si="6"/>
        <v/>
      </c>
      <c r="KI34" s="196" t="str">
        <f t="shared" si="7"/>
        <v/>
      </c>
      <c r="KJ34" s="196" t="str">
        <f t="shared" si="8"/>
        <v/>
      </c>
      <c r="KK34" s="196" t="str">
        <f t="shared" si="9"/>
        <v/>
      </c>
      <c r="KL34" s="196" t="str">
        <f t="shared" si="10"/>
        <v/>
      </c>
      <c r="KM34" s="196" t="str">
        <f t="shared" si="11"/>
        <v/>
      </c>
      <c r="KN34" s="196" t="str">
        <f t="shared" si="12"/>
        <v/>
      </c>
      <c r="KO34" s="196" t="str">
        <f t="shared" si="13"/>
        <v/>
      </c>
      <c r="KP34" s="196" t="str">
        <f t="shared" si="14"/>
        <v/>
      </c>
      <c r="KQ34" s="196" t="str">
        <f t="shared" si="15"/>
        <v/>
      </c>
      <c r="KR34" s="196" t="str">
        <f t="shared" si="16"/>
        <v/>
      </c>
      <c r="KS34" s="196" t="str">
        <f t="shared" si="17"/>
        <v/>
      </c>
      <c r="KT34" s="196" t="str">
        <f t="shared" si="18"/>
        <v/>
      </c>
      <c r="KU34" s="196" t="str">
        <f t="shared" si="19"/>
        <v/>
      </c>
      <c r="KV34" s="196" t="str">
        <f t="shared" si="20"/>
        <v/>
      </c>
      <c r="KW34" s="196" t="str">
        <f t="shared" si="21"/>
        <v/>
      </c>
      <c r="KX34" s="196" t="str">
        <f t="shared" si="22"/>
        <v/>
      </c>
      <c r="KY34" s="196" t="str">
        <f t="shared" si="23"/>
        <v/>
      </c>
      <c r="KZ34" s="196" t="str">
        <f t="shared" si="24"/>
        <v/>
      </c>
      <c r="LA34" s="196" t="str">
        <f t="shared" si="25"/>
        <v/>
      </c>
      <c r="LB34" s="196" t="str">
        <f t="shared" si="26"/>
        <v/>
      </c>
      <c r="LC34" s="196" t="str">
        <f t="shared" si="27"/>
        <v/>
      </c>
      <c r="LD34" s="196" t="str">
        <f t="shared" si="28"/>
        <v/>
      </c>
      <c r="LE34" s="196" t="str">
        <f t="shared" si="29"/>
        <v/>
      </c>
      <c r="LF34" s="226" t="str">
        <f t="shared" si="30"/>
        <v/>
      </c>
    </row>
    <row r="35" spans="1:318" s="172" customFormat="1" ht="11.45" customHeight="1" x14ac:dyDescent="0.2">
      <c r="A35" s="35"/>
      <c r="B35" s="54"/>
      <c r="C35" s="438">
        <f t="shared" si="0"/>
        <v>45309</v>
      </c>
      <c r="D35" s="438"/>
      <c r="E35" s="430">
        <f t="shared" si="119"/>
        <v>45309</v>
      </c>
      <c r="F35" s="431"/>
      <c r="G35" s="26"/>
      <c r="H35" s="51"/>
      <c r="I35" s="50"/>
      <c r="J35" s="51"/>
      <c r="K35" s="50"/>
      <c r="L35" s="51"/>
      <c r="M35" s="50"/>
      <c r="N35" s="51"/>
      <c r="O35" s="50"/>
      <c r="P35" s="51"/>
      <c r="Q35" s="50"/>
      <c r="R35" s="51"/>
      <c r="S35" s="50"/>
      <c r="T35" s="51"/>
      <c r="U35" s="50"/>
      <c r="V35" s="51"/>
      <c r="W35" s="50"/>
      <c r="X35" s="276"/>
      <c r="Y35" s="50"/>
      <c r="Z35" s="51"/>
      <c r="AA35" s="50"/>
      <c r="AB35" s="51"/>
      <c r="AC35" s="50"/>
      <c r="AD35" s="51"/>
      <c r="AE35" s="50"/>
      <c r="AF35" s="51"/>
      <c r="AG35" s="50"/>
      <c r="AH35" s="51"/>
      <c r="AI35" s="50"/>
      <c r="AJ35" s="51"/>
      <c r="AK35" s="50"/>
      <c r="AL35" s="51"/>
      <c r="AM35" s="50"/>
      <c r="AN35" s="51"/>
      <c r="AO35" s="50"/>
      <c r="AP35" s="51"/>
      <c r="AQ35" s="50"/>
      <c r="AR35" s="51"/>
      <c r="AS35" s="50"/>
      <c r="AT35" s="51"/>
      <c r="AU35" s="50"/>
      <c r="AV35" s="51"/>
      <c r="AW35" s="50"/>
      <c r="AX35" s="51"/>
      <c r="AY35" s="50"/>
      <c r="AZ35" s="51"/>
      <c r="BA35" s="50"/>
      <c r="BB35" s="51"/>
      <c r="BC35" s="50"/>
      <c r="BD35" s="51"/>
      <c r="BE35" s="50"/>
      <c r="BF35" s="51"/>
      <c r="BG35" s="50"/>
      <c r="BH35" s="51"/>
      <c r="BI35" s="50"/>
      <c r="BJ35" s="51"/>
      <c r="BK35" s="50"/>
      <c r="BL35" s="51"/>
      <c r="BM35" s="109"/>
      <c r="BO35" s="174"/>
      <c r="BP35" s="174">
        <v>2054</v>
      </c>
      <c r="BQ35" s="221" t="s">
        <v>50</v>
      </c>
      <c r="BR35" s="222"/>
      <c r="BS35" s="174" t="s">
        <v>1124</v>
      </c>
      <c r="BU35" s="202" t="str">
        <f t="shared" si="31"/>
        <v/>
      </c>
      <c r="BV35" s="196" t="str">
        <f t="shared" si="32"/>
        <v/>
      </c>
      <c r="BW35" s="196" t="str">
        <f t="shared" si="33"/>
        <v/>
      </c>
      <c r="BX35" s="196" t="str">
        <f t="shared" si="34"/>
        <v/>
      </c>
      <c r="BY35" s="196" t="str">
        <f t="shared" si="35"/>
        <v/>
      </c>
      <c r="BZ35" s="196" t="str">
        <f t="shared" si="36"/>
        <v/>
      </c>
      <c r="CA35" s="196" t="str">
        <f t="shared" si="37"/>
        <v/>
      </c>
      <c r="CB35" s="196" t="str">
        <f t="shared" si="38"/>
        <v/>
      </c>
      <c r="CC35" s="196" t="str">
        <f t="shared" si="39"/>
        <v/>
      </c>
      <c r="CD35" s="196" t="str">
        <f t="shared" si="40"/>
        <v/>
      </c>
      <c r="CE35" s="196" t="str">
        <f t="shared" si="41"/>
        <v/>
      </c>
      <c r="CF35" s="196" t="str">
        <f t="shared" si="42"/>
        <v/>
      </c>
      <c r="CG35" s="196" t="str">
        <f t="shared" si="43"/>
        <v/>
      </c>
      <c r="CH35" s="196" t="str">
        <f t="shared" si="44"/>
        <v/>
      </c>
      <c r="CI35" s="196" t="str">
        <f t="shared" si="45"/>
        <v/>
      </c>
      <c r="CJ35" s="196" t="str">
        <f t="shared" si="46"/>
        <v/>
      </c>
      <c r="CK35" s="196" t="str">
        <f t="shared" si="47"/>
        <v/>
      </c>
      <c r="CL35" s="196" t="str">
        <f t="shared" si="48"/>
        <v/>
      </c>
      <c r="CM35" s="196" t="str">
        <f t="shared" si="120"/>
        <v/>
      </c>
      <c r="CN35" s="196" t="str">
        <f t="shared" si="49"/>
        <v/>
      </c>
      <c r="CO35" s="196" t="str">
        <f t="shared" si="50"/>
        <v/>
      </c>
      <c r="CP35" s="196" t="str">
        <f t="shared" si="51"/>
        <v/>
      </c>
      <c r="CQ35" s="196" t="str">
        <f t="shared" si="52"/>
        <v/>
      </c>
      <c r="CR35" s="196" t="str">
        <f t="shared" si="53"/>
        <v/>
      </c>
      <c r="CS35" s="196" t="str">
        <f t="shared" si="54"/>
        <v/>
      </c>
      <c r="CT35" s="196" t="str">
        <f t="shared" si="55"/>
        <v/>
      </c>
      <c r="CU35" s="196" t="str">
        <f t="shared" si="56"/>
        <v/>
      </c>
      <c r="CV35" s="196" t="str">
        <f t="shared" si="57"/>
        <v/>
      </c>
      <c r="CW35" s="210" t="str">
        <f t="shared" si="58"/>
        <v/>
      </c>
      <c r="CY35" s="212" t="str">
        <f>IF(I35&lt;&gt;"",IF(H35="&lt;",IF(AND('Outfall 1 Limits'!$AM$16="Y",$BU$54&lt;&gt;"Y",I35&lt;='Outfall 1 Limits'!$AL$16),0,(1*I35)),I35),"")</f>
        <v/>
      </c>
      <c r="CZ35" s="206" t="str">
        <f>IF(K35&lt;&gt;"",IF(J35="&lt;",IF(AND('Outfall 1 Limits'!$AM$20="Y",$BV$54&lt;&gt;"Y",K35&lt;='Outfall 1 Limits'!$AL$20),0,(1*K35)),K35),"")</f>
        <v/>
      </c>
      <c r="DA35" s="206" t="str">
        <f>IF(M35&lt;&gt;"",IF(L35="&lt;",IF(AND('Outfall 1 Limits'!$AM$24="Y",$BW$54&lt;&gt;"Y",M35&lt;='Outfall 1 Limits'!$AL$24),0,(1*M35)),M35),"")</f>
        <v/>
      </c>
      <c r="DB35" s="206" t="str">
        <f>IF(O35&lt;&gt;"",IF(N35="&lt;",IF(AND('Outfall 1 Limits'!$AM$28="Y",$BX$54&lt;&gt;"Y",O35&lt;='Outfall 1 Limits'!$AL$28),0,(1*O35)),O35),"")</f>
        <v/>
      </c>
      <c r="DC35" s="206" t="str">
        <f>IF(Q35&lt;&gt;"",IF(P35="&lt;",IF(AND('Outfall 1 Limits'!$AM$32="Y",$BY$54&lt;&gt;"Y",Q35&lt;='Outfall 1 Limits'!$AL$32),0,(1*Q35)),Q35),"")</f>
        <v/>
      </c>
      <c r="DD35" s="206" t="str">
        <f>IF(S35&lt;&gt;"",IF(R35="&lt;",IF(AND('Outfall 1 Limits'!$AM$36="Y",$BZ$54&lt;&gt;"Y",S35&lt;='Outfall 1 Limits'!$AL$36),0,(1*S35)),S35),"")</f>
        <v/>
      </c>
      <c r="DE35" s="206" t="str">
        <f>IF(U35&lt;&gt;"",IF(T35="&lt;",IF(AND('Outfall 1 Limits'!$AM$40="Y",$CA$54&lt;&gt;"Y",U35&lt;='Outfall 1 Limits'!$AL$40),0,(1*U35)),U35),"")</f>
        <v/>
      </c>
      <c r="DF35" s="206" t="str">
        <f>IF(W35&lt;&gt;"",IF(V35="&lt;",IF(AND('Outfall 1 Limits'!$AM$44="Y",$CB$54&lt;&gt;"Y",W35&lt;='Outfall 1 Limits'!$AL$44),0,(1*W35)),W35),"")</f>
        <v/>
      </c>
      <c r="DG35" s="206" t="str">
        <f>IF(Y35&lt;&gt;"",IF(X35="&lt;",IF(AND('Outfall 1 Limits'!$AM$48="Y",$CC$54&lt;&gt;"Y",Y35&lt;='Outfall 1 Limits'!$AL$48),0,(1*Y35)),Y35),"")</f>
        <v/>
      </c>
      <c r="DH35" s="206" t="str">
        <f>IF(AA35&lt;&gt;"",IF(Z35="&lt;",IF(AND('Outfall 1 Limits'!$AM$52="Y",$CD$54&lt;&gt;"Y",AA35&lt;='Outfall 1 Limits'!$AL$52),0,(1*AA35)),AA35),"")</f>
        <v/>
      </c>
      <c r="DI35" s="206" t="str">
        <f>IF(AC35&lt;&gt;"",IF(AB35="&lt;",IF(AND('Outfall 1 Limits'!$AM$56="Y",$CE$54&lt;&gt;"Y",AC35&lt;='Outfall 1 Limits'!$AL$56),0,(1*AC35)),AC35),"")</f>
        <v/>
      </c>
      <c r="DJ35" s="206" t="str">
        <f>IF(AE35&lt;&gt;"",IF(AD35="&lt;",IF(AND('Outfall 1 Limits'!$AM$60="Y",$CF$54&lt;&gt;"Y",AE35&lt;='Outfall 1 Limits'!$AL$60),0,(1*AE35)),AE35),"")</f>
        <v/>
      </c>
      <c r="DK35" s="206" t="str">
        <f>IF(AG35&lt;&gt;"",IF(AF35="&lt;",IF(AND('Outfall 1 Limits'!$AM$64="Y",$CG$54&lt;&gt;"Y",AG35&lt;='Outfall 1 Limits'!$AL$64),0,(1*AG35)),AG35),"")</f>
        <v/>
      </c>
      <c r="DL35" s="206" t="str">
        <f>IF(AI35&lt;&gt;"",IF(AH35="&lt;",IF(AND('Outfall 1 Limits'!$AM$68="Y",$CH$54&lt;&gt;"Y",AI35&lt;='Outfall 1 Limits'!$AL$68),0,(1*AI35)),AI35),"")</f>
        <v/>
      </c>
      <c r="DM35" s="206" t="str">
        <f>IF(AK35&lt;&gt;"",IF(AJ35="&lt;",IF(AND('Outfall 1 Limits'!$AM$72="Y",$CI$54&lt;&gt;"Y",AK35&lt;='Outfall 1 Limits'!$AL$72),0,(1*AK35)),AK35),"")</f>
        <v/>
      </c>
      <c r="DN35" s="206" t="str">
        <f>IF(AM35&lt;&gt;"",IF(AL35="&lt;",IF(AND('Outfall 1 Limits'!$AM$76="Y",$CJ$54&lt;&gt;"Y",AM35&lt;='Outfall 1 Limits'!$AL$76),0,(1*AM35)),AM35),"")</f>
        <v/>
      </c>
      <c r="DO35" s="206" t="str">
        <f>IF(AO35&lt;&gt;"",IF(AN35="&lt;",IF(AND('Outfall 1 Limits'!$AM$80="Y",$CK$54&lt;&gt;"Y",AO35&lt;='Outfall 1 Limits'!$AL$80),0,(1*AO35)),AO35),"")</f>
        <v/>
      </c>
      <c r="DP35" s="206" t="str">
        <f>IF(AQ35&lt;&gt;"",IF(AP35="&lt;",IF(AND('Outfall 1 Limits'!$AM$84="Y",$CL$54&lt;&gt;"Y",AQ35&lt;='Outfall 1 Limits'!$AL$84),0,(1*AQ35)),AQ35),"")</f>
        <v/>
      </c>
      <c r="DQ35" s="206" t="str">
        <f>IF(AS35&lt;&gt;"",IF(AR35="&lt;",IF(AND('Outfall 1 Limits'!$AM$88="Y",$CM$54&lt;&gt;"Y",AS35&lt;='Outfall 1 Limits'!$AL$88),0,(1*AS35)),AS35),"")</f>
        <v/>
      </c>
      <c r="DR35" s="206" t="str">
        <f>IF(AU35&lt;&gt;"",IF(AT35="&lt;",IF(AND('Outfall 1 Limits'!$AM$92="Y",$CN$54&lt;&gt;"Y",AU35&lt;='Outfall 1 Limits'!$AL$92),0,(1*AU35)),AU35),"")</f>
        <v/>
      </c>
      <c r="DS35" s="206" t="str">
        <f>IF(AW35&lt;&gt;"",IF(AV35="&lt;",IF(AND('Outfall 1 Limits'!$AM$96="Y",$CO$54&lt;&gt;"Y",AW35&lt;='Outfall 1 Limits'!$AL$96),0,(1*AW35)),AW35),"")</f>
        <v/>
      </c>
      <c r="DT35" s="206" t="str">
        <f>IF(AY35&lt;&gt;"",IF(AX35="&lt;",IF(AND('Outfall 1 Limits'!$AM$100="Y",$CP$54&lt;&gt;"Y",AY35&lt;='Outfall 1 Limits'!$AL$100),0,(1*AY35)),AY35),"")</f>
        <v/>
      </c>
      <c r="DU35" s="206" t="str">
        <f>IF(BA35&lt;&gt;"",IF(AZ35="&lt;",IF(AND('Outfall 1 Limits'!$AM$104="Y",$CQ$54&lt;&gt;"Y",BA35&lt;='Outfall 1 Limits'!$AL$104),0,(1*BA35)),BA35),"")</f>
        <v/>
      </c>
      <c r="DV35" s="206" t="str">
        <f>IF(BC35&lt;&gt;"",IF(BB35="&lt;",IF(AND('Outfall 1 Limits'!$AM$108="Y",$CR$54&lt;&gt;"Y",BC35&lt;='Outfall 1 Limits'!$AL$108),0,(1*BC35)),BC35),"")</f>
        <v/>
      </c>
      <c r="DW35" s="206" t="str">
        <f>IF(BE35&lt;&gt;"",IF(BD35="&lt;",IF(AND('Outfall 1 Limits'!$AM$112="Y",$CS$54&lt;&gt;"Y",BE35&lt;='Outfall 1 Limits'!$AL$112),0,(1*BE35)),BE35),"")</f>
        <v/>
      </c>
      <c r="DX35" s="206" t="str">
        <f>IF(BG35&lt;&gt;"",IF(BF35="&lt;",IF(AND('Outfall 1 Limits'!$AM$116="Y",$CT$54&lt;&gt;"Y",BG35&lt;='Outfall 1 Limits'!$AL$116),0,(1*BG35)),BG35),"")</f>
        <v/>
      </c>
      <c r="DY35" s="206" t="str">
        <f>IF(BI35&lt;&gt;"",IF(BH35="&lt;",IF(AND('Outfall 1 Limits'!$AM$120="Y",$CU$54&lt;&gt;"Y",BI35&lt;='Outfall 1 Limits'!$AL$120),0,(1*BI35)),BI35),"")</f>
        <v/>
      </c>
      <c r="DZ35" s="206" t="str">
        <f>IF(BK35&lt;&gt;"",IF(BJ35="&lt;",IF(AND('Outfall 1 Limits'!$AM$124="Y",$CV$54&lt;&gt;"Y",BK35&lt;='Outfall 1 Limits'!$AL$124),0,(1*BK35)),BK35),"")</f>
        <v/>
      </c>
      <c r="EA35" s="223" t="str">
        <f>IF(BM35&lt;&gt;"",IF(BL35="&lt;",IF(AND('Outfall 1 Limits'!$AM$128="Y",$CW$54&lt;&gt;"Y",BM35&lt;='Outfall 1 Limits'!$AL$128),0,(1*BM35)),BM35),"")</f>
        <v/>
      </c>
      <c r="EB35" s="209" t="s">
        <v>381</v>
      </c>
      <c r="EC35" s="202" t="str">
        <f>IF(E51&lt;&gt;"",IF(SUM(FG45:FG51)&lt;&gt;0,IF(BU76="Y",AVERAGE(FG45:FG51),AVERAGE(GK45:GK51)),""),"")</f>
        <v/>
      </c>
      <c r="ED35" s="196" t="str">
        <f>IF(E51&lt;&gt;"",IF(SUM(FH45:FH51)&lt;&gt;0,IF(BV76="Y",AVERAGE(FH45:FH51),AVERAGE(GL45:GL51)),""),"")</f>
        <v/>
      </c>
      <c r="EE35" s="196" t="str">
        <f>IF(E51&lt;&gt;"",IF(SUM(FI45:FI51)&lt;&gt;0,IF(BW76="Y",AVERAGE(FI45:FI51),AVERAGE(GM45:GM51)),""),"")</f>
        <v/>
      </c>
      <c r="EF35" s="196" t="str">
        <f>IF(E51&lt;&gt;"",IF(SUM(FJ45:FJ51)&lt;&gt;0,IF(BX76="Y",AVERAGE(FJ45:FJ51),AVERAGE(GN45:GN51)),""),"")</f>
        <v/>
      </c>
      <c r="EG35" s="196" t="str">
        <f>IF(E51&lt;&gt;"",IF(SUM(FK45:FK51)&lt;&gt;0,IF(BY76="Y",AVERAGE(FK45:FK51),AVERAGE(GO45:GO51)),""),"")</f>
        <v/>
      </c>
      <c r="EH35" s="196" t="str">
        <f>IF(E51&lt;&gt;"",IF(SUM(FL45:FL51)&lt;&gt;0,IF(BZ76="Y",AVERAGE(FL45:FL51),AVERAGE(GP45:GP51)),""),"")</f>
        <v/>
      </c>
      <c r="EI35" s="196" t="str">
        <f>IF(E51&lt;&gt;"",IF(SUM(FM45:FM51)&lt;&gt;0,IF(CA76="Y",AVERAGE(FM45:FM51),AVERAGE(GQ45:GQ51)),""),"")</f>
        <v/>
      </c>
      <c r="EJ35" s="196" t="str">
        <f>IF(E51&lt;&gt;"",IF(SUM(FN45:FN51)&lt;&gt;0,IF(CB76="Y",AVERAGE(FN45:FN51),AVERAGE(GR45:GR51)),""),"")</f>
        <v/>
      </c>
      <c r="EK35" s="196" t="str">
        <f>IF(E51&lt;&gt;"",IF(SUM(FO45:FO51)&lt;&gt;0,IF(CC76="Y",AVERAGE(FO45:FO51),AVERAGE(GS45:GS51)),""),"")</f>
        <v/>
      </c>
      <c r="EL35" s="196" t="str">
        <f>IF(E51&lt;&gt;"",IF(SUM(FP45:FP51)&lt;&gt;0,IF(CD76="Y",AVERAGE(FP45:FP51),AVERAGE(GT45:GT51)),""),"")</f>
        <v/>
      </c>
      <c r="EM35" s="196" t="str">
        <f>IF(E51&lt;&gt;"",IF(SUM(FQ45:FQ51)&lt;&gt;0,IF(CE76="Y",AVERAGE(FQ45:FQ51),AVERAGE(GU45:GU51)),""),"")</f>
        <v/>
      </c>
      <c r="EN35" s="196" t="str">
        <f>IF(E51&lt;&gt;"",IF(SUM(FR45:FR51)&lt;&gt;0,IF(CF76="Y",AVERAGE(FR45:FR51),AVERAGE(GV45:GV51)),""),"")</f>
        <v/>
      </c>
      <c r="EO35" s="196" t="str">
        <f>IF(E51&lt;&gt;"",IF(SUM(FS45:FS51)&lt;&gt;0,IF(CG76="Y",AVERAGE(FS45:FS51),AVERAGE(GW45:GW51)),""),"")</f>
        <v/>
      </c>
      <c r="EP35" s="196" t="str">
        <f>IF(E51&lt;&gt;"",IF(SUM(FT45:FT51)&lt;&gt;0,IF(CH76="Y",AVERAGE(FT45:FT51),AVERAGE(GX45:GX51)),""),"")</f>
        <v/>
      </c>
      <c r="EQ35" s="196" t="str">
        <f>IF(E51&lt;&gt;"",IF(SUM(FU45:FU51)&lt;&gt;0,IF(CI76="Y",AVERAGE(FU45:FU51),AVERAGE(GY45:GY51)),""),"")</f>
        <v/>
      </c>
      <c r="ER35" s="196" t="str">
        <f>IF(E51&lt;&gt;"",IF(SUM(FV45:FV51)&lt;&gt;0,IF(CJ76="Y",AVERAGE(FV45:FV51),AVERAGE(GZ45:GZ51)),""),"")</f>
        <v/>
      </c>
      <c r="ES35" s="196" t="str">
        <f>IF(E51&lt;&gt;"",IF(SUM(FW45:FW51)&lt;&gt;0,IF(CK76="Y",AVERAGE(FW45:FW51),AVERAGE(HA45:HA51)),""),"")</f>
        <v/>
      </c>
      <c r="ET35" s="196" t="str">
        <f>IF(E51&lt;&gt;"",IF(SUM(FX45:FX51)&lt;&gt;0,IF(CL76="Y",AVERAGE(FX45:FX51),AVERAGE(HB45:HB51)),""),"")</f>
        <v/>
      </c>
      <c r="EU35" s="196" t="str">
        <f>IF(E51&lt;&gt;"",IF(SUM(FY45:FY51)&lt;&gt;0,IF(CM76="Y",AVERAGE(FY45:FY51),AVERAGE(HC45:HC51)),""),"")</f>
        <v/>
      </c>
      <c r="EV35" s="196" t="str">
        <f>IF(E51&lt;&gt;"",IF(SUM(FZ45:FZ51)&lt;&gt;0,IF(CN76="Y",AVERAGE(FZ45:FZ51),AVERAGE(HD45:HD51)),""),"")</f>
        <v/>
      </c>
      <c r="EW35" s="196" t="str">
        <f>IF(E51&lt;&gt;"",IF(SUM(GA45:GA51)&lt;&gt;0,IF(CO76="Y",AVERAGE(GA45:GA51),AVERAGE(HE45:HE51)),""),"")</f>
        <v/>
      </c>
      <c r="EX35" s="196" t="str">
        <f>IF(E51&lt;&gt;"",IF(SUM(GB45:GB51)&lt;&gt;0,IF(CP76="Y",AVERAGE(GB45:GB51),AVERAGE(HF45:HF51)),""),"")</f>
        <v/>
      </c>
      <c r="EY35" s="196" t="str">
        <f>IF(E51&lt;&gt;"",IF(SUM(GC45:GC51)&lt;&gt;0,IF(CQ76="Y",AVERAGE(GC45:GC51),AVERAGE(HG45:HG51)),""),"")</f>
        <v/>
      </c>
      <c r="EZ35" s="196" t="str">
        <f>IF(E51&lt;&gt;"",IF(SUM(GD45:GD51)&lt;&gt;0,IF(CR76="Y",AVERAGE(GD45:GD51),AVERAGE(HH45:HH51)),""),"")</f>
        <v/>
      </c>
      <c r="FA35" s="196" t="str">
        <f>IF(E51&lt;&gt;"",IF(SUM(GE45:GE51)&lt;&gt;0,IF(CS76="Y",AVERAGE(GE45:GE51),AVERAGE(HI45:HI51)),""),"")</f>
        <v/>
      </c>
      <c r="FB35" s="196" t="str">
        <f>IF(E51&lt;&gt;"",IF(SUM(GF45:GF51)&lt;&gt;0,IF(CT76="Y",AVERAGE(GF45:GF51),AVERAGE(HJ45:HJ51)),""),"")</f>
        <v/>
      </c>
      <c r="FC35" s="196" t="str">
        <f>IF(E51&lt;&gt;"",IF(SUM(GG45:GG51)&lt;&gt;0,IF(CU76="Y",AVERAGE(GG45:GG51),AVERAGE(HK45:HK51)),""),"")</f>
        <v/>
      </c>
      <c r="FD35" s="196" t="str">
        <f>IF(E51&lt;&gt;"",IF(SUM(GH45:GH51)&lt;&gt;0,IF(CV76="Y",AVERAGE(GH45:GH51),AVERAGE(HL45:HL51)),""),"")</f>
        <v/>
      </c>
      <c r="FE35" s="210" t="str">
        <f>IF(E51&lt;&gt;"",IF(SUM(GI45:GI51)&lt;&gt;0,IF(CW76="Y",AVERAGE(GI45:GI51),AVERAGE(HM45:HM51)),""),"")</f>
        <v/>
      </c>
      <c r="FG35" s="212" t="str">
        <f>IF(AND($G35&lt;&gt;"",$G35&gt;0,'Outfall 1 Limits'!$AX$16="C1",I35&lt;&gt;""),I35*$G35*8.34,IF(AND($I35&lt;&gt;"",'Outfall 1 Limits'!$AX$16="L"),I35,""))</f>
        <v/>
      </c>
      <c r="FH35" s="206" t="str">
        <f>IF(AND($G35&lt;&gt;"",$G35&gt;0,'Outfall 1 Limits'!$AX$20="C1",$K35&lt;&gt;""),$K35*$G35*8.34,IF(AND($K35&lt;&gt;"",'Outfall 1 Limits'!$AX$20="L"),$K35,""))</f>
        <v/>
      </c>
      <c r="FI35" s="206" t="str">
        <f>IF(AND($G35&lt;&gt;"",$G35&gt;0,'Outfall 1 Limits'!$AX$24="C1",$M35&lt;&gt;""),$M35*$G35*8.34,IF(AND($M35&lt;&gt;"",'Outfall 1 Limits'!$AX$24="L"),$M35,""))</f>
        <v/>
      </c>
      <c r="FJ35" s="206" t="str">
        <f>IF(AND($G35&lt;&gt;"",$G35&gt;0,'Outfall 1 Limits'!$AX$28="C1",$O35&lt;&gt;""),$O35*$G35*8.34,IF(AND($O35&lt;&gt;"",'Outfall 1 Limits'!$AX$28="L"),$O35,""))</f>
        <v/>
      </c>
      <c r="FK35" s="206" t="str">
        <f>IF(AND($G35&lt;&gt;"",$G35&gt;0,'Outfall 1 Limits'!$AX$32="C1",$Q35&lt;&gt;""),$Q35*$G35*8.34,IF(AND($Q35&lt;&gt;"",'Outfall 1 Limits'!$AX$32="L"),$Q35,""))</f>
        <v/>
      </c>
      <c r="FL35" s="206" t="str">
        <f>IF(AND($G35&lt;&gt;"",$G35&gt;0,'Outfall 1 Limits'!$AX$36="C1",$S35&lt;&gt;""),$S35*$G35*8.34,IF(AND($S35&lt;&gt;"",'Outfall 1 Limits'!$AX$36="L"),$S35,""))</f>
        <v/>
      </c>
      <c r="FM35" s="206" t="str">
        <f>IF(AND($G35&lt;&gt;"",$G35&gt;0,'Outfall 1 Limits'!$AX$40="C1",$U35&lt;&gt;""),$U35*$G35*8.34,IF(AND($U35&lt;&gt;"",'Outfall 1 Limits'!$AX$40="L"),$U35,""))</f>
        <v/>
      </c>
      <c r="FN35" s="206" t="str">
        <f>IF(AND($G35&lt;&gt;"",$G35&gt;0,'Outfall 1 Limits'!$AX$44="C1",$W35&lt;&gt;""),$W35*$G35*8.34,IF(AND($W35&lt;&gt;"",'Outfall 1 Limits'!$AX$44="L"),$W35,""))</f>
        <v/>
      </c>
      <c r="FO35" s="206" t="str">
        <f>IF(AND($G35&lt;&gt;"",$G35&gt;0,'Outfall 1 Limits'!$AX$48="C1",$Y35&lt;&gt;""),$Y35*$G35*8.34,IF(AND($Y35&lt;&gt;"",'Outfall 1 Limits'!$AX$48="L"),$Y35,""))</f>
        <v/>
      </c>
      <c r="FP35" s="206" t="str">
        <f>IF(AND($G35&lt;&gt;"",$G35&gt;0,'Outfall 1 Limits'!$AX$52="C1",$AA35&lt;&gt;""),$AA35*$G35*8.34,IF(AND($AA35&lt;&gt;"",'Outfall 1 Limits'!$AX$52="L"),$AA35,""))</f>
        <v/>
      </c>
      <c r="FQ35" s="206" t="str">
        <f>IF(AND($G35&lt;&gt;"",$G35&gt;0,'Outfall 1 Limits'!$AX$56="C1",$AC35&lt;&gt;""),$AC35*$G35*8.34,IF(AND($AC35&lt;&gt;"",'Outfall 1 Limits'!$AX$56="L"),$AC35,""))</f>
        <v/>
      </c>
      <c r="FR35" s="206" t="str">
        <f>IF(AND($G35&lt;&gt;"",$G35&gt;0,'Outfall 1 Limits'!$AX$60="C1",$AE35&lt;&gt;""),$AE35*$G35*8.34,IF(AND($AE35&lt;&gt;"",'Outfall 1 Limits'!$AX$60="L"),$AE35,""))</f>
        <v/>
      </c>
      <c r="FS35" s="206" t="str">
        <f>IF(AND($G35&lt;&gt;"",$G35&gt;0,'Outfall 1 Limits'!$AX$64="C1",$AG35&lt;&gt;""),$AG35*$G35*8.34,IF(AND($AG35&lt;&gt;"",'Outfall 1 Limits'!$AX$64="L"),$AG35,""))</f>
        <v/>
      </c>
      <c r="FT35" s="206" t="str">
        <f>IF(AND($G35&lt;&gt;"",$G35&gt;0,'Outfall 1 Limits'!$AX$68="C1",$AI35&lt;&gt;""),$AI35*$G35*8.34,IF(AND($AI35&lt;&gt;"",'Outfall 1 Limits'!$AX$68="L"),$AI35,""))</f>
        <v/>
      </c>
      <c r="FU35" s="206" t="str">
        <f>IF(AND($G35&lt;&gt;"",$G35&gt;0,'Outfall 1 Limits'!$AX$72="C1",$AK35&lt;&gt;""),$AK35*$G35*8.34,IF(AND($AK35&lt;&gt;"",'Outfall 1 Limits'!$AX$72="L"),$AK35,""))</f>
        <v/>
      </c>
      <c r="FV35" s="206" t="str">
        <f>IF(AND($G35&lt;&gt;"",$G35&gt;0,'Outfall 1 Limits'!$AX$76="C1",$AM35&lt;&gt;""),$AM35*$G35*8.34,IF(AND($AM35&lt;&gt;"",'Outfall 1 Limits'!$AX$76="L"),$AM35,""))</f>
        <v/>
      </c>
      <c r="FW35" s="206" t="str">
        <f>IF(AND($G35&lt;&gt;"",$G35&gt;0,'Outfall 1 Limits'!$AX$80="C1",$AO35&lt;&gt;""),$AO35*$G35*8.34,IF(AND($AO35&lt;&gt;"",'Outfall 1 Limits'!$AX$80="L"),$AO35,""))</f>
        <v/>
      </c>
      <c r="FX35" s="206" t="str">
        <f>IF(AND($G35&lt;&gt;"",$G35&gt;0,'Outfall 1 Limits'!$AX$84="C1",$AQ35&lt;&gt;""),$AQ35*$G35*8.34,IF(AND($AQ35&lt;&gt;"",'Outfall 1 Limits'!$AX$84="L"),$AQ35,""))</f>
        <v/>
      </c>
      <c r="FY35" s="206" t="str">
        <f>IF(AND($G35&lt;&gt;"",$G35&gt;0,'Outfall 1 Limits'!$AX$88="C1",$AS35&lt;&gt;""),$AS35*$G35*8.34,IF(AND($AS35&lt;&gt;"",'Outfall 1 Limits'!$AX$88="L"),$AS35,""))</f>
        <v/>
      </c>
      <c r="FZ35" s="206" t="str">
        <f>IF(AND($G35&lt;&gt;"",$G35&gt;0,'Outfall 1 Limits'!$AX$92="C1",$AU35&lt;&gt;""),$AU35*$G35*8.34,IF(AND($AU35&lt;&gt;"",'Outfall 1 Limits'!$AX$92="L"),$AU35,""))</f>
        <v/>
      </c>
      <c r="GA35" s="206" t="str">
        <f>IF(AND($G35&lt;&gt;"",$G35&gt;0,'Outfall 1 Limits'!$AX$96="C1",$AW35&lt;&gt;""),$AW35*$G35*8.34,IF(AND($AW35&lt;&gt;"",'Outfall 1 Limits'!$AX$96="L"),$AW35,""))</f>
        <v/>
      </c>
      <c r="GB35" s="206" t="str">
        <f>IF(AND($G35&lt;&gt;"",$G35&gt;0,'Outfall 1 Limits'!$AX$100="C1",$AY35&lt;&gt;""),$AY35*$G35*8.34,IF(AND($AY35&lt;&gt;"",'Outfall 1 Limits'!$AX$100="L"),$AY35,""))</f>
        <v/>
      </c>
      <c r="GC35" s="206" t="str">
        <f>IF(AND($G35&lt;&gt;"",$G35&gt;0,'Outfall 1 Limits'!$AX$104="C1",$BA35&lt;&gt;""),$BA35*$G35*8.34,IF(AND($BA35&lt;&gt;"",'Outfall 1 Limits'!$AX$104="L"),$BA35,""))</f>
        <v/>
      </c>
      <c r="GD35" s="206" t="str">
        <f>IF(AND($G35&lt;&gt;"",$G35&gt;0,'Outfall 1 Limits'!$AX$108="C1",$BC35&lt;&gt;""),$BC35*$G35*8.34,IF(AND($BC35&lt;&gt;"",'Outfall 1 Limits'!$AX$108="L"),$BC35,""))</f>
        <v/>
      </c>
      <c r="GE35" s="206" t="str">
        <f>IF(AND($G35&lt;&gt;"",$G35&gt;0,'Outfall 1 Limits'!$AX$112="C1",$BE35&lt;&gt;""),$BE35*$G35*8.34,IF(AND($BE35&lt;&gt;"",'Outfall 1 Limits'!$AX$112="L"),$BE35,""))</f>
        <v/>
      </c>
      <c r="GF35" s="206" t="str">
        <f>IF(AND($G35&lt;&gt;"",$G35&gt;0,'Outfall 1 Limits'!$AX$116="C1",$BG35&lt;&gt;""),$BG35*$G35*8.34,IF(AND($BG35&lt;&gt;"",'Outfall 1 Limits'!$AX$116="L"),$BG35,""))</f>
        <v/>
      </c>
      <c r="GG35" s="206" t="str">
        <f>IF(AND($G35&lt;&gt;"",$G35&gt;0,'Outfall 1 Limits'!$AX$120="C1",$BI35&lt;&gt;""),$BI35*$G35*8.34,IF(AND($BI35&lt;&gt;"",'Outfall 1 Limits'!$AX$120="L"),$BI35,""))</f>
        <v/>
      </c>
      <c r="GH35" s="206" t="str">
        <f>IF(AND($G35&lt;&gt;"",$G35&gt;0,'Outfall 1 Limits'!$AX$124="C1",$BK35&lt;&gt;""),$BK35*$G35*8.34,IF(AND($BK35&lt;&gt;"",'Outfall 1 Limits'!$AX$124="L"),$BK35,""))</f>
        <v/>
      </c>
      <c r="GI35" s="223" t="str">
        <f>IF(AND($G35&lt;&gt;"",$G35&gt;0,'Outfall 1 Limits'!$AX$128="C1",$BM35&lt;&gt;""),$BM35*$G35*8.34,IF(AND($BM35&lt;&gt;"",'Outfall 1 Limits'!$AX$128="L"),$BM35,""))</f>
        <v/>
      </c>
      <c r="GJ35" s="177" t="str">
        <f t="shared" si="59"/>
        <v/>
      </c>
      <c r="GK35" s="212" t="str">
        <f>IF(AND($G35&lt;&gt;"",$G35&gt;0,'Outfall 1 Limits'!$AX$16="C1",CY35&lt;&gt;""),CY35*$G35*8.34,IF(AND(CY35&lt;&gt;"",'Outfall 1 Limits'!$AX$16="L"),CY35,""))</f>
        <v/>
      </c>
      <c r="GL35" s="206" t="str">
        <f>IF(AND($G35&lt;&gt;"",$G35&gt;0,'Outfall 1 Limits'!$AX$20="C1",CZ35&lt;&gt;""),CZ35*$G35*8.34,IF(AND(CZ35&lt;&gt;"",'Outfall 1 Limits'!$AX$20="L"),CZ35,""))</f>
        <v/>
      </c>
      <c r="GM35" s="206" t="str">
        <f>IF(AND($G35&lt;&gt;"",$G35&gt;0,'Outfall 1 Limits'!$AX$24="C1",DA35&lt;&gt;""),DA35*$G35*8.34,IF(AND(DA35&lt;&gt;"",'Outfall 1 Limits'!$AX$24="L"),DA35,""))</f>
        <v/>
      </c>
      <c r="GN35" s="206" t="str">
        <f>IF(AND($G35&lt;&gt;"",$G35&gt;0,'Outfall 1 Limits'!$AX$28="C1",DB35&lt;&gt;""),DB35*$G35*8.34,IF(AND(DB35&lt;&gt;"",'Outfall 1 Limits'!$AX$28="L"),DB35,""))</f>
        <v/>
      </c>
      <c r="GO35" s="206" t="str">
        <f>IF(AND($G35&lt;&gt;"",$G35&gt;0,'Outfall 1 Limits'!$AX$32="C1",DC35&lt;&gt;""),DC35*$G35*8.34,IF(AND(DC35&lt;&gt;"",'Outfall 1 Limits'!$AX$32="L"),DC35,""))</f>
        <v/>
      </c>
      <c r="GP35" s="206" t="str">
        <f>IF(AND($G35&lt;&gt;"",$G35&gt;0,'Outfall 1 Limits'!$AX$36="C1",DD35&lt;&gt;""),DD35*$G35*8.34,IF(AND(DD35&lt;&gt;"",'Outfall 1 Limits'!$AX$36="L"),DD35,""))</f>
        <v/>
      </c>
      <c r="GQ35" s="206" t="str">
        <f>IF(AND($G35&lt;&gt;"",$G35&gt;0,'Outfall 1 Limits'!$AX$40="C1",DE35&lt;&gt;""),DE35*$G35*8.34,IF(AND(DE35&lt;&gt;"",'Outfall 1 Limits'!$AX$40="L"),DE35,""))</f>
        <v/>
      </c>
      <c r="GR35" s="206" t="str">
        <f>IF(AND($G35&lt;&gt;"",$G35&gt;0,'Outfall 1 Limits'!$AX$44="C1",DF35&lt;&gt;""),DF35*$G35*8.34,IF(AND(DF35&lt;&gt;"",'Outfall 1 Limits'!$AX$44="L"),DF35,""))</f>
        <v/>
      </c>
      <c r="GS35" s="206" t="str">
        <f>IF(AND($G35&lt;&gt;"",$G35&gt;0,'Outfall 1 Limits'!$AX$48="C1",DG35&lt;&gt;""),DG35*$G35*8.34,IF(AND(DG35&lt;&gt;"",'Outfall 1 Limits'!$AX$48="L"),DG35,""))</f>
        <v/>
      </c>
      <c r="GT35" s="206" t="str">
        <f>IF(AND($G35&lt;&gt;"",$G35&gt;0,'Outfall 1 Limits'!$AX$52="C1",DH35&lt;&gt;""),DH35*$G35*8.34,IF(AND(DH35&lt;&gt;"",'Outfall 1 Limits'!$AX$52="L"),DH35,""))</f>
        <v/>
      </c>
      <c r="GU35" s="206" t="str">
        <f>IF(AND($G35&lt;&gt;"",$G35&gt;0,'Outfall 1 Limits'!$AX$56="C1",DI35&lt;&gt;""),DI35*$G35*8.34,IF(AND(DI35&lt;&gt;"",'Outfall 1 Limits'!$AX$56="L"),DI35,""))</f>
        <v/>
      </c>
      <c r="GV35" s="206" t="str">
        <f>IF(AND($G35&lt;&gt;"",$G35&gt;0,'Outfall 1 Limits'!$AX$60="C1",DJ35&lt;&gt;""),DJ35*$G35*8.34,IF(AND(DJ35&lt;&gt;"",'Outfall 1 Limits'!$AX$60="L"),DJ35,""))</f>
        <v/>
      </c>
      <c r="GW35" s="206" t="str">
        <f>IF(AND($G35&lt;&gt;"",$G35&gt;0,'Outfall 1 Limits'!$AX$64="C1",DK35&lt;&gt;""),DK35*$G35*8.34,IF(AND(DK35&lt;&gt;"",'Outfall 1 Limits'!$AX$64="L"),DK35,""))</f>
        <v/>
      </c>
      <c r="GX35" s="206" t="str">
        <f>IF(AND($G35&lt;&gt;"",$G35&gt;0,'Outfall 1 Limits'!$AX$68="C1",DL35&lt;&gt;""),DL35*$G35*8.34,IF(AND(DL35&lt;&gt;"",'Outfall 1 Limits'!$AX$68="L"),DL35,""))</f>
        <v/>
      </c>
      <c r="GY35" s="206" t="str">
        <f>IF(AND($G35&lt;&gt;"",$G35&gt;0,'Outfall 1 Limits'!$AX$72="C1",DM35&lt;&gt;""),DM35*$G35*8.34,IF(AND(DM35&lt;&gt;"",'Outfall 1 Limits'!$AX$72="L"),DM35,""))</f>
        <v/>
      </c>
      <c r="GZ35" s="206" t="str">
        <f>IF(AND($G35&lt;&gt;"",$G35&gt;0,'Outfall 1 Limits'!$AX$76="C1",DN35&lt;&gt;""),DN35*$G35*8.34,IF(AND(DN35&lt;&gt;"",'Outfall 1 Limits'!$AX$76="L"),DN35,""))</f>
        <v/>
      </c>
      <c r="HA35" s="206" t="str">
        <f>IF(AND($G35&lt;&gt;"",$G35&gt;0,'Outfall 1 Limits'!$AX$80="C1",DO35&lt;&gt;""),DO35*$G35*8.34,IF(AND(DO35&lt;&gt;"",'Outfall 1 Limits'!$AX$80="L"),DO35,""))</f>
        <v/>
      </c>
      <c r="HB35" s="206" t="str">
        <f>IF(AND($G35&lt;&gt;"",$G35&gt;0,'Outfall 1 Limits'!$AX$84="C1",DP35&lt;&gt;""),DP35*$G35*8.34,IF(AND(DP35&lt;&gt;"",'Outfall 1 Limits'!$AX$84="L"),DP35,""))</f>
        <v/>
      </c>
      <c r="HC35" s="206" t="str">
        <f>IF(AND($G35&lt;&gt;"",$G35&gt;0,'Outfall 1 Limits'!$AX$88="C1",DQ35&lt;&gt;""),DQ35*$G35*8.34,IF(AND(DQ35&lt;&gt;"",'Outfall 1 Limits'!$AX$88="L"),DQ35,""))</f>
        <v/>
      </c>
      <c r="HD35" s="206" t="str">
        <f>IF(AND($G35&lt;&gt;"",$G35&gt;0,'Outfall 1 Limits'!$AX$92="C1",DR35&lt;&gt;""),DR35*$G35*8.34,IF(AND(DR35&lt;&gt;"",'Outfall 1 Limits'!$AX$92="L"),DR35,""))</f>
        <v/>
      </c>
      <c r="HE35" s="206" t="str">
        <f>IF(AND($G35&lt;&gt;"",$G35&gt;0,'Outfall 1 Limits'!$AX$96="C1",DS35&lt;&gt;""),DS35*$G35*8.34,IF(AND(DS35&lt;&gt;"",'Outfall 1 Limits'!$AX$96="L"),DS35,""))</f>
        <v/>
      </c>
      <c r="HF35" s="206" t="str">
        <f>IF(AND($G35&lt;&gt;"",$G35&gt;0,'Outfall 1 Limits'!$AX$100="C1",DT35&lt;&gt;""),DT35*$G35*8.34,IF(AND(DT35&lt;&gt;"",'Outfall 1 Limits'!$AX$100="L"),DT35,""))</f>
        <v/>
      </c>
      <c r="HG35" s="206" t="str">
        <f>IF(AND($G35&lt;&gt;"",$G35&gt;0,'Outfall 1 Limits'!$AX$104="C1",DU35&lt;&gt;""),DU35*$G35*8.34,IF(AND(DU35&lt;&gt;"",'Outfall 1 Limits'!$AX$104="L"),DU35,""))</f>
        <v/>
      </c>
      <c r="HH35" s="206" t="str">
        <f>IF(AND($G35&lt;&gt;"",$G35&gt;0,'Outfall 1 Limits'!$AX$108="C1",DV35&lt;&gt;""),DV35*$G35*8.34,IF(AND(DV35&lt;&gt;"",'Outfall 1 Limits'!$AX$108="L"),DV35,""))</f>
        <v/>
      </c>
      <c r="HI35" s="206" t="str">
        <f>IF(AND($G35&lt;&gt;"",$G35&gt;0,'Outfall 1 Limits'!$AX$112="C1",DW35&lt;&gt;""),DW35*$G35*8.34,IF(AND(DW35&lt;&gt;"",'Outfall 1 Limits'!$AX$112="L"),DW35,""))</f>
        <v/>
      </c>
      <c r="HJ35" s="206" t="str">
        <f>IF(AND($G35&lt;&gt;"",$G35&gt;0,'Outfall 1 Limits'!$AX$116="C1",DX35&lt;&gt;""),DX35*$G35*8.34,IF(AND(DX35&lt;&gt;"",'Outfall 1 Limits'!$AX$116="L"),DX35,""))</f>
        <v/>
      </c>
      <c r="HK35" s="206" t="str">
        <f>IF(AND($G35&lt;&gt;"",$G35&gt;0,'Outfall 1 Limits'!$AX$120="C1",DY35&lt;&gt;""),DY35*$G35*8.34,IF(AND(DY35&lt;&gt;"",'Outfall 1 Limits'!$AX$120="L"),DY35,""))</f>
        <v/>
      </c>
      <c r="HL35" s="206" t="str">
        <f>IF(AND($G35&lt;&gt;"",$G35&gt;0,'Outfall 1 Limits'!$AX$124="C1",DZ35&lt;&gt;""),DZ35*$G35*8.34,IF(AND(DZ35&lt;&gt;"",'Outfall 1 Limits'!$AX$124="L"),DZ35,""))</f>
        <v/>
      </c>
      <c r="HM35" s="223" t="str">
        <f>IF(AND($G35&lt;&gt;"",$G35&gt;0,'Outfall 1 Limits'!$AX$128="C1",EA35&lt;&gt;""),EA35*$G35*8.34,IF(AND(EA35&lt;&gt;"",'Outfall 1 Limits'!$AX$128="L"),EA35,""))</f>
        <v/>
      </c>
      <c r="HO35" s="224" t="str">
        <f t="shared" si="60"/>
        <v/>
      </c>
      <c r="HS35" s="202" t="str">
        <f t="shared" si="61"/>
        <v/>
      </c>
      <c r="HT35" s="196" t="str">
        <f t="shared" si="62"/>
        <v/>
      </c>
      <c r="HU35" s="196" t="str">
        <f t="shared" si="63"/>
        <v/>
      </c>
      <c r="HV35" s="196" t="str">
        <f t="shared" si="64"/>
        <v/>
      </c>
      <c r="HW35" s="196" t="str">
        <f t="shared" si="65"/>
        <v/>
      </c>
      <c r="HX35" s="196" t="str">
        <f t="shared" si="66"/>
        <v/>
      </c>
      <c r="HY35" s="196" t="str">
        <f t="shared" si="67"/>
        <v/>
      </c>
      <c r="HZ35" s="196" t="str">
        <f t="shared" si="68"/>
        <v/>
      </c>
      <c r="IA35" s="196" t="str">
        <f t="shared" si="69"/>
        <v/>
      </c>
      <c r="IB35" s="196" t="str">
        <f t="shared" si="70"/>
        <v/>
      </c>
      <c r="IC35" s="196" t="str">
        <f t="shared" si="71"/>
        <v/>
      </c>
      <c r="ID35" s="196" t="str">
        <f t="shared" si="72"/>
        <v/>
      </c>
      <c r="IE35" s="196" t="str">
        <f t="shared" si="73"/>
        <v/>
      </c>
      <c r="IF35" s="196" t="str">
        <f t="shared" si="74"/>
        <v/>
      </c>
      <c r="IG35" s="196" t="str">
        <f t="shared" si="75"/>
        <v/>
      </c>
      <c r="IH35" s="196" t="str">
        <f t="shared" si="76"/>
        <v/>
      </c>
      <c r="II35" s="196" t="str">
        <f t="shared" si="77"/>
        <v/>
      </c>
      <c r="IJ35" s="196" t="str">
        <f t="shared" si="78"/>
        <v/>
      </c>
      <c r="IK35" s="196" t="str">
        <f t="shared" si="79"/>
        <v/>
      </c>
      <c r="IL35" s="196" t="str">
        <f t="shared" si="80"/>
        <v/>
      </c>
      <c r="IM35" s="196" t="str">
        <f t="shared" si="81"/>
        <v/>
      </c>
      <c r="IN35" s="196" t="str">
        <f t="shared" si="82"/>
        <v/>
      </c>
      <c r="IO35" s="196" t="str">
        <f t="shared" si="83"/>
        <v/>
      </c>
      <c r="IP35" s="196" t="str">
        <f t="shared" si="84"/>
        <v/>
      </c>
      <c r="IQ35" s="196" t="str">
        <f t="shared" si="85"/>
        <v/>
      </c>
      <c r="IR35" s="196" t="str">
        <f t="shared" si="86"/>
        <v/>
      </c>
      <c r="IS35" s="196" t="str">
        <f t="shared" si="87"/>
        <v/>
      </c>
      <c r="IT35" s="196" t="str">
        <f t="shared" si="88"/>
        <v/>
      </c>
      <c r="IU35" s="210" t="str">
        <f t="shared" si="89"/>
        <v/>
      </c>
      <c r="IX35" s="202" t="str">
        <f t="shared" si="90"/>
        <v/>
      </c>
      <c r="IY35" s="196" t="str">
        <f t="shared" si="91"/>
        <v/>
      </c>
      <c r="IZ35" s="196" t="str">
        <f t="shared" si="92"/>
        <v/>
      </c>
      <c r="JA35" s="196" t="str">
        <f t="shared" si="93"/>
        <v/>
      </c>
      <c r="JB35" s="196" t="str">
        <f t="shared" si="94"/>
        <v/>
      </c>
      <c r="JC35" s="196" t="str">
        <f t="shared" si="95"/>
        <v/>
      </c>
      <c r="JD35" s="196" t="str">
        <f t="shared" si="96"/>
        <v/>
      </c>
      <c r="JE35" s="196" t="str">
        <f t="shared" si="97"/>
        <v/>
      </c>
      <c r="JF35" s="196" t="str">
        <f t="shared" si="98"/>
        <v/>
      </c>
      <c r="JG35" s="196" t="str">
        <f t="shared" si="99"/>
        <v/>
      </c>
      <c r="JH35" s="196" t="str">
        <f t="shared" si="100"/>
        <v/>
      </c>
      <c r="JI35" s="196" t="str">
        <f t="shared" si="101"/>
        <v/>
      </c>
      <c r="JJ35" s="196" t="str">
        <f t="shared" si="102"/>
        <v/>
      </c>
      <c r="JK35" s="196" t="str">
        <f t="shared" si="103"/>
        <v/>
      </c>
      <c r="JL35" s="196" t="str">
        <f t="shared" si="104"/>
        <v/>
      </c>
      <c r="JM35" s="196" t="str">
        <f t="shared" si="105"/>
        <v/>
      </c>
      <c r="JN35" s="196" t="str">
        <f t="shared" si="106"/>
        <v/>
      </c>
      <c r="JO35" s="196" t="str">
        <f t="shared" si="107"/>
        <v/>
      </c>
      <c r="JP35" s="196" t="str">
        <f t="shared" si="108"/>
        <v/>
      </c>
      <c r="JQ35" s="196" t="str">
        <f t="shared" si="109"/>
        <v/>
      </c>
      <c r="JR35" s="196" t="str">
        <f t="shared" si="110"/>
        <v/>
      </c>
      <c r="JS35" s="196" t="str">
        <f t="shared" si="111"/>
        <v/>
      </c>
      <c r="JT35" s="196" t="str">
        <f t="shared" si="112"/>
        <v/>
      </c>
      <c r="JU35" s="196" t="str">
        <f t="shared" si="113"/>
        <v/>
      </c>
      <c r="JV35" s="196" t="str">
        <f t="shared" si="114"/>
        <v/>
      </c>
      <c r="JW35" s="196" t="str">
        <f t="shared" si="115"/>
        <v/>
      </c>
      <c r="JX35" s="196" t="str">
        <f t="shared" si="116"/>
        <v/>
      </c>
      <c r="JY35" s="196" t="str">
        <f t="shared" si="117"/>
        <v/>
      </c>
      <c r="JZ35" s="210" t="str">
        <f t="shared" si="118"/>
        <v/>
      </c>
      <c r="KA35" s="196"/>
      <c r="KB35" s="176"/>
      <c r="KC35" s="227"/>
      <c r="KD35" s="218" t="str">
        <f t="shared" si="2"/>
        <v/>
      </c>
      <c r="KE35" s="196" t="str">
        <f t="shared" si="3"/>
        <v/>
      </c>
      <c r="KF35" s="196" t="str">
        <f t="shared" si="4"/>
        <v/>
      </c>
      <c r="KG35" s="196" t="str">
        <f t="shared" si="5"/>
        <v/>
      </c>
      <c r="KH35" s="196" t="str">
        <f t="shared" si="6"/>
        <v/>
      </c>
      <c r="KI35" s="196" t="str">
        <f t="shared" si="7"/>
        <v/>
      </c>
      <c r="KJ35" s="196" t="str">
        <f t="shared" si="8"/>
        <v/>
      </c>
      <c r="KK35" s="196" t="str">
        <f t="shared" si="9"/>
        <v/>
      </c>
      <c r="KL35" s="196" t="str">
        <f t="shared" si="10"/>
        <v/>
      </c>
      <c r="KM35" s="196" t="str">
        <f t="shared" si="11"/>
        <v/>
      </c>
      <c r="KN35" s="196" t="str">
        <f t="shared" si="12"/>
        <v/>
      </c>
      <c r="KO35" s="196" t="str">
        <f t="shared" si="13"/>
        <v/>
      </c>
      <c r="KP35" s="196" t="str">
        <f t="shared" si="14"/>
        <v/>
      </c>
      <c r="KQ35" s="196" t="str">
        <f t="shared" si="15"/>
        <v/>
      </c>
      <c r="KR35" s="196" t="str">
        <f t="shared" si="16"/>
        <v/>
      </c>
      <c r="KS35" s="196" t="str">
        <f t="shared" si="17"/>
        <v/>
      </c>
      <c r="KT35" s="196" t="str">
        <f t="shared" si="18"/>
        <v/>
      </c>
      <c r="KU35" s="196" t="str">
        <f t="shared" si="19"/>
        <v/>
      </c>
      <c r="KV35" s="196" t="str">
        <f t="shared" si="20"/>
        <v/>
      </c>
      <c r="KW35" s="196" t="str">
        <f t="shared" si="21"/>
        <v/>
      </c>
      <c r="KX35" s="196" t="str">
        <f t="shared" si="22"/>
        <v/>
      </c>
      <c r="KY35" s="196" t="str">
        <f t="shared" si="23"/>
        <v/>
      </c>
      <c r="KZ35" s="196" t="str">
        <f t="shared" si="24"/>
        <v/>
      </c>
      <c r="LA35" s="196" t="str">
        <f t="shared" si="25"/>
        <v/>
      </c>
      <c r="LB35" s="196" t="str">
        <f t="shared" si="26"/>
        <v/>
      </c>
      <c r="LC35" s="196" t="str">
        <f t="shared" si="27"/>
        <v/>
      </c>
      <c r="LD35" s="196" t="str">
        <f t="shared" si="28"/>
        <v/>
      </c>
      <c r="LE35" s="196" t="str">
        <f t="shared" si="29"/>
        <v/>
      </c>
      <c r="LF35" s="226" t="str">
        <f t="shared" si="30"/>
        <v/>
      </c>
    </row>
    <row r="36" spans="1:318" s="172" customFormat="1" ht="11.45" customHeight="1" x14ac:dyDescent="0.2">
      <c r="A36" s="35"/>
      <c r="B36" s="54"/>
      <c r="C36" s="438">
        <f t="shared" si="0"/>
        <v>45310</v>
      </c>
      <c r="D36" s="438"/>
      <c r="E36" s="430">
        <f t="shared" si="119"/>
        <v>45310</v>
      </c>
      <c r="F36" s="431"/>
      <c r="G36" s="26"/>
      <c r="H36" s="51"/>
      <c r="I36" s="50"/>
      <c r="J36" s="51"/>
      <c r="K36" s="50"/>
      <c r="L36" s="51"/>
      <c r="M36" s="50"/>
      <c r="N36" s="51"/>
      <c r="O36" s="50"/>
      <c r="P36" s="51"/>
      <c r="Q36" s="50"/>
      <c r="R36" s="51"/>
      <c r="S36" s="50"/>
      <c r="T36" s="51"/>
      <c r="U36" s="50"/>
      <c r="V36" s="51"/>
      <c r="W36" s="50"/>
      <c r="X36" s="276"/>
      <c r="Y36" s="50"/>
      <c r="Z36" s="51"/>
      <c r="AA36" s="50"/>
      <c r="AB36" s="51"/>
      <c r="AC36" s="50"/>
      <c r="AD36" s="51"/>
      <c r="AE36" s="50"/>
      <c r="AF36" s="51"/>
      <c r="AG36" s="50"/>
      <c r="AH36" s="51"/>
      <c r="AI36" s="50"/>
      <c r="AJ36" s="51"/>
      <c r="AK36" s="50"/>
      <c r="AL36" s="51"/>
      <c r="AM36" s="50"/>
      <c r="AN36" s="51"/>
      <c r="AO36" s="50"/>
      <c r="AP36" s="51"/>
      <c r="AQ36" s="50"/>
      <c r="AR36" s="51"/>
      <c r="AS36" s="50"/>
      <c r="AT36" s="51"/>
      <c r="AU36" s="50"/>
      <c r="AV36" s="51"/>
      <c r="AW36" s="50"/>
      <c r="AX36" s="51"/>
      <c r="AY36" s="50"/>
      <c r="AZ36" s="51"/>
      <c r="BA36" s="50"/>
      <c r="BB36" s="51"/>
      <c r="BC36" s="50"/>
      <c r="BD36" s="51"/>
      <c r="BE36" s="50"/>
      <c r="BF36" s="51"/>
      <c r="BG36" s="50"/>
      <c r="BH36" s="51"/>
      <c r="BI36" s="50"/>
      <c r="BJ36" s="51"/>
      <c r="BK36" s="50"/>
      <c r="BL36" s="51"/>
      <c r="BM36" s="109"/>
      <c r="BO36" s="174"/>
      <c r="BP36" s="174">
        <v>2055</v>
      </c>
      <c r="BQ36" s="179" t="s">
        <v>51</v>
      </c>
      <c r="BR36" s="174"/>
      <c r="BS36" s="174" t="s">
        <v>1098</v>
      </c>
      <c r="BU36" s="202" t="str">
        <f t="shared" si="31"/>
        <v/>
      </c>
      <c r="BV36" s="196" t="str">
        <f t="shared" si="32"/>
        <v/>
      </c>
      <c r="BW36" s="196" t="str">
        <f t="shared" si="33"/>
        <v/>
      </c>
      <c r="BX36" s="196" t="str">
        <f t="shared" si="34"/>
        <v/>
      </c>
      <c r="BY36" s="196" t="str">
        <f t="shared" si="35"/>
        <v/>
      </c>
      <c r="BZ36" s="196" t="str">
        <f t="shared" si="36"/>
        <v/>
      </c>
      <c r="CA36" s="196" t="str">
        <f t="shared" si="37"/>
        <v/>
      </c>
      <c r="CB36" s="196" t="str">
        <f t="shared" si="38"/>
        <v/>
      </c>
      <c r="CC36" s="196" t="str">
        <f t="shared" si="39"/>
        <v/>
      </c>
      <c r="CD36" s="196" t="str">
        <f t="shared" si="40"/>
        <v/>
      </c>
      <c r="CE36" s="196" t="str">
        <f t="shared" si="41"/>
        <v/>
      </c>
      <c r="CF36" s="196" t="str">
        <f t="shared" si="42"/>
        <v/>
      </c>
      <c r="CG36" s="196" t="str">
        <f t="shared" si="43"/>
        <v/>
      </c>
      <c r="CH36" s="196" t="str">
        <f t="shared" si="44"/>
        <v/>
      </c>
      <c r="CI36" s="196" t="str">
        <f t="shared" si="45"/>
        <v/>
      </c>
      <c r="CJ36" s="196" t="str">
        <f t="shared" si="46"/>
        <v/>
      </c>
      <c r="CK36" s="196" t="str">
        <f t="shared" si="47"/>
        <v/>
      </c>
      <c r="CL36" s="196" t="str">
        <f t="shared" si="48"/>
        <v/>
      </c>
      <c r="CM36" s="196" t="str">
        <f t="shared" si="120"/>
        <v/>
      </c>
      <c r="CN36" s="196" t="str">
        <f t="shared" si="49"/>
        <v/>
      </c>
      <c r="CO36" s="196" t="str">
        <f t="shared" si="50"/>
        <v/>
      </c>
      <c r="CP36" s="196" t="str">
        <f t="shared" si="51"/>
        <v/>
      </c>
      <c r="CQ36" s="196" t="str">
        <f t="shared" si="52"/>
        <v/>
      </c>
      <c r="CR36" s="196" t="str">
        <f t="shared" si="53"/>
        <v/>
      </c>
      <c r="CS36" s="196" t="str">
        <f t="shared" si="54"/>
        <v/>
      </c>
      <c r="CT36" s="196" t="str">
        <f t="shared" si="55"/>
        <v/>
      </c>
      <c r="CU36" s="196" t="str">
        <f t="shared" si="56"/>
        <v/>
      </c>
      <c r="CV36" s="196" t="str">
        <f t="shared" si="57"/>
        <v/>
      </c>
      <c r="CW36" s="210" t="str">
        <f t="shared" si="58"/>
        <v/>
      </c>
      <c r="CY36" s="212" t="str">
        <f>IF(I36&lt;&gt;"",IF(H36="&lt;",IF(AND('Outfall 1 Limits'!$AM$16="Y",$BU$54&lt;&gt;"Y",I36&lt;='Outfall 1 Limits'!$AL$16),0,(1*I36)),I36),"")</f>
        <v/>
      </c>
      <c r="CZ36" s="206" t="str">
        <f>IF(K36&lt;&gt;"",IF(J36="&lt;",IF(AND('Outfall 1 Limits'!$AM$20="Y",$BV$54&lt;&gt;"Y",K36&lt;='Outfall 1 Limits'!$AL$20),0,(1*K36)),K36),"")</f>
        <v/>
      </c>
      <c r="DA36" s="206" t="str">
        <f>IF(M36&lt;&gt;"",IF(L36="&lt;",IF(AND('Outfall 1 Limits'!$AM$24="Y",$BW$54&lt;&gt;"Y",M36&lt;='Outfall 1 Limits'!$AL$24),0,(1*M36)),M36),"")</f>
        <v/>
      </c>
      <c r="DB36" s="206" t="str">
        <f>IF(O36&lt;&gt;"",IF(N36="&lt;",IF(AND('Outfall 1 Limits'!$AM$28="Y",$BX$54&lt;&gt;"Y",O36&lt;='Outfall 1 Limits'!$AL$28),0,(1*O36)),O36),"")</f>
        <v/>
      </c>
      <c r="DC36" s="206" t="str">
        <f>IF(Q36&lt;&gt;"",IF(P36="&lt;",IF(AND('Outfall 1 Limits'!$AM$32="Y",$BY$54&lt;&gt;"Y",Q36&lt;='Outfall 1 Limits'!$AL$32),0,(1*Q36)),Q36),"")</f>
        <v/>
      </c>
      <c r="DD36" s="206" t="str">
        <f>IF(S36&lt;&gt;"",IF(R36="&lt;",IF(AND('Outfall 1 Limits'!$AM$36="Y",$BZ$54&lt;&gt;"Y",S36&lt;='Outfall 1 Limits'!$AL$36),0,(1*S36)),S36),"")</f>
        <v/>
      </c>
      <c r="DE36" s="206" t="str">
        <f>IF(U36&lt;&gt;"",IF(T36="&lt;",IF(AND('Outfall 1 Limits'!$AM$40="Y",$CA$54&lt;&gt;"Y",U36&lt;='Outfall 1 Limits'!$AL$40),0,(1*U36)),U36),"")</f>
        <v/>
      </c>
      <c r="DF36" s="206" t="str">
        <f>IF(W36&lt;&gt;"",IF(V36="&lt;",IF(AND('Outfall 1 Limits'!$AM$44="Y",$CB$54&lt;&gt;"Y",W36&lt;='Outfall 1 Limits'!$AL$44),0,(1*W36)),W36),"")</f>
        <v/>
      </c>
      <c r="DG36" s="206" t="str">
        <f>IF(Y36&lt;&gt;"",IF(X36="&lt;",IF(AND('Outfall 1 Limits'!$AM$48="Y",$CC$54&lt;&gt;"Y",Y36&lt;='Outfall 1 Limits'!$AL$48),0,(1*Y36)),Y36),"")</f>
        <v/>
      </c>
      <c r="DH36" s="206" t="str">
        <f>IF(AA36&lt;&gt;"",IF(Z36="&lt;",IF(AND('Outfall 1 Limits'!$AM$52="Y",$CD$54&lt;&gt;"Y",AA36&lt;='Outfall 1 Limits'!$AL$52),0,(1*AA36)),AA36),"")</f>
        <v/>
      </c>
      <c r="DI36" s="206" t="str">
        <f>IF(AC36&lt;&gt;"",IF(AB36="&lt;",IF(AND('Outfall 1 Limits'!$AM$56="Y",$CE$54&lt;&gt;"Y",AC36&lt;='Outfall 1 Limits'!$AL$56),0,(1*AC36)),AC36),"")</f>
        <v/>
      </c>
      <c r="DJ36" s="206" t="str">
        <f>IF(AE36&lt;&gt;"",IF(AD36="&lt;",IF(AND('Outfall 1 Limits'!$AM$60="Y",$CF$54&lt;&gt;"Y",AE36&lt;='Outfall 1 Limits'!$AL$60),0,(1*AE36)),AE36),"")</f>
        <v/>
      </c>
      <c r="DK36" s="206" t="str">
        <f>IF(AG36&lt;&gt;"",IF(AF36="&lt;",IF(AND('Outfall 1 Limits'!$AM$64="Y",$CG$54&lt;&gt;"Y",AG36&lt;='Outfall 1 Limits'!$AL$64),0,(1*AG36)),AG36),"")</f>
        <v/>
      </c>
      <c r="DL36" s="206" t="str">
        <f>IF(AI36&lt;&gt;"",IF(AH36="&lt;",IF(AND('Outfall 1 Limits'!$AM$68="Y",$CH$54&lt;&gt;"Y",AI36&lt;='Outfall 1 Limits'!$AL$68),0,(1*AI36)),AI36),"")</f>
        <v/>
      </c>
      <c r="DM36" s="206" t="str">
        <f>IF(AK36&lt;&gt;"",IF(AJ36="&lt;",IF(AND('Outfall 1 Limits'!$AM$72="Y",$CI$54&lt;&gt;"Y",AK36&lt;='Outfall 1 Limits'!$AL$72),0,(1*AK36)),AK36),"")</f>
        <v/>
      </c>
      <c r="DN36" s="206" t="str">
        <f>IF(AM36&lt;&gt;"",IF(AL36="&lt;",IF(AND('Outfall 1 Limits'!$AM$76="Y",$CJ$54&lt;&gt;"Y",AM36&lt;='Outfall 1 Limits'!$AL$76),0,(1*AM36)),AM36),"")</f>
        <v/>
      </c>
      <c r="DO36" s="206" t="str">
        <f>IF(AO36&lt;&gt;"",IF(AN36="&lt;",IF(AND('Outfall 1 Limits'!$AM$80="Y",$CK$54&lt;&gt;"Y",AO36&lt;='Outfall 1 Limits'!$AL$80),0,(1*AO36)),AO36),"")</f>
        <v/>
      </c>
      <c r="DP36" s="206" t="str">
        <f>IF(AQ36&lt;&gt;"",IF(AP36="&lt;",IF(AND('Outfall 1 Limits'!$AM$84="Y",$CL$54&lt;&gt;"Y",AQ36&lt;='Outfall 1 Limits'!$AL$84),0,(1*AQ36)),AQ36),"")</f>
        <v/>
      </c>
      <c r="DQ36" s="206" t="str">
        <f>IF(AS36&lt;&gt;"",IF(AR36="&lt;",IF(AND('Outfall 1 Limits'!$AM$88="Y",$CM$54&lt;&gt;"Y",AS36&lt;='Outfall 1 Limits'!$AL$88),0,(1*AS36)),AS36),"")</f>
        <v/>
      </c>
      <c r="DR36" s="206" t="str">
        <f>IF(AU36&lt;&gt;"",IF(AT36="&lt;",IF(AND('Outfall 1 Limits'!$AM$92="Y",$CN$54&lt;&gt;"Y",AU36&lt;='Outfall 1 Limits'!$AL$92),0,(1*AU36)),AU36),"")</f>
        <v/>
      </c>
      <c r="DS36" s="206" t="str">
        <f>IF(AW36&lt;&gt;"",IF(AV36="&lt;",IF(AND('Outfall 1 Limits'!$AM$96="Y",$CO$54&lt;&gt;"Y",AW36&lt;='Outfall 1 Limits'!$AL$96),0,(1*AW36)),AW36),"")</f>
        <v/>
      </c>
      <c r="DT36" s="206" t="str">
        <f>IF(AY36&lt;&gt;"",IF(AX36="&lt;",IF(AND('Outfall 1 Limits'!$AM$100="Y",$CP$54&lt;&gt;"Y",AY36&lt;='Outfall 1 Limits'!$AL$100),0,(1*AY36)),AY36),"")</f>
        <v/>
      </c>
      <c r="DU36" s="206" t="str">
        <f>IF(BA36&lt;&gt;"",IF(AZ36="&lt;",IF(AND('Outfall 1 Limits'!$AM$104="Y",$CQ$54&lt;&gt;"Y",BA36&lt;='Outfall 1 Limits'!$AL$104),0,(1*BA36)),BA36),"")</f>
        <v/>
      </c>
      <c r="DV36" s="206" t="str">
        <f>IF(BC36&lt;&gt;"",IF(BB36="&lt;",IF(AND('Outfall 1 Limits'!$AM$108="Y",$CR$54&lt;&gt;"Y",BC36&lt;='Outfall 1 Limits'!$AL$108),0,(1*BC36)),BC36),"")</f>
        <v/>
      </c>
      <c r="DW36" s="206" t="str">
        <f>IF(BE36&lt;&gt;"",IF(BD36="&lt;",IF(AND('Outfall 1 Limits'!$AM$112="Y",$CS$54&lt;&gt;"Y",BE36&lt;='Outfall 1 Limits'!$AL$112),0,(1*BE36)),BE36),"")</f>
        <v/>
      </c>
      <c r="DX36" s="206" t="str">
        <f>IF(BG36&lt;&gt;"",IF(BF36="&lt;",IF(AND('Outfall 1 Limits'!$AM$116="Y",$CT$54&lt;&gt;"Y",BG36&lt;='Outfall 1 Limits'!$AL$116),0,(1*BG36)),BG36),"")</f>
        <v/>
      </c>
      <c r="DY36" s="206" t="str">
        <f>IF(BI36&lt;&gt;"",IF(BH36="&lt;",IF(AND('Outfall 1 Limits'!$AM$120="Y",$CU$54&lt;&gt;"Y",BI36&lt;='Outfall 1 Limits'!$AL$120),0,(1*BI36)),BI36),"")</f>
        <v/>
      </c>
      <c r="DZ36" s="206" t="str">
        <f>IF(BK36&lt;&gt;"",IF(BJ36="&lt;",IF(AND('Outfall 1 Limits'!$AM$124="Y",$CV$54&lt;&gt;"Y",BK36&lt;='Outfall 1 Limits'!$AL$124),0,(1*BK36)),BK36),"")</f>
        <v/>
      </c>
      <c r="EA36" s="223" t="str">
        <f>IF(BM36&lt;&gt;"",IF(BL36="&lt;",IF(AND('Outfall 1 Limits'!$AM$128="Y",$CW$54&lt;&gt;"Y",BM36&lt;='Outfall 1 Limits'!$AL$128),0,(1*BM36)),BM36),"")</f>
        <v/>
      </c>
      <c r="EB36" s="209" t="s">
        <v>382</v>
      </c>
      <c r="EC36" s="202" t="str">
        <f t="shared" ref="EC36:FE36" si="134">IF(SUM(EC31:EC35)&gt;0,MAX(EC31:EC35),"")</f>
        <v/>
      </c>
      <c r="ED36" s="196" t="str">
        <f t="shared" si="134"/>
        <v/>
      </c>
      <c r="EE36" s="196" t="str">
        <f t="shared" si="134"/>
        <v/>
      </c>
      <c r="EF36" s="196" t="str">
        <f t="shared" si="134"/>
        <v/>
      </c>
      <c r="EG36" s="196" t="str">
        <f t="shared" si="134"/>
        <v/>
      </c>
      <c r="EH36" s="196" t="str">
        <f t="shared" si="134"/>
        <v/>
      </c>
      <c r="EI36" s="196" t="str">
        <f t="shared" si="134"/>
        <v/>
      </c>
      <c r="EJ36" s="196" t="str">
        <f t="shared" si="134"/>
        <v/>
      </c>
      <c r="EK36" s="196" t="str">
        <f t="shared" si="134"/>
        <v/>
      </c>
      <c r="EL36" s="196" t="str">
        <f t="shared" si="134"/>
        <v/>
      </c>
      <c r="EM36" s="196" t="str">
        <f t="shared" si="134"/>
        <v/>
      </c>
      <c r="EN36" s="196" t="str">
        <f t="shared" si="134"/>
        <v/>
      </c>
      <c r="EO36" s="196" t="str">
        <f t="shared" si="134"/>
        <v/>
      </c>
      <c r="EP36" s="196" t="str">
        <f t="shared" si="134"/>
        <v/>
      </c>
      <c r="EQ36" s="196" t="str">
        <f t="shared" si="134"/>
        <v/>
      </c>
      <c r="ER36" s="196" t="str">
        <f t="shared" si="134"/>
        <v/>
      </c>
      <c r="ES36" s="196" t="str">
        <f t="shared" si="134"/>
        <v/>
      </c>
      <c r="ET36" s="196" t="str">
        <f t="shared" si="134"/>
        <v/>
      </c>
      <c r="EU36" s="196" t="str">
        <f t="shared" si="134"/>
        <v/>
      </c>
      <c r="EV36" s="196" t="str">
        <f t="shared" si="134"/>
        <v/>
      </c>
      <c r="EW36" s="196" t="str">
        <f t="shared" si="134"/>
        <v/>
      </c>
      <c r="EX36" s="196" t="str">
        <f t="shared" si="134"/>
        <v/>
      </c>
      <c r="EY36" s="196" t="str">
        <f t="shared" si="134"/>
        <v/>
      </c>
      <c r="EZ36" s="196" t="str">
        <f t="shared" si="134"/>
        <v/>
      </c>
      <c r="FA36" s="196" t="str">
        <f t="shared" si="134"/>
        <v/>
      </c>
      <c r="FB36" s="196" t="str">
        <f t="shared" si="134"/>
        <v/>
      </c>
      <c r="FC36" s="196" t="str">
        <f t="shared" si="134"/>
        <v/>
      </c>
      <c r="FD36" s="196" t="str">
        <f t="shared" si="134"/>
        <v/>
      </c>
      <c r="FE36" s="210" t="str">
        <f t="shared" si="134"/>
        <v/>
      </c>
      <c r="FG36" s="212" t="str">
        <f>IF(AND($G36&lt;&gt;"",$G36&gt;0,'Outfall 1 Limits'!$AX$16="C1",I36&lt;&gt;""),I36*$G36*8.34,IF(AND($I36&lt;&gt;"",'Outfall 1 Limits'!$AX$16="L"),I36,""))</f>
        <v/>
      </c>
      <c r="FH36" s="206" t="str">
        <f>IF(AND($G36&lt;&gt;"",$G36&gt;0,'Outfall 1 Limits'!$AX$20="C1",$K36&lt;&gt;""),$K36*$G36*8.34,IF(AND($K36&lt;&gt;"",'Outfall 1 Limits'!$AX$20="L"),$K36,""))</f>
        <v/>
      </c>
      <c r="FI36" s="206" t="str">
        <f>IF(AND($G36&lt;&gt;"",$G36&gt;0,'Outfall 1 Limits'!$AX$24="C1",$M36&lt;&gt;""),$M36*$G36*8.34,IF(AND($M36&lt;&gt;"",'Outfall 1 Limits'!$AX$24="L"),$M36,""))</f>
        <v/>
      </c>
      <c r="FJ36" s="206" t="str">
        <f>IF(AND($G36&lt;&gt;"",$G36&gt;0,'Outfall 1 Limits'!$AX$28="C1",$O36&lt;&gt;""),$O36*$G36*8.34,IF(AND($O36&lt;&gt;"",'Outfall 1 Limits'!$AX$28="L"),$O36,""))</f>
        <v/>
      </c>
      <c r="FK36" s="206" t="str">
        <f>IF(AND($G36&lt;&gt;"",$G36&gt;0,'Outfall 1 Limits'!$AX$32="C1",$Q36&lt;&gt;""),$Q36*$G36*8.34,IF(AND($Q36&lt;&gt;"",'Outfall 1 Limits'!$AX$32="L"),$Q36,""))</f>
        <v/>
      </c>
      <c r="FL36" s="206" t="str">
        <f>IF(AND($G36&lt;&gt;"",$G36&gt;0,'Outfall 1 Limits'!$AX$36="C1",$S36&lt;&gt;""),$S36*$G36*8.34,IF(AND($S36&lt;&gt;"",'Outfall 1 Limits'!$AX$36="L"),$S36,""))</f>
        <v/>
      </c>
      <c r="FM36" s="206" t="str">
        <f>IF(AND($G36&lt;&gt;"",$G36&gt;0,'Outfall 1 Limits'!$AX$40="C1",$U36&lt;&gt;""),$U36*$G36*8.34,IF(AND($U36&lt;&gt;"",'Outfall 1 Limits'!$AX$40="L"),$U36,""))</f>
        <v/>
      </c>
      <c r="FN36" s="206" t="str">
        <f>IF(AND($G36&lt;&gt;"",$G36&gt;0,'Outfall 1 Limits'!$AX$44="C1",$W36&lt;&gt;""),$W36*$G36*8.34,IF(AND($W36&lt;&gt;"",'Outfall 1 Limits'!$AX$44="L"),$W36,""))</f>
        <v/>
      </c>
      <c r="FO36" s="206" t="str">
        <f>IF(AND($G36&lt;&gt;"",$G36&gt;0,'Outfall 1 Limits'!$AX$48="C1",$Y36&lt;&gt;""),$Y36*$G36*8.34,IF(AND($Y36&lt;&gt;"",'Outfall 1 Limits'!$AX$48="L"),$Y36,""))</f>
        <v/>
      </c>
      <c r="FP36" s="206" t="str">
        <f>IF(AND($G36&lt;&gt;"",$G36&gt;0,'Outfall 1 Limits'!$AX$52="C1",$AA36&lt;&gt;""),$AA36*$G36*8.34,IF(AND($AA36&lt;&gt;"",'Outfall 1 Limits'!$AX$52="L"),$AA36,""))</f>
        <v/>
      </c>
      <c r="FQ36" s="206" t="str">
        <f>IF(AND($G36&lt;&gt;"",$G36&gt;0,'Outfall 1 Limits'!$AX$56="C1",$AC36&lt;&gt;""),$AC36*$G36*8.34,IF(AND($AC36&lt;&gt;"",'Outfall 1 Limits'!$AX$56="L"),$AC36,""))</f>
        <v/>
      </c>
      <c r="FR36" s="206" t="str">
        <f>IF(AND($G36&lt;&gt;"",$G36&gt;0,'Outfall 1 Limits'!$AX$60="C1",$AE36&lt;&gt;""),$AE36*$G36*8.34,IF(AND($AE36&lt;&gt;"",'Outfall 1 Limits'!$AX$60="L"),$AE36,""))</f>
        <v/>
      </c>
      <c r="FS36" s="206" t="str">
        <f>IF(AND($G36&lt;&gt;"",$G36&gt;0,'Outfall 1 Limits'!$AX$64="C1",$AG36&lt;&gt;""),$AG36*$G36*8.34,IF(AND($AG36&lt;&gt;"",'Outfall 1 Limits'!$AX$64="L"),$AG36,""))</f>
        <v/>
      </c>
      <c r="FT36" s="206" t="str">
        <f>IF(AND($G36&lt;&gt;"",$G36&gt;0,'Outfall 1 Limits'!$AX$68="C1",$AI36&lt;&gt;""),$AI36*$G36*8.34,IF(AND($AI36&lt;&gt;"",'Outfall 1 Limits'!$AX$68="L"),$AI36,""))</f>
        <v/>
      </c>
      <c r="FU36" s="206" t="str">
        <f>IF(AND($G36&lt;&gt;"",$G36&gt;0,'Outfall 1 Limits'!$AX$72="C1",$AK36&lt;&gt;""),$AK36*$G36*8.34,IF(AND($AK36&lt;&gt;"",'Outfall 1 Limits'!$AX$72="L"),$AK36,""))</f>
        <v/>
      </c>
      <c r="FV36" s="206" t="str">
        <f>IF(AND($G36&lt;&gt;"",$G36&gt;0,'Outfall 1 Limits'!$AX$76="C1",$AM36&lt;&gt;""),$AM36*$G36*8.34,IF(AND($AM36&lt;&gt;"",'Outfall 1 Limits'!$AX$76="L"),$AM36,""))</f>
        <v/>
      </c>
      <c r="FW36" s="206" t="str">
        <f>IF(AND($G36&lt;&gt;"",$G36&gt;0,'Outfall 1 Limits'!$AX$80="C1",$AO36&lt;&gt;""),$AO36*$G36*8.34,IF(AND($AO36&lt;&gt;"",'Outfall 1 Limits'!$AX$80="L"),$AO36,""))</f>
        <v/>
      </c>
      <c r="FX36" s="206" t="str">
        <f>IF(AND($G36&lt;&gt;"",$G36&gt;0,'Outfall 1 Limits'!$AX$84="C1",$AQ36&lt;&gt;""),$AQ36*$G36*8.34,IF(AND($AQ36&lt;&gt;"",'Outfall 1 Limits'!$AX$84="L"),$AQ36,""))</f>
        <v/>
      </c>
      <c r="FY36" s="206" t="str">
        <f>IF(AND($G36&lt;&gt;"",$G36&gt;0,'Outfall 1 Limits'!$AX$88="C1",$AS36&lt;&gt;""),$AS36*$G36*8.34,IF(AND($AS36&lt;&gt;"",'Outfall 1 Limits'!$AX$88="L"),$AS36,""))</f>
        <v/>
      </c>
      <c r="FZ36" s="206" t="str">
        <f>IF(AND($G36&lt;&gt;"",$G36&gt;0,'Outfall 1 Limits'!$AX$92="C1",$AU36&lt;&gt;""),$AU36*$G36*8.34,IF(AND($AU36&lt;&gt;"",'Outfall 1 Limits'!$AX$92="L"),$AU36,""))</f>
        <v/>
      </c>
      <c r="GA36" s="206" t="str">
        <f>IF(AND($G36&lt;&gt;"",$G36&gt;0,'Outfall 1 Limits'!$AX$96="C1",$AW36&lt;&gt;""),$AW36*$G36*8.34,IF(AND($AW36&lt;&gt;"",'Outfall 1 Limits'!$AX$96="L"),$AW36,""))</f>
        <v/>
      </c>
      <c r="GB36" s="206" t="str">
        <f>IF(AND($G36&lt;&gt;"",$G36&gt;0,'Outfall 1 Limits'!$AX$100="C1",$AY36&lt;&gt;""),$AY36*$G36*8.34,IF(AND($AY36&lt;&gt;"",'Outfall 1 Limits'!$AX$100="L"),$AY36,""))</f>
        <v/>
      </c>
      <c r="GC36" s="206" t="str">
        <f>IF(AND($G36&lt;&gt;"",$G36&gt;0,'Outfall 1 Limits'!$AX$104="C1",$BA36&lt;&gt;""),$BA36*$G36*8.34,IF(AND($BA36&lt;&gt;"",'Outfall 1 Limits'!$AX$104="L"),$BA36,""))</f>
        <v/>
      </c>
      <c r="GD36" s="206" t="str">
        <f>IF(AND($G36&lt;&gt;"",$G36&gt;0,'Outfall 1 Limits'!$AX$108="C1",$BC36&lt;&gt;""),$BC36*$G36*8.34,IF(AND($BC36&lt;&gt;"",'Outfall 1 Limits'!$AX$108="L"),$BC36,""))</f>
        <v/>
      </c>
      <c r="GE36" s="206" t="str">
        <f>IF(AND($G36&lt;&gt;"",$G36&gt;0,'Outfall 1 Limits'!$AX$112="C1",$BE36&lt;&gt;""),$BE36*$G36*8.34,IF(AND($BE36&lt;&gt;"",'Outfall 1 Limits'!$AX$112="L"),$BE36,""))</f>
        <v/>
      </c>
      <c r="GF36" s="206" t="str">
        <f>IF(AND($G36&lt;&gt;"",$G36&gt;0,'Outfall 1 Limits'!$AX$116="C1",$BG36&lt;&gt;""),$BG36*$G36*8.34,IF(AND($BG36&lt;&gt;"",'Outfall 1 Limits'!$AX$116="L"),$BG36,""))</f>
        <v/>
      </c>
      <c r="GG36" s="206" t="str">
        <f>IF(AND($G36&lt;&gt;"",$G36&gt;0,'Outfall 1 Limits'!$AX$120="C1",$BI36&lt;&gt;""),$BI36*$G36*8.34,IF(AND($BI36&lt;&gt;"",'Outfall 1 Limits'!$AX$120="L"),$BI36,""))</f>
        <v/>
      </c>
      <c r="GH36" s="206" t="str">
        <f>IF(AND($G36&lt;&gt;"",$G36&gt;0,'Outfall 1 Limits'!$AX$124="C1",$BK36&lt;&gt;""),$BK36*$G36*8.34,IF(AND($BK36&lt;&gt;"",'Outfall 1 Limits'!$AX$124="L"),$BK36,""))</f>
        <v/>
      </c>
      <c r="GI36" s="223" t="str">
        <f>IF(AND($G36&lt;&gt;"",$G36&gt;0,'Outfall 1 Limits'!$AX$128="C1",$BM36&lt;&gt;""),$BM36*$G36*8.34,IF(AND($BM36&lt;&gt;"",'Outfall 1 Limits'!$AX$128="L"),$BM36,""))</f>
        <v/>
      </c>
      <c r="GJ36" s="177" t="str">
        <f t="shared" si="59"/>
        <v/>
      </c>
      <c r="GK36" s="212" t="str">
        <f>IF(AND($G36&lt;&gt;"",$G36&gt;0,'Outfall 1 Limits'!$AX$16="C1",CY36&lt;&gt;""),CY36*$G36*8.34,IF(AND(CY36&lt;&gt;"",'Outfall 1 Limits'!$AX$16="L"),CY36,""))</f>
        <v/>
      </c>
      <c r="GL36" s="206" t="str">
        <f>IF(AND($G36&lt;&gt;"",$G36&gt;0,'Outfall 1 Limits'!$AX$20="C1",CZ36&lt;&gt;""),CZ36*$G36*8.34,IF(AND(CZ36&lt;&gt;"",'Outfall 1 Limits'!$AX$20="L"),CZ36,""))</f>
        <v/>
      </c>
      <c r="GM36" s="206" t="str">
        <f>IF(AND($G36&lt;&gt;"",$G36&gt;0,'Outfall 1 Limits'!$AX$24="C1",DA36&lt;&gt;""),DA36*$G36*8.34,IF(AND(DA36&lt;&gt;"",'Outfall 1 Limits'!$AX$24="L"),DA36,""))</f>
        <v/>
      </c>
      <c r="GN36" s="206" t="str">
        <f>IF(AND($G36&lt;&gt;"",$G36&gt;0,'Outfall 1 Limits'!$AX$28="C1",DB36&lt;&gt;""),DB36*$G36*8.34,IF(AND(DB36&lt;&gt;"",'Outfall 1 Limits'!$AX$28="L"),DB36,""))</f>
        <v/>
      </c>
      <c r="GO36" s="206" t="str">
        <f>IF(AND($G36&lt;&gt;"",$G36&gt;0,'Outfall 1 Limits'!$AX$32="C1",DC36&lt;&gt;""),DC36*$G36*8.34,IF(AND(DC36&lt;&gt;"",'Outfall 1 Limits'!$AX$32="L"),DC36,""))</f>
        <v/>
      </c>
      <c r="GP36" s="206" t="str">
        <f>IF(AND($G36&lt;&gt;"",$G36&gt;0,'Outfall 1 Limits'!$AX$36="C1",DD36&lt;&gt;""),DD36*$G36*8.34,IF(AND(DD36&lt;&gt;"",'Outfall 1 Limits'!$AX$36="L"),DD36,""))</f>
        <v/>
      </c>
      <c r="GQ36" s="206" t="str">
        <f>IF(AND($G36&lt;&gt;"",$G36&gt;0,'Outfall 1 Limits'!$AX$40="C1",DE36&lt;&gt;""),DE36*$G36*8.34,IF(AND(DE36&lt;&gt;"",'Outfall 1 Limits'!$AX$40="L"),DE36,""))</f>
        <v/>
      </c>
      <c r="GR36" s="206" t="str">
        <f>IF(AND($G36&lt;&gt;"",$G36&gt;0,'Outfall 1 Limits'!$AX$44="C1",DF36&lt;&gt;""),DF36*$G36*8.34,IF(AND(DF36&lt;&gt;"",'Outfall 1 Limits'!$AX$44="L"),DF36,""))</f>
        <v/>
      </c>
      <c r="GS36" s="206" t="str">
        <f>IF(AND($G36&lt;&gt;"",$G36&gt;0,'Outfall 1 Limits'!$AX$48="C1",DG36&lt;&gt;""),DG36*$G36*8.34,IF(AND(DG36&lt;&gt;"",'Outfall 1 Limits'!$AX$48="L"),DG36,""))</f>
        <v/>
      </c>
      <c r="GT36" s="206" t="str">
        <f>IF(AND($G36&lt;&gt;"",$G36&gt;0,'Outfall 1 Limits'!$AX$52="C1",DH36&lt;&gt;""),DH36*$G36*8.34,IF(AND(DH36&lt;&gt;"",'Outfall 1 Limits'!$AX$52="L"),DH36,""))</f>
        <v/>
      </c>
      <c r="GU36" s="206" t="str">
        <f>IF(AND($G36&lt;&gt;"",$G36&gt;0,'Outfall 1 Limits'!$AX$56="C1",DI36&lt;&gt;""),DI36*$G36*8.34,IF(AND(DI36&lt;&gt;"",'Outfall 1 Limits'!$AX$56="L"),DI36,""))</f>
        <v/>
      </c>
      <c r="GV36" s="206" t="str">
        <f>IF(AND($G36&lt;&gt;"",$G36&gt;0,'Outfall 1 Limits'!$AX$60="C1",DJ36&lt;&gt;""),DJ36*$G36*8.34,IF(AND(DJ36&lt;&gt;"",'Outfall 1 Limits'!$AX$60="L"),DJ36,""))</f>
        <v/>
      </c>
      <c r="GW36" s="206" t="str">
        <f>IF(AND($G36&lt;&gt;"",$G36&gt;0,'Outfall 1 Limits'!$AX$64="C1",DK36&lt;&gt;""),DK36*$G36*8.34,IF(AND(DK36&lt;&gt;"",'Outfall 1 Limits'!$AX$64="L"),DK36,""))</f>
        <v/>
      </c>
      <c r="GX36" s="206" t="str">
        <f>IF(AND($G36&lt;&gt;"",$G36&gt;0,'Outfall 1 Limits'!$AX$68="C1",DL36&lt;&gt;""),DL36*$G36*8.34,IF(AND(DL36&lt;&gt;"",'Outfall 1 Limits'!$AX$68="L"),DL36,""))</f>
        <v/>
      </c>
      <c r="GY36" s="206" t="str">
        <f>IF(AND($G36&lt;&gt;"",$G36&gt;0,'Outfall 1 Limits'!$AX$72="C1",DM36&lt;&gt;""),DM36*$G36*8.34,IF(AND(DM36&lt;&gt;"",'Outfall 1 Limits'!$AX$72="L"),DM36,""))</f>
        <v/>
      </c>
      <c r="GZ36" s="206" t="str">
        <f>IF(AND($G36&lt;&gt;"",$G36&gt;0,'Outfall 1 Limits'!$AX$76="C1",DN36&lt;&gt;""),DN36*$G36*8.34,IF(AND(DN36&lt;&gt;"",'Outfall 1 Limits'!$AX$76="L"),DN36,""))</f>
        <v/>
      </c>
      <c r="HA36" s="206" t="str">
        <f>IF(AND($G36&lt;&gt;"",$G36&gt;0,'Outfall 1 Limits'!$AX$80="C1",DO36&lt;&gt;""),DO36*$G36*8.34,IF(AND(DO36&lt;&gt;"",'Outfall 1 Limits'!$AX$80="L"),DO36,""))</f>
        <v/>
      </c>
      <c r="HB36" s="206" t="str">
        <f>IF(AND($G36&lt;&gt;"",$G36&gt;0,'Outfall 1 Limits'!$AX$84="C1",DP36&lt;&gt;""),DP36*$G36*8.34,IF(AND(DP36&lt;&gt;"",'Outfall 1 Limits'!$AX$84="L"),DP36,""))</f>
        <v/>
      </c>
      <c r="HC36" s="206" t="str">
        <f>IF(AND($G36&lt;&gt;"",$G36&gt;0,'Outfall 1 Limits'!$AX$88="C1",DQ36&lt;&gt;""),DQ36*$G36*8.34,IF(AND(DQ36&lt;&gt;"",'Outfall 1 Limits'!$AX$88="L"),DQ36,""))</f>
        <v/>
      </c>
      <c r="HD36" s="206" t="str">
        <f>IF(AND($G36&lt;&gt;"",$G36&gt;0,'Outfall 1 Limits'!$AX$92="C1",DR36&lt;&gt;""),DR36*$G36*8.34,IF(AND(DR36&lt;&gt;"",'Outfall 1 Limits'!$AX$92="L"),DR36,""))</f>
        <v/>
      </c>
      <c r="HE36" s="206" t="str">
        <f>IF(AND($G36&lt;&gt;"",$G36&gt;0,'Outfall 1 Limits'!$AX$96="C1",DS36&lt;&gt;""),DS36*$G36*8.34,IF(AND(DS36&lt;&gt;"",'Outfall 1 Limits'!$AX$96="L"),DS36,""))</f>
        <v/>
      </c>
      <c r="HF36" s="206" t="str">
        <f>IF(AND($G36&lt;&gt;"",$G36&gt;0,'Outfall 1 Limits'!$AX$100="C1",DT36&lt;&gt;""),DT36*$G36*8.34,IF(AND(DT36&lt;&gt;"",'Outfall 1 Limits'!$AX$100="L"),DT36,""))</f>
        <v/>
      </c>
      <c r="HG36" s="206" t="str">
        <f>IF(AND($G36&lt;&gt;"",$G36&gt;0,'Outfall 1 Limits'!$AX$104="C1",DU36&lt;&gt;""),DU36*$G36*8.34,IF(AND(DU36&lt;&gt;"",'Outfall 1 Limits'!$AX$104="L"),DU36,""))</f>
        <v/>
      </c>
      <c r="HH36" s="206" t="str">
        <f>IF(AND($G36&lt;&gt;"",$G36&gt;0,'Outfall 1 Limits'!$AX$108="C1",DV36&lt;&gt;""),DV36*$G36*8.34,IF(AND(DV36&lt;&gt;"",'Outfall 1 Limits'!$AX$108="L"),DV36,""))</f>
        <v/>
      </c>
      <c r="HI36" s="206" t="str">
        <f>IF(AND($G36&lt;&gt;"",$G36&gt;0,'Outfall 1 Limits'!$AX$112="C1",DW36&lt;&gt;""),DW36*$G36*8.34,IF(AND(DW36&lt;&gt;"",'Outfall 1 Limits'!$AX$112="L"),DW36,""))</f>
        <v/>
      </c>
      <c r="HJ36" s="206" t="str">
        <f>IF(AND($G36&lt;&gt;"",$G36&gt;0,'Outfall 1 Limits'!$AX$116="C1",DX36&lt;&gt;""),DX36*$G36*8.34,IF(AND(DX36&lt;&gt;"",'Outfall 1 Limits'!$AX$116="L"),DX36,""))</f>
        <v/>
      </c>
      <c r="HK36" s="206" t="str">
        <f>IF(AND($G36&lt;&gt;"",$G36&gt;0,'Outfall 1 Limits'!$AX$120="C1",DY36&lt;&gt;""),DY36*$G36*8.34,IF(AND(DY36&lt;&gt;"",'Outfall 1 Limits'!$AX$120="L"),DY36,""))</f>
        <v/>
      </c>
      <c r="HL36" s="206" t="str">
        <f>IF(AND($G36&lt;&gt;"",$G36&gt;0,'Outfall 1 Limits'!$AX$124="C1",DZ36&lt;&gt;""),DZ36*$G36*8.34,IF(AND(DZ36&lt;&gt;"",'Outfall 1 Limits'!$AX$124="L"),DZ36,""))</f>
        <v/>
      </c>
      <c r="HM36" s="223" t="str">
        <f>IF(AND($G36&lt;&gt;"",$G36&gt;0,'Outfall 1 Limits'!$AX$128="C1",EA36&lt;&gt;""),EA36*$G36*8.34,IF(AND(EA36&lt;&gt;"",'Outfall 1 Limits'!$AX$128="L"),EA36,""))</f>
        <v/>
      </c>
      <c r="HO36" s="224" t="str">
        <f t="shared" si="60"/>
        <v/>
      </c>
      <c r="HS36" s="202" t="str">
        <f t="shared" si="61"/>
        <v/>
      </c>
      <c r="HT36" s="196" t="str">
        <f t="shared" si="62"/>
        <v/>
      </c>
      <c r="HU36" s="196" t="str">
        <f t="shared" si="63"/>
        <v/>
      </c>
      <c r="HV36" s="196" t="str">
        <f t="shared" si="64"/>
        <v/>
      </c>
      <c r="HW36" s="196" t="str">
        <f t="shared" si="65"/>
        <v/>
      </c>
      <c r="HX36" s="196" t="str">
        <f t="shared" si="66"/>
        <v/>
      </c>
      <c r="HY36" s="196" t="str">
        <f t="shared" si="67"/>
        <v/>
      </c>
      <c r="HZ36" s="196" t="str">
        <f t="shared" si="68"/>
        <v/>
      </c>
      <c r="IA36" s="196" t="str">
        <f t="shared" si="69"/>
        <v/>
      </c>
      <c r="IB36" s="196" t="str">
        <f t="shared" si="70"/>
        <v/>
      </c>
      <c r="IC36" s="196" t="str">
        <f t="shared" si="71"/>
        <v/>
      </c>
      <c r="ID36" s="196" t="str">
        <f t="shared" si="72"/>
        <v/>
      </c>
      <c r="IE36" s="196" t="str">
        <f t="shared" si="73"/>
        <v/>
      </c>
      <c r="IF36" s="196" t="str">
        <f t="shared" si="74"/>
        <v/>
      </c>
      <c r="IG36" s="196" t="str">
        <f t="shared" si="75"/>
        <v/>
      </c>
      <c r="IH36" s="196" t="str">
        <f t="shared" si="76"/>
        <v/>
      </c>
      <c r="II36" s="196" t="str">
        <f t="shared" si="77"/>
        <v/>
      </c>
      <c r="IJ36" s="196" t="str">
        <f t="shared" si="78"/>
        <v/>
      </c>
      <c r="IK36" s="196" t="str">
        <f t="shared" si="79"/>
        <v/>
      </c>
      <c r="IL36" s="196" t="str">
        <f t="shared" si="80"/>
        <v/>
      </c>
      <c r="IM36" s="196" t="str">
        <f t="shared" si="81"/>
        <v/>
      </c>
      <c r="IN36" s="196" t="str">
        <f t="shared" si="82"/>
        <v/>
      </c>
      <c r="IO36" s="196" t="str">
        <f t="shared" si="83"/>
        <v/>
      </c>
      <c r="IP36" s="196" t="str">
        <f t="shared" si="84"/>
        <v/>
      </c>
      <c r="IQ36" s="196" t="str">
        <f t="shared" si="85"/>
        <v/>
      </c>
      <c r="IR36" s="196" t="str">
        <f t="shared" si="86"/>
        <v/>
      </c>
      <c r="IS36" s="196" t="str">
        <f t="shared" si="87"/>
        <v/>
      </c>
      <c r="IT36" s="196" t="str">
        <f t="shared" si="88"/>
        <v/>
      </c>
      <c r="IU36" s="210" t="str">
        <f t="shared" si="89"/>
        <v/>
      </c>
      <c r="IX36" s="202" t="str">
        <f t="shared" si="90"/>
        <v/>
      </c>
      <c r="IY36" s="196" t="str">
        <f t="shared" si="91"/>
        <v/>
      </c>
      <c r="IZ36" s="196" t="str">
        <f t="shared" si="92"/>
        <v/>
      </c>
      <c r="JA36" s="196" t="str">
        <f t="shared" si="93"/>
        <v/>
      </c>
      <c r="JB36" s="196" t="str">
        <f t="shared" si="94"/>
        <v/>
      </c>
      <c r="JC36" s="196" t="str">
        <f t="shared" si="95"/>
        <v/>
      </c>
      <c r="JD36" s="196" t="str">
        <f t="shared" si="96"/>
        <v/>
      </c>
      <c r="JE36" s="196" t="str">
        <f t="shared" si="97"/>
        <v/>
      </c>
      <c r="JF36" s="196" t="str">
        <f t="shared" si="98"/>
        <v/>
      </c>
      <c r="JG36" s="196" t="str">
        <f t="shared" si="99"/>
        <v/>
      </c>
      <c r="JH36" s="196" t="str">
        <f t="shared" si="100"/>
        <v/>
      </c>
      <c r="JI36" s="196" t="str">
        <f t="shared" si="101"/>
        <v/>
      </c>
      <c r="JJ36" s="196" t="str">
        <f t="shared" si="102"/>
        <v/>
      </c>
      <c r="JK36" s="196" t="str">
        <f t="shared" si="103"/>
        <v/>
      </c>
      <c r="JL36" s="196" t="str">
        <f t="shared" si="104"/>
        <v/>
      </c>
      <c r="JM36" s="196" t="str">
        <f t="shared" si="105"/>
        <v/>
      </c>
      <c r="JN36" s="196" t="str">
        <f t="shared" si="106"/>
        <v/>
      </c>
      <c r="JO36" s="196" t="str">
        <f t="shared" si="107"/>
        <v/>
      </c>
      <c r="JP36" s="196" t="str">
        <f t="shared" si="108"/>
        <v/>
      </c>
      <c r="JQ36" s="196" t="str">
        <f t="shared" si="109"/>
        <v/>
      </c>
      <c r="JR36" s="196" t="str">
        <f t="shared" si="110"/>
        <v/>
      </c>
      <c r="JS36" s="196" t="str">
        <f t="shared" si="111"/>
        <v/>
      </c>
      <c r="JT36" s="196" t="str">
        <f t="shared" si="112"/>
        <v/>
      </c>
      <c r="JU36" s="196" t="str">
        <f t="shared" si="113"/>
        <v/>
      </c>
      <c r="JV36" s="196" t="str">
        <f t="shared" si="114"/>
        <v/>
      </c>
      <c r="JW36" s="196" t="str">
        <f t="shared" si="115"/>
        <v/>
      </c>
      <c r="JX36" s="196" t="str">
        <f t="shared" si="116"/>
        <v/>
      </c>
      <c r="JY36" s="196" t="str">
        <f t="shared" si="117"/>
        <v/>
      </c>
      <c r="JZ36" s="210" t="str">
        <f t="shared" si="118"/>
        <v/>
      </c>
      <c r="KA36" s="196"/>
      <c r="KB36" s="176"/>
      <c r="KC36" s="227"/>
      <c r="KD36" s="218" t="str">
        <f t="shared" si="2"/>
        <v/>
      </c>
      <c r="KE36" s="196" t="str">
        <f t="shared" si="3"/>
        <v/>
      </c>
      <c r="KF36" s="196" t="str">
        <f t="shared" si="4"/>
        <v/>
      </c>
      <c r="KG36" s="196" t="str">
        <f t="shared" si="5"/>
        <v/>
      </c>
      <c r="KH36" s="196" t="str">
        <f t="shared" si="6"/>
        <v/>
      </c>
      <c r="KI36" s="196" t="str">
        <f t="shared" si="7"/>
        <v/>
      </c>
      <c r="KJ36" s="196" t="str">
        <f t="shared" si="8"/>
        <v/>
      </c>
      <c r="KK36" s="196" t="str">
        <f t="shared" si="9"/>
        <v/>
      </c>
      <c r="KL36" s="196" t="str">
        <f t="shared" si="10"/>
        <v/>
      </c>
      <c r="KM36" s="196" t="str">
        <f t="shared" si="11"/>
        <v/>
      </c>
      <c r="KN36" s="196" t="str">
        <f t="shared" si="12"/>
        <v/>
      </c>
      <c r="KO36" s="196" t="str">
        <f t="shared" si="13"/>
        <v/>
      </c>
      <c r="KP36" s="196" t="str">
        <f t="shared" si="14"/>
        <v/>
      </c>
      <c r="KQ36" s="196" t="str">
        <f t="shared" si="15"/>
        <v/>
      </c>
      <c r="KR36" s="196" t="str">
        <f t="shared" si="16"/>
        <v/>
      </c>
      <c r="KS36" s="196" t="str">
        <f t="shared" si="17"/>
        <v/>
      </c>
      <c r="KT36" s="196" t="str">
        <f t="shared" si="18"/>
        <v/>
      </c>
      <c r="KU36" s="196" t="str">
        <f t="shared" si="19"/>
        <v/>
      </c>
      <c r="KV36" s="196" t="str">
        <f t="shared" si="20"/>
        <v/>
      </c>
      <c r="KW36" s="196" t="str">
        <f t="shared" si="21"/>
        <v/>
      </c>
      <c r="KX36" s="196" t="str">
        <f t="shared" si="22"/>
        <v/>
      </c>
      <c r="KY36" s="196" t="str">
        <f t="shared" si="23"/>
        <v/>
      </c>
      <c r="KZ36" s="196" t="str">
        <f t="shared" si="24"/>
        <v/>
      </c>
      <c r="LA36" s="196" t="str">
        <f t="shared" si="25"/>
        <v/>
      </c>
      <c r="LB36" s="196" t="str">
        <f t="shared" si="26"/>
        <v/>
      </c>
      <c r="LC36" s="196" t="str">
        <f t="shared" si="27"/>
        <v/>
      </c>
      <c r="LD36" s="196" t="str">
        <f t="shared" si="28"/>
        <v/>
      </c>
      <c r="LE36" s="196" t="str">
        <f t="shared" si="29"/>
        <v/>
      </c>
      <c r="LF36" s="226" t="str">
        <f t="shared" si="30"/>
        <v/>
      </c>
    </row>
    <row r="37" spans="1:318" s="172" customFormat="1" ht="11.45" customHeight="1" x14ac:dyDescent="0.2">
      <c r="A37" s="35"/>
      <c r="B37" s="54"/>
      <c r="C37" s="438">
        <f t="shared" si="0"/>
        <v>45311</v>
      </c>
      <c r="D37" s="438"/>
      <c r="E37" s="430">
        <f t="shared" si="119"/>
        <v>45311</v>
      </c>
      <c r="F37" s="431"/>
      <c r="G37" s="26"/>
      <c r="H37" s="51"/>
      <c r="I37" s="50"/>
      <c r="J37" s="51"/>
      <c r="K37" s="50"/>
      <c r="L37" s="51"/>
      <c r="M37" s="50"/>
      <c r="N37" s="51"/>
      <c r="O37" s="50"/>
      <c r="P37" s="51"/>
      <c r="Q37" s="50"/>
      <c r="R37" s="51"/>
      <c r="S37" s="50"/>
      <c r="T37" s="51"/>
      <c r="U37" s="50"/>
      <c r="V37" s="51"/>
      <c r="W37" s="50"/>
      <c r="X37" s="276"/>
      <c r="Y37" s="50"/>
      <c r="Z37" s="51"/>
      <c r="AA37" s="50"/>
      <c r="AB37" s="51"/>
      <c r="AC37" s="50"/>
      <c r="AD37" s="51"/>
      <c r="AE37" s="50"/>
      <c r="AF37" s="51"/>
      <c r="AG37" s="50"/>
      <c r="AH37" s="51"/>
      <c r="AI37" s="50"/>
      <c r="AJ37" s="51"/>
      <c r="AK37" s="50"/>
      <c r="AL37" s="51"/>
      <c r="AM37" s="50"/>
      <c r="AN37" s="51"/>
      <c r="AO37" s="50"/>
      <c r="AP37" s="51"/>
      <c r="AQ37" s="50"/>
      <c r="AR37" s="51"/>
      <c r="AS37" s="50"/>
      <c r="AT37" s="51"/>
      <c r="AU37" s="50"/>
      <c r="AV37" s="51"/>
      <c r="AW37" s="50"/>
      <c r="AX37" s="51"/>
      <c r="AY37" s="50"/>
      <c r="AZ37" s="51"/>
      <c r="BA37" s="50"/>
      <c r="BB37" s="51"/>
      <c r="BC37" s="50"/>
      <c r="BD37" s="51"/>
      <c r="BE37" s="50"/>
      <c r="BF37" s="51"/>
      <c r="BG37" s="50"/>
      <c r="BH37" s="51"/>
      <c r="BI37" s="50"/>
      <c r="BJ37" s="51"/>
      <c r="BK37" s="50"/>
      <c r="BL37" s="51"/>
      <c r="BM37" s="109"/>
      <c r="BO37" s="174"/>
      <c r="BP37" s="174">
        <v>2056</v>
      </c>
      <c r="BQ37" s="179" t="s">
        <v>12</v>
      </c>
      <c r="BR37" s="174"/>
      <c r="BS37" s="174" t="s">
        <v>1099</v>
      </c>
      <c r="BU37" s="202" t="str">
        <f t="shared" si="31"/>
        <v/>
      </c>
      <c r="BV37" s="196" t="str">
        <f t="shared" si="32"/>
        <v/>
      </c>
      <c r="BW37" s="196" t="str">
        <f t="shared" si="33"/>
        <v/>
      </c>
      <c r="BX37" s="196" t="str">
        <f t="shared" si="34"/>
        <v/>
      </c>
      <c r="BY37" s="196" t="str">
        <f t="shared" si="35"/>
        <v/>
      </c>
      <c r="BZ37" s="196" t="str">
        <f t="shared" si="36"/>
        <v/>
      </c>
      <c r="CA37" s="196" t="str">
        <f t="shared" si="37"/>
        <v/>
      </c>
      <c r="CB37" s="196" t="str">
        <f t="shared" si="38"/>
        <v/>
      </c>
      <c r="CC37" s="196" t="str">
        <f t="shared" si="39"/>
        <v/>
      </c>
      <c r="CD37" s="196" t="str">
        <f t="shared" si="40"/>
        <v/>
      </c>
      <c r="CE37" s="196" t="str">
        <f t="shared" si="41"/>
        <v/>
      </c>
      <c r="CF37" s="196" t="str">
        <f t="shared" si="42"/>
        <v/>
      </c>
      <c r="CG37" s="196" t="str">
        <f t="shared" si="43"/>
        <v/>
      </c>
      <c r="CH37" s="196" t="str">
        <f t="shared" si="44"/>
        <v/>
      </c>
      <c r="CI37" s="196" t="str">
        <f t="shared" si="45"/>
        <v/>
      </c>
      <c r="CJ37" s="196" t="str">
        <f t="shared" si="46"/>
        <v/>
      </c>
      <c r="CK37" s="196" t="str">
        <f t="shared" si="47"/>
        <v/>
      </c>
      <c r="CL37" s="196" t="str">
        <f t="shared" si="48"/>
        <v/>
      </c>
      <c r="CM37" s="196" t="str">
        <f t="shared" si="120"/>
        <v/>
      </c>
      <c r="CN37" s="196" t="str">
        <f t="shared" si="49"/>
        <v/>
      </c>
      <c r="CO37" s="196" t="str">
        <f t="shared" si="50"/>
        <v/>
      </c>
      <c r="CP37" s="196" t="str">
        <f t="shared" si="51"/>
        <v/>
      </c>
      <c r="CQ37" s="196" t="str">
        <f t="shared" si="52"/>
        <v/>
      </c>
      <c r="CR37" s="196" t="str">
        <f t="shared" si="53"/>
        <v/>
      </c>
      <c r="CS37" s="196" t="str">
        <f t="shared" si="54"/>
        <v/>
      </c>
      <c r="CT37" s="196" t="str">
        <f t="shared" si="55"/>
        <v/>
      </c>
      <c r="CU37" s="196" t="str">
        <f t="shared" si="56"/>
        <v/>
      </c>
      <c r="CV37" s="196" t="str">
        <f t="shared" si="57"/>
        <v/>
      </c>
      <c r="CW37" s="210" t="str">
        <f t="shared" si="58"/>
        <v/>
      </c>
      <c r="CY37" s="212" t="str">
        <f>IF(I37&lt;&gt;"",IF(H37="&lt;",IF(AND('Outfall 1 Limits'!$AM$16="Y",$BU$54&lt;&gt;"Y",I37&lt;='Outfall 1 Limits'!$AL$16),0,(1*I37)),I37),"")</f>
        <v/>
      </c>
      <c r="CZ37" s="206" t="str">
        <f>IF(K37&lt;&gt;"",IF(J37="&lt;",IF(AND('Outfall 1 Limits'!$AM$20="Y",$BV$54&lt;&gt;"Y",K37&lt;='Outfall 1 Limits'!$AL$20),0,(1*K37)),K37),"")</f>
        <v/>
      </c>
      <c r="DA37" s="206" t="str">
        <f>IF(M37&lt;&gt;"",IF(L37="&lt;",IF(AND('Outfall 1 Limits'!$AM$24="Y",$BW$54&lt;&gt;"Y",M37&lt;='Outfall 1 Limits'!$AL$24),0,(1*M37)),M37),"")</f>
        <v/>
      </c>
      <c r="DB37" s="206" t="str">
        <f>IF(O37&lt;&gt;"",IF(N37="&lt;",IF(AND('Outfall 1 Limits'!$AM$28="Y",$BX$54&lt;&gt;"Y",O37&lt;='Outfall 1 Limits'!$AL$28),0,(1*O37)),O37),"")</f>
        <v/>
      </c>
      <c r="DC37" s="206" t="str">
        <f>IF(Q37&lt;&gt;"",IF(P37="&lt;",IF(AND('Outfall 1 Limits'!$AM$32="Y",$BY$54&lt;&gt;"Y",Q37&lt;='Outfall 1 Limits'!$AL$32),0,(1*Q37)),Q37),"")</f>
        <v/>
      </c>
      <c r="DD37" s="206" t="str">
        <f>IF(S37&lt;&gt;"",IF(R37="&lt;",IF(AND('Outfall 1 Limits'!$AM$36="Y",$BZ$54&lt;&gt;"Y",S37&lt;='Outfall 1 Limits'!$AL$36),0,(1*S37)),S37),"")</f>
        <v/>
      </c>
      <c r="DE37" s="206" t="str">
        <f>IF(U37&lt;&gt;"",IF(T37="&lt;",IF(AND('Outfall 1 Limits'!$AM$40="Y",$CA$54&lt;&gt;"Y",U37&lt;='Outfall 1 Limits'!$AL$40),0,(1*U37)),U37),"")</f>
        <v/>
      </c>
      <c r="DF37" s="206" t="str">
        <f>IF(W37&lt;&gt;"",IF(V37="&lt;",IF(AND('Outfall 1 Limits'!$AM$44="Y",$CB$54&lt;&gt;"Y",W37&lt;='Outfall 1 Limits'!$AL$44),0,(1*W37)),W37),"")</f>
        <v/>
      </c>
      <c r="DG37" s="206" t="str">
        <f>IF(Y37&lt;&gt;"",IF(X37="&lt;",IF(AND('Outfall 1 Limits'!$AM$48="Y",$CC$54&lt;&gt;"Y",Y37&lt;='Outfall 1 Limits'!$AL$48),0,(1*Y37)),Y37),"")</f>
        <v/>
      </c>
      <c r="DH37" s="206" t="str">
        <f>IF(AA37&lt;&gt;"",IF(Z37="&lt;",IF(AND('Outfall 1 Limits'!$AM$52="Y",$CD$54&lt;&gt;"Y",AA37&lt;='Outfall 1 Limits'!$AL$52),0,(1*AA37)),AA37),"")</f>
        <v/>
      </c>
      <c r="DI37" s="206" t="str">
        <f>IF(AC37&lt;&gt;"",IF(AB37="&lt;",IF(AND('Outfall 1 Limits'!$AM$56="Y",$CE$54&lt;&gt;"Y",AC37&lt;='Outfall 1 Limits'!$AL$56),0,(1*AC37)),AC37),"")</f>
        <v/>
      </c>
      <c r="DJ37" s="206" t="str">
        <f>IF(AE37&lt;&gt;"",IF(AD37="&lt;",IF(AND('Outfall 1 Limits'!$AM$60="Y",$CF$54&lt;&gt;"Y",AE37&lt;='Outfall 1 Limits'!$AL$60),0,(1*AE37)),AE37),"")</f>
        <v/>
      </c>
      <c r="DK37" s="206" t="str">
        <f>IF(AG37&lt;&gt;"",IF(AF37="&lt;",IF(AND('Outfall 1 Limits'!$AM$64="Y",$CG$54&lt;&gt;"Y",AG37&lt;='Outfall 1 Limits'!$AL$64),0,(1*AG37)),AG37),"")</f>
        <v/>
      </c>
      <c r="DL37" s="206" t="str">
        <f>IF(AI37&lt;&gt;"",IF(AH37="&lt;",IF(AND('Outfall 1 Limits'!$AM$68="Y",$CH$54&lt;&gt;"Y",AI37&lt;='Outfall 1 Limits'!$AL$68),0,(1*AI37)),AI37),"")</f>
        <v/>
      </c>
      <c r="DM37" s="206" t="str">
        <f>IF(AK37&lt;&gt;"",IF(AJ37="&lt;",IF(AND('Outfall 1 Limits'!$AM$72="Y",$CI$54&lt;&gt;"Y",AK37&lt;='Outfall 1 Limits'!$AL$72),0,(1*AK37)),AK37),"")</f>
        <v/>
      </c>
      <c r="DN37" s="206" t="str">
        <f>IF(AM37&lt;&gt;"",IF(AL37="&lt;",IF(AND('Outfall 1 Limits'!$AM$76="Y",$CJ$54&lt;&gt;"Y",AM37&lt;='Outfall 1 Limits'!$AL$76),0,(1*AM37)),AM37),"")</f>
        <v/>
      </c>
      <c r="DO37" s="206" t="str">
        <f>IF(AO37&lt;&gt;"",IF(AN37="&lt;",IF(AND('Outfall 1 Limits'!$AM$80="Y",$CK$54&lt;&gt;"Y",AO37&lt;='Outfall 1 Limits'!$AL$80),0,(1*AO37)),AO37),"")</f>
        <v/>
      </c>
      <c r="DP37" s="206" t="str">
        <f>IF(AQ37&lt;&gt;"",IF(AP37="&lt;",IF(AND('Outfall 1 Limits'!$AM$84="Y",$CL$54&lt;&gt;"Y",AQ37&lt;='Outfall 1 Limits'!$AL$84),0,(1*AQ37)),AQ37),"")</f>
        <v/>
      </c>
      <c r="DQ37" s="206" t="str">
        <f>IF(AS37&lt;&gt;"",IF(AR37="&lt;",IF(AND('Outfall 1 Limits'!$AM$88="Y",$CM$54&lt;&gt;"Y",AS37&lt;='Outfall 1 Limits'!$AL$88),0,(1*AS37)),AS37),"")</f>
        <v/>
      </c>
      <c r="DR37" s="206" t="str">
        <f>IF(AU37&lt;&gt;"",IF(AT37="&lt;",IF(AND('Outfall 1 Limits'!$AM$92="Y",$CN$54&lt;&gt;"Y",AU37&lt;='Outfall 1 Limits'!$AL$92),0,(1*AU37)),AU37),"")</f>
        <v/>
      </c>
      <c r="DS37" s="206" t="str">
        <f>IF(AW37&lt;&gt;"",IF(AV37="&lt;",IF(AND('Outfall 1 Limits'!$AM$96="Y",$CO$54&lt;&gt;"Y",AW37&lt;='Outfall 1 Limits'!$AL$96),0,(1*AW37)),AW37),"")</f>
        <v/>
      </c>
      <c r="DT37" s="206" t="str">
        <f>IF(AY37&lt;&gt;"",IF(AX37="&lt;",IF(AND('Outfall 1 Limits'!$AM$100="Y",$CP$54&lt;&gt;"Y",AY37&lt;='Outfall 1 Limits'!$AL$100),0,(1*AY37)),AY37),"")</f>
        <v/>
      </c>
      <c r="DU37" s="206" t="str">
        <f>IF(BA37&lt;&gt;"",IF(AZ37="&lt;",IF(AND('Outfall 1 Limits'!$AM$104="Y",$CQ$54&lt;&gt;"Y",BA37&lt;='Outfall 1 Limits'!$AL$104),0,(1*BA37)),BA37),"")</f>
        <v/>
      </c>
      <c r="DV37" s="206" t="str">
        <f>IF(BC37&lt;&gt;"",IF(BB37="&lt;",IF(AND('Outfall 1 Limits'!$AM$108="Y",$CR$54&lt;&gt;"Y",BC37&lt;='Outfall 1 Limits'!$AL$108),0,(1*BC37)),BC37),"")</f>
        <v/>
      </c>
      <c r="DW37" s="206" t="str">
        <f>IF(BE37&lt;&gt;"",IF(BD37="&lt;",IF(AND('Outfall 1 Limits'!$AM$112="Y",$CS$54&lt;&gt;"Y",BE37&lt;='Outfall 1 Limits'!$AL$112),0,(1*BE37)),BE37),"")</f>
        <v/>
      </c>
      <c r="DX37" s="206" t="str">
        <f>IF(BG37&lt;&gt;"",IF(BF37="&lt;",IF(AND('Outfall 1 Limits'!$AM$116="Y",$CT$54&lt;&gt;"Y",BG37&lt;='Outfall 1 Limits'!$AL$116),0,(1*BG37)),BG37),"")</f>
        <v/>
      </c>
      <c r="DY37" s="206" t="str">
        <f>IF(BI37&lt;&gt;"",IF(BH37="&lt;",IF(AND('Outfall 1 Limits'!$AM$120="Y",$CU$54&lt;&gt;"Y",BI37&lt;='Outfall 1 Limits'!$AL$120),0,(1*BI37)),BI37),"")</f>
        <v/>
      </c>
      <c r="DZ37" s="206" t="str">
        <f>IF(BK37&lt;&gt;"",IF(BJ37="&lt;",IF(AND('Outfall 1 Limits'!$AM$124="Y",$CV$54&lt;&gt;"Y",BK37&lt;='Outfall 1 Limits'!$AL$124),0,(1*BK37)),BK37),"")</f>
        <v/>
      </c>
      <c r="EA37" s="223" t="str">
        <f>IF(BM37&lt;&gt;"",IF(BL37="&lt;",IF(AND('Outfall 1 Limits'!$AM$128="Y",$CW$54&lt;&gt;"Y",BM37&lt;='Outfall 1 Limits'!$AL$128),0,(1*BM37)),BM37),"")</f>
        <v/>
      </c>
      <c r="EB37" s="209"/>
      <c r="EC37" s="202" t="str">
        <f>IF(W40&lt;&gt;"",IF(V40="&lt;",1,0.99),"")</f>
        <v/>
      </c>
      <c r="ED37" s="196" t="str">
        <f>IF(X40&lt;&gt;"",IF(W40="&lt;",1,0.99),"")</f>
        <v/>
      </c>
      <c r="EE37" s="196" t="str">
        <f t="shared" ref="EE37" si="135">IF(Y40&lt;&gt;"",IF(X40="&lt;",1,0.99),"")</f>
        <v/>
      </c>
      <c r="EF37" s="196" t="str">
        <f t="shared" ref="EF37" si="136">IF(Z40&lt;&gt;"",IF(Y40="&lt;",1,0.99),"")</f>
        <v/>
      </c>
      <c r="EG37" s="196" t="str">
        <f t="shared" ref="EG37" si="137">IF(AA40&lt;&gt;"",IF(Z40="&lt;",1,0.99),"")</f>
        <v/>
      </c>
      <c r="EH37" s="196" t="str">
        <f t="shared" ref="EH37" si="138">IF(AB40&lt;&gt;"",IF(AA40="&lt;",1,0.99),"")</f>
        <v/>
      </c>
      <c r="EI37" s="196" t="str">
        <f t="shared" ref="EI37" si="139">IF(AC40&lt;&gt;"",IF(AB40="&lt;",1,0.99),"")</f>
        <v/>
      </c>
      <c r="EJ37" s="196" t="str">
        <f t="shared" ref="EJ37" si="140">IF(AD40&lt;&gt;"",IF(AC40="&lt;",1,0.99),"")</f>
        <v/>
      </c>
      <c r="EK37" s="196" t="str">
        <f t="shared" ref="EK37" si="141">IF(AE40&lt;&gt;"",IF(AD40="&lt;",1,0.99),"")</f>
        <v/>
      </c>
      <c r="EL37" s="196" t="str">
        <f t="shared" ref="EL37" si="142">IF(AF40&lt;&gt;"",IF(AE40="&lt;",1,0.99),"")</f>
        <v/>
      </c>
      <c r="EM37" s="196" t="str">
        <f t="shared" ref="EM37" si="143">IF(AG40&lt;&gt;"",IF(AF40="&lt;",1,0.99),"")</f>
        <v/>
      </c>
      <c r="EN37" s="196" t="str">
        <f t="shared" ref="EN37" si="144">IF(AH40&lt;&gt;"",IF(AG40="&lt;",1,0.99),"")</f>
        <v/>
      </c>
      <c r="EO37" s="196" t="str">
        <f t="shared" ref="EO37" si="145">IF(AI40&lt;&gt;"",IF(AH40="&lt;",1,0.99),"")</f>
        <v/>
      </c>
      <c r="EP37" s="196" t="str">
        <f t="shared" ref="EP37" si="146">IF(AJ40&lt;&gt;"",IF(AI40="&lt;",1,0.99),"")</f>
        <v/>
      </c>
      <c r="EQ37" s="196" t="str">
        <f t="shared" ref="EQ37" si="147">IF(AK40&lt;&gt;"",IF(AJ40="&lt;",1,0.99),"")</f>
        <v/>
      </c>
      <c r="ER37" s="196" t="str">
        <f t="shared" ref="ER37" si="148">IF(AL40&lt;&gt;"",IF(AK40="&lt;",1,0.99),"")</f>
        <v/>
      </c>
      <c r="ES37" s="196" t="str">
        <f t="shared" ref="ES37" si="149">IF(AM40&lt;&gt;"",IF(AL40="&lt;",1,0.99),"")</f>
        <v/>
      </c>
      <c r="ET37" s="196" t="str">
        <f t="shared" ref="ET37" si="150">IF(AN40&lt;&gt;"",IF(AM40="&lt;",1,0.99),"")</f>
        <v/>
      </c>
      <c r="EU37" s="196" t="str">
        <f t="shared" ref="EU37" si="151">IF(AO40&lt;&gt;"",IF(AN40="&lt;",1,0.99),"")</f>
        <v/>
      </c>
      <c r="EV37" s="196" t="str">
        <f t="shared" ref="EV37" si="152">IF(AP40&lt;&gt;"",IF(AO40="&lt;",1,0.99),"")</f>
        <v/>
      </c>
      <c r="EW37" s="196" t="str">
        <f t="shared" ref="EW37" si="153">IF(AQ40&lt;&gt;"",IF(AP40="&lt;",1,0.99),"")</f>
        <v/>
      </c>
      <c r="EX37" s="196" t="str">
        <f t="shared" ref="EX37" si="154">IF(AR40&lt;&gt;"",IF(AQ40="&lt;",1,0.99),"")</f>
        <v/>
      </c>
      <c r="EY37" s="196" t="str">
        <f t="shared" ref="EY37" si="155">IF(AS40&lt;&gt;"",IF(AR40="&lt;",1,0.99),"")</f>
        <v/>
      </c>
      <c r="EZ37" s="196" t="str">
        <f t="shared" ref="EZ37" si="156">IF(AT40&lt;&gt;"",IF(AS40="&lt;",1,0.99),"")</f>
        <v/>
      </c>
      <c r="FA37" s="196" t="str">
        <f t="shared" ref="FA37" si="157">IF(AU40&lt;&gt;"",IF(AT40="&lt;",1,0.99),"")</f>
        <v/>
      </c>
      <c r="FB37" s="196" t="str">
        <f t="shared" ref="FB37" si="158">IF(AV40&lt;&gt;"",IF(AU40="&lt;",1,0.99),"")</f>
        <v/>
      </c>
      <c r="FC37" s="196" t="str">
        <f t="shared" ref="FC37" si="159">IF(AW40&lt;&gt;"",IF(AV40="&lt;",1,0.99),"")</f>
        <v/>
      </c>
      <c r="FD37" s="196" t="str">
        <f t="shared" ref="FD37" si="160">IF(AX40&lt;&gt;"",IF(AW40="&lt;",1,0.99),"")</f>
        <v/>
      </c>
      <c r="FE37" s="210" t="str">
        <f t="shared" ref="FE37" si="161">IF(AY40&lt;&gt;"",IF(AX40="&lt;",1,0.99),"")</f>
        <v/>
      </c>
      <c r="FG37" s="212" t="str">
        <f>IF(AND($G37&lt;&gt;"",$G37&gt;0,'Outfall 1 Limits'!$AX$16="C1",I37&lt;&gt;""),I37*$G37*8.34,IF(AND($I37&lt;&gt;"",'Outfall 1 Limits'!$AX$16="L"),I37,""))</f>
        <v/>
      </c>
      <c r="FH37" s="206" t="str">
        <f>IF(AND($G37&lt;&gt;"",$G37&gt;0,'Outfall 1 Limits'!$AX$20="C1",$K37&lt;&gt;""),$K37*$G37*8.34,IF(AND($K37&lt;&gt;"",'Outfall 1 Limits'!$AX$20="L"),$K37,""))</f>
        <v/>
      </c>
      <c r="FI37" s="206" t="str">
        <f>IF(AND($G37&lt;&gt;"",$G37&gt;0,'Outfall 1 Limits'!$AX$24="C1",$M37&lt;&gt;""),$M37*$G37*8.34,IF(AND($M37&lt;&gt;"",'Outfall 1 Limits'!$AX$24="L"),$M37,""))</f>
        <v/>
      </c>
      <c r="FJ37" s="206" t="str">
        <f>IF(AND($G37&lt;&gt;"",$G37&gt;0,'Outfall 1 Limits'!$AX$28="C1",$O37&lt;&gt;""),$O37*$G37*8.34,IF(AND($O37&lt;&gt;"",'Outfall 1 Limits'!$AX$28="L"),$O37,""))</f>
        <v/>
      </c>
      <c r="FK37" s="206" t="str">
        <f>IF(AND($G37&lt;&gt;"",$G37&gt;0,'Outfall 1 Limits'!$AX$32="C1",$Q37&lt;&gt;""),$Q37*$G37*8.34,IF(AND($Q37&lt;&gt;"",'Outfall 1 Limits'!$AX$32="L"),$Q37,""))</f>
        <v/>
      </c>
      <c r="FL37" s="206" t="str">
        <f>IF(AND($G37&lt;&gt;"",$G37&gt;0,'Outfall 1 Limits'!$AX$36="C1",$S37&lt;&gt;""),$S37*$G37*8.34,IF(AND($S37&lt;&gt;"",'Outfall 1 Limits'!$AX$36="L"),$S37,""))</f>
        <v/>
      </c>
      <c r="FM37" s="206" t="str">
        <f>IF(AND($G37&lt;&gt;"",$G37&gt;0,'Outfall 1 Limits'!$AX$40="C1",$U37&lt;&gt;""),$U37*$G37*8.34,IF(AND($U37&lt;&gt;"",'Outfall 1 Limits'!$AX$40="L"),$U37,""))</f>
        <v/>
      </c>
      <c r="FN37" s="206" t="str">
        <f>IF(AND($G37&lt;&gt;"",$G37&gt;0,'Outfall 1 Limits'!$AX$44="C1",$W37&lt;&gt;""),$W37*$G37*8.34,IF(AND($W37&lt;&gt;"",'Outfall 1 Limits'!$AX$44="L"),$W37,""))</f>
        <v/>
      </c>
      <c r="FO37" s="206" t="str">
        <f>IF(AND($G37&lt;&gt;"",$G37&gt;0,'Outfall 1 Limits'!$AX$48="C1",$Y37&lt;&gt;""),$Y37*$G37*8.34,IF(AND($Y37&lt;&gt;"",'Outfall 1 Limits'!$AX$48="L"),$Y37,""))</f>
        <v/>
      </c>
      <c r="FP37" s="206" t="str">
        <f>IF(AND($G37&lt;&gt;"",$G37&gt;0,'Outfall 1 Limits'!$AX$52="C1",$AA37&lt;&gt;""),$AA37*$G37*8.34,IF(AND($AA37&lt;&gt;"",'Outfall 1 Limits'!$AX$52="L"),$AA37,""))</f>
        <v/>
      </c>
      <c r="FQ37" s="206" t="str">
        <f>IF(AND($G37&lt;&gt;"",$G37&gt;0,'Outfall 1 Limits'!$AX$56="C1",$AC37&lt;&gt;""),$AC37*$G37*8.34,IF(AND($AC37&lt;&gt;"",'Outfall 1 Limits'!$AX$56="L"),$AC37,""))</f>
        <v/>
      </c>
      <c r="FR37" s="206" t="str">
        <f>IF(AND($G37&lt;&gt;"",$G37&gt;0,'Outfall 1 Limits'!$AX$60="C1",$AE37&lt;&gt;""),$AE37*$G37*8.34,IF(AND($AE37&lt;&gt;"",'Outfall 1 Limits'!$AX$60="L"),$AE37,""))</f>
        <v/>
      </c>
      <c r="FS37" s="206" t="str">
        <f>IF(AND($G37&lt;&gt;"",$G37&gt;0,'Outfall 1 Limits'!$AX$64="C1",$AG37&lt;&gt;""),$AG37*$G37*8.34,IF(AND($AG37&lt;&gt;"",'Outfall 1 Limits'!$AX$64="L"),$AG37,""))</f>
        <v/>
      </c>
      <c r="FT37" s="206" t="str">
        <f>IF(AND($G37&lt;&gt;"",$G37&gt;0,'Outfall 1 Limits'!$AX$68="C1",$AI37&lt;&gt;""),$AI37*$G37*8.34,IF(AND($AI37&lt;&gt;"",'Outfall 1 Limits'!$AX$68="L"),$AI37,""))</f>
        <v/>
      </c>
      <c r="FU37" s="206" t="str">
        <f>IF(AND($G37&lt;&gt;"",$G37&gt;0,'Outfall 1 Limits'!$AX$72="C1",$AK37&lt;&gt;""),$AK37*$G37*8.34,IF(AND($AK37&lt;&gt;"",'Outfall 1 Limits'!$AX$72="L"),$AK37,""))</f>
        <v/>
      </c>
      <c r="FV37" s="206" t="str">
        <f>IF(AND($G37&lt;&gt;"",$G37&gt;0,'Outfall 1 Limits'!$AX$76="C1",$AM37&lt;&gt;""),$AM37*$G37*8.34,IF(AND($AM37&lt;&gt;"",'Outfall 1 Limits'!$AX$76="L"),$AM37,""))</f>
        <v/>
      </c>
      <c r="FW37" s="206" t="str">
        <f>IF(AND($G37&lt;&gt;"",$G37&gt;0,'Outfall 1 Limits'!$AX$80="C1",$AO37&lt;&gt;""),$AO37*$G37*8.34,IF(AND($AO37&lt;&gt;"",'Outfall 1 Limits'!$AX$80="L"),$AO37,""))</f>
        <v/>
      </c>
      <c r="FX37" s="206" t="str">
        <f>IF(AND($G37&lt;&gt;"",$G37&gt;0,'Outfall 1 Limits'!$AX$84="C1",$AQ37&lt;&gt;""),$AQ37*$G37*8.34,IF(AND($AQ37&lt;&gt;"",'Outfall 1 Limits'!$AX$84="L"),$AQ37,""))</f>
        <v/>
      </c>
      <c r="FY37" s="206" t="str">
        <f>IF(AND($G37&lt;&gt;"",$G37&gt;0,'Outfall 1 Limits'!$AX$88="C1",$AS37&lt;&gt;""),$AS37*$G37*8.34,IF(AND($AS37&lt;&gt;"",'Outfall 1 Limits'!$AX$88="L"),$AS37,""))</f>
        <v/>
      </c>
      <c r="FZ37" s="206" t="str">
        <f>IF(AND($G37&lt;&gt;"",$G37&gt;0,'Outfall 1 Limits'!$AX$92="C1",$AU37&lt;&gt;""),$AU37*$G37*8.34,IF(AND($AU37&lt;&gt;"",'Outfall 1 Limits'!$AX$92="L"),$AU37,""))</f>
        <v/>
      </c>
      <c r="GA37" s="206" t="str">
        <f>IF(AND($G37&lt;&gt;"",$G37&gt;0,'Outfall 1 Limits'!$AX$96="C1",$AW37&lt;&gt;""),$AW37*$G37*8.34,IF(AND($AW37&lt;&gt;"",'Outfall 1 Limits'!$AX$96="L"),$AW37,""))</f>
        <v/>
      </c>
      <c r="GB37" s="206" t="str">
        <f>IF(AND($G37&lt;&gt;"",$G37&gt;0,'Outfall 1 Limits'!$AX$100="C1",$AY37&lt;&gt;""),$AY37*$G37*8.34,IF(AND($AY37&lt;&gt;"",'Outfall 1 Limits'!$AX$100="L"),$AY37,""))</f>
        <v/>
      </c>
      <c r="GC37" s="206" t="str">
        <f>IF(AND($G37&lt;&gt;"",$G37&gt;0,'Outfall 1 Limits'!$AX$104="C1",$BA37&lt;&gt;""),$BA37*$G37*8.34,IF(AND($BA37&lt;&gt;"",'Outfall 1 Limits'!$AX$104="L"),$BA37,""))</f>
        <v/>
      </c>
      <c r="GD37" s="206" t="str">
        <f>IF(AND($G37&lt;&gt;"",$G37&gt;0,'Outfall 1 Limits'!$AX$108="C1",$BC37&lt;&gt;""),$BC37*$G37*8.34,IF(AND($BC37&lt;&gt;"",'Outfall 1 Limits'!$AX$108="L"),$BC37,""))</f>
        <v/>
      </c>
      <c r="GE37" s="206" t="str">
        <f>IF(AND($G37&lt;&gt;"",$G37&gt;0,'Outfall 1 Limits'!$AX$112="C1",$BE37&lt;&gt;""),$BE37*$G37*8.34,IF(AND($BE37&lt;&gt;"",'Outfall 1 Limits'!$AX$112="L"),$BE37,""))</f>
        <v/>
      </c>
      <c r="GF37" s="206" t="str">
        <f>IF(AND($G37&lt;&gt;"",$G37&gt;0,'Outfall 1 Limits'!$AX$116="C1",$BG37&lt;&gt;""),$BG37*$G37*8.34,IF(AND($BG37&lt;&gt;"",'Outfall 1 Limits'!$AX$116="L"),$BG37,""))</f>
        <v/>
      </c>
      <c r="GG37" s="206" t="str">
        <f>IF(AND($G37&lt;&gt;"",$G37&gt;0,'Outfall 1 Limits'!$AX$120="C1",$BI37&lt;&gt;""),$BI37*$G37*8.34,IF(AND($BI37&lt;&gt;"",'Outfall 1 Limits'!$AX$120="L"),$BI37,""))</f>
        <v/>
      </c>
      <c r="GH37" s="206" t="str">
        <f>IF(AND($G37&lt;&gt;"",$G37&gt;0,'Outfall 1 Limits'!$AX$124="C1",$BK37&lt;&gt;""),$BK37*$G37*8.34,IF(AND($BK37&lt;&gt;"",'Outfall 1 Limits'!$AX$124="L"),$BK37,""))</f>
        <v/>
      </c>
      <c r="GI37" s="223" t="str">
        <f>IF(AND($G37&lt;&gt;"",$G37&gt;0,'Outfall 1 Limits'!$AX$128="C1",$BM37&lt;&gt;""),$BM37*$G37*8.34,IF(AND($BM37&lt;&gt;"",'Outfall 1 Limits'!$AX$128="L"),$BM37,""))</f>
        <v/>
      </c>
      <c r="GJ37" s="177" t="str">
        <f t="shared" si="59"/>
        <v/>
      </c>
      <c r="GK37" s="212" t="str">
        <f>IF(AND($G37&lt;&gt;"",$G37&gt;0,'Outfall 1 Limits'!$AX$16="C1",CY37&lt;&gt;""),CY37*$G37*8.34,IF(AND(CY37&lt;&gt;"",'Outfall 1 Limits'!$AX$16="L"),CY37,""))</f>
        <v/>
      </c>
      <c r="GL37" s="206" t="str">
        <f>IF(AND($G37&lt;&gt;"",$G37&gt;0,'Outfall 1 Limits'!$AX$20="C1",CZ37&lt;&gt;""),CZ37*$G37*8.34,IF(AND(CZ37&lt;&gt;"",'Outfall 1 Limits'!$AX$20="L"),CZ37,""))</f>
        <v/>
      </c>
      <c r="GM37" s="206" t="str">
        <f>IF(AND($G37&lt;&gt;"",$G37&gt;0,'Outfall 1 Limits'!$AX$24="C1",DA37&lt;&gt;""),DA37*$G37*8.34,IF(AND(DA37&lt;&gt;"",'Outfall 1 Limits'!$AX$24="L"),DA37,""))</f>
        <v/>
      </c>
      <c r="GN37" s="206" t="str">
        <f>IF(AND($G37&lt;&gt;"",$G37&gt;0,'Outfall 1 Limits'!$AX$28="C1",DB37&lt;&gt;""),DB37*$G37*8.34,IF(AND(DB37&lt;&gt;"",'Outfall 1 Limits'!$AX$28="L"),DB37,""))</f>
        <v/>
      </c>
      <c r="GO37" s="206" t="str">
        <f>IF(AND($G37&lt;&gt;"",$G37&gt;0,'Outfall 1 Limits'!$AX$32="C1",DC37&lt;&gt;""),DC37*$G37*8.34,IF(AND(DC37&lt;&gt;"",'Outfall 1 Limits'!$AX$32="L"),DC37,""))</f>
        <v/>
      </c>
      <c r="GP37" s="206" t="str">
        <f>IF(AND($G37&lt;&gt;"",$G37&gt;0,'Outfall 1 Limits'!$AX$36="C1",DD37&lt;&gt;""),DD37*$G37*8.34,IF(AND(DD37&lt;&gt;"",'Outfall 1 Limits'!$AX$36="L"),DD37,""))</f>
        <v/>
      </c>
      <c r="GQ37" s="206" t="str">
        <f>IF(AND($G37&lt;&gt;"",$G37&gt;0,'Outfall 1 Limits'!$AX$40="C1",DE37&lt;&gt;""),DE37*$G37*8.34,IF(AND(DE37&lt;&gt;"",'Outfall 1 Limits'!$AX$40="L"),DE37,""))</f>
        <v/>
      </c>
      <c r="GR37" s="206" t="str">
        <f>IF(AND($G37&lt;&gt;"",$G37&gt;0,'Outfall 1 Limits'!$AX$44="C1",DF37&lt;&gt;""),DF37*$G37*8.34,IF(AND(DF37&lt;&gt;"",'Outfall 1 Limits'!$AX$44="L"),DF37,""))</f>
        <v/>
      </c>
      <c r="GS37" s="206" t="str">
        <f>IF(AND($G37&lt;&gt;"",$G37&gt;0,'Outfall 1 Limits'!$AX$48="C1",DG37&lt;&gt;""),DG37*$G37*8.34,IF(AND(DG37&lt;&gt;"",'Outfall 1 Limits'!$AX$48="L"),DG37,""))</f>
        <v/>
      </c>
      <c r="GT37" s="206" t="str">
        <f>IF(AND($G37&lt;&gt;"",$G37&gt;0,'Outfall 1 Limits'!$AX$52="C1",DH37&lt;&gt;""),DH37*$G37*8.34,IF(AND(DH37&lt;&gt;"",'Outfall 1 Limits'!$AX$52="L"),DH37,""))</f>
        <v/>
      </c>
      <c r="GU37" s="206" t="str">
        <f>IF(AND($G37&lt;&gt;"",$G37&gt;0,'Outfall 1 Limits'!$AX$56="C1",DI37&lt;&gt;""),DI37*$G37*8.34,IF(AND(DI37&lt;&gt;"",'Outfall 1 Limits'!$AX$56="L"),DI37,""))</f>
        <v/>
      </c>
      <c r="GV37" s="206" t="str">
        <f>IF(AND($G37&lt;&gt;"",$G37&gt;0,'Outfall 1 Limits'!$AX$60="C1",DJ37&lt;&gt;""),DJ37*$G37*8.34,IF(AND(DJ37&lt;&gt;"",'Outfall 1 Limits'!$AX$60="L"),DJ37,""))</f>
        <v/>
      </c>
      <c r="GW37" s="206" t="str">
        <f>IF(AND($G37&lt;&gt;"",$G37&gt;0,'Outfall 1 Limits'!$AX$64="C1",DK37&lt;&gt;""),DK37*$G37*8.34,IF(AND(DK37&lt;&gt;"",'Outfall 1 Limits'!$AX$64="L"),DK37,""))</f>
        <v/>
      </c>
      <c r="GX37" s="206" t="str">
        <f>IF(AND($G37&lt;&gt;"",$G37&gt;0,'Outfall 1 Limits'!$AX$68="C1",DL37&lt;&gt;""),DL37*$G37*8.34,IF(AND(DL37&lt;&gt;"",'Outfall 1 Limits'!$AX$68="L"),DL37,""))</f>
        <v/>
      </c>
      <c r="GY37" s="206" t="str">
        <f>IF(AND($G37&lt;&gt;"",$G37&gt;0,'Outfall 1 Limits'!$AX$72="C1",DM37&lt;&gt;""),DM37*$G37*8.34,IF(AND(DM37&lt;&gt;"",'Outfall 1 Limits'!$AX$72="L"),DM37,""))</f>
        <v/>
      </c>
      <c r="GZ37" s="206" t="str">
        <f>IF(AND($G37&lt;&gt;"",$G37&gt;0,'Outfall 1 Limits'!$AX$76="C1",DN37&lt;&gt;""),DN37*$G37*8.34,IF(AND(DN37&lt;&gt;"",'Outfall 1 Limits'!$AX$76="L"),DN37,""))</f>
        <v/>
      </c>
      <c r="HA37" s="206" t="str">
        <f>IF(AND($G37&lt;&gt;"",$G37&gt;0,'Outfall 1 Limits'!$AX$80="C1",DO37&lt;&gt;""),DO37*$G37*8.34,IF(AND(DO37&lt;&gt;"",'Outfall 1 Limits'!$AX$80="L"),DO37,""))</f>
        <v/>
      </c>
      <c r="HB37" s="206" t="str">
        <f>IF(AND($G37&lt;&gt;"",$G37&gt;0,'Outfall 1 Limits'!$AX$84="C1",DP37&lt;&gt;""),DP37*$G37*8.34,IF(AND(DP37&lt;&gt;"",'Outfall 1 Limits'!$AX$84="L"),DP37,""))</f>
        <v/>
      </c>
      <c r="HC37" s="206" t="str">
        <f>IF(AND($G37&lt;&gt;"",$G37&gt;0,'Outfall 1 Limits'!$AX$88="C1",DQ37&lt;&gt;""),DQ37*$G37*8.34,IF(AND(DQ37&lt;&gt;"",'Outfall 1 Limits'!$AX$88="L"),DQ37,""))</f>
        <v/>
      </c>
      <c r="HD37" s="206" t="str">
        <f>IF(AND($G37&lt;&gt;"",$G37&gt;0,'Outfall 1 Limits'!$AX$92="C1",DR37&lt;&gt;""),DR37*$G37*8.34,IF(AND(DR37&lt;&gt;"",'Outfall 1 Limits'!$AX$92="L"),DR37,""))</f>
        <v/>
      </c>
      <c r="HE37" s="206" t="str">
        <f>IF(AND($G37&lt;&gt;"",$G37&gt;0,'Outfall 1 Limits'!$AX$96="C1",DS37&lt;&gt;""),DS37*$G37*8.34,IF(AND(DS37&lt;&gt;"",'Outfall 1 Limits'!$AX$96="L"),DS37,""))</f>
        <v/>
      </c>
      <c r="HF37" s="206" t="str">
        <f>IF(AND($G37&lt;&gt;"",$G37&gt;0,'Outfall 1 Limits'!$AX$100="C1",DT37&lt;&gt;""),DT37*$G37*8.34,IF(AND(DT37&lt;&gt;"",'Outfall 1 Limits'!$AX$100="L"),DT37,""))</f>
        <v/>
      </c>
      <c r="HG37" s="206" t="str">
        <f>IF(AND($G37&lt;&gt;"",$G37&gt;0,'Outfall 1 Limits'!$AX$104="C1",DU37&lt;&gt;""),DU37*$G37*8.34,IF(AND(DU37&lt;&gt;"",'Outfall 1 Limits'!$AX$104="L"),DU37,""))</f>
        <v/>
      </c>
      <c r="HH37" s="206" t="str">
        <f>IF(AND($G37&lt;&gt;"",$G37&gt;0,'Outfall 1 Limits'!$AX$108="C1",DV37&lt;&gt;""),DV37*$G37*8.34,IF(AND(DV37&lt;&gt;"",'Outfall 1 Limits'!$AX$108="L"),DV37,""))</f>
        <v/>
      </c>
      <c r="HI37" s="206" t="str">
        <f>IF(AND($G37&lt;&gt;"",$G37&gt;0,'Outfall 1 Limits'!$AX$112="C1",DW37&lt;&gt;""),DW37*$G37*8.34,IF(AND(DW37&lt;&gt;"",'Outfall 1 Limits'!$AX$112="L"),DW37,""))</f>
        <v/>
      </c>
      <c r="HJ37" s="206" t="str">
        <f>IF(AND($G37&lt;&gt;"",$G37&gt;0,'Outfall 1 Limits'!$AX$116="C1",DX37&lt;&gt;""),DX37*$G37*8.34,IF(AND(DX37&lt;&gt;"",'Outfall 1 Limits'!$AX$116="L"),DX37,""))</f>
        <v/>
      </c>
      <c r="HK37" s="206" t="str">
        <f>IF(AND($G37&lt;&gt;"",$G37&gt;0,'Outfall 1 Limits'!$AX$120="C1",DY37&lt;&gt;""),DY37*$G37*8.34,IF(AND(DY37&lt;&gt;"",'Outfall 1 Limits'!$AX$120="L"),DY37,""))</f>
        <v/>
      </c>
      <c r="HL37" s="206" t="str">
        <f>IF(AND($G37&lt;&gt;"",$G37&gt;0,'Outfall 1 Limits'!$AX$124="C1",DZ37&lt;&gt;""),DZ37*$G37*8.34,IF(AND(DZ37&lt;&gt;"",'Outfall 1 Limits'!$AX$124="L"),DZ37,""))</f>
        <v/>
      </c>
      <c r="HM37" s="223" t="str">
        <f>IF(AND($G37&lt;&gt;"",$G37&gt;0,'Outfall 1 Limits'!$AX$128="C1",EA37&lt;&gt;""),EA37*$G37*8.34,IF(AND(EA37&lt;&gt;"",'Outfall 1 Limits'!$AX$128="L"),EA37,""))</f>
        <v/>
      </c>
      <c r="HO37" s="224" t="str">
        <f t="shared" si="60"/>
        <v/>
      </c>
      <c r="HS37" s="202" t="str">
        <f t="shared" si="61"/>
        <v/>
      </c>
      <c r="HT37" s="196" t="str">
        <f t="shared" si="62"/>
        <v/>
      </c>
      <c r="HU37" s="196" t="str">
        <f t="shared" si="63"/>
        <v/>
      </c>
      <c r="HV37" s="196" t="str">
        <f t="shared" si="64"/>
        <v/>
      </c>
      <c r="HW37" s="196" t="str">
        <f t="shared" si="65"/>
        <v/>
      </c>
      <c r="HX37" s="196" t="str">
        <f t="shared" si="66"/>
        <v/>
      </c>
      <c r="HY37" s="196" t="str">
        <f t="shared" si="67"/>
        <v/>
      </c>
      <c r="HZ37" s="196" t="str">
        <f t="shared" si="68"/>
        <v/>
      </c>
      <c r="IA37" s="196" t="str">
        <f t="shared" si="69"/>
        <v/>
      </c>
      <c r="IB37" s="196" t="str">
        <f t="shared" si="70"/>
        <v/>
      </c>
      <c r="IC37" s="196" t="str">
        <f t="shared" si="71"/>
        <v/>
      </c>
      <c r="ID37" s="196" t="str">
        <f t="shared" si="72"/>
        <v/>
      </c>
      <c r="IE37" s="196" t="str">
        <f t="shared" si="73"/>
        <v/>
      </c>
      <c r="IF37" s="196" t="str">
        <f t="shared" si="74"/>
        <v/>
      </c>
      <c r="IG37" s="196" t="str">
        <f t="shared" si="75"/>
        <v/>
      </c>
      <c r="IH37" s="196" t="str">
        <f t="shared" si="76"/>
        <v/>
      </c>
      <c r="II37" s="196" t="str">
        <f t="shared" si="77"/>
        <v/>
      </c>
      <c r="IJ37" s="196" t="str">
        <f t="shared" si="78"/>
        <v/>
      </c>
      <c r="IK37" s="196" t="str">
        <f t="shared" si="79"/>
        <v/>
      </c>
      <c r="IL37" s="196" t="str">
        <f t="shared" si="80"/>
        <v/>
      </c>
      <c r="IM37" s="196" t="str">
        <f t="shared" si="81"/>
        <v/>
      </c>
      <c r="IN37" s="196" t="str">
        <f t="shared" si="82"/>
        <v/>
      </c>
      <c r="IO37" s="196" t="str">
        <f t="shared" si="83"/>
        <v/>
      </c>
      <c r="IP37" s="196" t="str">
        <f t="shared" si="84"/>
        <v/>
      </c>
      <c r="IQ37" s="196" t="str">
        <f t="shared" si="85"/>
        <v/>
      </c>
      <c r="IR37" s="196" t="str">
        <f t="shared" si="86"/>
        <v/>
      </c>
      <c r="IS37" s="196" t="str">
        <f t="shared" si="87"/>
        <v/>
      </c>
      <c r="IT37" s="196" t="str">
        <f t="shared" si="88"/>
        <v/>
      </c>
      <c r="IU37" s="210" t="str">
        <f t="shared" si="89"/>
        <v/>
      </c>
      <c r="IX37" s="202" t="str">
        <f t="shared" si="90"/>
        <v/>
      </c>
      <c r="IY37" s="196" t="str">
        <f t="shared" si="91"/>
        <v/>
      </c>
      <c r="IZ37" s="196" t="str">
        <f t="shared" si="92"/>
        <v/>
      </c>
      <c r="JA37" s="196" t="str">
        <f t="shared" si="93"/>
        <v/>
      </c>
      <c r="JB37" s="196" t="str">
        <f t="shared" si="94"/>
        <v/>
      </c>
      <c r="JC37" s="196" t="str">
        <f t="shared" si="95"/>
        <v/>
      </c>
      <c r="JD37" s="196" t="str">
        <f t="shared" si="96"/>
        <v/>
      </c>
      <c r="JE37" s="196" t="str">
        <f t="shared" si="97"/>
        <v/>
      </c>
      <c r="JF37" s="196" t="str">
        <f t="shared" si="98"/>
        <v/>
      </c>
      <c r="JG37" s="196" t="str">
        <f t="shared" si="99"/>
        <v/>
      </c>
      <c r="JH37" s="196" t="str">
        <f t="shared" si="100"/>
        <v/>
      </c>
      <c r="JI37" s="196" t="str">
        <f t="shared" si="101"/>
        <v/>
      </c>
      <c r="JJ37" s="196" t="str">
        <f t="shared" si="102"/>
        <v/>
      </c>
      <c r="JK37" s="196" t="str">
        <f t="shared" si="103"/>
        <v/>
      </c>
      <c r="JL37" s="196" t="str">
        <f t="shared" si="104"/>
        <v/>
      </c>
      <c r="JM37" s="196" t="str">
        <f t="shared" si="105"/>
        <v/>
      </c>
      <c r="JN37" s="196" t="str">
        <f t="shared" si="106"/>
        <v/>
      </c>
      <c r="JO37" s="196" t="str">
        <f t="shared" si="107"/>
        <v/>
      </c>
      <c r="JP37" s="196" t="str">
        <f t="shared" si="108"/>
        <v/>
      </c>
      <c r="JQ37" s="196" t="str">
        <f t="shared" si="109"/>
        <v/>
      </c>
      <c r="JR37" s="196" t="str">
        <f t="shared" si="110"/>
        <v/>
      </c>
      <c r="JS37" s="196" t="str">
        <f t="shared" si="111"/>
        <v/>
      </c>
      <c r="JT37" s="196" t="str">
        <f t="shared" si="112"/>
        <v/>
      </c>
      <c r="JU37" s="196" t="str">
        <f t="shared" si="113"/>
        <v/>
      </c>
      <c r="JV37" s="196" t="str">
        <f t="shared" si="114"/>
        <v/>
      </c>
      <c r="JW37" s="196" t="str">
        <f t="shared" si="115"/>
        <v/>
      </c>
      <c r="JX37" s="196" t="str">
        <f t="shared" si="116"/>
        <v/>
      </c>
      <c r="JY37" s="196" t="str">
        <f t="shared" si="117"/>
        <v/>
      </c>
      <c r="JZ37" s="210" t="str">
        <f t="shared" si="118"/>
        <v/>
      </c>
      <c r="KA37" s="196"/>
      <c r="KB37" s="176"/>
      <c r="KC37" s="227"/>
      <c r="KD37" s="218" t="str">
        <f t="shared" si="2"/>
        <v/>
      </c>
      <c r="KE37" s="196" t="str">
        <f t="shared" si="3"/>
        <v/>
      </c>
      <c r="KF37" s="196" t="str">
        <f t="shared" si="4"/>
        <v/>
      </c>
      <c r="KG37" s="196" t="str">
        <f t="shared" si="5"/>
        <v/>
      </c>
      <c r="KH37" s="196" t="str">
        <f t="shared" si="6"/>
        <v/>
      </c>
      <c r="KI37" s="196" t="str">
        <f t="shared" si="7"/>
        <v/>
      </c>
      <c r="KJ37" s="196" t="str">
        <f t="shared" si="8"/>
        <v/>
      </c>
      <c r="KK37" s="196" t="str">
        <f t="shared" si="9"/>
        <v/>
      </c>
      <c r="KL37" s="196" t="str">
        <f t="shared" si="10"/>
        <v/>
      </c>
      <c r="KM37" s="196" t="str">
        <f t="shared" si="11"/>
        <v/>
      </c>
      <c r="KN37" s="196" t="str">
        <f t="shared" si="12"/>
        <v/>
      </c>
      <c r="KO37" s="196" t="str">
        <f t="shared" si="13"/>
        <v/>
      </c>
      <c r="KP37" s="196" t="str">
        <f t="shared" si="14"/>
        <v/>
      </c>
      <c r="KQ37" s="196" t="str">
        <f t="shared" si="15"/>
        <v/>
      </c>
      <c r="KR37" s="196" t="str">
        <f t="shared" si="16"/>
        <v/>
      </c>
      <c r="KS37" s="196" t="str">
        <f t="shared" si="17"/>
        <v/>
      </c>
      <c r="KT37" s="196" t="str">
        <f t="shared" si="18"/>
        <v/>
      </c>
      <c r="KU37" s="196" t="str">
        <f t="shared" si="19"/>
        <v/>
      </c>
      <c r="KV37" s="196" t="str">
        <f t="shared" si="20"/>
        <v/>
      </c>
      <c r="KW37" s="196" t="str">
        <f t="shared" si="21"/>
        <v/>
      </c>
      <c r="KX37" s="196" t="str">
        <f t="shared" si="22"/>
        <v/>
      </c>
      <c r="KY37" s="196" t="str">
        <f t="shared" si="23"/>
        <v/>
      </c>
      <c r="KZ37" s="196" t="str">
        <f t="shared" si="24"/>
        <v/>
      </c>
      <c r="LA37" s="196" t="str">
        <f t="shared" si="25"/>
        <v/>
      </c>
      <c r="LB37" s="196" t="str">
        <f t="shared" si="26"/>
        <v/>
      </c>
      <c r="LC37" s="196" t="str">
        <f t="shared" si="27"/>
        <v/>
      </c>
      <c r="LD37" s="196" t="str">
        <f t="shared" si="28"/>
        <v/>
      </c>
      <c r="LE37" s="196" t="str">
        <f t="shared" si="29"/>
        <v/>
      </c>
      <c r="LF37" s="226" t="str">
        <f t="shared" si="30"/>
        <v/>
      </c>
    </row>
    <row r="38" spans="1:318" s="172" customFormat="1" ht="11.45" customHeight="1" x14ac:dyDescent="0.2">
      <c r="A38" s="35"/>
      <c r="B38" s="54">
        <v>4</v>
      </c>
      <c r="C38" s="438">
        <f t="shared" si="0"/>
        <v>45312</v>
      </c>
      <c r="D38" s="438"/>
      <c r="E38" s="430">
        <f t="shared" si="119"/>
        <v>45312</v>
      </c>
      <c r="F38" s="431"/>
      <c r="G38" s="26"/>
      <c r="H38" s="51"/>
      <c r="I38" s="50"/>
      <c r="J38" s="51"/>
      <c r="K38" s="50"/>
      <c r="L38" s="51"/>
      <c r="M38" s="50"/>
      <c r="N38" s="51"/>
      <c r="O38" s="50"/>
      <c r="P38" s="51"/>
      <c r="Q38" s="50"/>
      <c r="R38" s="51"/>
      <c r="S38" s="50"/>
      <c r="T38" s="51"/>
      <c r="U38" s="50"/>
      <c r="V38" s="51"/>
      <c r="W38" s="50"/>
      <c r="X38" s="276"/>
      <c r="Y38" s="50"/>
      <c r="Z38" s="51"/>
      <c r="AA38" s="50"/>
      <c r="AB38" s="51"/>
      <c r="AC38" s="50"/>
      <c r="AD38" s="51"/>
      <c r="AE38" s="50"/>
      <c r="AF38" s="51"/>
      <c r="AG38" s="50"/>
      <c r="AH38" s="51"/>
      <c r="AI38" s="50"/>
      <c r="AJ38" s="51"/>
      <c r="AK38" s="50"/>
      <c r="AL38" s="51"/>
      <c r="AM38" s="50"/>
      <c r="AN38" s="51"/>
      <c r="AO38" s="50"/>
      <c r="AP38" s="51"/>
      <c r="AQ38" s="50"/>
      <c r="AR38" s="51"/>
      <c r="AS38" s="50"/>
      <c r="AT38" s="51"/>
      <c r="AU38" s="50"/>
      <c r="AV38" s="51"/>
      <c r="AW38" s="50"/>
      <c r="AX38" s="51"/>
      <c r="AY38" s="50"/>
      <c r="AZ38" s="51"/>
      <c r="BA38" s="50"/>
      <c r="BB38" s="51"/>
      <c r="BC38" s="50"/>
      <c r="BD38" s="51"/>
      <c r="BE38" s="50"/>
      <c r="BF38" s="51"/>
      <c r="BG38" s="50"/>
      <c r="BH38" s="51"/>
      <c r="BI38" s="50"/>
      <c r="BJ38" s="51"/>
      <c r="BK38" s="50"/>
      <c r="BL38" s="51"/>
      <c r="BM38" s="109"/>
      <c r="BO38" s="174"/>
      <c r="BP38" s="174">
        <v>2057</v>
      </c>
      <c r="BQ38" s="179" t="s">
        <v>52</v>
      </c>
      <c r="BR38" s="174"/>
      <c r="BS38" s="174" t="s">
        <v>1104</v>
      </c>
      <c r="BU38" s="202" t="str">
        <f t="shared" si="31"/>
        <v/>
      </c>
      <c r="BV38" s="196" t="str">
        <f t="shared" si="32"/>
        <v/>
      </c>
      <c r="BW38" s="196" t="str">
        <f t="shared" si="33"/>
        <v/>
      </c>
      <c r="BX38" s="196" t="str">
        <f t="shared" si="34"/>
        <v/>
      </c>
      <c r="BY38" s="196" t="str">
        <f t="shared" si="35"/>
        <v/>
      </c>
      <c r="BZ38" s="196" t="str">
        <f t="shared" si="36"/>
        <v/>
      </c>
      <c r="CA38" s="196" t="str">
        <f t="shared" si="37"/>
        <v/>
      </c>
      <c r="CB38" s="196" t="str">
        <f t="shared" si="38"/>
        <v/>
      </c>
      <c r="CC38" s="196" t="str">
        <f t="shared" si="39"/>
        <v/>
      </c>
      <c r="CD38" s="196" t="str">
        <f t="shared" si="40"/>
        <v/>
      </c>
      <c r="CE38" s="196" t="str">
        <f t="shared" si="41"/>
        <v/>
      </c>
      <c r="CF38" s="196" t="str">
        <f t="shared" si="42"/>
        <v/>
      </c>
      <c r="CG38" s="196" t="str">
        <f t="shared" si="43"/>
        <v/>
      </c>
      <c r="CH38" s="196" t="str">
        <f t="shared" si="44"/>
        <v/>
      </c>
      <c r="CI38" s="196" t="str">
        <f t="shared" si="45"/>
        <v/>
      </c>
      <c r="CJ38" s="196" t="str">
        <f t="shared" si="46"/>
        <v/>
      </c>
      <c r="CK38" s="196" t="str">
        <f t="shared" si="47"/>
        <v/>
      </c>
      <c r="CL38" s="196" t="str">
        <f t="shared" si="48"/>
        <v/>
      </c>
      <c r="CM38" s="196" t="str">
        <f t="shared" si="120"/>
        <v/>
      </c>
      <c r="CN38" s="196" t="str">
        <f t="shared" si="49"/>
        <v/>
      </c>
      <c r="CO38" s="196" t="str">
        <f t="shared" si="50"/>
        <v/>
      </c>
      <c r="CP38" s="196" t="str">
        <f t="shared" si="51"/>
        <v/>
      </c>
      <c r="CQ38" s="196" t="str">
        <f t="shared" si="52"/>
        <v/>
      </c>
      <c r="CR38" s="196" t="str">
        <f t="shared" si="53"/>
        <v/>
      </c>
      <c r="CS38" s="196" t="str">
        <f t="shared" si="54"/>
        <v/>
      </c>
      <c r="CT38" s="196" t="str">
        <f t="shared" si="55"/>
        <v/>
      </c>
      <c r="CU38" s="196" t="str">
        <f t="shared" si="56"/>
        <v/>
      </c>
      <c r="CV38" s="196" t="str">
        <f t="shared" si="57"/>
        <v/>
      </c>
      <c r="CW38" s="210" t="str">
        <f t="shared" si="58"/>
        <v/>
      </c>
      <c r="CY38" s="212" t="str">
        <f>IF(I38&lt;&gt;"",IF(H38="&lt;",IF(AND('Outfall 1 Limits'!$AM$16="Y",$BU$54&lt;&gt;"Y",I38&lt;='Outfall 1 Limits'!$AL$16),0,(1*I38)),I38),"")</f>
        <v/>
      </c>
      <c r="CZ38" s="206" t="str">
        <f>IF(K38&lt;&gt;"",IF(J38="&lt;",IF(AND('Outfall 1 Limits'!$AM$20="Y",$BV$54&lt;&gt;"Y",K38&lt;='Outfall 1 Limits'!$AL$20),0,(1*K38)),K38),"")</f>
        <v/>
      </c>
      <c r="DA38" s="206" t="str">
        <f>IF(M38&lt;&gt;"",IF(L38="&lt;",IF(AND('Outfall 1 Limits'!$AM$24="Y",$BW$54&lt;&gt;"Y",M38&lt;='Outfall 1 Limits'!$AL$24),0,(1*M38)),M38),"")</f>
        <v/>
      </c>
      <c r="DB38" s="206" t="str">
        <f>IF(O38&lt;&gt;"",IF(N38="&lt;",IF(AND('Outfall 1 Limits'!$AM$28="Y",$BX$54&lt;&gt;"Y",O38&lt;='Outfall 1 Limits'!$AL$28),0,(1*O38)),O38),"")</f>
        <v/>
      </c>
      <c r="DC38" s="206" t="str">
        <f>IF(Q38&lt;&gt;"",IF(P38="&lt;",IF(AND('Outfall 1 Limits'!$AM$32="Y",$BY$54&lt;&gt;"Y",Q38&lt;='Outfall 1 Limits'!$AL$32),0,(1*Q38)),Q38),"")</f>
        <v/>
      </c>
      <c r="DD38" s="206" t="str">
        <f>IF(S38&lt;&gt;"",IF(R38="&lt;",IF(AND('Outfall 1 Limits'!$AM$36="Y",$BZ$54&lt;&gt;"Y",S38&lt;='Outfall 1 Limits'!$AL$36),0,(1*S38)),S38),"")</f>
        <v/>
      </c>
      <c r="DE38" s="206" t="str">
        <f>IF(U38&lt;&gt;"",IF(T38="&lt;",IF(AND('Outfall 1 Limits'!$AM$40="Y",$CA$54&lt;&gt;"Y",U38&lt;='Outfall 1 Limits'!$AL$40),0,(1*U38)),U38),"")</f>
        <v/>
      </c>
      <c r="DF38" s="206" t="str">
        <f>IF(W38&lt;&gt;"",IF(V38="&lt;",IF(AND('Outfall 1 Limits'!$AM$44="Y",$CB$54&lt;&gt;"Y",W38&lt;='Outfall 1 Limits'!$AL$44),0,(1*W38)),W38),"")</f>
        <v/>
      </c>
      <c r="DG38" s="206" t="str">
        <f>IF(Y38&lt;&gt;"",IF(X38="&lt;",IF(AND('Outfall 1 Limits'!$AM$48="Y",$CC$54&lt;&gt;"Y",Y38&lt;='Outfall 1 Limits'!$AL$48),0,(1*Y38)),Y38),"")</f>
        <v/>
      </c>
      <c r="DH38" s="206" t="str">
        <f>IF(AA38&lt;&gt;"",IF(Z38="&lt;",IF(AND('Outfall 1 Limits'!$AM$52="Y",$CD$54&lt;&gt;"Y",AA38&lt;='Outfall 1 Limits'!$AL$52),0,(1*AA38)),AA38),"")</f>
        <v/>
      </c>
      <c r="DI38" s="206" t="str">
        <f>IF(AC38&lt;&gt;"",IF(AB38="&lt;",IF(AND('Outfall 1 Limits'!$AM$56="Y",$CE$54&lt;&gt;"Y",AC38&lt;='Outfall 1 Limits'!$AL$56),0,(1*AC38)),AC38),"")</f>
        <v/>
      </c>
      <c r="DJ38" s="206" t="str">
        <f>IF(AE38&lt;&gt;"",IF(AD38="&lt;",IF(AND('Outfall 1 Limits'!$AM$60="Y",$CF$54&lt;&gt;"Y",AE38&lt;='Outfall 1 Limits'!$AL$60),0,(1*AE38)),AE38),"")</f>
        <v/>
      </c>
      <c r="DK38" s="206" t="str">
        <f>IF(AG38&lt;&gt;"",IF(AF38="&lt;",IF(AND('Outfall 1 Limits'!$AM$64="Y",$CG$54&lt;&gt;"Y",AG38&lt;='Outfall 1 Limits'!$AL$64),0,(1*AG38)),AG38),"")</f>
        <v/>
      </c>
      <c r="DL38" s="206" t="str">
        <f>IF(AI38&lt;&gt;"",IF(AH38="&lt;",IF(AND('Outfall 1 Limits'!$AM$68="Y",$CH$54&lt;&gt;"Y",AI38&lt;='Outfall 1 Limits'!$AL$68),0,(1*AI38)),AI38),"")</f>
        <v/>
      </c>
      <c r="DM38" s="206" t="str">
        <f>IF(AK38&lt;&gt;"",IF(AJ38="&lt;",IF(AND('Outfall 1 Limits'!$AM$72="Y",$CI$54&lt;&gt;"Y",AK38&lt;='Outfall 1 Limits'!$AL$72),0,(1*AK38)),AK38),"")</f>
        <v/>
      </c>
      <c r="DN38" s="206" t="str">
        <f>IF(AM38&lt;&gt;"",IF(AL38="&lt;",IF(AND('Outfall 1 Limits'!$AM$76="Y",$CJ$54&lt;&gt;"Y",AM38&lt;='Outfall 1 Limits'!$AL$76),0,(1*AM38)),AM38),"")</f>
        <v/>
      </c>
      <c r="DO38" s="206" t="str">
        <f>IF(AO38&lt;&gt;"",IF(AN38="&lt;",IF(AND('Outfall 1 Limits'!$AM$80="Y",$CK$54&lt;&gt;"Y",AO38&lt;='Outfall 1 Limits'!$AL$80),0,(1*AO38)),AO38),"")</f>
        <v/>
      </c>
      <c r="DP38" s="206" t="str">
        <f>IF(AQ38&lt;&gt;"",IF(AP38="&lt;",IF(AND('Outfall 1 Limits'!$AM$84="Y",$CL$54&lt;&gt;"Y",AQ38&lt;='Outfall 1 Limits'!$AL$84),0,(1*AQ38)),AQ38),"")</f>
        <v/>
      </c>
      <c r="DQ38" s="206" t="str">
        <f>IF(AS38&lt;&gt;"",IF(AR38="&lt;",IF(AND('Outfall 1 Limits'!$AM$88="Y",$CM$54&lt;&gt;"Y",AS38&lt;='Outfall 1 Limits'!$AL$88),0,(1*AS38)),AS38),"")</f>
        <v/>
      </c>
      <c r="DR38" s="206" t="str">
        <f>IF(AU38&lt;&gt;"",IF(AT38="&lt;",IF(AND('Outfall 1 Limits'!$AM$92="Y",$CN$54&lt;&gt;"Y",AU38&lt;='Outfall 1 Limits'!$AL$92),0,(1*AU38)),AU38),"")</f>
        <v/>
      </c>
      <c r="DS38" s="206" t="str">
        <f>IF(AW38&lt;&gt;"",IF(AV38="&lt;",IF(AND('Outfall 1 Limits'!$AM$96="Y",$CO$54&lt;&gt;"Y",AW38&lt;='Outfall 1 Limits'!$AL$96),0,(1*AW38)),AW38),"")</f>
        <v/>
      </c>
      <c r="DT38" s="206" t="str">
        <f>IF(AY38&lt;&gt;"",IF(AX38="&lt;",IF(AND('Outfall 1 Limits'!$AM$100="Y",$CP$54&lt;&gt;"Y",AY38&lt;='Outfall 1 Limits'!$AL$100),0,(1*AY38)),AY38),"")</f>
        <v/>
      </c>
      <c r="DU38" s="206" t="str">
        <f>IF(BA38&lt;&gt;"",IF(AZ38="&lt;",IF(AND('Outfall 1 Limits'!$AM$104="Y",$CQ$54&lt;&gt;"Y",BA38&lt;='Outfall 1 Limits'!$AL$104),0,(1*BA38)),BA38),"")</f>
        <v/>
      </c>
      <c r="DV38" s="206" t="str">
        <f>IF(BC38&lt;&gt;"",IF(BB38="&lt;",IF(AND('Outfall 1 Limits'!$AM$108="Y",$CR$54&lt;&gt;"Y",BC38&lt;='Outfall 1 Limits'!$AL$108),0,(1*BC38)),BC38),"")</f>
        <v/>
      </c>
      <c r="DW38" s="206" t="str">
        <f>IF(BE38&lt;&gt;"",IF(BD38="&lt;",IF(AND('Outfall 1 Limits'!$AM$112="Y",$CS$54&lt;&gt;"Y",BE38&lt;='Outfall 1 Limits'!$AL$112),0,(1*BE38)),BE38),"")</f>
        <v/>
      </c>
      <c r="DX38" s="206" t="str">
        <f>IF(BG38&lt;&gt;"",IF(BF38="&lt;",IF(AND('Outfall 1 Limits'!$AM$116="Y",$CT$54&lt;&gt;"Y",BG38&lt;='Outfall 1 Limits'!$AL$116),0,(1*BG38)),BG38),"")</f>
        <v/>
      </c>
      <c r="DY38" s="206" t="str">
        <f>IF(BI38&lt;&gt;"",IF(BH38="&lt;",IF(AND('Outfall 1 Limits'!$AM$120="Y",$CU$54&lt;&gt;"Y",BI38&lt;='Outfall 1 Limits'!$AL$120),0,(1*BI38)),BI38),"")</f>
        <v/>
      </c>
      <c r="DZ38" s="206" t="str">
        <f>IF(BK38&lt;&gt;"",IF(BJ38="&lt;",IF(AND('Outfall 1 Limits'!$AM$124="Y",$CV$54&lt;&gt;"Y",BK38&lt;='Outfall 1 Limits'!$AL$124),0,(1*BK38)),BK38),"")</f>
        <v/>
      </c>
      <c r="EA38" s="223" t="str">
        <f>IF(BM38&lt;&gt;"",IF(BL38="&lt;",IF(AND('Outfall 1 Limits'!$AM$128="Y",$CW$54&lt;&gt;"Y",BM38&lt;='Outfall 1 Limits'!$AL$128),0,(1*BM38)),BM38),"")</f>
        <v/>
      </c>
      <c r="EB38" s="209" t="s">
        <v>1141</v>
      </c>
      <c r="EC38" s="231" t="str">
        <f>IF(EC31&lt;&gt;"",IF(BU58="Y",EC31-0.1,EC31),"")</f>
        <v/>
      </c>
      <c r="ED38" s="232" t="str">
        <f t="shared" ref="ED38:FE38" si="162">IF(ED31&lt;&gt;"",IF(BV58="Y",ED31-0.1,ED31),"")</f>
        <v/>
      </c>
      <c r="EE38" s="232" t="str">
        <f t="shared" si="162"/>
        <v/>
      </c>
      <c r="EF38" s="232" t="str">
        <f t="shared" si="162"/>
        <v/>
      </c>
      <c r="EG38" s="232" t="str">
        <f t="shared" si="162"/>
        <v/>
      </c>
      <c r="EH38" s="232" t="str">
        <f t="shared" si="162"/>
        <v/>
      </c>
      <c r="EI38" s="232" t="str">
        <f t="shared" si="162"/>
        <v/>
      </c>
      <c r="EJ38" s="232" t="str">
        <f t="shared" si="162"/>
        <v/>
      </c>
      <c r="EK38" s="232" t="str">
        <f t="shared" si="162"/>
        <v/>
      </c>
      <c r="EL38" s="232" t="str">
        <f t="shared" si="162"/>
        <v/>
      </c>
      <c r="EM38" s="232" t="str">
        <f t="shared" si="162"/>
        <v/>
      </c>
      <c r="EN38" s="232" t="str">
        <f t="shared" si="162"/>
        <v/>
      </c>
      <c r="EO38" s="232" t="str">
        <f t="shared" si="162"/>
        <v/>
      </c>
      <c r="EP38" s="232" t="str">
        <f t="shared" si="162"/>
        <v/>
      </c>
      <c r="EQ38" s="232" t="str">
        <f t="shared" si="162"/>
        <v/>
      </c>
      <c r="ER38" s="232" t="str">
        <f t="shared" si="162"/>
        <v/>
      </c>
      <c r="ES38" s="232" t="str">
        <f t="shared" si="162"/>
        <v/>
      </c>
      <c r="ET38" s="232" t="str">
        <f t="shared" si="162"/>
        <v/>
      </c>
      <c r="EU38" s="232" t="str">
        <f t="shared" si="162"/>
        <v/>
      </c>
      <c r="EV38" s="232" t="str">
        <f t="shared" si="162"/>
        <v/>
      </c>
      <c r="EW38" s="232" t="str">
        <f t="shared" si="162"/>
        <v/>
      </c>
      <c r="EX38" s="232" t="str">
        <f t="shared" si="162"/>
        <v/>
      </c>
      <c r="EY38" s="232" t="str">
        <f t="shared" si="162"/>
        <v/>
      </c>
      <c r="EZ38" s="232" t="str">
        <f t="shared" si="162"/>
        <v/>
      </c>
      <c r="FA38" s="232" t="str">
        <f t="shared" si="162"/>
        <v/>
      </c>
      <c r="FB38" s="232" t="str">
        <f t="shared" si="162"/>
        <v/>
      </c>
      <c r="FC38" s="232" t="str">
        <f t="shared" si="162"/>
        <v/>
      </c>
      <c r="FD38" s="232" t="str">
        <f t="shared" si="162"/>
        <v/>
      </c>
      <c r="FE38" s="233" t="str">
        <f t="shared" si="162"/>
        <v/>
      </c>
      <c r="FG38" s="212" t="str">
        <f>IF(AND($G38&lt;&gt;"",$G38&gt;0,'Outfall 1 Limits'!$AX$16="C1",I38&lt;&gt;""),I38*$G38*8.34,IF(AND($I38&lt;&gt;"",'Outfall 1 Limits'!$AX$16="L"),I38,""))</f>
        <v/>
      </c>
      <c r="FH38" s="206" t="str">
        <f>IF(AND($G38&lt;&gt;"",$G38&gt;0,'Outfall 1 Limits'!$AX$20="C1",$K38&lt;&gt;""),$K38*$G38*8.34,IF(AND($K38&lt;&gt;"",'Outfall 1 Limits'!$AX$20="L"),$K38,""))</f>
        <v/>
      </c>
      <c r="FI38" s="206" t="str">
        <f>IF(AND($G38&lt;&gt;"",$G38&gt;0,'Outfall 1 Limits'!$AX$24="C1",$M38&lt;&gt;""),$M38*$G38*8.34,IF(AND($M38&lt;&gt;"",'Outfall 1 Limits'!$AX$24="L"),$M38,""))</f>
        <v/>
      </c>
      <c r="FJ38" s="206" t="str">
        <f>IF(AND($G38&lt;&gt;"",$G38&gt;0,'Outfall 1 Limits'!$AX$28="C1",$O38&lt;&gt;""),$O38*$G38*8.34,IF(AND($O38&lt;&gt;"",'Outfall 1 Limits'!$AX$28="L"),$O38,""))</f>
        <v/>
      </c>
      <c r="FK38" s="206" t="str">
        <f>IF(AND($G38&lt;&gt;"",$G38&gt;0,'Outfall 1 Limits'!$AX$32="C1",$Q38&lt;&gt;""),$Q38*$G38*8.34,IF(AND($Q38&lt;&gt;"",'Outfall 1 Limits'!$AX$32="L"),$Q38,""))</f>
        <v/>
      </c>
      <c r="FL38" s="206" t="str">
        <f>IF(AND($G38&lt;&gt;"",$G38&gt;0,'Outfall 1 Limits'!$AX$36="C1",$S38&lt;&gt;""),$S38*$G38*8.34,IF(AND($S38&lt;&gt;"",'Outfall 1 Limits'!$AX$36="L"),$S38,""))</f>
        <v/>
      </c>
      <c r="FM38" s="206" t="str">
        <f>IF(AND($G38&lt;&gt;"",$G38&gt;0,'Outfall 1 Limits'!$AX$40="C1",$U38&lt;&gt;""),$U38*$G38*8.34,IF(AND($U38&lt;&gt;"",'Outfall 1 Limits'!$AX$40="L"),$U38,""))</f>
        <v/>
      </c>
      <c r="FN38" s="206" t="str">
        <f>IF(AND($G38&lt;&gt;"",$G38&gt;0,'Outfall 1 Limits'!$AX$44="C1",$W38&lt;&gt;""),$W38*$G38*8.34,IF(AND($W38&lt;&gt;"",'Outfall 1 Limits'!$AX$44="L"),$W38,""))</f>
        <v/>
      </c>
      <c r="FO38" s="206" t="str">
        <f>IF(AND($G38&lt;&gt;"",$G38&gt;0,'Outfall 1 Limits'!$AX$48="C1",$Y38&lt;&gt;""),$Y38*$G38*8.34,IF(AND($Y38&lt;&gt;"",'Outfall 1 Limits'!$AX$48="L"),$Y38,""))</f>
        <v/>
      </c>
      <c r="FP38" s="206" t="str">
        <f>IF(AND($G38&lt;&gt;"",$G38&gt;0,'Outfall 1 Limits'!$AX$52="C1",$AA38&lt;&gt;""),$AA38*$G38*8.34,IF(AND($AA38&lt;&gt;"",'Outfall 1 Limits'!$AX$52="L"),$AA38,""))</f>
        <v/>
      </c>
      <c r="FQ38" s="206" t="str">
        <f>IF(AND($G38&lt;&gt;"",$G38&gt;0,'Outfall 1 Limits'!$AX$56="C1",$AC38&lt;&gt;""),$AC38*$G38*8.34,IF(AND($AC38&lt;&gt;"",'Outfall 1 Limits'!$AX$56="L"),$AC38,""))</f>
        <v/>
      </c>
      <c r="FR38" s="206" t="str">
        <f>IF(AND($G38&lt;&gt;"",$G38&gt;0,'Outfall 1 Limits'!$AX$60="C1",$AE38&lt;&gt;""),$AE38*$G38*8.34,IF(AND($AE38&lt;&gt;"",'Outfall 1 Limits'!$AX$60="L"),$AE38,""))</f>
        <v/>
      </c>
      <c r="FS38" s="206" t="str">
        <f>IF(AND($G38&lt;&gt;"",$G38&gt;0,'Outfall 1 Limits'!$AX$64="C1",$AG38&lt;&gt;""),$AG38*$G38*8.34,IF(AND($AG38&lt;&gt;"",'Outfall 1 Limits'!$AX$64="L"),$AG38,""))</f>
        <v/>
      </c>
      <c r="FT38" s="206" t="str">
        <f>IF(AND($G38&lt;&gt;"",$G38&gt;0,'Outfall 1 Limits'!$AX$68="C1",$AI38&lt;&gt;""),$AI38*$G38*8.34,IF(AND($AI38&lt;&gt;"",'Outfall 1 Limits'!$AX$68="L"),$AI38,""))</f>
        <v/>
      </c>
      <c r="FU38" s="206" t="str">
        <f>IF(AND($G38&lt;&gt;"",$G38&gt;0,'Outfall 1 Limits'!$AX$72="C1",$AK38&lt;&gt;""),$AK38*$G38*8.34,IF(AND($AK38&lt;&gt;"",'Outfall 1 Limits'!$AX$72="L"),$AK38,""))</f>
        <v/>
      </c>
      <c r="FV38" s="206" t="str">
        <f>IF(AND($G38&lt;&gt;"",$G38&gt;0,'Outfall 1 Limits'!$AX$76="C1",$AM38&lt;&gt;""),$AM38*$G38*8.34,IF(AND($AM38&lt;&gt;"",'Outfall 1 Limits'!$AX$76="L"),$AM38,""))</f>
        <v/>
      </c>
      <c r="FW38" s="206" t="str">
        <f>IF(AND($G38&lt;&gt;"",$G38&gt;0,'Outfall 1 Limits'!$AX$80="C1",$AO38&lt;&gt;""),$AO38*$G38*8.34,IF(AND($AO38&lt;&gt;"",'Outfall 1 Limits'!$AX$80="L"),$AO38,""))</f>
        <v/>
      </c>
      <c r="FX38" s="206" t="str">
        <f>IF(AND($G38&lt;&gt;"",$G38&gt;0,'Outfall 1 Limits'!$AX$84="C1",$AQ38&lt;&gt;""),$AQ38*$G38*8.34,IF(AND($AQ38&lt;&gt;"",'Outfall 1 Limits'!$AX$84="L"),$AQ38,""))</f>
        <v/>
      </c>
      <c r="FY38" s="206" t="str">
        <f>IF(AND($G38&lt;&gt;"",$G38&gt;0,'Outfall 1 Limits'!$AX$88="C1",$AS38&lt;&gt;""),$AS38*$G38*8.34,IF(AND($AS38&lt;&gt;"",'Outfall 1 Limits'!$AX$88="L"),$AS38,""))</f>
        <v/>
      </c>
      <c r="FZ38" s="206" t="str">
        <f>IF(AND($G38&lt;&gt;"",$G38&gt;0,'Outfall 1 Limits'!$AX$92="C1",$AU38&lt;&gt;""),$AU38*$G38*8.34,IF(AND($AU38&lt;&gt;"",'Outfall 1 Limits'!$AX$92="L"),$AU38,""))</f>
        <v/>
      </c>
      <c r="GA38" s="206" t="str">
        <f>IF(AND($G38&lt;&gt;"",$G38&gt;0,'Outfall 1 Limits'!$AX$96="C1",$AW38&lt;&gt;""),$AW38*$G38*8.34,IF(AND($AW38&lt;&gt;"",'Outfall 1 Limits'!$AX$96="L"),$AW38,""))</f>
        <v/>
      </c>
      <c r="GB38" s="206" t="str">
        <f>IF(AND($G38&lt;&gt;"",$G38&gt;0,'Outfall 1 Limits'!$AX$100="C1",$AY38&lt;&gt;""),$AY38*$G38*8.34,IF(AND($AY38&lt;&gt;"",'Outfall 1 Limits'!$AX$100="L"),$AY38,""))</f>
        <v/>
      </c>
      <c r="GC38" s="206" t="str">
        <f>IF(AND($G38&lt;&gt;"",$G38&gt;0,'Outfall 1 Limits'!$AX$104="C1",$BA38&lt;&gt;""),$BA38*$G38*8.34,IF(AND($BA38&lt;&gt;"",'Outfall 1 Limits'!$AX$104="L"),$BA38,""))</f>
        <v/>
      </c>
      <c r="GD38" s="206" t="str">
        <f>IF(AND($G38&lt;&gt;"",$G38&gt;0,'Outfall 1 Limits'!$AX$108="C1",$BC38&lt;&gt;""),$BC38*$G38*8.34,IF(AND($BC38&lt;&gt;"",'Outfall 1 Limits'!$AX$108="L"),$BC38,""))</f>
        <v/>
      </c>
      <c r="GE38" s="206" t="str">
        <f>IF(AND($G38&lt;&gt;"",$G38&gt;0,'Outfall 1 Limits'!$AX$112="C1",$BE38&lt;&gt;""),$BE38*$G38*8.34,IF(AND($BE38&lt;&gt;"",'Outfall 1 Limits'!$AX$112="L"),$BE38,""))</f>
        <v/>
      </c>
      <c r="GF38" s="206" t="str">
        <f>IF(AND($G38&lt;&gt;"",$G38&gt;0,'Outfall 1 Limits'!$AX$116="C1",$BG38&lt;&gt;""),$BG38*$G38*8.34,IF(AND($BG38&lt;&gt;"",'Outfall 1 Limits'!$AX$116="L"),$BG38,""))</f>
        <v/>
      </c>
      <c r="GG38" s="206" t="str">
        <f>IF(AND($G38&lt;&gt;"",$G38&gt;0,'Outfall 1 Limits'!$AX$120="C1",$BI38&lt;&gt;""),$BI38*$G38*8.34,IF(AND($BI38&lt;&gt;"",'Outfall 1 Limits'!$AX$120="L"),$BI38,""))</f>
        <v/>
      </c>
      <c r="GH38" s="206" t="str">
        <f>IF(AND($G38&lt;&gt;"",$G38&gt;0,'Outfall 1 Limits'!$AX$124="C1",$BK38&lt;&gt;""),$BK38*$G38*8.34,IF(AND($BK38&lt;&gt;"",'Outfall 1 Limits'!$AX$124="L"),$BK38,""))</f>
        <v/>
      </c>
      <c r="GI38" s="223" t="str">
        <f>IF(AND($G38&lt;&gt;"",$G38&gt;0,'Outfall 1 Limits'!$AX$128="C1",$BM38&lt;&gt;""),$BM38*$G38*8.34,IF(AND($BM38&lt;&gt;"",'Outfall 1 Limits'!$AX$128="L"),$BM38,""))</f>
        <v/>
      </c>
      <c r="GJ38" s="177" t="str">
        <f t="shared" si="59"/>
        <v/>
      </c>
      <c r="GK38" s="212" t="str">
        <f>IF(AND($G38&lt;&gt;"",$G38&gt;0,'Outfall 1 Limits'!$AX$16="C1",CY38&lt;&gt;""),CY38*$G38*8.34,IF(AND(CY38&lt;&gt;"",'Outfall 1 Limits'!$AX$16="L"),CY38,""))</f>
        <v/>
      </c>
      <c r="GL38" s="206" t="str">
        <f>IF(AND($G38&lt;&gt;"",$G38&gt;0,'Outfall 1 Limits'!$AX$20="C1",CZ38&lt;&gt;""),CZ38*$G38*8.34,IF(AND(CZ38&lt;&gt;"",'Outfall 1 Limits'!$AX$20="L"),CZ38,""))</f>
        <v/>
      </c>
      <c r="GM38" s="206" t="str">
        <f>IF(AND($G38&lt;&gt;"",$G38&gt;0,'Outfall 1 Limits'!$AX$24="C1",DA38&lt;&gt;""),DA38*$G38*8.34,IF(AND(DA38&lt;&gt;"",'Outfall 1 Limits'!$AX$24="L"),DA38,""))</f>
        <v/>
      </c>
      <c r="GN38" s="206" t="str">
        <f>IF(AND($G38&lt;&gt;"",$G38&gt;0,'Outfall 1 Limits'!$AX$28="C1",DB38&lt;&gt;""),DB38*$G38*8.34,IF(AND(DB38&lt;&gt;"",'Outfall 1 Limits'!$AX$28="L"),DB38,""))</f>
        <v/>
      </c>
      <c r="GO38" s="206" t="str">
        <f>IF(AND($G38&lt;&gt;"",$G38&gt;0,'Outfall 1 Limits'!$AX$32="C1",DC38&lt;&gt;""),DC38*$G38*8.34,IF(AND(DC38&lt;&gt;"",'Outfall 1 Limits'!$AX$32="L"),DC38,""))</f>
        <v/>
      </c>
      <c r="GP38" s="206" t="str">
        <f>IF(AND($G38&lt;&gt;"",$G38&gt;0,'Outfall 1 Limits'!$AX$36="C1",DD38&lt;&gt;""),DD38*$G38*8.34,IF(AND(DD38&lt;&gt;"",'Outfall 1 Limits'!$AX$36="L"),DD38,""))</f>
        <v/>
      </c>
      <c r="GQ38" s="206" t="str">
        <f>IF(AND($G38&lt;&gt;"",$G38&gt;0,'Outfall 1 Limits'!$AX$40="C1",DE38&lt;&gt;""),DE38*$G38*8.34,IF(AND(DE38&lt;&gt;"",'Outfall 1 Limits'!$AX$40="L"),DE38,""))</f>
        <v/>
      </c>
      <c r="GR38" s="206" t="str">
        <f>IF(AND($G38&lt;&gt;"",$G38&gt;0,'Outfall 1 Limits'!$AX$44="C1",DF38&lt;&gt;""),DF38*$G38*8.34,IF(AND(DF38&lt;&gt;"",'Outfall 1 Limits'!$AX$44="L"),DF38,""))</f>
        <v/>
      </c>
      <c r="GS38" s="206" t="str">
        <f>IF(AND($G38&lt;&gt;"",$G38&gt;0,'Outfall 1 Limits'!$AX$48="C1",DG38&lt;&gt;""),DG38*$G38*8.34,IF(AND(DG38&lt;&gt;"",'Outfall 1 Limits'!$AX$48="L"),DG38,""))</f>
        <v/>
      </c>
      <c r="GT38" s="206" t="str">
        <f>IF(AND($G38&lt;&gt;"",$G38&gt;0,'Outfall 1 Limits'!$AX$52="C1",DH38&lt;&gt;""),DH38*$G38*8.34,IF(AND(DH38&lt;&gt;"",'Outfall 1 Limits'!$AX$52="L"),DH38,""))</f>
        <v/>
      </c>
      <c r="GU38" s="206" t="str">
        <f>IF(AND($G38&lt;&gt;"",$G38&gt;0,'Outfall 1 Limits'!$AX$56="C1",DI38&lt;&gt;""),DI38*$G38*8.34,IF(AND(DI38&lt;&gt;"",'Outfall 1 Limits'!$AX$56="L"),DI38,""))</f>
        <v/>
      </c>
      <c r="GV38" s="206" t="str">
        <f>IF(AND($G38&lt;&gt;"",$G38&gt;0,'Outfall 1 Limits'!$AX$60="C1",DJ38&lt;&gt;""),DJ38*$G38*8.34,IF(AND(DJ38&lt;&gt;"",'Outfall 1 Limits'!$AX$60="L"),DJ38,""))</f>
        <v/>
      </c>
      <c r="GW38" s="206" t="str">
        <f>IF(AND($G38&lt;&gt;"",$G38&gt;0,'Outfall 1 Limits'!$AX$64="C1",DK38&lt;&gt;""),DK38*$G38*8.34,IF(AND(DK38&lt;&gt;"",'Outfall 1 Limits'!$AX$64="L"),DK38,""))</f>
        <v/>
      </c>
      <c r="GX38" s="206" t="str">
        <f>IF(AND($G38&lt;&gt;"",$G38&gt;0,'Outfall 1 Limits'!$AX$68="C1",DL38&lt;&gt;""),DL38*$G38*8.34,IF(AND(DL38&lt;&gt;"",'Outfall 1 Limits'!$AX$68="L"),DL38,""))</f>
        <v/>
      </c>
      <c r="GY38" s="206" t="str">
        <f>IF(AND($G38&lt;&gt;"",$G38&gt;0,'Outfall 1 Limits'!$AX$72="C1",DM38&lt;&gt;""),DM38*$G38*8.34,IF(AND(DM38&lt;&gt;"",'Outfall 1 Limits'!$AX$72="L"),DM38,""))</f>
        <v/>
      </c>
      <c r="GZ38" s="206" t="str">
        <f>IF(AND($G38&lt;&gt;"",$G38&gt;0,'Outfall 1 Limits'!$AX$76="C1",DN38&lt;&gt;""),DN38*$G38*8.34,IF(AND(DN38&lt;&gt;"",'Outfall 1 Limits'!$AX$76="L"),DN38,""))</f>
        <v/>
      </c>
      <c r="HA38" s="206" t="str">
        <f>IF(AND($G38&lt;&gt;"",$G38&gt;0,'Outfall 1 Limits'!$AX$80="C1",DO38&lt;&gt;""),DO38*$G38*8.34,IF(AND(DO38&lt;&gt;"",'Outfall 1 Limits'!$AX$80="L"),DO38,""))</f>
        <v/>
      </c>
      <c r="HB38" s="206" t="str">
        <f>IF(AND($G38&lt;&gt;"",$G38&gt;0,'Outfall 1 Limits'!$AX$84="C1",DP38&lt;&gt;""),DP38*$G38*8.34,IF(AND(DP38&lt;&gt;"",'Outfall 1 Limits'!$AX$84="L"),DP38,""))</f>
        <v/>
      </c>
      <c r="HC38" s="206" t="str">
        <f>IF(AND($G38&lt;&gt;"",$G38&gt;0,'Outfall 1 Limits'!$AX$88="C1",DQ38&lt;&gt;""),DQ38*$G38*8.34,IF(AND(DQ38&lt;&gt;"",'Outfall 1 Limits'!$AX$88="L"),DQ38,""))</f>
        <v/>
      </c>
      <c r="HD38" s="206" t="str">
        <f>IF(AND($G38&lt;&gt;"",$G38&gt;0,'Outfall 1 Limits'!$AX$92="C1",DR38&lt;&gt;""),DR38*$G38*8.34,IF(AND(DR38&lt;&gt;"",'Outfall 1 Limits'!$AX$92="L"),DR38,""))</f>
        <v/>
      </c>
      <c r="HE38" s="206" t="str">
        <f>IF(AND($G38&lt;&gt;"",$G38&gt;0,'Outfall 1 Limits'!$AX$96="C1",DS38&lt;&gt;""),DS38*$G38*8.34,IF(AND(DS38&lt;&gt;"",'Outfall 1 Limits'!$AX$96="L"),DS38,""))</f>
        <v/>
      </c>
      <c r="HF38" s="206" t="str">
        <f>IF(AND($G38&lt;&gt;"",$G38&gt;0,'Outfall 1 Limits'!$AX$100="C1",DT38&lt;&gt;""),DT38*$G38*8.34,IF(AND(DT38&lt;&gt;"",'Outfall 1 Limits'!$AX$100="L"),DT38,""))</f>
        <v/>
      </c>
      <c r="HG38" s="206" t="str">
        <f>IF(AND($G38&lt;&gt;"",$G38&gt;0,'Outfall 1 Limits'!$AX$104="C1",DU38&lt;&gt;""),DU38*$G38*8.34,IF(AND(DU38&lt;&gt;"",'Outfall 1 Limits'!$AX$104="L"),DU38,""))</f>
        <v/>
      </c>
      <c r="HH38" s="206" t="str">
        <f>IF(AND($G38&lt;&gt;"",$G38&gt;0,'Outfall 1 Limits'!$AX$108="C1",DV38&lt;&gt;""),DV38*$G38*8.34,IF(AND(DV38&lt;&gt;"",'Outfall 1 Limits'!$AX$108="L"),DV38,""))</f>
        <v/>
      </c>
      <c r="HI38" s="206" t="str">
        <f>IF(AND($G38&lt;&gt;"",$G38&gt;0,'Outfall 1 Limits'!$AX$112="C1",DW38&lt;&gt;""),DW38*$G38*8.34,IF(AND(DW38&lt;&gt;"",'Outfall 1 Limits'!$AX$112="L"),DW38,""))</f>
        <v/>
      </c>
      <c r="HJ38" s="206" t="str">
        <f>IF(AND($G38&lt;&gt;"",$G38&gt;0,'Outfall 1 Limits'!$AX$116="C1",DX38&lt;&gt;""),DX38*$G38*8.34,IF(AND(DX38&lt;&gt;"",'Outfall 1 Limits'!$AX$116="L"),DX38,""))</f>
        <v/>
      </c>
      <c r="HK38" s="206" t="str">
        <f>IF(AND($G38&lt;&gt;"",$G38&gt;0,'Outfall 1 Limits'!$AX$120="C1",DY38&lt;&gt;""),DY38*$G38*8.34,IF(AND(DY38&lt;&gt;"",'Outfall 1 Limits'!$AX$120="L"),DY38,""))</f>
        <v/>
      </c>
      <c r="HL38" s="206" t="str">
        <f>IF(AND($G38&lt;&gt;"",$G38&gt;0,'Outfall 1 Limits'!$AX$124="C1",DZ38&lt;&gt;""),DZ38*$G38*8.34,IF(AND(DZ38&lt;&gt;"",'Outfall 1 Limits'!$AX$124="L"),DZ38,""))</f>
        <v/>
      </c>
      <c r="HM38" s="223" t="str">
        <f>IF(AND($G38&lt;&gt;"",$G38&gt;0,'Outfall 1 Limits'!$AX$128="C1",EA38&lt;&gt;""),EA38*$G38*8.34,IF(AND(EA38&lt;&gt;"",'Outfall 1 Limits'!$AX$128="L"),EA38,""))</f>
        <v/>
      </c>
      <c r="HO38" s="224" t="str">
        <f t="shared" si="60"/>
        <v/>
      </c>
      <c r="HS38" s="202" t="str">
        <f t="shared" si="61"/>
        <v/>
      </c>
      <c r="HT38" s="196" t="str">
        <f t="shared" si="62"/>
        <v/>
      </c>
      <c r="HU38" s="196" t="str">
        <f t="shared" si="63"/>
        <v/>
      </c>
      <c r="HV38" s="196" t="str">
        <f t="shared" si="64"/>
        <v/>
      </c>
      <c r="HW38" s="196" t="str">
        <f t="shared" si="65"/>
        <v/>
      </c>
      <c r="HX38" s="196" t="str">
        <f t="shared" si="66"/>
        <v/>
      </c>
      <c r="HY38" s="196" t="str">
        <f t="shared" si="67"/>
        <v/>
      </c>
      <c r="HZ38" s="196" t="str">
        <f t="shared" si="68"/>
        <v/>
      </c>
      <c r="IA38" s="196" t="str">
        <f t="shared" si="69"/>
        <v/>
      </c>
      <c r="IB38" s="196" t="str">
        <f t="shared" si="70"/>
        <v/>
      </c>
      <c r="IC38" s="196" t="str">
        <f t="shared" si="71"/>
        <v/>
      </c>
      <c r="ID38" s="196" t="str">
        <f t="shared" si="72"/>
        <v/>
      </c>
      <c r="IE38" s="196" t="str">
        <f t="shared" si="73"/>
        <v/>
      </c>
      <c r="IF38" s="196" t="str">
        <f t="shared" si="74"/>
        <v/>
      </c>
      <c r="IG38" s="196" t="str">
        <f t="shared" si="75"/>
        <v/>
      </c>
      <c r="IH38" s="196" t="str">
        <f t="shared" si="76"/>
        <v/>
      </c>
      <c r="II38" s="196" t="str">
        <f t="shared" si="77"/>
        <v/>
      </c>
      <c r="IJ38" s="196" t="str">
        <f t="shared" si="78"/>
        <v/>
      </c>
      <c r="IK38" s="196" t="str">
        <f t="shared" si="79"/>
        <v/>
      </c>
      <c r="IL38" s="196" t="str">
        <f t="shared" si="80"/>
        <v/>
      </c>
      <c r="IM38" s="196" t="str">
        <f t="shared" si="81"/>
        <v/>
      </c>
      <c r="IN38" s="196" t="str">
        <f t="shared" si="82"/>
        <v/>
      </c>
      <c r="IO38" s="196" t="str">
        <f t="shared" si="83"/>
        <v/>
      </c>
      <c r="IP38" s="196" t="str">
        <f t="shared" si="84"/>
        <v/>
      </c>
      <c r="IQ38" s="196" t="str">
        <f t="shared" si="85"/>
        <v/>
      </c>
      <c r="IR38" s="196" t="str">
        <f t="shared" si="86"/>
        <v/>
      </c>
      <c r="IS38" s="196" t="str">
        <f t="shared" si="87"/>
        <v/>
      </c>
      <c r="IT38" s="196" t="str">
        <f t="shared" si="88"/>
        <v/>
      </c>
      <c r="IU38" s="210" t="str">
        <f t="shared" si="89"/>
        <v/>
      </c>
      <c r="IX38" s="202" t="str">
        <f t="shared" si="90"/>
        <v/>
      </c>
      <c r="IY38" s="196" t="str">
        <f t="shared" si="91"/>
        <v/>
      </c>
      <c r="IZ38" s="196" t="str">
        <f t="shared" si="92"/>
        <v/>
      </c>
      <c r="JA38" s="196" t="str">
        <f t="shared" si="93"/>
        <v/>
      </c>
      <c r="JB38" s="196" t="str">
        <f t="shared" si="94"/>
        <v/>
      </c>
      <c r="JC38" s="196" t="str">
        <f t="shared" si="95"/>
        <v/>
      </c>
      <c r="JD38" s="196" t="str">
        <f t="shared" si="96"/>
        <v/>
      </c>
      <c r="JE38" s="196" t="str">
        <f t="shared" si="97"/>
        <v/>
      </c>
      <c r="JF38" s="196" t="str">
        <f t="shared" si="98"/>
        <v/>
      </c>
      <c r="JG38" s="196" t="str">
        <f t="shared" si="99"/>
        <v/>
      </c>
      <c r="JH38" s="196" t="str">
        <f t="shared" si="100"/>
        <v/>
      </c>
      <c r="JI38" s="196" t="str">
        <f t="shared" si="101"/>
        <v/>
      </c>
      <c r="JJ38" s="196" t="str">
        <f t="shared" si="102"/>
        <v/>
      </c>
      <c r="JK38" s="196" t="str">
        <f t="shared" si="103"/>
        <v/>
      </c>
      <c r="JL38" s="196" t="str">
        <f t="shared" si="104"/>
        <v/>
      </c>
      <c r="JM38" s="196" t="str">
        <f t="shared" si="105"/>
        <v/>
      </c>
      <c r="JN38" s="196" t="str">
        <f t="shared" si="106"/>
        <v/>
      </c>
      <c r="JO38" s="196" t="str">
        <f t="shared" si="107"/>
        <v/>
      </c>
      <c r="JP38" s="196" t="str">
        <f t="shared" si="108"/>
        <v/>
      </c>
      <c r="JQ38" s="196" t="str">
        <f t="shared" si="109"/>
        <v/>
      </c>
      <c r="JR38" s="196" t="str">
        <f t="shared" si="110"/>
        <v/>
      </c>
      <c r="JS38" s="196" t="str">
        <f t="shared" si="111"/>
        <v/>
      </c>
      <c r="JT38" s="196" t="str">
        <f t="shared" si="112"/>
        <v/>
      </c>
      <c r="JU38" s="196" t="str">
        <f t="shared" si="113"/>
        <v/>
      </c>
      <c r="JV38" s="196" t="str">
        <f t="shared" si="114"/>
        <v/>
      </c>
      <c r="JW38" s="196" t="str">
        <f t="shared" si="115"/>
        <v/>
      </c>
      <c r="JX38" s="196" t="str">
        <f t="shared" si="116"/>
        <v/>
      </c>
      <c r="JY38" s="196" t="str">
        <f t="shared" si="117"/>
        <v/>
      </c>
      <c r="JZ38" s="210" t="str">
        <f t="shared" si="118"/>
        <v/>
      </c>
      <c r="KA38" s="196"/>
      <c r="KB38" s="176"/>
      <c r="KC38" s="227"/>
      <c r="KD38" s="218" t="str">
        <f t="shared" si="2"/>
        <v/>
      </c>
      <c r="KE38" s="196" t="str">
        <f t="shared" si="3"/>
        <v/>
      </c>
      <c r="KF38" s="196" t="str">
        <f t="shared" si="4"/>
        <v/>
      </c>
      <c r="KG38" s="196" t="str">
        <f t="shared" si="5"/>
        <v/>
      </c>
      <c r="KH38" s="196" t="str">
        <f t="shared" si="6"/>
        <v/>
      </c>
      <c r="KI38" s="196" t="str">
        <f t="shared" si="7"/>
        <v/>
      </c>
      <c r="KJ38" s="196" t="str">
        <f t="shared" si="8"/>
        <v/>
      </c>
      <c r="KK38" s="196" t="str">
        <f t="shared" si="9"/>
        <v/>
      </c>
      <c r="KL38" s="196" t="str">
        <f t="shared" si="10"/>
        <v/>
      </c>
      <c r="KM38" s="196" t="str">
        <f t="shared" si="11"/>
        <v/>
      </c>
      <c r="KN38" s="196" t="str">
        <f t="shared" si="12"/>
        <v/>
      </c>
      <c r="KO38" s="196" t="str">
        <f t="shared" si="13"/>
        <v/>
      </c>
      <c r="KP38" s="196" t="str">
        <f t="shared" si="14"/>
        <v/>
      </c>
      <c r="KQ38" s="196" t="str">
        <f t="shared" si="15"/>
        <v/>
      </c>
      <c r="KR38" s="196" t="str">
        <f t="shared" si="16"/>
        <v/>
      </c>
      <c r="KS38" s="196" t="str">
        <f t="shared" si="17"/>
        <v/>
      </c>
      <c r="KT38" s="196" t="str">
        <f t="shared" si="18"/>
        <v/>
      </c>
      <c r="KU38" s="196" t="str">
        <f t="shared" si="19"/>
        <v/>
      </c>
      <c r="KV38" s="196" t="str">
        <f t="shared" si="20"/>
        <v/>
      </c>
      <c r="KW38" s="196" t="str">
        <f t="shared" si="21"/>
        <v/>
      </c>
      <c r="KX38" s="196" t="str">
        <f t="shared" si="22"/>
        <v/>
      </c>
      <c r="KY38" s="196" t="str">
        <f t="shared" si="23"/>
        <v/>
      </c>
      <c r="KZ38" s="196" t="str">
        <f t="shared" si="24"/>
        <v/>
      </c>
      <c r="LA38" s="196" t="str">
        <f t="shared" si="25"/>
        <v/>
      </c>
      <c r="LB38" s="196" t="str">
        <f t="shared" si="26"/>
        <v/>
      </c>
      <c r="LC38" s="196" t="str">
        <f t="shared" si="27"/>
        <v/>
      </c>
      <c r="LD38" s="196" t="str">
        <f t="shared" si="28"/>
        <v/>
      </c>
      <c r="LE38" s="196" t="str">
        <f t="shared" si="29"/>
        <v/>
      </c>
      <c r="LF38" s="226" t="str">
        <f t="shared" si="30"/>
        <v/>
      </c>
    </row>
    <row r="39" spans="1:318" s="172" customFormat="1" ht="11.45" customHeight="1" x14ac:dyDescent="0.2">
      <c r="A39" s="35"/>
      <c r="B39" s="54"/>
      <c r="C39" s="438">
        <f t="shared" si="0"/>
        <v>45313</v>
      </c>
      <c r="D39" s="438"/>
      <c r="E39" s="430">
        <f t="shared" si="119"/>
        <v>45313</v>
      </c>
      <c r="F39" s="431"/>
      <c r="G39" s="26"/>
      <c r="H39" s="51"/>
      <c r="I39" s="50"/>
      <c r="J39" s="51"/>
      <c r="K39" s="50"/>
      <c r="L39" s="51"/>
      <c r="M39" s="50"/>
      <c r="N39" s="51"/>
      <c r="O39" s="50"/>
      <c r="P39" s="51"/>
      <c r="Q39" s="50"/>
      <c r="R39" s="51"/>
      <c r="S39" s="50"/>
      <c r="T39" s="51"/>
      <c r="U39" s="50"/>
      <c r="V39" s="51"/>
      <c r="W39" s="50"/>
      <c r="X39" s="276"/>
      <c r="Y39" s="50"/>
      <c r="Z39" s="51"/>
      <c r="AA39" s="50"/>
      <c r="AB39" s="51"/>
      <c r="AC39" s="50"/>
      <c r="AD39" s="51"/>
      <c r="AE39" s="50"/>
      <c r="AF39" s="51"/>
      <c r="AG39" s="50"/>
      <c r="AH39" s="51"/>
      <c r="AI39" s="50"/>
      <c r="AJ39" s="51"/>
      <c r="AK39" s="50"/>
      <c r="AL39" s="51"/>
      <c r="AM39" s="50"/>
      <c r="AN39" s="51"/>
      <c r="AO39" s="50"/>
      <c r="AP39" s="51"/>
      <c r="AQ39" s="50"/>
      <c r="AR39" s="51"/>
      <c r="AS39" s="50"/>
      <c r="AT39" s="51"/>
      <c r="AU39" s="50"/>
      <c r="AV39" s="51"/>
      <c r="AW39" s="50"/>
      <c r="AX39" s="51"/>
      <c r="AY39" s="50"/>
      <c r="AZ39" s="51"/>
      <c r="BA39" s="50"/>
      <c r="BB39" s="51"/>
      <c r="BC39" s="50"/>
      <c r="BD39" s="51"/>
      <c r="BE39" s="50"/>
      <c r="BF39" s="51"/>
      <c r="BG39" s="50"/>
      <c r="BH39" s="51"/>
      <c r="BI39" s="50"/>
      <c r="BJ39" s="51"/>
      <c r="BK39" s="50"/>
      <c r="BL39" s="51"/>
      <c r="BM39" s="109"/>
      <c r="BO39" s="174"/>
      <c r="BP39" s="174">
        <v>2058</v>
      </c>
      <c r="BQ39" s="221" t="s">
        <v>53</v>
      </c>
      <c r="BR39" s="222"/>
      <c r="BS39" s="174" t="s">
        <v>1110</v>
      </c>
      <c r="BU39" s="202" t="str">
        <f t="shared" si="31"/>
        <v/>
      </c>
      <c r="BV39" s="196" t="str">
        <f t="shared" si="32"/>
        <v/>
      </c>
      <c r="BW39" s="196" t="str">
        <f t="shared" si="33"/>
        <v/>
      </c>
      <c r="BX39" s="196" t="str">
        <f t="shared" si="34"/>
        <v/>
      </c>
      <c r="BY39" s="196" t="str">
        <f t="shared" si="35"/>
        <v/>
      </c>
      <c r="BZ39" s="196" t="str">
        <f t="shared" si="36"/>
        <v/>
      </c>
      <c r="CA39" s="196" t="str">
        <f t="shared" si="37"/>
        <v/>
      </c>
      <c r="CB39" s="196" t="str">
        <f t="shared" si="38"/>
        <v/>
      </c>
      <c r="CC39" s="196" t="str">
        <f t="shared" si="39"/>
        <v/>
      </c>
      <c r="CD39" s="196" t="str">
        <f t="shared" si="40"/>
        <v/>
      </c>
      <c r="CE39" s="196" t="str">
        <f t="shared" si="41"/>
        <v/>
      </c>
      <c r="CF39" s="196" t="str">
        <f t="shared" si="42"/>
        <v/>
      </c>
      <c r="CG39" s="196" t="str">
        <f t="shared" si="43"/>
        <v/>
      </c>
      <c r="CH39" s="196" t="str">
        <f t="shared" si="44"/>
        <v/>
      </c>
      <c r="CI39" s="196" t="str">
        <f t="shared" si="45"/>
        <v/>
      </c>
      <c r="CJ39" s="196" t="str">
        <f t="shared" si="46"/>
        <v/>
      </c>
      <c r="CK39" s="196" t="str">
        <f t="shared" si="47"/>
        <v/>
      </c>
      <c r="CL39" s="196" t="str">
        <f t="shared" si="48"/>
        <v/>
      </c>
      <c r="CM39" s="196" t="str">
        <f t="shared" si="120"/>
        <v/>
      </c>
      <c r="CN39" s="196" t="str">
        <f t="shared" si="49"/>
        <v/>
      </c>
      <c r="CO39" s="196" t="str">
        <f t="shared" si="50"/>
        <v/>
      </c>
      <c r="CP39" s="196" t="str">
        <f t="shared" si="51"/>
        <v/>
      </c>
      <c r="CQ39" s="196" t="str">
        <f t="shared" si="52"/>
        <v/>
      </c>
      <c r="CR39" s="196" t="str">
        <f t="shared" si="53"/>
        <v/>
      </c>
      <c r="CS39" s="196" t="str">
        <f t="shared" si="54"/>
        <v/>
      </c>
      <c r="CT39" s="196" t="str">
        <f t="shared" si="55"/>
        <v/>
      </c>
      <c r="CU39" s="196" t="str">
        <f t="shared" si="56"/>
        <v/>
      </c>
      <c r="CV39" s="196" t="str">
        <f t="shared" si="57"/>
        <v/>
      </c>
      <c r="CW39" s="210" t="str">
        <f t="shared" si="58"/>
        <v/>
      </c>
      <c r="CY39" s="212" t="str">
        <f>IF(I39&lt;&gt;"",IF(H39="&lt;",IF(AND('Outfall 1 Limits'!$AM$16="Y",$BU$54&lt;&gt;"Y",I39&lt;='Outfall 1 Limits'!$AL$16),0,(1*I39)),I39),"")</f>
        <v/>
      </c>
      <c r="CZ39" s="206" t="str">
        <f>IF(K39&lt;&gt;"",IF(J39="&lt;",IF(AND('Outfall 1 Limits'!$AM$20="Y",$BV$54&lt;&gt;"Y",K39&lt;='Outfall 1 Limits'!$AL$20),0,(1*K39)),K39),"")</f>
        <v/>
      </c>
      <c r="DA39" s="206" t="str">
        <f>IF(M39&lt;&gt;"",IF(L39="&lt;",IF(AND('Outfall 1 Limits'!$AM$24="Y",$BW$54&lt;&gt;"Y",M39&lt;='Outfall 1 Limits'!$AL$24),0,(1*M39)),M39),"")</f>
        <v/>
      </c>
      <c r="DB39" s="206" t="str">
        <f>IF(O39&lt;&gt;"",IF(N39="&lt;",IF(AND('Outfall 1 Limits'!$AM$28="Y",$BX$54&lt;&gt;"Y",O39&lt;='Outfall 1 Limits'!$AL$28),0,(1*O39)),O39),"")</f>
        <v/>
      </c>
      <c r="DC39" s="206" t="str">
        <f>IF(Q39&lt;&gt;"",IF(P39="&lt;",IF(AND('Outfall 1 Limits'!$AM$32="Y",$BY$54&lt;&gt;"Y",Q39&lt;='Outfall 1 Limits'!$AL$32),0,(1*Q39)),Q39),"")</f>
        <v/>
      </c>
      <c r="DD39" s="206" t="str">
        <f>IF(S39&lt;&gt;"",IF(R39="&lt;",IF(AND('Outfall 1 Limits'!$AM$36="Y",$BZ$54&lt;&gt;"Y",S39&lt;='Outfall 1 Limits'!$AL$36),0,(1*S39)),S39),"")</f>
        <v/>
      </c>
      <c r="DE39" s="206" t="str">
        <f>IF(U39&lt;&gt;"",IF(T39="&lt;",IF(AND('Outfall 1 Limits'!$AM$40="Y",$CA$54&lt;&gt;"Y",U39&lt;='Outfall 1 Limits'!$AL$40),0,(1*U39)),U39),"")</f>
        <v/>
      </c>
      <c r="DF39" s="206" t="str">
        <f>IF(W39&lt;&gt;"",IF(V39="&lt;",IF(AND('Outfall 1 Limits'!$AM$44="Y",$CB$54&lt;&gt;"Y",W39&lt;='Outfall 1 Limits'!$AL$44),0,(1*W39)),W39),"")</f>
        <v/>
      </c>
      <c r="DG39" s="206" t="str">
        <f>IF(Y39&lt;&gt;"",IF(X39="&lt;",IF(AND('Outfall 1 Limits'!$AM$48="Y",$CC$54&lt;&gt;"Y",Y39&lt;='Outfall 1 Limits'!$AL$48),0,(1*Y39)),Y39),"")</f>
        <v/>
      </c>
      <c r="DH39" s="206" t="str">
        <f>IF(AA39&lt;&gt;"",IF(Z39="&lt;",IF(AND('Outfall 1 Limits'!$AM$52="Y",$CD$54&lt;&gt;"Y",AA39&lt;='Outfall 1 Limits'!$AL$52),0,(1*AA39)),AA39),"")</f>
        <v/>
      </c>
      <c r="DI39" s="206" t="str">
        <f>IF(AC39&lt;&gt;"",IF(AB39="&lt;",IF(AND('Outfall 1 Limits'!$AM$56="Y",$CE$54&lt;&gt;"Y",AC39&lt;='Outfall 1 Limits'!$AL$56),0,(1*AC39)),AC39),"")</f>
        <v/>
      </c>
      <c r="DJ39" s="206" t="str">
        <f>IF(AE39&lt;&gt;"",IF(AD39="&lt;",IF(AND('Outfall 1 Limits'!$AM$60="Y",$CF$54&lt;&gt;"Y",AE39&lt;='Outfall 1 Limits'!$AL$60),0,(1*AE39)),AE39),"")</f>
        <v/>
      </c>
      <c r="DK39" s="206" t="str">
        <f>IF(AG39&lt;&gt;"",IF(AF39="&lt;",IF(AND('Outfall 1 Limits'!$AM$64="Y",$CG$54&lt;&gt;"Y",AG39&lt;='Outfall 1 Limits'!$AL$64),0,(1*AG39)),AG39),"")</f>
        <v/>
      </c>
      <c r="DL39" s="206" t="str">
        <f>IF(AI39&lt;&gt;"",IF(AH39="&lt;",IF(AND('Outfall 1 Limits'!$AM$68="Y",$CH$54&lt;&gt;"Y",AI39&lt;='Outfall 1 Limits'!$AL$68),0,(1*AI39)),AI39),"")</f>
        <v/>
      </c>
      <c r="DM39" s="206" t="str">
        <f>IF(AK39&lt;&gt;"",IF(AJ39="&lt;",IF(AND('Outfall 1 Limits'!$AM$72="Y",$CI$54&lt;&gt;"Y",AK39&lt;='Outfall 1 Limits'!$AL$72),0,(1*AK39)),AK39),"")</f>
        <v/>
      </c>
      <c r="DN39" s="206" t="str">
        <f>IF(AM39&lt;&gt;"",IF(AL39="&lt;",IF(AND('Outfall 1 Limits'!$AM$76="Y",$CJ$54&lt;&gt;"Y",AM39&lt;='Outfall 1 Limits'!$AL$76),0,(1*AM39)),AM39),"")</f>
        <v/>
      </c>
      <c r="DO39" s="206" t="str">
        <f>IF(AO39&lt;&gt;"",IF(AN39="&lt;",IF(AND('Outfall 1 Limits'!$AM$80="Y",$CK$54&lt;&gt;"Y",AO39&lt;='Outfall 1 Limits'!$AL$80),0,(1*AO39)),AO39),"")</f>
        <v/>
      </c>
      <c r="DP39" s="206" t="str">
        <f>IF(AQ39&lt;&gt;"",IF(AP39="&lt;",IF(AND('Outfall 1 Limits'!$AM$84="Y",$CL$54&lt;&gt;"Y",AQ39&lt;='Outfall 1 Limits'!$AL$84),0,(1*AQ39)),AQ39),"")</f>
        <v/>
      </c>
      <c r="DQ39" s="206" t="str">
        <f>IF(AS39&lt;&gt;"",IF(AR39="&lt;",IF(AND('Outfall 1 Limits'!$AM$88="Y",$CM$54&lt;&gt;"Y",AS39&lt;='Outfall 1 Limits'!$AL$88),0,(1*AS39)),AS39),"")</f>
        <v/>
      </c>
      <c r="DR39" s="206" t="str">
        <f>IF(AU39&lt;&gt;"",IF(AT39="&lt;",IF(AND('Outfall 1 Limits'!$AM$92="Y",$CN$54&lt;&gt;"Y",AU39&lt;='Outfall 1 Limits'!$AL$92),0,(1*AU39)),AU39),"")</f>
        <v/>
      </c>
      <c r="DS39" s="206" t="str">
        <f>IF(AW39&lt;&gt;"",IF(AV39="&lt;",IF(AND('Outfall 1 Limits'!$AM$96="Y",$CO$54&lt;&gt;"Y",AW39&lt;='Outfall 1 Limits'!$AL$96),0,(1*AW39)),AW39),"")</f>
        <v/>
      </c>
      <c r="DT39" s="206" t="str">
        <f>IF(AY39&lt;&gt;"",IF(AX39="&lt;",IF(AND('Outfall 1 Limits'!$AM$100="Y",$CP$54&lt;&gt;"Y",AY39&lt;='Outfall 1 Limits'!$AL$100),0,(1*AY39)),AY39),"")</f>
        <v/>
      </c>
      <c r="DU39" s="206" t="str">
        <f>IF(BA39&lt;&gt;"",IF(AZ39="&lt;",IF(AND('Outfall 1 Limits'!$AM$104="Y",$CQ$54&lt;&gt;"Y",BA39&lt;='Outfall 1 Limits'!$AL$104),0,(1*BA39)),BA39),"")</f>
        <v/>
      </c>
      <c r="DV39" s="206" t="str">
        <f>IF(BC39&lt;&gt;"",IF(BB39="&lt;",IF(AND('Outfall 1 Limits'!$AM$108="Y",$CR$54&lt;&gt;"Y",BC39&lt;='Outfall 1 Limits'!$AL$108),0,(1*BC39)),BC39),"")</f>
        <v/>
      </c>
      <c r="DW39" s="206" t="str">
        <f>IF(BE39&lt;&gt;"",IF(BD39="&lt;",IF(AND('Outfall 1 Limits'!$AM$112="Y",$CS$54&lt;&gt;"Y",BE39&lt;='Outfall 1 Limits'!$AL$112),0,(1*BE39)),BE39),"")</f>
        <v/>
      </c>
      <c r="DX39" s="206" t="str">
        <f>IF(BG39&lt;&gt;"",IF(BF39="&lt;",IF(AND('Outfall 1 Limits'!$AM$116="Y",$CT$54&lt;&gt;"Y",BG39&lt;='Outfall 1 Limits'!$AL$116),0,(1*BG39)),BG39),"")</f>
        <v/>
      </c>
      <c r="DY39" s="206" t="str">
        <f>IF(BI39&lt;&gt;"",IF(BH39="&lt;",IF(AND('Outfall 1 Limits'!$AM$120="Y",$CU$54&lt;&gt;"Y",BI39&lt;='Outfall 1 Limits'!$AL$120),0,(1*BI39)),BI39),"")</f>
        <v/>
      </c>
      <c r="DZ39" s="206" t="str">
        <f>IF(BK39&lt;&gt;"",IF(BJ39="&lt;",IF(AND('Outfall 1 Limits'!$AM$124="Y",$CV$54&lt;&gt;"Y",BK39&lt;='Outfall 1 Limits'!$AL$124),0,(1*BK39)),BK39),"")</f>
        <v/>
      </c>
      <c r="EA39" s="223" t="str">
        <f>IF(BM39&lt;&gt;"",IF(BL39="&lt;",IF(AND('Outfall 1 Limits'!$AM$128="Y",$CW$54&lt;&gt;"Y",BM39&lt;='Outfall 1 Limits'!$AL$128),0,(1*BM39)),BM39),"")</f>
        <v/>
      </c>
      <c r="EB39" s="209" t="s">
        <v>1142</v>
      </c>
      <c r="EC39" s="231" t="str">
        <f>IF(EC32&lt;&gt;"",IF(BU60="Y",EC32-0.1,EC32),"")</f>
        <v/>
      </c>
      <c r="ED39" s="232" t="str">
        <f t="shared" ref="ED39:FE39" si="163">IF(ED32&lt;&gt;"",IF(BV60="Y",ED32-0.1,ED32),"")</f>
        <v/>
      </c>
      <c r="EE39" s="232" t="str">
        <f t="shared" si="163"/>
        <v/>
      </c>
      <c r="EF39" s="232" t="str">
        <f t="shared" si="163"/>
        <v/>
      </c>
      <c r="EG39" s="232" t="str">
        <f t="shared" si="163"/>
        <v/>
      </c>
      <c r="EH39" s="232" t="str">
        <f t="shared" si="163"/>
        <v/>
      </c>
      <c r="EI39" s="232" t="str">
        <f t="shared" si="163"/>
        <v/>
      </c>
      <c r="EJ39" s="232" t="str">
        <f t="shared" si="163"/>
        <v/>
      </c>
      <c r="EK39" s="232" t="str">
        <f t="shared" si="163"/>
        <v/>
      </c>
      <c r="EL39" s="232" t="str">
        <f t="shared" si="163"/>
        <v/>
      </c>
      <c r="EM39" s="232" t="str">
        <f t="shared" si="163"/>
        <v/>
      </c>
      <c r="EN39" s="232" t="str">
        <f t="shared" si="163"/>
        <v/>
      </c>
      <c r="EO39" s="232" t="str">
        <f t="shared" si="163"/>
        <v/>
      </c>
      <c r="EP39" s="232" t="str">
        <f t="shared" si="163"/>
        <v/>
      </c>
      <c r="EQ39" s="232" t="str">
        <f t="shared" si="163"/>
        <v/>
      </c>
      <c r="ER39" s="232" t="str">
        <f t="shared" si="163"/>
        <v/>
      </c>
      <c r="ES39" s="232" t="str">
        <f t="shared" si="163"/>
        <v/>
      </c>
      <c r="ET39" s="232" t="str">
        <f t="shared" si="163"/>
        <v/>
      </c>
      <c r="EU39" s="232" t="str">
        <f t="shared" si="163"/>
        <v/>
      </c>
      <c r="EV39" s="232" t="str">
        <f t="shared" si="163"/>
        <v/>
      </c>
      <c r="EW39" s="232" t="str">
        <f t="shared" si="163"/>
        <v/>
      </c>
      <c r="EX39" s="232" t="str">
        <f t="shared" si="163"/>
        <v/>
      </c>
      <c r="EY39" s="232" t="str">
        <f t="shared" si="163"/>
        <v/>
      </c>
      <c r="EZ39" s="232" t="str">
        <f t="shared" si="163"/>
        <v/>
      </c>
      <c r="FA39" s="232" t="str">
        <f t="shared" si="163"/>
        <v/>
      </c>
      <c r="FB39" s="232" t="str">
        <f t="shared" si="163"/>
        <v/>
      </c>
      <c r="FC39" s="232" t="str">
        <f t="shared" si="163"/>
        <v/>
      </c>
      <c r="FD39" s="232" t="str">
        <f t="shared" si="163"/>
        <v/>
      </c>
      <c r="FE39" s="233" t="str">
        <f t="shared" si="163"/>
        <v/>
      </c>
      <c r="FG39" s="212" t="str">
        <f>IF(AND($G39&lt;&gt;"",$G39&gt;0,'Outfall 1 Limits'!$AX$16="C1",I39&lt;&gt;""),I39*$G39*8.34,IF(AND($I39&lt;&gt;"",'Outfall 1 Limits'!$AX$16="L"),I39,""))</f>
        <v/>
      </c>
      <c r="FH39" s="206" t="str">
        <f>IF(AND($G39&lt;&gt;"",$G39&gt;0,'Outfall 1 Limits'!$AX$20="C1",$K39&lt;&gt;""),$K39*$G39*8.34,IF(AND($K39&lt;&gt;"",'Outfall 1 Limits'!$AX$20="L"),$K39,""))</f>
        <v/>
      </c>
      <c r="FI39" s="206" t="str">
        <f>IF(AND($G39&lt;&gt;"",$G39&gt;0,'Outfall 1 Limits'!$AX$24="C1",$M39&lt;&gt;""),$M39*$G39*8.34,IF(AND($M39&lt;&gt;"",'Outfall 1 Limits'!$AX$24="L"),$M39,""))</f>
        <v/>
      </c>
      <c r="FJ39" s="206" t="str">
        <f>IF(AND($G39&lt;&gt;"",$G39&gt;0,'Outfall 1 Limits'!$AX$28="C1",$O39&lt;&gt;""),$O39*$G39*8.34,IF(AND($O39&lt;&gt;"",'Outfall 1 Limits'!$AX$28="L"),$O39,""))</f>
        <v/>
      </c>
      <c r="FK39" s="206" t="str">
        <f>IF(AND($G39&lt;&gt;"",$G39&gt;0,'Outfall 1 Limits'!$AX$32="C1",$Q39&lt;&gt;""),$Q39*$G39*8.34,IF(AND($Q39&lt;&gt;"",'Outfall 1 Limits'!$AX$32="L"),$Q39,""))</f>
        <v/>
      </c>
      <c r="FL39" s="206" t="str">
        <f>IF(AND($G39&lt;&gt;"",$G39&gt;0,'Outfall 1 Limits'!$AX$36="C1",$S39&lt;&gt;""),$S39*$G39*8.34,IF(AND($S39&lt;&gt;"",'Outfall 1 Limits'!$AX$36="L"),$S39,""))</f>
        <v/>
      </c>
      <c r="FM39" s="206" t="str">
        <f>IF(AND($G39&lt;&gt;"",$G39&gt;0,'Outfall 1 Limits'!$AX$40="C1",$U39&lt;&gt;""),$U39*$G39*8.34,IF(AND($U39&lt;&gt;"",'Outfall 1 Limits'!$AX$40="L"),$U39,""))</f>
        <v/>
      </c>
      <c r="FN39" s="206" t="str">
        <f>IF(AND($G39&lt;&gt;"",$G39&gt;0,'Outfall 1 Limits'!$AX$44="C1",$W39&lt;&gt;""),$W39*$G39*8.34,IF(AND($W39&lt;&gt;"",'Outfall 1 Limits'!$AX$44="L"),$W39,""))</f>
        <v/>
      </c>
      <c r="FO39" s="206" t="str">
        <f>IF(AND($G39&lt;&gt;"",$G39&gt;0,'Outfall 1 Limits'!$AX$48="C1",$Y39&lt;&gt;""),$Y39*$G39*8.34,IF(AND($Y39&lt;&gt;"",'Outfall 1 Limits'!$AX$48="L"),$Y39,""))</f>
        <v/>
      </c>
      <c r="FP39" s="206" t="str">
        <f>IF(AND($G39&lt;&gt;"",$G39&gt;0,'Outfall 1 Limits'!$AX$52="C1",$AA39&lt;&gt;""),$AA39*$G39*8.34,IF(AND($AA39&lt;&gt;"",'Outfall 1 Limits'!$AX$52="L"),$AA39,""))</f>
        <v/>
      </c>
      <c r="FQ39" s="206" t="str">
        <f>IF(AND($G39&lt;&gt;"",$G39&gt;0,'Outfall 1 Limits'!$AX$56="C1",$AC39&lt;&gt;""),$AC39*$G39*8.34,IF(AND($AC39&lt;&gt;"",'Outfall 1 Limits'!$AX$56="L"),$AC39,""))</f>
        <v/>
      </c>
      <c r="FR39" s="206" t="str">
        <f>IF(AND($G39&lt;&gt;"",$G39&gt;0,'Outfall 1 Limits'!$AX$60="C1",$AE39&lt;&gt;""),$AE39*$G39*8.34,IF(AND($AE39&lt;&gt;"",'Outfall 1 Limits'!$AX$60="L"),$AE39,""))</f>
        <v/>
      </c>
      <c r="FS39" s="206" t="str">
        <f>IF(AND($G39&lt;&gt;"",$G39&gt;0,'Outfall 1 Limits'!$AX$64="C1",$AG39&lt;&gt;""),$AG39*$G39*8.34,IF(AND($AG39&lt;&gt;"",'Outfall 1 Limits'!$AX$64="L"),$AG39,""))</f>
        <v/>
      </c>
      <c r="FT39" s="206" t="str">
        <f>IF(AND($G39&lt;&gt;"",$G39&gt;0,'Outfall 1 Limits'!$AX$68="C1",$AI39&lt;&gt;""),$AI39*$G39*8.34,IF(AND($AI39&lt;&gt;"",'Outfall 1 Limits'!$AX$68="L"),$AI39,""))</f>
        <v/>
      </c>
      <c r="FU39" s="206" t="str">
        <f>IF(AND($G39&lt;&gt;"",$G39&gt;0,'Outfall 1 Limits'!$AX$72="C1",$AK39&lt;&gt;""),$AK39*$G39*8.34,IF(AND($AK39&lt;&gt;"",'Outfall 1 Limits'!$AX$72="L"),$AK39,""))</f>
        <v/>
      </c>
      <c r="FV39" s="206" t="str">
        <f>IF(AND($G39&lt;&gt;"",$G39&gt;0,'Outfall 1 Limits'!$AX$76="C1",$AM39&lt;&gt;""),$AM39*$G39*8.34,IF(AND($AM39&lt;&gt;"",'Outfall 1 Limits'!$AX$76="L"),$AM39,""))</f>
        <v/>
      </c>
      <c r="FW39" s="206" t="str">
        <f>IF(AND($G39&lt;&gt;"",$G39&gt;0,'Outfall 1 Limits'!$AX$80="C1",$AO39&lt;&gt;""),$AO39*$G39*8.34,IF(AND($AO39&lt;&gt;"",'Outfall 1 Limits'!$AX$80="L"),$AO39,""))</f>
        <v/>
      </c>
      <c r="FX39" s="206" t="str">
        <f>IF(AND($G39&lt;&gt;"",$G39&gt;0,'Outfall 1 Limits'!$AX$84="C1",$AQ39&lt;&gt;""),$AQ39*$G39*8.34,IF(AND($AQ39&lt;&gt;"",'Outfall 1 Limits'!$AX$84="L"),$AQ39,""))</f>
        <v/>
      </c>
      <c r="FY39" s="206" t="str">
        <f>IF(AND($G39&lt;&gt;"",$G39&gt;0,'Outfall 1 Limits'!$AX$88="C1",$AS39&lt;&gt;""),$AS39*$G39*8.34,IF(AND($AS39&lt;&gt;"",'Outfall 1 Limits'!$AX$88="L"),$AS39,""))</f>
        <v/>
      </c>
      <c r="FZ39" s="206" t="str">
        <f>IF(AND($G39&lt;&gt;"",$G39&gt;0,'Outfall 1 Limits'!$AX$92="C1",$AU39&lt;&gt;""),$AU39*$G39*8.34,IF(AND($AU39&lt;&gt;"",'Outfall 1 Limits'!$AX$92="L"),$AU39,""))</f>
        <v/>
      </c>
      <c r="GA39" s="206" t="str">
        <f>IF(AND($G39&lt;&gt;"",$G39&gt;0,'Outfall 1 Limits'!$AX$96="C1",$AW39&lt;&gt;""),$AW39*$G39*8.34,IF(AND($AW39&lt;&gt;"",'Outfall 1 Limits'!$AX$96="L"),$AW39,""))</f>
        <v/>
      </c>
      <c r="GB39" s="206" t="str">
        <f>IF(AND($G39&lt;&gt;"",$G39&gt;0,'Outfall 1 Limits'!$AX$100="C1",$AY39&lt;&gt;""),$AY39*$G39*8.34,IF(AND($AY39&lt;&gt;"",'Outfall 1 Limits'!$AX$100="L"),$AY39,""))</f>
        <v/>
      </c>
      <c r="GC39" s="206" t="str">
        <f>IF(AND($G39&lt;&gt;"",$G39&gt;0,'Outfall 1 Limits'!$AX$104="C1",$BA39&lt;&gt;""),$BA39*$G39*8.34,IF(AND($BA39&lt;&gt;"",'Outfall 1 Limits'!$AX$104="L"),$BA39,""))</f>
        <v/>
      </c>
      <c r="GD39" s="206" t="str">
        <f>IF(AND($G39&lt;&gt;"",$G39&gt;0,'Outfall 1 Limits'!$AX$108="C1",$BC39&lt;&gt;""),$BC39*$G39*8.34,IF(AND($BC39&lt;&gt;"",'Outfall 1 Limits'!$AX$108="L"),$BC39,""))</f>
        <v/>
      </c>
      <c r="GE39" s="206" t="str">
        <f>IF(AND($G39&lt;&gt;"",$G39&gt;0,'Outfall 1 Limits'!$AX$112="C1",$BE39&lt;&gt;""),$BE39*$G39*8.34,IF(AND($BE39&lt;&gt;"",'Outfall 1 Limits'!$AX$112="L"),$BE39,""))</f>
        <v/>
      </c>
      <c r="GF39" s="206" t="str">
        <f>IF(AND($G39&lt;&gt;"",$G39&gt;0,'Outfall 1 Limits'!$AX$116="C1",$BG39&lt;&gt;""),$BG39*$G39*8.34,IF(AND($BG39&lt;&gt;"",'Outfall 1 Limits'!$AX$116="L"),$BG39,""))</f>
        <v/>
      </c>
      <c r="GG39" s="206" t="str">
        <f>IF(AND($G39&lt;&gt;"",$G39&gt;0,'Outfall 1 Limits'!$AX$120="C1",$BI39&lt;&gt;""),$BI39*$G39*8.34,IF(AND($BI39&lt;&gt;"",'Outfall 1 Limits'!$AX$120="L"),$BI39,""))</f>
        <v/>
      </c>
      <c r="GH39" s="206" t="str">
        <f>IF(AND($G39&lt;&gt;"",$G39&gt;0,'Outfall 1 Limits'!$AX$124="C1",$BK39&lt;&gt;""),$BK39*$G39*8.34,IF(AND($BK39&lt;&gt;"",'Outfall 1 Limits'!$AX$124="L"),$BK39,""))</f>
        <v/>
      </c>
      <c r="GI39" s="223" t="str">
        <f>IF(AND($G39&lt;&gt;"",$G39&gt;0,'Outfall 1 Limits'!$AX$128="C1",$BM39&lt;&gt;""),$BM39*$G39*8.34,IF(AND($BM39&lt;&gt;"",'Outfall 1 Limits'!$AX$128="L"),$BM39,""))</f>
        <v/>
      </c>
      <c r="GJ39" s="177" t="str">
        <f t="shared" si="59"/>
        <v/>
      </c>
      <c r="GK39" s="212" t="str">
        <f>IF(AND($G39&lt;&gt;"",$G39&gt;0,'Outfall 1 Limits'!$AX$16="C1",CY39&lt;&gt;""),CY39*$G39*8.34,IF(AND(CY39&lt;&gt;"",'Outfall 1 Limits'!$AX$16="L"),CY39,""))</f>
        <v/>
      </c>
      <c r="GL39" s="206" t="str">
        <f>IF(AND($G39&lt;&gt;"",$G39&gt;0,'Outfall 1 Limits'!$AX$20="C1",CZ39&lt;&gt;""),CZ39*$G39*8.34,IF(AND(CZ39&lt;&gt;"",'Outfall 1 Limits'!$AX$20="L"),CZ39,""))</f>
        <v/>
      </c>
      <c r="GM39" s="206" t="str">
        <f>IF(AND($G39&lt;&gt;"",$G39&gt;0,'Outfall 1 Limits'!$AX$24="C1",DA39&lt;&gt;""),DA39*$G39*8.34,IF(AND(DA39&lt;&gt;"",'Outfall 1 Limits'!$AX$24="L"),DA39,""))</f>
        <v/>
      </c>
      <c r="GN39" s="206" t="str">
        <f>IF(AND($G39&lt;&gt;"",$G39&gt;0,'Outfall 1 Limits'!$AX$28="C1",DB39&lt;&gt;""),DB39*$G39*8.34,IF(AND(DB39&lt;&gt;"",'Outfall 1 Limits'!$AX$28="L"),DB39,""))</f>
        <v/>
      </c>
      <c r="GO39" s="206" t="str">
        <f>IF(AND($G39&lt;&gt;"",$G39&gt;0,'Outfall 1 Limits'!$AX$32="C1",DC39&lt;&gt;""),DC39*$G39*8.34,IF(AND(DC39&lt;&gt;"",'Outfall 1 Limits'!$AX$32="L"),DC39,""))</f>
        <v/>
      </c>
      <c r="GP39" s="206" t="str">
        <f>IF(AND($G39&lt;&gt;"",$G39&gt;0,'Outfall 1 Limits'!$AX$36="C1",DD39&lt;&gt;""),DD39*$G39*8.34,IF(AND(DD39&lt;&gt;"",'Outfall 1 Limits'!$AX$36="L"),DD39,""))</f>
        <v/>
      </c>
      <c r="GQ39" s="206" t="str">
        <f>IF(AND($G39&lt;&gt;"",$G39&gt;0,'Outfall 1 Limits'!$AX$40="C1",DE39&lt;&gt;""),DE39*$G39*8.34,IF(AND(DE39&lt;&gt;"",'Outfall 1 Limits'!$AX$40="L"),DE39,""))</f>
        <v/>
      </c>
      <c r="GR39" s="206" t="str">
        <f>IF(AND($G39&lt;&gt;"",$G39&gt;0,'Outfall 1 Limits'!$AX$44="C1",DF39&lt;&gt;""),DF39*$G39*8.34,IF(AND(DF39&lt;&gt;"",'Outfall 1 Limits'!$AX$44="L"),DF39,""))</f>
        <v/>
      </c>
      <c r="GS39" s="206" t="str">
        <f>IF(AND($G39&lt;&gt;"",$G39&gt;0,'Outfall 1 Limits'!$AX$48="C1",DG39&lt;&gt;""),DG39*$G39*8.34,IF(AND(DG39&lt;&gt;"",'Outfall 1 Limits'!$AX$48="L"),DG39,""))</f>
        <v/>
      </c>
      <c r="GT39" s="206" t="str">
        <f>IF(AND($G39&lt;&gt;"",$G39&gt;0,'Outfall 1 Limits'!$AX$52="C1",DH39&lt;&gt;""),DH39*$G39*8.34,IF(AND(DH39&lt;&gt;"",'Outfall 1 Limits'!$AX$52="L"),DH39,""))</f>
        <v/>
      </c>
      <c r="GU39" s="206" t="str">
        <f>IF(AND($G39&lt;&gt;"",$G39&gt;0,'Outfall 1 Limits'!$AX$56="C1",DI39&lt;&gt;""),DI39*$G39*8.34,IF(AND(DI39&lt;&gt;"",'Outfall 1 Limits'!$AX$56="L"),DI39,""))</f>
        <v/>
      </c>
      <c r="GV39" s="206" t="str">
        <f>IF(AND($G39&lt;&gt;"",$G39&gt;0,'Outfall 1 Limits'!$AX$60="C1",DJ39&lt;&gt;""),DJ39*$G39*8.34,IF(AND(DJ39&lt;&gt;"",'Outfall 1 Limits'!$AX$60="L"),DJ39,""))</f>
        <v/>
      </c>
      <c r="GW39" s="206" t="str">
        <f>IF(AND($G39&lt;&gt;"",$G39&gt;0,'Outfall 1 Limits'!$AX$64="C1",DK39&lt;&gt;""),DK39*$G39*8.34,IF(AND(DK39&lt;&gt;"",'Outfall 1 Limits'!$AX$64="L"),DK39,""))</f>
        <v/>
      </c>
      <c r="GX39" s="206" t="str">
        <f>IF(AND($G39&lt;&gt;"",$G39&gt;0,'Outfall 1 Limits'!$AX$68="C1",DL39&lt;&gt;""),DL39*$G39*8.34,IF(AND(DL39&lt;&gt;"",'Outfall 1 Limits'!$AX$68="L"),DL39,""))</f>
        <v/>
      </c>
      <c r="GY39" s="206" t="str">
        <f>IF(AND($G39&lt;&gt;"",$G39&gt;0,'Outfall 1 Limits'!$AX$72="C1",DM39&lt;&gt;""),DM39*$G39*8.34,IF(AND(DM39&lt;&gt;"",'Outfall 1 Limits'!$AX$72="L"),DM39,""))</f>
        <v/>
      </c>
      <c r="GZ39" s="206" t="str">
        <f>IF(AND($G39&lt;&gt;"",$G39&gt;0,'Outfall 1 Limits'!$AX$76="C1",DN39&lt;&gt;""),DN39*$G39*8.34,IF(AND(DN39&lt;&gt;"",'Outfall 1 Limits'!$AX$76="L"),DN39,""))</f>
        <v/>
      </c>
      <c r="HA39" s="206" t="str">
        <f>IF(AND($G39&lt;&gt;"",$G39&gt;0,'Outfall 1 Limits'!$AX$80="C1",DO39&lt;&gt;""),DO39*$G39*8.34,IF(AND(DO39&lt;&gt;"",'Outfall 1 Limits'!$AX$80="L"),DO39,""))</f>
        <v/>
      </c>
      <c r="HB39" s="206" t="str">
        <f>IF(AND($G39&lt;&gt;"",$G39&gt;0,'Outfall 1 Limits'!$AX$84="C1",DP39&lt;&gt;""),DP39*$G39*8.34,IF(AND(DP39&lt;&gt;"",'Outfall 1 Limits'!$AX$84="L"),DP39,""))</f>
        <v/>
      </c>
      <c r="HC39" s="206" t="str">
        <f>IF(AND($G39&lt;&gt;"",$G39&gt;0,'Outfall 1 Limits'!$AX$88="C1",DQ39&lt;&gt;""),DQ39*$G39*8.34,IF(AND(DQ39&lt;&gt;"",'Outfall 1 Limits'!$AX$88="L"),DQ39,""))</f>
        <v/>
      </c>
      <c r="HD39" s="206" t="str">
        <f>IF(AND($G39&lt;&gt;"",$G39&gt;0,'Outfall 1 Limits'!$AX$92="C1",DR39&lt;&gt;""),DR39*$G39*8.34,IF(AND(DR39&lt;&gt;"",'Outfall 1 Limits'!$AX$92="L"),DR39,""))</f>
        <v/>
      </c>
      <c r="HE39" s="206" t="str">
        <f>IF(AND($G39&lt;&gt;"",$G39&gt;0,'Outfall 1 Limits'!$AX$96="C1",DS39&lt;&gt;""),DS39*$G39*8.34,IF(AND(DS39&lt;&gt;"",'Outfall 1 Limits'!$AX$96="L"),DS39,""))</f>
        <v/>
      </c>
      <c r="HF39" s="206" t="str">
        <f>IF(AND($G39&lt;&gt;"",$G39&gt;0,'Outfall 1 Limits'!$AX$100="C1",DT39&lt;&gt;""),DT39*$G39*8.34,IF(AND(DT39&lt;&gt;"",'Outfall 1 Limits'!$AX$100="L"),DT39,""))</f>
        <v/>
      </c>
      <c r="HG39" s="206" t="str">
        <f>IF(AND($G39&lt;&gt;"",$G39&gt;0,'Outfall 1 Limits'!$AX$104="C1",DU39&lt;&gt;""),DU39*$G39*8.34,IF(AND(DU39&lt;&gt;"",'Outfall 1 Limits'!$AX$104="L"),DU39,""))</f>
        <v/>
      </c>
      <c r="HH39" s="206" t="str">
        <f>IF(AND($G39&lt;&gt;"",$G39&gt;0,'Outfall 1 Limits'!$AX$108="C1",DV39&lt;&gt;""),DV39*$G39*8.34,IF(AND(DV39&lt;&gt;"",'Outfall 1 Limits'!$AX$108="L"),DV39,""))</f>
        <v/>
      </c>
      <c r="HI39" s="206" t="str">
        <f>IF(AND($G39&lt;&gt;"",$G39&gt;0,'Outfall 1 Limits'!$AX$112="C1",DW39&lt;&gt;""),DW39*$G39*8.34,IF(AND(DW39&lt;&gt;"",'Outfall 1 Limits'!$AX$112="L"),DW39,""))</f>
        <v/>
      </c>
      <c r="HJ39" s="206" t="str">
        <f>IF(AND($G39&lt;&gt;"",$G39&gt;0,'Outfall 1 Limits'!$AX$116="C1",DX39&lt;&gt;""),DX39*$G39*8.34,IF(AND(DX39&lt;&gt;"",'Outfall 1 Limits'!$AX$116="L"),DX39,""))</f>
        <v/>
      </c>
      <c r="HK39" s="206" t="str">
        <f>IF(AND($G39&lt;&gt;"",$G39&gt;0,'Outfall 1 Limits'!$AX$120="C1",DY39&lt;&gt;""),DY39*$G39*8.34,IF(AND(DY39&lt;&gt;"",'Outfall 1 Limits'!$AX$120="L"),DY39,""))</f>
        <v/>
      </c>
      <c r="HL39" s="206" t="str">
        <f>IF(AND($G39&lt;&gt;"",$G39&gt;0,'Outfall 1 Limits'!$AX$124="C1",DZ39&lt;&gt;""),DZ39*$G39*8.34,IF(AND(DZ39&lt;&gt;"",'Outfall 1 Limits'!$AX$124="L"),DZ39,""))</f>
        <v/>
      </c>
      <c r="HM39" s="223" t="str">
        <f>IF(AND($G39&lt;&gt;"",$G39&gt;0,'Outfall 1 Limits'!$AX$128="C1",EA39&lt;&gt;""),EA39*$G39*8.34,IF(AND(EA39&lt;&gt;"",'Outfall 1 Limits'!$AX$128="L"),EA39,""))</f>
        <v/>
      </c>
      <c r="HO39" s="224" t="str">
        <f t="shared" si="60"/>
        <v/>
      </c>
      <c r="HS39" s="202" t="str">
        <f t="shared" si="61"/>
        <v/>
      </c>
      <c r="HT39" s="196" t="str">
        <f t="shared" si="62"/>
        <v/>
      </c>
      <c r="HU39" s="196" t="str">
        <f t="shared" si="63"/>
        <v/>
      </c>
      <c r="HV39" s="196" t="str">
        <f t="shared" si="64"/>
        <v/>
      </c>
      <c r="HW39" s="196" t="str">
        <f t="shared" si="65"/>
        <v/>
      </c>
      <c r="HX39" s="196" t="str">
        <f t="shared" si="66"/>
        <v/>
      </c>
      <c r="HY39" s="196" t="str">
        <f t="shared" si="67"/>
        <v/>
      </c>
      <c r="HZ39" s="196" t="str">
        <f t="shared" si="68"/>
        <v/>
      </c>
      <c r="IA39" s="196" t="str">
        <f t="shared" si="69"/>
        <v/>
      </c>
      <c r="IB39" s="196" t="str">
        <f t="shared" si="70"/>
        <v/>
      </c>
      <c r="IC39" s="196" t="str">
        <f t="shared" si="71"/>
        <v/>
      </c>
      <c r="ID39" s="196" t="str">
        <f t="shared" si="72"/>
        <v/>
      </c>
      <c r="IE39" s="196" t="str">
        <f t="shared" si="73"/>
        <v/>
      </c>
      <c r="IF39" s="196" t="str">
        <f t="shared" si="74"/>
        <v/>
      </c>
      <c r="IG39" s="196" t="str">
        <f t="shared" si="75"/>
        <v/>
      </c>
      <c r="IH39" s="196" t="str">
        <f t="shared" si="76"/>
        <v/>
      </c>
      <c r="II39" s="196" t="str">
        <f t="shared" si="77"/>
        <v/>
      </c>
      <c r="IJ39" s="196" t="str">
        <f t="shared" si="78"/>
        <v/>
      </c>
      <c r="IK39" s="196" t="str">
        <f t="shared" si="79"/>
        <v/>
      </c>
      <c r="IL39" s="196" t="str">
        <f t="shared" si="80"/>
        <v/>
      </c>
      <c r="IM39" s="196" t="str">
        <f t="shared" si="81"/>
        <v/>
      </c>
      <c r="IN39" s="196" t="str">
        <f t="shared" si="82"/>
        <v/>
      </c>
      <c r="IO39" s="196" t="str">
        <f t="shared" si="83"/>
        <v/>
      </c>
      <c r="IP39" s="196" t="str">
        <f t="shared" si="84"/>
        <v/>
      </c>
      <c r="IQ39" s="196" t="str">
        <f t="shared" si="85"/>
        <v/>
      </c>
      <c r="IR39" s="196" t="str">
        <f t="shared" si="86"/>
        <v/>
      </c>
      <c r="IS39" s="196" t="str">
        <f t="shared" si="87"/>
        <v/>
      </c>
      <c r="IT39" s="196" t="str">
        <f t="shared" si="88"/>
        <v/>
      </c>
      <c r="IU39" s="210" t="str">
        <f t="shared" si="89"/>
        <v/>
      </c>
      <c r="IX39" s="202" t="str">
        <f t="shared" si="90"/>
        <v/>
      </c>
      <c r="IY39" s="196" t="str">
        <f t="shared" si="91"/>
        <v/>
      </c>
      <c r="IZ39" s="196" t="str">
        <f t="shared" si="92"/>
        <v/>
      </c>
      <c r="JA39" s="196" t="str">
        <f t="shared" si="93"/>
        <v/>
      </c>
      <c r="JB39" s="196" t="str">
        <f t="shared" si="94"/>
        <v/>
      </c>
      <c r="JC39" s="196" t="str">
        <f t="shared" si="95"/>
        <v/>
      </c>
      <c r="JD39" s="196" t="str">
        <f t="shared" si="96"/>
        <v/>
      </c>
      <c r="JE39" s="196" t="str">
        <f t="shared" si="97"/>
        <v/>
      </c>
      <c r="JF39" s="196" t="str">
        <f t="shared" si="98"/>
        <v/>
      </c>
      <c r="JG39" s="196" t="str">
        <f t="shared" si="99"/>
        <v/>
      </c>
      <c r="JH39" s="196" t="str">
        <f t="shared" si="100"/>
        <v/>
      </c>
      <c r="JI39" s="196" t="str">
        <f t="shared" si="101"/>
        <v/>
      </c>
      <c r="JJ39" s="196" t="str">
        <f t="shared" si="102"/>
        <v/>
      </c>
      <c r="JK39" s="196" t="str">
        <f t="shared" si="103"/>
        <v/>
      </c>
      <c r="JL39" s="196" t="str">
        <f t="shared" si="104"/>
        <v/>
      </c>
      <c r="JM39" s="196" t="str">
        <f t="shared" si="105"/>
        <v/>
      </c>
      <c r="JN39" s="196" t="str">
        <f t="shared" si="106"/>
        <v/>
      </c>
      <c r="JO39" s="196" t="str">
        <f t="shared" si="107"/>
        <v/>
      </c>
      <c r="JP39" s="196" t="str">
        <f t="shared" si="108"/>
        <v/>
      </c>
      <c r="JQ39" s="196" t="str">
        <f t="shared" si="109"/>
        <v/>
      </c>
      <c r="JR39" s="196" t="str">
        <f t="shared" si="110"/>
        <v/>
      </c>
      <c r="JS39" s="196" t="str">
        <f t="shared" si="111"/>
        <v/>
      </c>
      <c r="JT39" s="196" t="str">
        <f t="shared" si="112"/>
        <v/>
      </c>
      <c r="JU39" s="196" t="str">
        <f t="shared" si="113"/>
        <v/>
      </c>
      <c r="JV39" s="196" t="str">
        <f t="shared" si="114"/>
        <v/>
      </c>
      <c r="JW39" s="196" t="str">
        <f t="shared" si="115"/>
        <v/>
      </c>
      <c r="JX39" s="196" t="str">
        <f t="shared" si="116"/>
        <v/>
      </c>
      <c r="JY39" s="196" t="str">
        <f t="shared" si="117"/>
        <v/>
      </c>
      <c r="JZ39" s="210" t="str">
        <f t="shared" si="118"/>
        <v/>
      </c>
      <c r="KA39" s="196"/>
      <c r="KB39" s="176"/>
      <c r="KC39" s="227"/>
      <c r="KD39" s="218" t="str">
        <f t="shared" si="2"/>
        <v/>
      </c>
      <c r="KE39" s="196" t="str">
        <f t="shared" si="3"/>
        <v/>
      </c>
      <c r="KF39" s="196" t="str">
        <f t="shared" si="4"/>
        <v/>
      </c>
      <c r="KG39" s="196" t="str">
        <f t="shared" si="5"/>
        <v/>
      </c>
      <c r="KH39" s="196" t="str">
        <f t="shared" si="6"/>
        <v/>
      </c>
      <c r="KI39" s="196" t="str">
        <f t="shared" si="7"/>
        <v/>
      </c>
      <c r="KJ39" s="196" t="str">
        <f t="shared" si="8"/>
        <v/>
      </c>
      <c r="KK39" s="196" t="str">
        <f t="shared" si="9"/>
        <v/>
      </c>
      <c r="KL39" s="196" t="str">
        <f t="shared" si="10"/>
        <v/>
      </c>
      <c r="KM39" s="196" t="str">
        <f t="shared" si="11"/>
        <v/>
      </c>
      <c r="KN39" s="196" t="str">
        <f t="shared" si="12"/>
        <v/>
      </c>
      <c r="KO39" s="196" t="str">
        <f t="shared" si="13"/>
        <v/>
      </c>
      <c r="KP39" s="196" t="str">
        <f t="shared" si="14"/>
        <v/>
      </c>
      <c r="KQ39" s="196" t="str">
        <f t="shared" si="15"/>
        <v/>
      </c>
      <c r="KR39" s="196" t="str">
        <f t="shared" si="16"/>
        <v/>
      </c>
      <c r="KS39" s="196" t="str">
        <f t="shared" si="17"/>
        <v/>
      </c>
      <c r="KT39" s="196" t="str">
        <f t="shared" si="18"/>
        <v/>
      </c>
      <c r="KU39" s="196" t="str">
        <f t="shared" si="19"/>
        <v/>
      </c>
      <c r="KV39" s="196" t="str">
        <f t="shared" si="20"/>
        <v/>
      </c>
      <c r="KW39" s="196" t="str">
        <f t="shared" si="21"/>
        <v/>
      </c>
      <c r="KX39" s="196" t="str">
        <f t="shared" si="22"/>
        <v/>
      </c>
      <c r="KY39" s="196" t="str">
        <f t="shared" si="23"/>
        <v/>
      </c>
      <c r="KZ39" s="196" t="str">
        <f t="shared" si="24"/>
        <v/>
      </c>
      <c r="LA39" s="196" t="str">
        <f t="shared" si="25"/>
        <v/>
      </c>
      <c r="LB39" s="196" t="str">
        <f t="shared" si="26"/>
        <v/>
      </c>
      <c r="LC39" s="196" t="str">
        <f t="shared" si="27"/>
        <v/>
      </c>
      <c r="LD39" s="196" t="str">
        <f t="shared" si="28"/>
        <v/>
      </c>
      <c r="LE39" s="196" t="str">
        <f t="shared" si="29"/>
        <v/>
      </c>
      <c r="LF39" s="226" t="str">
        <f t="shared" si="30"/>
        <v/>
      </c>
    </row>
    <row r="40" spans="1:318" s="172" customFormat="1" ht="11.45" customHeight="1" x14ac:dyDescent="0.2">
      <c r="A40" s="35"/>
      <c r="B40" s="54"/>
      <c r="C40" s="438">
        <f t="shared" si="0"/>
        <v>45314</v>
      </c>
      <c r="D40" s="438"/>
      <c r="E40" s="430">
        <f t="shared" si="119"/>
        <v>45314</v>
      </c>
      <c r="F40" s="431"/>
      <c r="G40" s="26"/>
      <c r="H40" s="51"/>
      <c r="I40" s="50"/>
      <c r="J40" s="51"/>
      <c r="K40" s="50"/>
      <c r="L40" s="51"/>
      <c r="M40" s="50"/>
      <c r="N40" s="51"/>
      <c r="O40" s="50"/>
      <c r="P40" s="51"/>
      <c r="Q40" s="50"/>
      <c r="R40" s="51"/>
      <c r="S40" s="50"/>
      <c r="T40" s="51"/>
      <c r="U40" s="50"/>
      <c r="V40" s="51"/>
      <c r="W40" s="50"/>
      <c r="X40" s="276"/>
      <c r="Y40" s="50"/>
      <c r="Z40" s="51"/>
      <c r="AA40" s="50"/>
      <c r="AB40" s="51"/>
      <c r="AC40" s="50"/>
      <c r="AD40" s="51"/>
      <c r="AE40" s="50"/>
      <c r="AF40" s="51"/>
      <c r="AG40" s="50"/>
      <c r="AH40" s="51"/>
      <c r="AI40" s="50"/>
      <c r="AJ40" s="51"/>
      <c r="AK40" s="50"/>
      <c r="AL40" s="51"/>
      <c r="AM40" s="50"/>
      <c r="AN40" s="51"/>
      <c r="AO40" s="50"/>
      <c r="AP40" s="51"/>
      <c r="AQ40" s="50"/>
      <c r="AR40" s="51"/>
      <c r="AS40" s="50"/>
      <c r="AT40" s="51"/>
      <c r="AU40" s="50"/>
      <c r="AV40" s="51"/>
      <c r="AW40" s="50"/>
      <c r="AX40" s="51"/>
      <c r="AY40" s="50"/>
      <c r="AZ40" s="51"/>
      <c r="BA40" s="50"/>
      <c r="BB40" s="51"/>
      <c r="BC40" s="50"/>
      <c r="BD40" s="51"/>
      <c r="BE40" s="50"/>
      <c r="BF40" s="51"/>
      <c r="BG40" s="50"/>
      <c r="BH40" s="51"/>
      <c r="BI40" s="50"/>
      <c r="BJ40" s="51"/>
      <c r="BK40" s="50"/>
      <c r="BL40" s="51"/>
      <c r="BM40" s="109"/>
      <c r="BO40" s="174"/>
      <c r="BP40" s="174">
        <v>2059</v>
      </c>
      <c r="BQ40" s="221" t="s">
        <v>54</v>
      </c>
      <c r="BR40" s="222"/>
      <c r="BS40" s="174" t="s">
        <v>1111</v>
      </c>
      <c r="BU40" s="202" t="str">
        <f t="shared" si="31"/>
        <v/>
      </c>
      <c r="BV40" s="196" t="str">
        <f t="shared" si="32"/>
        <v/>
      </c>
      <c r="BW40" s="196" t="str">
        <f t="shared" si="33"/>
        <v/>
      </c>
      <c r="BX40" s="196" t="str">
        <f t="shared" si="34"/>
        <v/>
      </c>
      <c r="BY40" s="196" t="str">
        <f t="shared" si="35"/>
        <v/>
      </c>
      <c r="BZ40" s="196" t="str">
        <f t="shared" si="36"/>
        <v/>
      </c>
      <c r="CA40" s="196" t="str">
        <f t="shared" si="37"/>
        <v/>
      </c>
      <c r="CB40" s="196" t="str">
        <f t="shared" si="38"/>
        <v/>
      </c>
      <c r="CC40" s="196" t="str">
        <f t="shared" si="39"/>
        <v/>
      </c>
      <c r="CD40" s="196" t="str">
        <f t="shared" si="40"/>
        <v/>
      </c>
      <c r="CE40" s="196" t="str">
        <f t="shared" si="41"/>
        <v/>
      </c>
      <c r="CF40" s="196" t="str">
        <f t="shared" si="42"/>
        <v/>
      </c>
      <c r="CG40" s="196" t="str">
        <f t="shared" si="43"/>
        <v/>
      </c>
      <c r="CH40" s="196" t="str">
        <f t="shared" si="44"/>
        <v/>
      </c>
      <c r="CI40" s="196" t="str">
        <f t="shared" si="45"/>
        <v/>
      </c>
      <c r="CJ40" s="196" t="str">
        <f t="shared" si="46"/>
        <v/>
      </c>
      <c r="CK40" s="196" t="str">
        <f t="shared" si="47"/>
        <v/>
      </c>
      <c r="CL40" s="196" t="str">
        <f t="shared" si="48"/>
        <v/>
      </c>
      <c r="CM40" s="196" t="str">
        <f t="shared" si="120"/>
        <v/>
      </c>
      <c r="CN40" s="196" t="str">
        <f t="shared" si="49"/>
        <v/>
      </c>
      <c r="CO40" s="196" t="str">
        <f t="shared" si="50"/>
        <v/>
      </c>
      <c r="CP40" s="196" t="str">
        <f t="shared" si="51"/>
        <v/>
      </c>
      <c r="CQ40" s="196" t="str">
        <f t="shared" si="52"/>
        <v/>
      </c>
      <c r="CR40" s="196" t="str">
        <f t="shared" si="53"/>
        <v/>
      </c>
      <c r="CS40" s="196" t="str">
        <f t="shared" si="54"/>
        <v/>
      </c>
      <c r="CT40" s="196" t="str">
        <f t="shared" si="55"/>
        <v/>
      </c>
      <c r="CU40" s="196" t="str">
        <f t="shared" si="56"/>
        <v/>
      </c>
      <c r="CV40" s="196" t="str">
        <f t="shared" si="57"/>
        <v/>
      </c>
      <c r="CW40" s="210" t="str">
        <f t="shared" si="58"/>
        <v/>
      </c>
      <c r="CY40" s="212" t="str">
        <f>IF(I40&lt;&gt;"",IF(H40="&lt;",IF(AND('Outfall 1 Limits'!$AM$16="Y",$BU$54&lt;&gt;"Y",I40&lt;='Outfall 1 Limits'!$AL$16),0,(1*I40)),I40),"")</f>
        <v/>
      </c>
      <c r="CZ40" s="206" t="str">
        <f>IF(K40&lt;&gt;"",IF(J40="&lt;",IF(AND('Outfall 1 Limits'!$AM$20="Y",$BV$54&lt;&gt;"Y",K40&lt;='Outfall 1 Limits'!$AL$20),0,(1*K40)),K40),"")</f>
        <v/>
      </c>
      <c r="DA40" s="206" t="str">
        <f>IF(M40&lt;&gt;"",IF(L40="&lt;",IF(AND('Outfall 1 Limits'!$AM$24="Y",$BW$54&lt;&gt;"Y",M40&lt;='Outfall 1 Limits'!$AL$24),0,(1*M40)),M40),"")</f>
        <v/>
      </c>
      <c r="DB40" s="206" t="str">
        <f>IF(O40&lt;&gt;"",IF(N40="&lt;",IF(AND('Outfall 1 Limits'!$AM$28="Y",$BX$54&lt;&gt;"Y",O40&lt;='Outfall 1 Limits'!$AL$28),0,(1*O40)),O40),"")</f>
        <v/>
      </c>
      <c r="DC40" s="206" t="str">
        <f>IF(Q40&lt;&gt;"",IF(P40="&lt;",IF(AND('Outfall 1 Limits'!$AM$32="Y",$BY$54&lt;&gt;"Y",Q40&lt;='Outfall 1 Limits'!$AL$32),0,(1*Q40)),Q40),"")</f>
        <v/>
      </c>
      <c r="DD40" s="206" t="str">
        <f>IF(S40&lt;&gt;"",IF(R40="&lt;",IF(AND('Outfall 1 Limits'!$AM$36="Y",$BZ$54&lt;&gt;"Y",S40&lt;='Outfall 1 Limits'!$AL$36),0,(1*S40)),S40),"")</f>
        <v/>
      </c>
      <c r="DE40" s="206" t="str">
        <f>IF(U40&lt;&gt;"",IF(T40="&lt;",IF(AND('Outfall 1 Limits'!$AM$40="Y",$CA$54&lt;&gt;"Y",U40&lt;='Outfall 1 Limits'!$AL$40),0,(1*U40)),U40),"")</f>
        <v/>
      </c>
      <c r="DF40" s="206" t="str">
        <f>IF(W40&lt;&gt;"",IF(V40="&lt;",IF(AND('Outfall 1 Limits'!$AM$44="Y",$CB$54&lt;&gt;"Y",W40&lt;='Outfall 1 Limits'!$AL$44),0,(1*W40)),W40),"")</f>
        <v/>
      </c>
      <c r="DG40" s="206" t="str">
        <f>IF(Y40&lt;&gt;"",IF(X40="&lt;",IF(AND('Outfall 1 Limits'!$AM$48="Y",$CC$54&lt;&gt;"Y",Y40&lt;='Outfall 1 Limits'!$AL$48),0,(1*Y40)),Y40),"")</f>
        <v/>
      </c>
      <c r="DH40" s="206" t="str">
        <f>IF(AA40&lt;&gt;"",IF(Z40="&lt;",IF(AND('Outfall 1 Limits'!$AM$52="Y",$CD$54&lt;&gt;"Y",AA40&lt;='Outfall 1 Limits'!$AL$52),0,(1*AA40)),AA40),"")</f>
        <v/>
      </c>
      <c r="DI40" s="206" t="str">
        <f>IF(AC40&lt;&gt;"",IF(AB40="&lt;",IF(AND('Outfall 1 Limits'!$AM$56="Y",$CE$54&lt;&gt;"Y",AC40&lt;='Outfall 1 Limits'!$AL$56),0,(1*AC40)),AC40),"")</f>
        <v/>
      </c>
      <c r="DJ40" s="206" t="str">
        <f>IF(AE40&lt;&gt;"",IF(AD40="&lt;",IF(AND('Outfall 1 Limits'!$AM$60="Y",$CF$54&lt;&gt;"Y",AE40&lt;='Outfall 1 Limits'!$AL$60),0,(1*AE40)),AE40),"")</f>
        <v/>
      </c>
      <c r="DK40" s="206" t="str">
        <f>IF(AG40&lt;&gt;"",IF(AF40="&lt;",IF(AND('Outfall 1 Limits'!$AM$64="Y",$CG$54&lt;&gt;"Y",AG40&lt;='Outfall 1 Limits'!$AL$64),0,(1*AG40)),AG40),"")</f>
        <v/>
      </c>
      <c r="DL40" s="206" t="str">
        <f>IF(AI40&lt;&gt;"",IF(AH40="&lt;",IF(AND('Outfall 1 Limits'!$AM$68="Y",$CH$54&lt;&gt;"Y",AI40&lt;='Outfall 1 Limits'!$AL$68),0,(1*AI40)),AI40),"")</f>
        <v/>
      </c>
      <c r="DM40" s="206" t="str">
        <f>IF(AK40&lt;&gt;"",IF(AJ40="&lt;",IF(AND('Outfall 1 Limits'!$AM$72="Y",$CI$54&lt;&gt;"Y",AK40&lt;='Outfall 1 Limits'!$AL$72),0,(1*AK40)),AK40),"")</f>
        <v/>
      </c>
      <c r="DN40" s="206" t="str">
        <f>IF(AM40&lt;&gt;"",IF(AL40="&lt;",IF(AND('Outfall 1 Limits'!$AM$76="Y",$CJ$54&lt;&gt;"Y",AM40&lt;='Outfall 1 Limits'!$AL$76),0,(1*AM40)),AM40),"")</f>
        <v/>
      </c>
      <c r="DO40" s="206" t="str">
        <f>IF(AO40&lt;&gt;"",IF(AN40="&lt;",IF(AND('Outfall 1 Limits'!$AM$80="Y",$CK$54&lt;&gt;"Y",AO40&lt;='Outfall 1 Limits'!$AL$80),0,(1*AO40)),AO40),"")</f>
        <v/>
      </c>
      <c r="DP40" s="206" t="str">
        <f>IF(AQ40&lt;&gt;"",IF(AP40="&lt;",IF(AND('Outfall 1 Limits'!$AM$84="Y",$CL$54&lt;&gt;"Y",AQ40&lt;='Outfall 1 Limits'!$AL$84),0,(1*AQ40)),AQ40),"")</f>
        <v/>
      </c>
      <c r="DQ40" s="206" t="str">
        <f>IF(AS40&lt;&gt;"",IF(AR40="&lt;",IF(AND('Outfall 1 Limits'!$AM$88="Y",$CM$54&lt;&gt;"Y",AS40&lt;='Outfall 1 Limits'!$AL$88),0,(1*AS40)),AS40),"")</f>
        <v/>
      </c>
      <c r="DR40" s="206" t="str">
        <f>IF(AU40&lt;&gt;"",IF(AT40="&lt;",IF(AND('Outfall 1 Limits'!$AM$92="Y",$CN$54&lt;&gt;"Y",AU40&lt;='Outfall 1 Limits'!$AL$92),0,(1*AU40)),AU40),"")</f>
        <v/>
      </c>
      <c r="DS40" s="206" t="str">
        <f>IF(AW40&lt;&gt;"",IF(AV40="&lt;",IF(AND('Outfall 1 Limits'!$AM$96="Y",$CO$54&lt;&gt;"Y",AW40&lt;='Outfall 1 Limits'!$AL$96),0,(1*AW40)),AW40),"")</f>
        <v/>
      </c>
      <c r="DT40" s="206" t="str">
        <f>IF(AY40&lt;&gt;"",IF(AX40="&lt;",IF(AND('Outfall 1 Limits'!$AM$100="Y",$CP$54&lt;&gt;"Y",AY40&lt;='Outfall 1 Limits'!$AL$100),0,(1*AY40)),AY40),"")</f>
        <v/>
      </c>
      <c r="DU40" s="206" t="str">
        <f>IF(BA40&lt;&gt;"",IF(AZ40="&lt;",IF(AND('Outfall 1 Limits'!$AM$104="Y",$CQ$54&lt;&gt;"Y",BA40&lt;='Outfall 1 Limits'!$AL$104),0,(1*BA40)),BA40),"")</f>
        <v/>
      </c>
      <c r="DV40" s="206" t="str">
        <f>IF(BC40&lt;&gt;"",IF(BB40="&lt;",IF(AND('Outfall 1 Limits'!$AM$108="Y",$CR$54&lt;&gt;"Y",BC40&lt;='Outfall 1 Limits'!$AL$108),0,(1*BC40)),BC40),"")</f>
        <v/>
      </c>
      <c r="DW40" s="206" t="str">
        <f>IF(BE40&lt;&gt;"",IF(BD40="&lt;",IF(AND('Outfall 1 Limits'!$AM$112="Y",$CS$54&lt;&gt;"Y",BE40&lt;='Outfall 1 Limits'!$AL$112),0,(1*BE40)),BE40),"")</f>
        <v/>
      </c>
      <c r="DX40" s="206" t="str">
        <f>IF(BG40&lt;&gt;"",IF(BF40="&lt;",IF(AND('Outfall 1 Limits'!$AM$116="Y",$CT$54&lt;&gt;"Y",BG40&lt;='Outfall 1 Limits'!$AL$116),0,(1*BG40)),BG40),"")</f>
        <v/>
      </c>
      <c r="DY40" s="206" t="str">
        <f>IF(BI40&lt;&gt;"",IF(BH40="&lt;",IF(AND('Outfall 1 Limits'!$AM$120="Y",$CU$54&lt;&gt;"Y",BI40&lt;='Outfall 1 Limits'!$AL$120),0,(1*BI40)),BI40),"")</f>
        <v/>
      </c>
      <c r="DZ40" s="206" t="str">
        <f>IF(BK40&lt;&gt;"",IF(BJ40="&lt;",IF(AND('Outfall 1 Limits'!$AM$124="Y",$CV$54&lt;&gt;"Y",BK40&lt;='Outfall 1 Limits'!$AL$124),0,(1*BK40)),BK40),"")</f>
        <v/>
      </c>
      <c r="EA40" s="223" t="str">
        <f>IF(BM40&lt;&gt;"",IF(BL40="&lt;",IF(AND('Outfall 1 Limits'!$AM$128="Y",$CW$54&lt;&gt;"Y",BM40&lt;='Outfall 1 Limits'!$AL$128),0,(1*BM40)),BM40),"")</f>
        <v/>
      </c>
      <c r="EB40" s="209" t="s">
        <v>1143</v>
      </c>
      <c r="EC40" s="231" t="str">
        <f>IF(EC33&lt;&gt;"",IF(BU62="Y",EC33-0.1,EC33),"")</f>
        <v/>
      </c>
      <c r="ED40" s="232" t="str">
        <f t="shared" ref="ED40:FE40" si="164">IF(ED33&lt;&gt;"",IF(BV62="Y",ED33-0.1,ED33),"")</f>
        <v/>
      </c>
      <c r="EE40" s="232" t="str">
        <f t="shared" si="164"/>
        <v/>
      </c>
      <c r="EF40" s="232" t="str">
        <f t="shared" si="164"/>
        <v/>
      </c>
      <c r="EG40" s="232" t="str">
        <f t="shared" si="164"/>
        <v/>
      </c>
      <c r="EH40" s="232" t="str">
        <f t="shared" si="164"/>
        <v/>
      </c>
      <c r="EI40" s="232" t="str">
        <f t="shared" si="164"/>
        <v/>
      </c>
      <c r="EJ40" s="232" t="str">
        <f t="shared" si="164"/>
        <v/>
      </c>
      <c r="EK40" s="232" t="str">
        <f t="shared" si="164"/>
        <v/>
      </c>
      <c r="EL40" s="232" t="str">
        <f t="shared" si="164"/>
        <v/>
      </c>
      <c r="EM40" s="232" t="str">
        <f t="shared" si="164"/>
        <v/>
      </c>
      <c r="EN40" s="232" t="str">
        <f t="shared" si="164"/>
        <v/>
      </c>
      <c r="EO40" s="232" t="str">
        <f t="shared" si="164"/>
        <v/>
      </c>
      <c r="EP40" s="232" t="str">
        <f t="shared" si="164"/>
        <v/>
      </c>
      <c r="EQ40" s="232" t="str">
        <f t="shared" si="164"/>
        <v/>
      </c>
      <c r="ER40" s="232" t="str">
        <f t="shared" si="164"/>
        <v/>
      </c>
      <c r="ES40" s="232" t="str">
        <f t="shared" si="164"/>
        <v/>
      </c>
      <c r="ET40" s="232" t="str">
        <f t="shared" si="164"/>
        <v/>
      </c>
      <c r="EU40" s="232" t="str">
        <f t="shared" si="164"/>
        <v/>
      </c>
      <c r="EV40" s="232" t="str">
        <f t="shared" si="164"/>
        <v/>
      </c>
      <c r="EW40" s="232" t="str">
        <f t="shared" si="164"/>
        <v/>
      </c>
      <c r="EX40" s="232" t="str">
        <f t="shared" si="164"/>
        <v/>
      </c>
      <c r="EY40" s="232" t="str">
        <f t="shared" si="164"/>
        <v/>
      </c>
      <c r="EZ40" s="232" t="str">
        <f t="shared" si="164"/>
        <v/>
      </c>
      <c r="FA40" s="232" t="str">
        <f t="shared" si="164"/>
        <v/>
      </c>
      <c r="FB40" s="232" t="str">
        <f t="shared" si="164"/>
        <v/>
      </c>
      <c r="FC40" s="232" t="str">
        <f t="shared" si="164"/>
        <v/>
      </c>
      <c r="FD40" s="232" t="str">
        <f t="shared" si="164"/>
        <v/>
      </c>
      <c r="FE40" s="233" t="str">
        <f t="shared" si="164"/>
        <v/>
      </c>
      <c r="FG40" s="212" t="str">
        <f>IF(AND($G40&lt;&gt;"",$G40&gt;0,'Outfall 1 Limits'!$AX$16="C1",I40&lt;&gt;""),I40*$G40*8.34,IF(AND($I40&lt;&gt;"",'Outfall 1 Limits'!$AX$16="L"),I40,""))</f>
        <v/>
      </c>
      <c r="FH40" s="206" t="str">
        <f>IF(AND($G40&lt;&gt;"",$G40&gt;0,'Outfall 1 Limits'!$AX$20="C1",$K40&lt;&gt;""),$K40*$G40*8.34,IF(AND($K40&lt;&gt;"",'Outfall 1 Limits'!$AX$20="L"),$K40,""))</f>
        <v/>
      </c>
      <c r="FI40" s="206" t="str">
        <f>IF(AND($G40&lt;&gt;"",$G40&gt;0,'Outfall 1 Limits'!$AX$24="C1",$M40&lt;&gt;""),$M40*$G40*8.34,IF(AND($M40&lt;&gt;"",'Outfall 1 Limits'!$AX$24="L"),$M40,""))</f>
        <v/>
      </c>
      <c r="FJ40" s="206" t="str">
        <f>IF(AND($G40&lt;&gt;"",$G40&gt;0,'Outfall 1 Limits'!$AX$28="C1",$O40&lt;&gt;""),$O40*$G40*8.34,IF(AND($O40&lt;&gt;"",'Outfall 1 Limits'!$AX$28="L"),$O40,""))</f>
        <v/>
      </c>
      <c r="FK40" s="206" t="str">
        <f>IF(AND($G40&lt;&gt;"",$G40&gt;0,'Outfall 1 Limits'!$AX$32="C1",$Q40&lt;&gt;""),$Q40*$G40*8.34,IF(AND($Q40&lt;&gt;"",'Outfall 1 Limits'!$AX$32="L"),$Q40,""))</f>
        <v/>
      </c>
      <c r="FL40" s="206" t="str">
        <f>IF(AND($G40&lt;&gt;"",$G40&gt;0,'Outfall 1 Limits'!$AX$36="C1",$S40&lt;&gt;""),$S40*$G40*8.34,IF(AND($S40&lt;&gt;"",'Outfall 1 Limits'!$AX$36="L"),$S40,""))</f>
        <v/>
      </c>
      <c r="FM40" s="206" t="str">
        <f>IF(AND($G40&lt;&gt;"",$G40&gt;0,'Outfall 1 Limits'!$AX$40="C1",$U40&lt;&gt;""),$U40*$G40*8.34,IF(AND($U40&lt;&gt;"",'Outfall 1 Limits'!$AX$40="L"),$U40,""))</f>
        <v/>
      </c>
      <c r="FN40" s="206" t="str">
        <f>IF(AND($G40&lt;&gt;"",$G40&gt;0,'Outfall 1 Limits'!$AX$44="C1",$W40&lt;&gt;""),$W40*$G40*8.34,IF(AND($W40&lt;&gt;"",'Outfall 1 Limits'!$AX$44="L"),$W40,""))</f>
        <v/>
      </c>
      <c r="FO40" s="206" t="str">
        <f>IF(AND($G40&lt;&gt;"",$G40&gt;0,'Outfall 1 Limits'!$AX$48="C1",$Y40&lt;&gt;""),$Y40*$G40*8.34,IF(AND($Y40&lt;&gt;"",'Outfall 1 Limits'!$AX$48="L"),$Y40,""))</f>
        <v/>
      </c>
      <c r="FP40" s="206" t="str">
        <f>IF(AND($G40&lt;&gt;"",$G40&gt;0,'Outfall 1 Limits'!$AX$52="C1",$AA40&lt;&gt;""),$AA40*$G40*8.34,IF(AND($AA40&lt;&gt;"",'Outfall 1 Limits'!$AX$52="L"),$AA40,""))</f>
        <v/>
      </c>
      <c r="FQ40" s="206" t="str">
        <f>IF(AND($G40&lt;&gt;"",$G40&gt;0,'Outfall 1 Limits'!$AX$56="C1",$AC40&lt;&gt;""),$AC40*$G40*8.34,IF(AND($AC40&lt;&gt;"",'Outfall 1 Limits'!$AX$56="L"),$AC40,""))</f>
        <v/>
      </c>
      <c r="FR40" s="206" t="str">
        <f>IF(AND($G40&lt;&gt;"",$G40&gt;0,'Outfall 1 Limits'!$AX$60="C1",$AE40&lt;&gt;""),$AE40*$G40*8.34,IF(AND($AE40&lt;&gt;"",'Outfall 1 Limits'!$AX$60="L"),$AE40,""))</f>
        <v/>
      </c>
      <c r="FS40" s="206" t="str">
        <f>IF(AND($G40&lt;&gt;"",$G40&gt;0,'Outfall 1 Limits'!$AX$64="C1",$AG40&lt;&gt;""),$AG40*$G40*8.34,IF(AND($AG40&lt;&gt;"",'Outfall 1 Limits'!$AX$64="L"),$AG40,""))</f>
        <v/>
      </c>
      <c r="FT40" s="206" t="str">
        <f>IF(AND($G40&lt;&gt;"",$G40&gt;0,'Outfall 1 Limits'!$AX$68="C1",$AI40&lt;&gt;""),$AI40*$G40*8.34,IF(AND($AI40&lt;&gt;"",'Outfall 1 Limits'!$AX$68="L"),$AI40,""))</f>
        <v/>
      </c>
      <c r="FU40" s="206" t="str">
        <f>IF(AND($G40&lt;&gt;"",$G40&gt;0,'Outfall 1 Limits'!$AX$72="C1",$AK40&lt;&gt;""),$AK40*$G40*8.34,IF(AND($AK40&lt;&gt;"",'Outfall 1 Limits'!$AX$72="L"),$AK40,""))</f>
        <v/>
      </c>
      <c r="FV40" s="206" t="str">
        <f>IF(AND($G40&lt;&gt;"",$G40&gt;0,'Outfall 1 Limits'!$AX$76="C1",$AM40&lt;&gt;""),$AM40*$G40*8.34,IF(AND($AM40&lt;&gt;"",'Outfall 1 Limits'!$AX$76="L"),$AM40,""))</f>
        <v/>
      </c>
      <c r="FW40" s="206" t="str">
        <f>IF(AND($G40&lt;&gt;"",$G40&gt;0,'Outfall 1 Limits'!$AX$80="C1",$AO40&lt;&gt;""),$AO40*$G40*8.34,IF(AND($AO40&lt;&gt;"",'Outfall 1 Limits'!$AX$80="L"),$AO40,""))</f>
        <v/>
      </c>
      <c r="FX40" s="206" t="str">
        <f>IF(AND($G40&lt;&gt;"",$G40&gt;0,'Outfall 1 Limits'!$AX$84="C1",$AQ40&lt;&gt;""),$AQ40*$G40*8.34,IF(AND($AQ40&lt;&gt;"",'Outfall 1 Limits'!$AX$84="L"),$AQ40,""))</f>
        <v/>
      </c>
      <c r="FY40" s="206" t="str">
        <f>IF(AND($G40&lt;&gt;"",$G40&gt;0,'Outfall 1 Limits'!$AX$88="C1",$AS40&lt;&gt;""),$AS40*$G40*8.34,IF(AND($AS40&lt;&gt;"",'Outfall 1 Limits'!$AX$88="L"),$AS40,""))</f>
        <v/>
      </c>
      <c r="FZ40" s="206" t="str">
        <f>IF(AND($G40&lt;&gt;"",$G40&gt;0,'Outfall 1 Limits'!$AX$92="C1",$AU40&lt;&gt;""),$AU40*$G40*8.34,IF(AND($AU40&lt;&gt;"",'Outfall 1 Limits'!$AX$92="L"),$AU40,""))</f>
        <v/>
      </c>
      <c r="GA40" s="206" t="str">
        <f>IF(AND($G40&lt;&gt;"",$G40&gt;0,'Outfall 1 Limits'!$AX$96="C1",$AW40&lt;&gt;""),$AW40*$G40*8.34,IF(AND($AW40&lt;&gt;"",'Outfall 1 Limits'!$AX$96="L"),$AW40,""))</f>
        <v/>
      </c>
      <c r="GB40" s="206" t="str">
        <f>IF(AND($G40&lt;&gt;"",$G40&gt;0,'Outfall 1 Limits'!$AX$100="C1",$AY40&lt;&gt;""),$AY40*$G40*8.34,IF(AND($AY40&lt;&gt;"",'Outfall 1 Limits'!$AX$100="L"),$AY40,""))</f>
        <v/>
      </c>
      <c r="GC40" s="206" t="str">
        <f>IF(AND($G40&lt;&gt;"",$G40&gt;0,'Outfall 1 Limits'!$AX$104="C1",$BA40&lt;&gt;""),$BA40*$G40*8.34,IF(AND($BA40&lt;&gt;"",'Outfall 1 Limits'!$AX$104="L"),$BA40,""))</f>
        <v/>
      </c>
      <c r="GD40" s="206" t="str">
        <f>IF(AND($G40&lt;&gt;"",$G40&gt;0,'Outfall 1 Limits'!$AX$108="C1",$BC40&lt;&gt;""),$BC40*$G40*8.34,IF(AND($BC40&lt;&gt;"",'Outfall 1 Limits'!$AX$108="L"),$BC40,""))</f>
        <v/>
      </c>
      <c r="GE40" s="206" t="str">
        <f>IF(AND($G40&lt;&gt;"",$G40&gt;0,'Outfall 1 Limits'!$AX$112="C1",$BE40&lt;&gt;""),$BE40*$G40*8.34,IF(AND($BE40&lt;&gt;"",'Outfall 1 Limits'!$AX$112="L"),$BE40,""))</f>
        <v/>
      </c>
      <c r="GF40" s="206" t="str">
        <f>IF(AND($G40&lt;&gt;"",$G40&gt;0,'Outfall 1 Limits'!$AX$116="C1",$BG40&lt;&gt;""),$BG40*$G40*8.34,IF(AND($BG40&lt;&gt;"",'Outfall 1 Limits'!$AX$116="L"),$BG40,""))</f>
        <v/>
      </c>
      <c r="GG40" s="206" t="str">
        <f>IF(AND($G40&lt;&gt;"",$G40&gt;0,'Outfall 1 Limits'!$AX$120="C1",$BI40&lt;&gt;""),$BI40*$G40*8.34,IF(AND($BI40&lt;&gt;"",'Outfall 1 Limits'!$AX$120="L"),$BI40,""))</f>
        <v/>
      </c>
      <c r="GH40" s="206" t="str">
        <f>IF(AND($G40&lt;&gt;"",$G40&gt;0,'Outfall 1 Limits'!$AX$124="C1",$BK40&lt;&gt;""),$BK40*$G40*8.34,IF(AND($BK40&lt;&gt;"",'Outfall 1 Limits'!$AX$124="L"),$BK40,""))</f>
        <v/>
      </c>
      <c r="GI40" s="223" t="str">
        <f>IF(AND($G40&lt;&gt;"",$G40&gt;0,'Outfall 1 Limits'!$AX$128="C1",$BM40&lt;&gt;""),$BM40*$G40*8.34,IF(AND($BM40&lt;&gt;"",'Outfall 1 Limits'!$AX$128="L"),$BM40,""))</f>
        <v/>
      </c>
      <c r="GJ40" s="177" t="str">
        <f t="shared" si="59"/>
        <v/>
      </c>
      <c r="GK40" s="212" t="str">
        <f>IF(AND($G40&lt;&gt;"",$G40&gt;0,'Outfall 1 Limits'!$AX$16="C1",CY40&lt;&gt;""),CY40*$G40*8.34,IF(AND(CY40&lt;&gt;"",'Outfall 1 Limits'!$AX$16="L"),CY40,""))</f>
        <v/>
      </c>
      <c r="GL40" s="206" t="str">
        <f>IF(AND($G40&lt;&gt;"",$G40&gt;0,'Outfall 1 Limits'!$AX$20="C1",CZ40&lt;&gt;""),CZ40*$G40*8.34,IF(AND(CZ40&lt;&gt;"",'Outfall 1 Limits'!$AX$20="L"),CZ40,""))</f>
        <v/>
      </c>
      <c r="GM40" s="206" t="str">
        <f>IF(AND($G40&lt;&gt;"",$G40&gt;0,'Outfall 1 Limits'!$AX$24="C1",DA40&lt;&gt;""),DA40*$G40*8.34,IF(AND(DA40&lt;&gt;"",'Outfall 1 Limits'!$AX$24="L"),DA40,""))</f>
        <v/>
      </c>
      <c r="GN40" s="206" t="str">
        <f>IF(AND($G40&lt;&gt;"",$G40&gt;0,'Outfall 1 Limits'!$AX$28="C1",DB40&lt;&gt;""),DB40*$G40*8.34,IF(AND(DB40&lt;&gt;"",'Outfall 1 Limits'!$AX$28="L"),DB40,""))</f>
        <v/>
      </c>
      <c r="GO40" s="206" t="str">
        <f>IF(AND($G40&lt;&gt;"",$G40&gt;0,'Outfall 1 Limits'!$AX$32="C1",DC40&lt;&gt;""),DC40*$G40*8.34,IF(AND(DC40&lt;&gt;"",'Outfall 1 Limits'!$AX$32="L"),DC40,""))</f>
        <v/>
      </c>
      <c r="GP40" s="206" t="str">
        <f>IF(AND($G40&lt;&gt;"",$G40&gt;0,'Outfall 1 Limits'!$AX$36="C1",DD40&lt;&gt;""),DD40*$G40*8.34,IF(AND(DD40&lt;&gt;"",'Outfall 1 Limits'!$AX$36="L"),DD40,""))</f>
        <v/>
      </c>
      <c r="GQ40" s="206" t="str">
        <f>IF(AND($G40&lt;&gt;"",$G40&gt;0,'Outfall 1 Limits'!$AX$40="C1",DE40&lt;&gt;""),DE40*$G40*8.34,IF(AND(DE40&lt;&gt;"",'Outfall 1 Limits'!$AX$40="L"),DE40,""))</f>
        <v/>
      </c>
      <c r="GR40" s="206" t="str">
        <f>IF(AND($G40&lt;&gt;"",$G40&gt;0,'Outfall 1 Limits'!$AX$44="C1",DF40&lt;&gt;""),DF40*$G40*8.34,IF(AND(DF40&lt;&gt;"",'Outfall 1 Limits'!$AX$44="L"),DF40,""))</f>
        <v/>
      </c>
      <c r="GS40" s="206" t="str">
        <f>IF(AND($G40&lt;&gt;"",$G40&gt;0,'Outfall 1 Limits'!$AX$48="C1",DG40&lt;&gt;""),DG40*$G40*8.34,IF(AND(DG40&lt;&gt;"",'Outfall 1 Limits'!$AX$48="L"),DG40,""))</f>
        <v/>
      </c>
      <c r="GT40" s="206" t="str">
        <f>IF(AND($G40&lt;&gt;"",$G40&gt;0,'Outfall 1 Limits'!$AX$52="C1",DH40&lt;&gt;""),DH40*$G40*8.34,IF(AND(DH40&lt;&gt;"",'Outfall 1 Limits'!$AX$52="L"),DH40,""))</f>
        <v/>
      </c>
      <c r="GU40" s="206" t="str">
        <f>IF(AND($G40&lt;&gt;"",$G40&gt;0,'Outfall 1 Limits'!$AX$56="C1",DI40&lt;&gt;""),DI40*$G40*8.34,IF(AND(DI40&lt;&gt;"",'Outfall 1 Limits'!$AX$56="L"),DI40,""))</f>
        <v/>
      </c>
      <c r="GV40" s="206" t="str">
        <f>IF(AND($G40&lt;&gt;"",$G40&gt;0,'Outfall 1 Limits'!$AX$60="C1",DJ40&lt;&gt;""),DJ40*$G40*8.34,IF(AND(DJ40&lt;&gt;"",'Outfall 1 Limits'!$AX$60="L"),DJ40,""))</f>
        <v/>
      </c>
      <c r="GW40" s="206" t="str">
        <f>IF(AND($G40&lt;&gt;"",$G40&gt;0,'Outfall 1 Limits'!$AX$64="C1",DK40&lt;&gt;""),DK40*$G40*8.34,IF(AND(DK40&lt;&gt;"",'Outfall 1 Limits'!$AX$64="L"),DK40,""))</f>
        <v/>
      </c>
      <c r="GX40" s="206" t="str">
        <f>IF(AND($G40&lt;&gt;"",$G40&gt;0,'Outfall 1 Limits'!$AX$68="C1",DL40&lt;&gt;""),DL40*$G40*8.34,IF(AND(DL40&lt;&gt;"",'Outfall 1 Limits'!$AX$68="L"),DL40,""))</f>
        <v/>
      </c>
      <c r="GY40" s="206" t="str">
        <f>IF(AND($G40&lt;&gt;"",$G40&gt;0,'Outfall 1 Limits'!$AX$72="C1",DM40&lt;&gt;""),DM40*$G40*8.34,IF(AND(DM40&lt;&gt;"",'Outfall 1 Limits'!$AX$72="L"),DM40,""))</f>
        <v/>
      </c>
      <c r="GZ40" s="206" t="str">
        <f>IF(AND($G40&lt;&gt;"",$G40&gt;0,'Outfall 1 Limits'!$AX$76="C1",DN40&lt;&gt;""),DN40*$G40*8.34,IF(AND(DN40&lt;&gt;"",'Outfall 1 Limits'!$AX$76="L"),DN40,""))</f>
        <v/>
      </c>
      <c r="HA40" s="206" t="str">
        <f>IF(AND($G40&lt;&gt;"",$G40&gt;0,'Outfall 1 Limits'!$AX$80="C1",DO40&lt;&gt;""),DO40*$G40*8.34,IF(AND(DO40&lt;&gt;"",'Outfall 1 Limits'!$AX$80="L"),DO40,""))</f>
        <v/>
      </c>
      <c r="HB40" s="206" t="str">
        <f>IF(AND($G40&lt;&gt;"",$G40&gt;0,'Outfall 1 Limits'!$AX$84="C1",DP40&lt;&gt;""),DP40*$G40*8.34,IF(AND(DP40&lt;&gt;"",'Outfall 1 Limits'!$AX$84="L"),DP40,""))</f>
        <v/>
      </c>
      <c r="HC40" s="206" t="str">
        <f>IF(AND($G40&lt;&gt;"",$G40&gt;0,'Outfall 1 Limits'!$AX$88="C1",DQ40&lt;&gt;""),DQ40*$G40*8.34,IF(AND(DQ40&lt;&gt;"",'Outfall 1 Limits'!$AX$88="L"),DQ40,""))</f>
        <v/>
      </c>
      <c r="HD40" s="206" t="str">
        <f>IF(AND($G40&lt;&gt;"",$G40&gt;0,'Outfall 1 Limits'!$AX$92="C1",DR40&lt;&gt;""),DR40*$G40*8.34,IF(AND(DR40&lt;&gt;"",'Outfall 1 Limits'!$AX$92="L"),DR40,""))</f>
        <v/>
      </c>
      <c r="HE40" s="206" t="str">
        <f>IF(AND($G40&lt;&gt;"",$G40&gt;0,'Outfall 1 Limits'!$AX$96="C1",DS40&lt;&gt;""),DS40*$G40*8.34,IF(AND(DS40&lt;&gt;"",'Outfall 1 Limits'!$AX$96="L"),DS40,""))</f>
        <v/>
      </c>
      <c r="HF40" s="206" t="str">
        <f>IF(AND($G40&lt;&gt;"",$G40&gt;0,'Outfall 1 Limits'!$AX$100="C1",DT40&lt;&gt;""),DT40*$G40*8.34,IF(AND(DT40&lt;&gt;"",'Outfall 1 Limits'!$AX$100="L"),DT40,""))</f>
        <v/>
      </c>
      <c r="HG40" s="206" t="str">
        <f>IF(AND($G40&lt;&gt;"",$G40&gt;0,'Outfall 1 Limits'!$AX$104="C1",DU40&lt;&gt;""),DU40*$G40*8.34,IF(AND(DU40&lt;&gt;"",'Outfall 1 Limits'!$AX$104="L"),DU40,""))</f>
        <v/>
      </c>
      <c r="HH40" s="206" t="str">
        <f>IF(AND($G40&lt;&gt;"",$G40&gt;0,'Outfall 1 Limits'!$AX$108="C1",DV40&lt;&gt;""),DV40*$G40*8.34,IF(AND(DV40&lt;&gt;"",'Outfall 1 Limits'!$AX$108="L"),DV40,""))</f>
        <v/>
      </c>
      <c r="HI40" s="206" t="str">
        <f>IF(AND($G40&lt;&gt;"",$G40&gt;0,'Outfall 1 Limits'!$AX$112="C1",DW40&lt;&gt;""),DW40*$G40*8.34,IF(AND(DW40&lt;&gt;"",'Outfall 1 Limits'!$AX$112="L"),DW40,""))</f>
        <v/>
      </c>
      <c r="HJ40" s="206" t="str">
        <f>IF(AND($G40&lt;&gt;"",$G40&gt;0,'Outfall 1 Limits'!$AX$116="C1",DX40&lt;&gt;""),DX40*$G40*8.34,IF(AND(DX40&lt;&gt;"",'Outfall 1 Limits'!$AX$116="L"),DX40,""))</f>
        <v/>
      </c>
      <c r="HK40" s="206" t="str">
        <f>IF(AND($G40&lt;&gt;"",$G40&gt;0,'Outfall 1 Limits'!$AX$120="C1",DY40&lt;&gt;""),DY40*$G40*8.34,IF(AND(DY40&lt;&gt;"",'Outfall 1 Limits'!$AX$120="L"),DY40,""))</f>
        <v/>
      </c>
      <c r="HL40" s="206" t="str">
        <f>IF(AND($G40&lt;&gt;"",$G40&gt;0,'Outfall 1 Limits'!$AX$124="C1",DZ40&lt;&gt;""),DZ40*$G40*8.34,IF(AND(DZ40&lt;&gt;"",'Outfall 1 Limits'!$AX$124="L"),DZ40,""))</f>
        <v/>
      </c>
      <c r="HM40" s="223" t="str">
        <f>IF(AND($G40&lt;&gt;"",$G40&gt;0,'Outfall 1 Limits'!$AX$128="C1",EA40&lt;&gt;""),EA40*$G40*8.34,IF(AND(EA40&lt;&gt;"",'Outfall 1 Limits'!$AX$128="L"),EA40,""))</f>
        <v/>
      </c>
      <c r="HO40" s="224" t="str">
        <f t="shared" si="60"/>
        <v/>
      </c>
      <c r="HS40" s="202" t="str">
        <f t="shared" si="61"/>
        <v/>
      </c>
      <c r="HT40" s="196" t="str">
        <f t="shared" si="62"/>
        <v/>
      </c>
      <c r="HU40" s="196" t="str">
        <f t="shared" si="63"/>
        <v/>
      </c>
      <c r="HV40" s="196" t="str">
        <f t="shared" si="64"/>
        <v/>
      </c>
      <c r="HW40" s="196" t="str">
        <f t="shared" si="65"/>
        <v/>
      </c>
      <c r="HX40" s="196" t="str">
        <f t="shared" si="66"/>
        <v/>
      </c>
      <c r="HY40" s="196" t="str">
        <f t="shared" si="67"/>
        <v/>
      </c>
      <c r="HZ40" s="196" t="str">
        <f t="shared" si="68"/>
        <v/>
      </c>
      <c r="IA40" s="196" t="str">
        <f t="shared" si="69"/>
        <v/>
      </c>
      <c r="IB40" s="196" t="str">
        <f t="shared" si="70"/>
        <v/>
      </c>
      <c r="IC40" s="196" t="str">
        <f t="shared" si="71"/>
        <v/>
      </c>
      <c r="ID40" s="196" t="str">
        <f t="shared" si="72"/>
        <v/>
      </c>
      <c r="IE40" s="196" t="str">
        <f t="shared" si="73"/>
        <v/>
      </c>
      <c r="IF40" s="196" t="str">
        <f t="shared" si="74"/>
        <v/>
      </c>
      <c r="IG40" s="196" t="str">
        <f t="shared" si="75"/>
        <v/>
      </c>
      <c r="IH40" s="196" t="str">
        <f t="shared" si="76"/>
        <v/>
      </c>
      <c r="II40" s="196" t="str">
        <f t="shared" si="77"/>
        <v/>
      </c>
      <c r="IJ40" s="196" t="str">
        <f t="shared" si="78"/>
        <v/>
      </c>
      <c r="IK40" s="196" t="str">
        <f t="shared" si="79"/>
        <v/>
      </c>
      <c r="IL40" s="196" t="str">
        <f t="shared" si="80"/>
        <v/>
      </c>
      <c r="IM40" s="196" t="str">
        <f t="shared" si="81"/>
        <v/>
      </c>
      <c r="IN40" s="196" t="str">
        <f t="shared" si="82"/>
        <v/>
      </c>
      <c r="IO40" s="196" t="str">
        <f t="shared" si="83"/>
        <v/>
      </c>
      <c r="IP40" s="196" t="str">
        <f t="shared" si="84"/>
        <v/>
      </c>
      <c r="IQ40" s="196" t="str">
        <f t="shared" si="85"/>
        <v/>
      </c>
      <c r="IR40" s="196" t="str">
        <f t="shared" si="86"/>
        <v/>
      </c>
      <c r="IS40" s="196" t="str">
        <f t="shared" si="87"/>
        <v/>
      </c>
      <c r="IT40" s="196" t="str">
        <f t="shared" si="88"/>
        <v/>
      </c>
      <c r="IU40" s="210" t="str">
        <f t="shared" si="89"/>
        <v/>
      </c>
      <c r="IX40" s="202" t="str">
        <f t="shared" si="90"/>
        <v/>
      </c>
      <c r="IY40" s="196" t="str">
        <f t="shared" si="91"/>
        <v/>
      </c>
      <c r="IZ40" s="196" t="str">
        <f t="shared" si="92"/>
        <v/>
      </c>
      <c r="JA40" s="196" t="str">
        <f t="shared" si="93"/>
        <v/>
      </c>
      <c r="JB40" s="196" t="str">
        <f t="shared" si="94"/>
        <v/>
      </c>
      <c r="JC40" s="196" t="str">
        <f t="shared" si="95"/>
        <v/>
      </c>
      <c r="JD40" s="196" t="str">
        <f t="shared" si="96"/>
        <v/>
      </c>
      <c r="JE40" s="196" t="str">
        <f t="shared" si="97"/>
        <v/>
      </c>
      <c r="JF40" s="196" t="str">
        <f t="shared" si="98"/>
        <v/>
      </c>
      <c r="JG40" s="196" t="str">
        <f t="shared" si="99"/>
        <v/>
      </c>
      <c r="JH40" s="196" t="str">
        <f t="shared" si="100"/>
        <v/>
      </c>
      <c r="JI40" s="196" t="str">
        <f t="shared" si="101"/>
        <v/>
      </c>
      <c r="JJ40" s="196" t="str">
        <f t="shared" si="102"/>
        <v/>
      </c>
      <c r="JK40" s="196" t="str">
        <f t="shared" si="103"/>
        <v/>
      </c>
      <c r="JL40" s="196" t="str">
        <f t="shared" si="104"/>
        <v/>
      </c>
      <c r="JM40" s="196" t="str">
        <f t="shared" si="105"/>
        <v/>
      </c>
      <c r="JN40" s="196" t="str">
        <f t="shared" si="106"/>
        <v/>
      </c>
      <c r="JO40" s="196" t="str">
        <f t="shared" si="107"/>
        <v/>
      </c>
      <c r="JP40" s="196" t="str">
        <f t="shared" si="108"/>
        <v/>
      </c>
      <c r="JQ40" s="196" t="str">
        <f t="shared" si="109"/>
        <v/>
      </c>
      <c r="JR40" s="196" t="str">
        <f t="shared" si="110"/>
        <v/>
      </c>
      <c r="JS40" s="196" t="str">
        <f t="shared" si="111"/>
        <v/>
      </c>
      <c r="JT40" s="196" t="str">
        <f t="shared" si="112"/>
        <v/>
      </c>
      <c r="JU40" s="196" t="str">
        <f t="shared" si="113"/>
        <v/>
      </c>
      <c r="JV40" s="196" t="str">
        <f t="shared" si="114"/>
        <v/>
      </c>
      <c r="JW40" s="196" t="str">
        <f t="shared" si="115"/>
        <v/>
      </c>
      <c r="JX40" s="196" t="str">
        <f t="shared" si="116"/>
        <v/>
      </c>
      <c r="JY40" s="196" t="str">
        <f t="shared" si="117"/>
        <v/>
      </c>
      <c r="JZ40" s="210" t="str">
        <f t="shared" si="118"/>
        <v/>
      </c>
      <c r="KA40" s="196"/>
      <c r="KB40" s="176"/>
      <c r="KC40" s="227"/>
      <c r="KD40" s="218" t="str">
        <f t="shared" si="2"/>
        <v/>
      </c>
      <c r="KE40" s="196" t="str">
        <f t="shared" si="3"/>
        <v/>
      </c>
      <c r="KF40" s="196" t="str">
        <f t="shared" si="4"/>
        <v/>
      </c>
      <c r="KG40" s="196" t="str">
        <f t="shared" si="5"/>
        <v/>
      </c>
      <c r="KH40" s="196" t="str">
        <f t="shared" si="6"/>
        <v/>
      </c>
      <c r="KI40" s="196" t="str">
        <f t="shared" si="7"/>
        <v/>
      </c>
      <c r="KJ40" s="196" t="str">
        <f t="shared" si="8"/>
        <v/>
      </c>
      <c r="KK40" s="196" t="str">
        <f t="shared" si="9"/>
        <v/>
      </c>
      <c r="KL40" s="196" t="str">
        <f t="shared" si="10"/>
        <v/>
      </c>
      <c r="KM40" s="196" t="str">
        <f t="shared" si="11"/>
        <v/>
      </c>
      <c r="KN40" s="196" t="str">
        <f t="shared" si="12"/>
        <v/>
      </c>
      <c r="KO40" s="196" t="str">
        <f t="shared" si="13"/>
        <v/>
      </c>
      <c r="KP40" s="196" t="str">
        <f t="shared" si="14"/>
        <v/>
      </c>
      <c r="KQ40" s="196" t="str">
        <f t="shared" si="15"/>
        <v/>
      </c>
      <c r="KR40" s="196" t="str">
        <f t="shared" si="16"/>
        <v/>
      </c>
      <c r="KS40" s="196" t="str">
        <f t="shared" si="17"/>
        <v/>
      </c>
      <c r="KT40" s="196" t="str">
        <f t="shared" si="18"/>
        <v/>
      </c>
      <c r="KU40" s="196" t="str">
        <f t="shared" si="19"/>
        <v/>
      </c>
      <c r="KV40" s="196" t="str">
        <f t="shared" si="20"/>
        <v/>
      </c>
      <c r="KW40" s="196" t="str">
        <f t="shared" si="21"/>
        <v/>
      </c>
      <c r="KX40" s="196" t="str">
        <f t="shared" si="22"/>
        <v/>
      </c>
      <c r="KY40" s="196" t="str">
        <f t="shared" si="23"/>
        <v/>
      </c>
      <c r="KZ40" s="196" t="str">
        <f t="shared" si="24"/>
        <v/>
      </c>
      <c r="LA40" s="196" t="str">
        <f t="shared" si="25"/>
        <v/>
      </c>
      <c r="LB40" s="196" t="str">
        <f t="shared" si="26"/>
        <v/>
      </c>
      <c r="LC40" s="196" t="str">
        <f t="shared" si="27"/>
        <v/>
      </c>
      <c r="LD40" s="196" t="str">
        <f t="shared" si="28"/>
        <v/>
      </c>
      <c r="LE40" s="196" t="str">
        <f t="shared" si="29"/>
        <v/>
      </c>
      <c r="LF40" s="226" t="str">
        <f t="shared" si="30"/>
        <v/>
      </c>
    </row>
    <row r="41" spans="1:318" s="172" customFormat="1" ht="11.45" customHeight="1" x14ac:dyDescent="0.2">
      <c r="A41" s="35"/>
      <c r="B41" s="54"/>
      <c r="C41" s="438">
        <f t="shared" si="0"/>
        <v>45315</v>
      </c>
      <c r="D41" s="438"/>
      <c r="E41" s="430">
        <f t="shared" si="119"/>
        <v>45315</v>
      </c>
      <c r="F41" s="431"/>
      <c r="G41" s="26"/>
      <c r="H41" s="51"/>
      <c r="I41" s="50"/>
      <c r="J41" s="51"/>
      <c r="K41" s="50"/>
      <c r="L41" s="51"/>
      <c r="M41" s="50"/>
      <c r="N41" s="51"/>
      <c r="O41" s="50"/>
      <c r="P41" s="51"/>
      <c r="Q41" s="50"/>
      <c r="R41" s="51"/>
      <c r="S41" s="50"/>
      <c r="T41" s="51"/>
      <c r="U41" s="50"/>
      <c r="V41" s="51"/>
      <c r="W41" s="50"/>
      <c r="X41" s="276"/>
      <c r="Y41" s="50"/>
      <c r="Z41" s="51"/>
      <c r="AA41" s="50"/>
      <c r="AB41" s="51"/>
      <c r="AC41" s="50"/>
      <c r="AD41" s="51"/>
      <c r="AE41" s="50"/>
      <c r="AF41" s="51"/>
      <c r="AG41" s="50"/>
      <c r="AH41" s="51"/>
      <c r="AI41" s="50"/>
      <c r="AJ41" s="51"/>
      <c r="AK41" s="50"/>
      <c r="AL41" s="51"/>
      <c r="AM41" s="50"/>
      <c r="AN41" s="51"/>
      <c r="AO41" s="50"/>
      <c r="AP41" s="51"/>
      <c r="AQ41" s="50"/>
      <c r="AR41" s="51"/>
      <c r="AS41" s="50"/>
      <c r="AT41" s="51"/>
      <c r="AU41" s="50"/>
      <c r="AV41" s="51"/>
      <c r="AW41" s="50"/>
      <c r="AX41" s="51"/>
      <c r="AY41" s="50"/>
      <c r="AZ41" s="51"/>
      <c r="BA41" s="50"/>
      <c r="BB41" s="51"/>
      <c r="BC41" s="50"/>
      <c r="BD41" s="51"/>
      <c r="BE41" s="50"/>
      <c r="BF41" s="51"/>
      <c r="BG41" s="50"/>
      <c r="BH41" s="51"/>
      <c r="BI41" s="50"/>
      <c r="BJ41" s="51"/>
      <c r="BK41" s="50"/>
      <c r="BL41" s="51"/>
      <c r="BM41" s="109"/>
      <c r="BO41" s="174"/>
      <c r="BP41" s="174">
        <v>2060</v>
      </c>
      <c r="BQ41" s="221" t="s">
        <v>55</v>
      </c>
      <c r="BR41" s="222"/>
      <c r="BS41" s="174" t="s">
        <v>1115</v>
      </c>
      <c r="BU41" s="202" t="str">
        <f t="shared" si="31"/>
        <v/>
      </c>
      <c r="BV41" s="196" t="str">
        <f t="shared" si="32"/>
        <v/>
      </c>
      <c r="BW41" s="196" t="str">
        <f t="shared" si="33"/>
        <v/>
      </c>
      <c r="BX41" s="196" t="str">
        <f t="shared" si="34"/>
        <v/>
      </c>
      <c r="BY41" s="196" t="str">
        <f t="shared" si="35"/>
        <v/>
      </c>
      <c r="BZ41" s="196" t="str">
        <f t="shared" si="36"/>
        <v/>
      </c>
      <c r="CA41" s="196" t="str">
        <f t="shared" si="37"/>
        <v/>
      </c>
      <c r="CB41" s="196" t="str">
        <f t="shared" si="38"/>
        <v/>
      </c>
      <c r="CC41" s="196" t="str">
        <f t="shared" si="39"/>
        <v/>
      </c>
      <c r="CD41" s="196" t="str">
        <f t="shared" si="40"/>
        <v/>
      </c>
      <c r="CE41" s="196" t="str">
        <f t="shared" si="41"/>
        <v/>
      </c>
      <c r="CF41" s="196" t="str">
        <f t="shared" si="42"/>
        <v/>
      </c>
      <c r="CG41" s="196" t="str">
        <f t="shared" si="43"/>
        <v/>
      </c>
      <c r="CH41" s="196" t="str">
        <f t="shared" si="44"/>
        <v/>
      </c>
      <c r="CI41" s="196" t="str">
        <f t="shared" si="45"/>
        <v/>
      </c>
      <c r="CJ41" s="196" t="str">
        <f t="shared" si="46"/>
        <v/>
      </c>
      <c r="CK41" s="196" t="str">
        <f t="shared" si="47"/>
        <v/>
      </c>
      <c r="CL41" s="196" t="str">
        <f t="shared" si="48"/>
        <v/>
      </c>
      <c r="CM41" s="196" t="str">
        <f t="shared" si="120"/>
        <v/>
      </c>
      <c r="CN41" s="196" t="str">
        <f t="shared" si="49"/>
        <v/>
      </c>
      <c r="CO41" s="196" t="str">
        <f t="shared" si="50"/>
        <v/>
      </c>
      <c r="CP41" s="196" t="str">
        <f t="shared" si="51"/>
        <v/>
      </c>
      <c r="CQ41" s="196" t="str">
        <f t="shared" si="52"/>
        <v/>
      </c>
      <c r="CR41" s="196" t="str">
        <f t="shared" si="53"/>
        <v/>
      </c>
      <c r="CS41" s="196" t="str">
        <f t="shared" si="54"/>
        <v/>
      </c>
      <c r="CT41" s="196" t="str">
        <f t="shared" si="55"/>
        <v/>
      </c>
      <c r="CU41" s="196" t="str">
        <f t="shared" si="56"/>
        <v/>
      </c>
      <c r="CV41" s="196" t="str">
        <f t="shared" si="57"/>
        <v/>
      </c>
      <c r="CW41" s="210" t="str">
        <f t="shared" si="58"/>
        <v/>
      </c>
      <c r="CY41" s="212" t="str">
        <f>IF(I41&lt;&gt;"",IF(H41="&lt;",IF(AND('Outfall 1 Limits'!$AM$16="Y",$BU$54&lt;&gt;"Y",I41&lt;='Outfall 1 Limits'!$AL$16),0,(1*I41)),I41),"")</f>
        <v/>
      </c>
      <c r="CZ41" s="206" t="str">
        <f>IF(K41&lt;&gt;"",IF(J41="&lt;",IF(AND('Outfall 1 Limits'!$AM$20="Y",$BV$54&lt;&gt;"Y",K41&lt;='Outfall 1 Limits'!$AL$20),0,(1*K41)),K41),"")</f>
        <v/>
      </c>
      <c r="DA41" s="206" t="str">
        <f>IF(M41&lt;&gt;"",IF(L41="&lt;",IF(AND('Outfall 1 Limits'!$AM$24="Y",$BW$54&lt;&gt;"Y",M41&lt;='Outfall 1 Limits'!$AL$24),0,(1*M41)),M41),"")</f>
        <v/>
      </c>
      <c r="DB41" s="206" t="str">
        <f>IF(O41&lt;&gt;"",IF(N41="&lt;",IF(AND('Outfall 1 Limits'!$AM$28="Y",$BX$54&lt;&gt;"Y",O41&lt;='Outfall 1 Limits'!$AL$28),0,(1*O41)),O41),"")</f>
        <v/>
      </c>
      <c r="DC41" s="206" t="str">
        <f>IF(Q41&lt;&gt;"",IF(P41="&lt;",IF(AND('Outfall 1 Limits'!$AM$32="Y",$BY$54&lt;&gt;"Y",Q41&lt;='Outfall 1 Limits'!$AL$32),0,(1*Q41)),Q41),"")</f>
        <v/>
      </c>
      <c r="DD41" s="206" t="str">
        <f>IF(S41&lt;&gt;"",IF(R41="&lt;",IF(AND('Outfall 1 Limits'!$AM$36="Y",$BZ$54&lt;&gt;"Y",S41&lt;='Outfall 1 Limits'!$AL$36),0,(1*S41)),S41),"")</f>
        <v/>
      </c>
      <c r="DE41" s="206" t="str">
        <f>IF(U41&lt;&gt;"",IF(T41="&lt;",IF(AND('Outfall 1 Limits'!$AM$40="Y",$CA$54&lt;&gt;"Y",U41&lt;='Outfall 1 Limits'!$AL$40),0,(1*U41)),U41),"")</f>
        <v/>
      </c>
      <c r="DF41" s="206" t="str">
        <f>IF(W41&lt;&gt;"",IF(V41="&lt;",IF(AND('Outfall 1 Limits'!$AM$44="Y",$CB$54&lt;&gt;"Y",W41&lt;='Outfall 1 Limits'!$AL$44),0,(1*W41)),W41),"")</f>
        <v/>
      </c>
      <c r="DG41" s="206" t="str">
        <f>IF(Y41&lt;&gt;"",IF(X41="&lt;",IF(AND('Outfall 1 Limits'!$AM$48="Y",$CC$54&lt;&gt;"Y",Y41&lt;='Outfall 1 Limits'!$AL$48),0,(1*Y41)),Y41),"")</f>
        <v/>
      </c>
      <c r="DH41" s="206" t="str">
        <f>IF(AA41&lt;&gt;"",IF(Z41="&lt;",IF(AND('Outfall 1 Limits'!$AM$52="Y",$CD$54&lt;&gt;"Y",AA41&lt;='Outfall 1 Limits'!$AL$52),0,(1*AA41)),AA41),"")</f>
        <v/>
      </c>
      <c r="DI41" s="206" t="str">
        <f>IF(AC41&lt;&gt;"",IF(AB41="&lt;",IF(AND('Outfall 1 Limits'!$AM$56="Y",$CE$54&lt;&gt;"Y",AC41&lt;='Outfall 1 Limits'!$AL$56),0,(1*AC41)),AC41),"")</f>
        <v/>
      </c>
      <c r="DJ41" s="206" t="str">
        <f>IF(AE41&lt;&gt;"",IF(AD41="&lt;",IF(AND('Outfall 1 Limits'!$AM$60="Y",$CF$54&lt;&gt;"Y",AE41&lt;='Outfall 1 Limits'!$AL$60),0,(1*AE41)),AE41),"")</f>
        <v/>
      </c>
      <c r="DK41" s="206" t="str">
        <f>IF(AG41&lt;&gt;"",IF(AF41="&lt;",IF(AND('Outfall 1 Limits'!$AM$64="Y",$CG$54&lt;&gt;"Y",AG41&lt;='Outfall 1 Limits'!$AL$64),0,(1*AG41)),AG41),"")</f>
        <v/>
      </c>
      <c r="DL41" s="206" t="str">
        <f>IF(AI41&lt;&gt;"",IF(AH41="&lt;",IF(AND('Outfall 1 Limits'!$AM$68="Y",$CH$54&lt;&gt;"Y",AI41&lt;='Outfall 1 Limits'!$AL$68),0,(1*AI41)),AI41),"")</f>
        <v/>
      </c>
      <c r="DM41" s="206" t="str">
        <f>IF(AK41&lt;&gt;"",IF(AJ41="&lt;",IF(AND('Outfall 1 Limits'!$AM$72="Y",$CI$54&lt;&gt;"Y",AK41&lt;='Outfall 1 Limits'!$AL$72),0,(1*AK41)),AK41),"")</f>
        <v/>
      </c>
      <c r="DN41" s="206" t="str">
        <f>IF(AM41&lt;&gt;"",IF(AL41="&lt;",IF(AND('Outfall 1 Limits'!$AM$76="Y",$CJ$54&lt;&gt;"Y",AM41&lt;='Outfall 1 Limits'!$AL$76),0,(1*AM41)),AM41),"")</f>
        <v/>
      </c>
      <c r="DO41" s="206" t="str">
        <f>IF(AO41&lt;&gt;"",IF(AN41="&lt;",IF(AND('Outfall 1 Limits'!$AM$80="Y",$CK$54&lt;&gt;"Y",AO41&lt;='Outfall 1 Limits'!$AL$80),0,(1*AO41)),AO41),"")</f>
        <v/>
      </c>
      <c r="DP41" s="206" t="str">
        <f>IF(AQ41&lt;&gt;"",IF(AP41="&lt;",IF(AND('Outfall 1 Limits'!$AM$84="Y",$CL$54&lt;&gt;"Y",AQ41&lt;='Outfall 1 Limits'!$AL$84),0,(1*AQ41)),AQ41),"")</f>
        <v/>
      </c>
      <c r="DQ41" s="206" t="str">
        <f>IF(AS41&lt;&gt;"",IF(AR41="&lt;",IF(AND('Outfall 1 Limits'!$AM$88="Y",$CM$54&lt;&gt;"Y",AS41&lt;='Outfall 1 Limits'!$AL$88),0,(1*AS41)),AS41),"")</f>
        <v/>
      </c>
      <c r="DR41" s="206" t="str">
        <f>IF(AU41&lt;&gt;"",IF(AT41="&lt;",IF(AND('Outfall 1 Limits'!$AM$92="Y",$CN$54&lt;&gt;"Y",AU41&lt;='Outfall 1 Limits'!$AL$92),0,(1*AU41)),AU41),"")</f>
        <v/>
      </c>
      <c r="DS41" s="206" t="str">
        <f>IF(AW41&lt;&gt;"",IF(AV41="&lt;",IF(AND('Outfall 1 Limits'!$AM$96="Y",$CO$54&lt;&gt;"Y",AW41&lt;='Outfall 1 Limits'!$AL$96),0,(1*AW41)),AW41),"")</f>
        <v/>
      </c>
      <c r="DT41" s="206" t="str">
        <f>IF(AY41&lt;&gt;"",IF(AX41="&lt;",IF(AND('Outfall 1 Limits'!$AM$100="Y",$CP$54&lt;&gt;"Y",AY41&lt;='Outfall 1 Limits'!$AL$100),0,(1*AY41)),AY41),"")</f>
        <v/>
      </c>
      <c r="DU41" s="206" t="str">
        <f>IF(BA41&lt;&gt;"",IF(AZ41="&lt;",IF(AND('Outfall 1 Limits'!$AM$104="Y",$CQ$54&lt;&gt;"Y",BA41&lt;='Outfall 1 Limits'!$AL$104),0,(1*BA41)),BA41),"")</f>
        <v/>
      </c>
      <c r="DV41" s="206" t="str">
        <f>IF(BC41&lt;&gt;"",IF(BB41="&lt;",IF(AND('Outfall 1 Limits'!$AM$108="Y",$CR$54&lt;&gt;"Y",BC41&lt;='Outfall 1 Limits'!$AL$108),0,(1*BC41)),BC41),"")</f>
        <v/>
      </c>
      <c r="DW41" s="206" t="str">
        <f>IF(BE41&lt;&gt;"",IF(BD41="&lt;",IF(AND('Outfall 1 Limits'!$AM$112="Y",$CS$54&lt;&gt;"Y",BE41&lt;='Outfall 1 Limits'!$AL$112),0,(1*BE41)),BE41),"")</f>
        <v/>
      </c>
      <c r="DX41" s="206" t="str">
        <f>IF(BG41&lt;&gt;"",IF(BF41="&lt;",IF(AND('Outfall 1 Limits'!$AM$116="Y",$CT$54&lt;&gt;"Y",BG41&lt;='Outfall 1 Limits'!$AL$116),0,(1*BG41)),BG41),"")</f>
        <v/>
      </c>
      <c r="DY41" s="206" t="str">
        <f>IF(BI41&lt;&gt;"",IF(BH41="&lt;",IF(AND('Outfall 1 Limits'!$AM$120="Y",$CU$54&lt;&gt;"Y",BI41&lt;='Outfall 1 Limits'!$AL$120),0,(1*BI41)),BI41),"")</f>
        <v/>
      </c>
      <c r="DZ41" s="206" t="str">
        <f>IF(BK41&lt;&gt;"",IF(BJ41="&lt;",IF(AND('Outfall 1 Limits'!$AM$124="Y",$CV$54&lt;&gt;"Y",BK41&lt;='Outfall 1 Limits'!$AL$124),0,(1*BK41)),BK41),"")</f>
        <v/>
      </c>
      <c r="EA41" s="223" t="str">
        <f>IF(BM41&lt;&gt;"",IF(BL41="&lt;",IF(AND('Outfall 1 Limits'!$AM$128="Y",$CW$54&lt;&gt;"Y",BM41&lt;='Outfall 1 Limits'!$AL$128),0,(1*BM41)),BM41),"")</f>
        <v/>
      </c>
      <c r="EB41" s="209" t="s">
        <v>1144</v>
      </c>
      <c r="EC41" s="231" t="str">
        <f>IF(EC34&lt;&gt;"",IF(BU64="Y",EC34-0.1,EC34),"")</f>
        <v/>
      </c>
      <c r="ED41" s="232" t="str">
        <f t="shared" ref="ED41:FE41" si="165">IF(ED34&lt;&gt;"",IF(BV64="Y",ED34-0.1,ED34),"")</f>
        <v/>
      </c>
      <c r="EE41" s="232" t="str">
        <f t="shared" si="165"/>
        <v/>
      </c>
      <c r="EF41" s="232" t="str">
        <f t="shared" si="165"/>
        <v/>
      </c>
      <c r="EG41" s="232" t="str">
        <f t="shared" si="165"/>
        <v/>
      </c>
      <c r="EH41" s="232" t="str">
        <f t="shared" si="165"/>
        <v/>
      </c>
      <c r="EI41" s="232" t="str">
        <f t="shared" si="165"/>
        <v/>
      </c>
      <c r="EJ41" s="232" t="str">
        <f t="shared" si="165"/>
        <v/>
      </c>
      <c r="EK41" s="232" t="str">
        <f t="shared" si="165"/>
        <v/>
      </c>
      <c r="EL41" s="232" t="str">
        <f t="shared" si="165"/>
        <v/>
      </c>
      <c r="EM41" s="232" t="str">
        <f t="shared" si="165"/>
        <v/>
      </c>
      <c r="EN41" s="232" t="str">
        <f t="shared" si="165"/>
        <v/>
      </c>
      <c r="EO41" s="232" t="str">
        <f t="shared" si="165"/>
        <v/>
      </c>
      <c r="EP41" s="232" t="str">
        <f t="shared" si="165"/>
        <v/>
      </c>
      <c r="EQ41" s="232" t="str">
        <f t="shared" si="165"/>
        <v/>
      </c>
      <c r="ER41" s="232" t="str">
        <f t="shared" si="165"/>
        <v/>
      </c>
      <c r="ES41" s="232" t="str">
        <f t="shared" si="165"/>
        <v/>
      </c>
      <c r="ET41" s="232" t="str">
        <f t="shared" si="165"/>
        <v/>
      </c>
      <c r="EU41" s="232" t="str">
        <f t="shared" si="165"/>
        <v/>
      </c>
      <c r="EV41" s="232" t="str">
        <f t="shared" si="165"/>
        <v/>
      </c>
      <c r="EW41" s="232" t="str">
        <f t="shared" si="165"/>
        <v/>
      </c>
      <c r="EX41" s="232" t="str">
        <f t="shared" si="165"/>
        <v/>
      </c>
      <c r="EY41" s="232" t="str">
        <f t="shared" si="165"/>
        <v/>
      </c>
      <c r="EZ41" s="232" t="str">
        <f t="shared" si="165"/>
        <v/>
      </c>
      <c r="FA41" s="232" t="str">
        <f t="shared" si="165"/>
        <v/>
      </c>
      <c r="FB41" s="232" t="str">
        <f t="shared" si="165"/>
        <v/>
      </c>
      <c r="FC41" s="232" t="str">
        <f t="shared" si="165"/>
        <v/>
      </c>
      <c r="FD41" s="232" t="str">
        <f t="shared" si="165"/>
        <v/>
      </c>
      <c r="FE41" s="233" t="str">
        <f t="shared" si="165"/>
        <v/>
      </c>
      <c r="FG41" s="212" t="str">
        <f>IF(AND($G41&lt;&gt;"",$G41&gt;0,'Outfall 1 Limits'!$AX$16="C1",I41&lt;&gt;""),I41*$G41*8.34,IF(AND($I41&lt;&gt;"",'Outfall 1 Limits'!$AX$16="L"),I41,""))</f>
        <v/>
      </c>
      <c r="FH41" s="206" t="str">
        <f>IF(AND($G41&lt;&gt;"",$G41&gt;0,'Outfall 1 Limits'!$AX$20="C1",$K41&lt;&gt;""),$K41*$G41*8.34,IF(AND($K41&lt;&gt;"",'Outfall 1 Limits'!$AX$20="L"),$K41,""))</f>
        <v/>
      </c>
      <c r="FI41" s="206" t="str">
        <f>IF(AND($G41&lt;&gt;"",$G41&gt;0,'Outfall 1 Limits'!$AX$24="C1",$M41&lt;&gt;""),$M41*$G41*8.34,IF(AND($M41&lt;&gt;"",'Outfall 1 Limits'!$AX$24="L"),$M41,""))</f>
        <v/>
      </c>
      <c r="FJ41" s="206" t="str">
        <f>IF(AND($G41&lt;&gt;"",$G41&gt;0,'Outfall 1 Limits'!$AX$28="C1",$O41&lt;&gt;""),$O41*$G41*8.34,IF(AND($O41&lt;&gt;"",'Outfall 1 Limits'!$AX$28="L"),$O41,""))</f>
        <v/>
      </c>
      <c r="FK41" s="206" t="str">
        <f>IF(AND($G41&lt;&gt;"",$G41&gt;0,'Outfall 1 Limits'!$AX$32="C1",$Q41&lt;&gt;""),$Q41*$G41*8.34,IF(AND($Q41&lt;&gt;"",'Outfall 1 Limits'!$AX$32="L"),$Q41,""))</f>
        <v/>
      </c>
      <c r="FL41" s="206" t="str">
        <f>IF(AND($G41&lt;&gt;"",$G41&gt;0,'Outfall 1 Limits'!$AX$36="C1",$S41&lt;&gt;""),$S41*$G41*8.34,IF(AND($S41&lt;&gt;"",'Outfall 1 Limits'!$AX$36="L"),$S41,""))</f>
        <v/>
      </c>
      <c r="FM41" s="206" t="str">
        <f>IF(AND($G41&lt;&gt;"",$G41&gt;0,'Outfall 1 Limits'!$AX$40="C1",$U41&lt;&gt;""),$U41*$G41*8.34,IF(AND($U41&lt;&gt;"",'Outfall 1 Limits'!$AX$40="L"),$U41,""))</f>
        <v/>
      </c>
      <c r="FN41" s="206" t="str">
        <f>IF(AND($G41&lt;&gt;"",$G41&gt;0,'Outfall 1 Limits'!$AX$44="C1",$W41&lt;&gt;""),$W41*$G41*8.34,IF(AND($W41&lt;&gt;"",'Outfall 1 Limits'!$AX$44="L"),$W41,""))</f>
        <v/>
      </c>
      <c r="FO41" s="206" t="str">
        <f>IF(AND($G41&lt;&gt;"",$G41&gt;0,'Outfall 1 Limits'!$AX$48="C1",$Y41&lt;&gt;""),$Y41*$G41*8.34,IF(AND($Y41&lt;&gt;"",'Outfall 1 Limits'!$AX$48="L"),$Y41,""))</f>
        <v/>
      </c>
      <c r="FP41" s="206" t="str">
        <f>IF(AND($G41&lt;&gt;"",$G41&gt;0,'Outfall 1 Limits'!$AX$52="C1",$AA41&lt;&gt;""),$AA41*$G41*8.34,IF(AND($AA41&lt;&gt;"",'Outfall 1 Limits'!$AX$52="L"),$AA41,""))</f>
        <v/>
      </c>
      <c r="FQ41" s="206" t="str">
        <f>IF(AND($G41&lt;&gt;"",$G41&gt;0,'Outfall 1 Limits'!$AX$56="C1",$AC41&lt;&gt;""),$AC41*$G41*8.34,IF(AND($AC41&lt;&gt;"",'Outfall 1 Limits'!$AX$56="L"),$AC41,""))</f>
        <v/>
      </c>
      <c r="FR41" s="206" t="str">
        <f>IF(AND($G41&lt;&gt;"",$G41&gt;0,'Outfall 1 Limits'!$AX$60="C1",$AE41&lt;&gt;""),$AE41*$G41*8.34,IF(AND($AE41&lt;&gt;"",'Outfall 1 Limits'!$AX$60="L"),$AE41,""))</f>
        <v/>
      </c>
      <c r="FS41" s="206" t="str">
        <f>IF(AND($G41&lt;&gt;"",$G41&gt;0,'Outfall 1 Limits'!$AX$64="C1",$AG41&lt;&gt;""),$AG41*$G41*8.34,IF(AND($AG41&lt;&gt;"",'Outfall 1 Limits'!$AX$64="L"),$AG41,""))</f>
        <v/>
      </c>
      <c r="FT41" s="206" t="str">
        <f>IF(AND($G41&lt;&gt;"",$G41&gt;0,'Outfall 1 Limits'!$AX$68="C1",$AI41&lt;&gt;""),$AI41*$G41*8.34,IF(AND($AI41&lt;&gt;"",'Outfall 1 Limits'!$AX$68="L"),$AI41,""))</f>
        <v/>
      </c>
      <c r="FU41" s="206" t="str">
        <f>IF(AND($G41&lt;&gt;"",$G41&gt;0,'Outfall 1 Limits'!$AX$72="C1",$AK41&lt;&gt;""),$AK41*$G41*8.34,IF(AND($AK41&lt;&gt;"",'Outfall 1 Limits'!$AX$72="L"),$AK41,""))</f>
        <v/>
      </c>
      <c r="FV41" s="206" t="str">
        <f>IF(AND($G41&lt;&gt;"",$G41&gt;0,'Outfall 1 Limits'!$AX$76="C1",$AM41&lt;&gt;""),$AM41*$G41*8.34,IF(AND($AM41&lt;&gt;"",'Outfall 1 Limits'!$AX$76="L"),$AM41,""))</f>
        <v/>
      </c>
      <c r="FW41" s="206" t="str">
        <f>IF(AND($G41&lt;&gt;"",$G41&gt;0,'Outfall 1 Limits'!$AX$80="C1",$AO41&lt;&gt;""),$AO41*$G41*8.34,IF(AND($AO41&lt;&gt;"",'Outfall 1 Limits'!$AX$80="L"),$AO41,""))</f>
        <v/>
      </c>
      <c r="FX41" s="206" t="str">
        <f>IF(AND($G41&lt;&gt;"",$G41&gt;0,'Outfall 1 Limits'!$AX$84="C1",$AQ41&lt;&gt;""),$AQ41*$G41*8.34,IF(AND($AQ41&lt;&gt;"",'Outfall 1 Limits'!$AX$84="L"),$AQ41,""))</f>
        <v/>
      </c>
      <c r="FY41" s="206" t="str">
        <f>IF(AND($G41&lt;&gt;"",$G41&gt;0,'Outfall 1 Limits'!$AX$88="C1",$AS41&lt;&gt;""),$AS41*$G41*8.34,IF(AND($AS41&lt;&gt;"",'Outfall 1 Limits'!$AX$88="L"),$AS41,""))</f>
        <v/>
      </c>
      <c r="FZ41" s="206" t="str">
        <f>IF(AND($G41&lt;&gt;"",$G41&gt;0,'Outfall 1 Limits'!$AX$92="C1",$AU41&lt;&gt;""),$AU41*$G41*8.34,IF(AND($AU41&lt;&gt;"",'Outfall 1 Limits'!$AX$92="L"),$AU41,""))</f>
        <v/>
      </c>
      <c r="GA41" s="206" t="str">
        <f>IF(AND($G41&lt;&gt;"",$G41&gt;0,'Outfall 1 Limits'!$AX$96="C1",$AW41&lt;&gt;""),$AW41*$G41*8.34,IF(AND($AW41&lt;&gt;"",'Outfall 1 Limits'!$AX$96="L"),$AW41,""))</f>
        <v/>
      </c>
      <c r="GB41" s="206" t="str">
        <f>IF(AND($G41&lt;&gt;"",$G41&gt;0,'Outfall 1 Limits'!$AX$100="C1",$AY41&lt;&gt;""),$AY41*$G41*8.34,IF(AND($AY41&lt;&gt;"",'Outfall 1 Limits'!$AX$100="L"),$AY41,""))</f>
        <v/>
      </c>
      <c r="GC41" s="206" t="str">
        <f>IF(AND($G41&lt;&gt;"",$G41&gt;0,'Outfall 1 Limits'!$AX$104="C1",$BA41&lt;&gt;""),$BA41*$G41*8.34,IF(AND($BA41&lt;&gt;"",'Outfall 1 Limits'!$AX$104="L"),$BA41,""))</f>
        <v/>
      </c>
      <c r="GD41" s="206" t="str">
        <f>IF(AND($G41&lt;&gt;"",$G41&gt;0,'Outfall 1 Limits'!$AX$108="C1",$BC41&lt;&gt;""),$BC41*$G41*8.34,IF(AND($BC41&lt;&gt;"",'Outfall 1 Limits'!$AX$108="L"),$BC41,""))</f>
        <v/>
      </c>
      <c r="GE41" s="206" t="str">
        <f>IF(AND($G41&lt;&gt;"",$G41&gt;0,'Outfall 1 Limits'!$AX$112="C1",$BE41&lt;&gt;""),$BE41*$G41*8.34,IF(AND($BE41&lt;&gt;"",'Outfall 1 Limits'!$AX$112="L"),$BE41,""))</f>
        <v/>
      </c>
      <c r="GF41" s="206" t="str">
        <f>IF(AND($G41&lt;&gt;"",$G41&gt;0,'Outfall 1 Limits'!$AX$116="C1",$BG41&lt;&gt;""),$BG41*$G41*8.34,IF(AND($BG41&lt;&gt;"",'Outfall 1 Limits'!$AX$116="L"),$BG41,""))</f>
        <v/>
      </c>
      <c r="GG41" s="206" t="str">
        <f>IF(AND($G41&lt;&gt;"",$G41&gt;0,'Outfall 1 Limits'!$AX$120="C1",$BI41&lt;&gt;""),$BI41*$G41*8.34,IF(AND($BI41&lt;&gt;"",'Outfall 1 Limits'!$AX$120="L"),$BI41,""))</f>
        <v/>
      </c>
      <c r="GH41" s="206" t="str">
        <f>IF(AND($G41&lt;&gt;"",$G41&gt;0,'Outfall 1 Limits'!$AX$124="C1",$BK41&lt;&gt;""),$BK41*$G41*8.34,IF(AND($BK41&lt;&gt;"",'Outfall 1 Limits'!$AX$124="L"),$BK41,""))</f>
        <v/>
      </c>
      <c r="GI41" s="223" t="str">
        <f>IF(AND($G41&lt;&gt;"",$G41&gt;0,'Outfall 1 Limits'!$AX$128="C1",$BM41&lt;&gt;""),$BM41*$G41*8.34,IF(AND($BM41&lt;&gt;"",'Outfall 1 Limits'!$AX$128="L"),$BM41,""))</f>
        <v/>
      </c>
      <c r="GJ41" s="177" t="str">
        <f t="shared" si="59"/>
        <v/>
      </c>
      <c r="GK41" s="212" t="str">
        <f>IF(AND($G41&lt;&gt;"",$G41&gt;0,'Outfall 1 Limits'!$AX$16="C1",CY41&lt;&gt;""),CY41*$G41*8.34,IF(AND(CY41&lt;&gt;"",'Outfall 1 Limits'!$AX$16="L"),CY41,""))</f>
        <v/>
      </c>
      <c r="GL41" s="206" t="str">
        <f>IF(AND($G41&lt;&gt;"",$G41&gt;0,'Outfall 1 Limits'!$AX$20="C1",CZ41&lt;&gt;""),CZ41*$G41*8.34,IF(AND(CZ41&lt;&gt;"",'Outfall 1 Limits'!$AX$20="L"),CZ41,""))</f>
        <v/>
      </c>
      <c r="GM41" s="206" t="str">
        <f>IF(AND($G41&lt;&gt;"",$G41&gt;0,'Outfall 1 Limits'!$AX$24="C1",DA41&lt;&gt;""),DA41*$G41*8.34,IF(AND(DA41&lt;&gt;"",'Outfall 1 Limits'!$AX$24="L"),DA41,""))</f>
        <v/>
      </c>
      <c r="GN41" s="206" t="str">
        <f>IF(AND($G41&lt;&gt;"",$G41&gt;0,'Outfall 1 Limits'!$AX$28="C1",DB41&lt;&gt;""),DB41*$G41*8.34,IF(AND(DB41&lt;&gt;"",'Outfall 1 Limits'!$AX$28="L"),DB41,""))</f>
        <v/>
      </c>
      <c r="GO41" s="206" t="str">
        <f>IF(AND($G41&lt;&gt;"",$G41&gt;0,'Outfall 1 Limits'!$AX$32="C1",DC41&lt;&gt;""),DC41*$G41*8.34,IF(AND(DC41&lt;&gt;"",'Outfall 1 Limits'!$AX$32="L"),DC41,""))</f>
        <v/>
      </c>
      <c r="GP41" s="206" t="str">
        <f>IF(AND($G41&lt;&gt;"",$G41&gt;0,'Outfall 1 Limits'!$AX$36="C1",DD41&lt;&gt;""),DD41*$G41*8.34,IF(AND(DD41&lt;&gt;"",'Outfall 1 Limits'!$AX$36="L"),DD41,""))</f>
        <v/>
      </c>
      <c r="GQ41" s="206" t="str">
        <f>IF(AND($G41&lt;&gt;"",$G41&gt;0,'Outfall 1 Limits'!$AX$40="C1",DE41&lt;&gt;""),DE41*$G41*8.34,IF(AND(DE41&lt;&gt;"",'Outfall 1 Limits'!$AX$40="L"),DE41,""))</f>
        <v/>
      </c>
      <c r="GR41" s="206" t="str">
        <f>IF(AND($G41&lt;&gt;"",$G41&gt;0,'Outfall 1 Limits'!$AX$44="C1",DF41&lt;&gt;""),DF41*$G41*8.34,IF(AND(DF41&lt;&gt;"",'Outfall 1 Limits'!$AX$44="L"),DF41,""))</f>
        <v/>
      </c>
      <c r="GS41" s="206" t="str">
        <f>IF(AND($G41&lt;&gt;"",$G41&gt;0,'Outfall 1 Limits'!$AX$48="C1",DG41&lt;&gt;""),DG41*$G41*8.34,IF(AND(DG41&lt;&gt;"",'Outfall 1 Limits'!$AX$48="L"),DG41,""))</f>
        <v/>
      </c>
      <c r="GT41" s="206" t="str">
        <f>IF(AND($G41&lt;&gt;"",$G41&gt;0,'Outfall 1 Limits'!$AX$52="C1",DH41&lt;&gt;""),DH41*$G41*8.34,IF(AND(DH41&lt;&gt;"",'Outfall 1 Limits'!$AX$52="L"),DH41,""))</f>
        <v/>
      </c>
      <c r="GU41" s="206" t="str">
        <f>IF(AND($G41&lt;&gt;"",$G41&gt;0,'Outfall 1 Limits'!$AX$56="C1",DI41&lt;&gt;""),DI41*$G41*8.34,IF(AND(DI41&lt;&gt;"",'Outfall 1 Limits'!$AX$56="L"),DI41,""))</f>
        <v/>
      </c>
      <c r="GV41" s="206" t="str">
        <f>IF(AND($G41&lt;&gt;"",$G41&gt;0,'Outfall 1 Limits'!$AX$60="C1",DJ41&lt;&gt;""),DJ41*$G41*8.34,IF(AND(DJ41&lt;&gt;"",'Outfall 1 Limits'!$AX$60="L"),DJ41,""))</f>
        <v/>
      </c>
      <c r="GW41" s="206" t="str">
        <f>IF(AND($G41&lt;&gt;"",$G41&gt;0,'Outfall 1 Limits'!$AX$64="C1",DK41&lt;&gt;""),DK41*$G41*8.34,IF(AND(DK41&lt;&gt;"",'Outfall 1 Limits'!$AX$64="L"),DK41,""))</f>
        <v/>
      </c>
      <c r="GX41" s="206" t="str">
        <f>IF(AND($G41&lt;&gt;"",$G41&gt;0,'Outfall 1 Limits'!$AX$68="C1",DL41&lt;&gt;""),DL41*$G41*8.34,IF(AND(DL41&lt;&gt;"",'Outfall 1 Limits'!$AX$68="L"),DL41,""))</f>
        <v/>
      </c>
      <c r="GY41" s="206" t="str">
        <f>IF(AND($G41&lt;&gt;"",$G41&gt;0,'Outfall 1 Limits'!$AX$72="C1",DM41&lt;&gt;""),DM41*$G41*8.34,IF(AND(DM41&lt;&gt;"",'Outfall 1 Limits'!$AX$72="L"),DM41,""))</f>
        <v/>
      </c>
      <c r="GZ41" s="206" t="str">
        <f>IF(AND($G41&lt;&gt;"",$G41&gt;0,'Outfall 1 Limits'!$AX$76="C1",DN41&lt;&gt;""),DN41*$G41*8.34,IF(AND(DN41&lt;&gt;"",'Outfall 1 Limits'!$AX$76="L"),DN41,""))</f>
        <v/>
      </c>
      <c r="HA41" s="206" t="str">
        <f>IF(AND($G41&lt;&gt;"",$G41&gt;0,'Outfall 1 Limits'!$AX$80="C1",DO41&lt;&gt;""),DO41*$G41*8.34,IF(AND(DO41&lt;&gt;"",'Outfall 1 Limits'!$AX$80="L"),DO41,""))</f>
        <v/>
      </c>
      <c r="HB41" s="206" t="str">
        <f>IF(AND($G41&lt;&gt;"",$G41&gt;0,'Outfall 1 Limits'!$AX$84="C1",DP41&lt;&gt;""),DP41*$G41*8.34,IF(AND(DP41&lt;&gt;"",'Outfall 1 Limits'!$AX$84="L"),DP41,""))</f>
        <v/>
      </c>
      <c r="HC41" s="206" t="str">
        <f>IF(AND($G41&lt;&gt;"",$G41&gt;0,'Outfall 1 Limits'!$AX$88="C1",DQ41&lt;&gt;""),DQ41*$G41*8.34,IF(AND(DQ41&lt;&gt;"",'Outfall 1 Limits'!$AX$88="L"),DQ41,""))</f>
        <v/>
      </c>
      <c r="HD41" s="206" t="str">
        <f>IF(AND($G41&lt;&gt;"",$G41&gt;0,'Outfall 1 Limits'!$AX$92="C1",DR41&lt;&gt;""),DR41*$G41*8.34,IF(AND(DR41&lt;&gt;"",'Outfall 1 Limits'!$AX$92="L"),DR41,""))</f>
        <v/>
      </c>
      <c r="HE41" s="206" t="str">
        <f>IF(AND($G41&lt;&gt;"",$G41&gt;0,'Outfall 1 Limits'!$AX$96="C1",DS41&lt;&gt;""),DS41*$G41*8.34,IF(AND(DS41&lt;&gt;"",'Outfall 1 Limits'!$AX$96="L"),DS41,""))</f>
        <v/>
      </c>
      <c r="HF41" s="206" t="str">
        <f>IF(AND($G41&lt;&gt;"",$G41&gt;0,'Outfall 1 Limits'!$AX$100="C1",DT41&lt;&gt;""),DT41*$G41*8.34,IF(AND(DT41&lt;&gt;"",'Outfall 1 Limits'!$AX$100="L"),DT41,""))</f>
        <v/>
      </c>
      <c r="HG41" s="206" t="str">
        <f>IF(AND($G41&lt;&gt;"",$G41&gt;0,'Outfall 1 Limits'!$AX$104="C1",DU41&lt;&gt;""),DU41*$G41*8.34,IF(AND(DU41&lt;&gt;"",'Outfall 1 Limits'!$AX$104="L"),DU41,""))</f>
        <v/>
      </c>
      <c r="HH41" s="206" t="str">
        <f>IF(AND($G41&lt;&gt;"",$G41&gt;0,'Outfall 1 Limits'!$AX$108="C1",DV41&lt;&gt;""),DV41*$G41*8.34,IF(AND(DV41&lt;&gt;"",'Outfall 1 Limits'!$AX$108="L"),DV41,""))</f>
        <v/>
      </c>
      <c r="HI41" s="206" t="str">
        <f>IF(AND($G41&lt;&gt;"",$G41&gt;0,'Outfall 1 Limits'!$AX$112="C1",DW41&lt;&gt;""),DW41*$G41*8.34,IF(AND(DW41&lt;&gt;"",'Outfall 1 Limits'!$AX$112="L"),DW41,""))</f>
        <v/>
      </c>
      <c r="HJ41" s="206" t="str">
        <f>IF(AND($G41&lt;&gt;"",$G41&gt;0,'Outfall 1 Limits'!$AX$116="C1",DX41&lt;&gt;""),DX41*$G41*8.34,IF(AND(DX41&lt;&gt;"",'Outfall 1 Limits'!$AX$116="L"),DX41,""))</f>
        <v/>
      </c>
      <c r="HK41" s="206" t="str">
        <f>IF(AND($G41&lt;&gt;"",$G41&gt;0,'Outfall 1 Limits'!$AX$120="C1",DY41&lt;&gt;""),DY41*$G41*8.34,IF(AND(DY41&lt;&gt;"",'Outfall 1 Limits'!$AX$120="L"),DY41,""))</f>
        <v/>
      </c>
      <c r="HL41" s="206" t="str">
        <f>IF(AND($G41&lt;&gt;"",$G41&gt;0,'Outfall 1 Limits'!$AX$124="C1",DZ41&lt;&gt;""),DZ41*$G41*8.34,IF(AND(DZ41&lt;&gt;"",'Outfall 1 Limits'!$AX$124="L"),DZ41,""))</f>
        <v/>
      </c>
      <c r="HM41" s="223" t="str">
        <f>IF(AND($G41&lt;&gt;"",$G41&gt;0,'Outfall 1 Limits'!$AX$128="C1",EA41&lt;&gt;""),EA41*$G41*8.34,IF(AND(EA41&lt;&gt;"",'Outfall 1 Limits'!$AX$128="L"),EA41,""))</f>
        <v/>
      </c>
      <c r="HO41" s="224" t="str">
        <f t="shared" si="60"/>
        <v/>
      </c>
      <c r="HS41" s="202" t="str">
        <f t="shared" si="61"/>
        <v/>
      </c>
      <c r="HT41" s="196" t="str">
        <f t="shared" si="62"/>
        <v/>
      </c>
      <c r="HU41" s="196" t="str">
        <f t="shared" si="63"/>
        <v/>
      </c>
      <c r="HV41" s="196" t="str">
        <f t="shared" si="64"/>
        <v/>
      </c>
      <c r="HW41" s="196" t="str">
        <f t="shared" si="65"/>
        <v/>
      </c>
      <c r="HX41" s="196" t="str">
        <f t="shared" si="66"/>
        <v/>
      </c>
      <c r="HY41" s="196" t="str">
        <f t="shared" si="67"/>
        <v/>
      </c>
      <c r="HZ41" s="196" t="str">
        <f t="shared" si="68"/>
        <v/>
      </c>
      <c r="IA41" s="196" t="str">
        <f t="shared" si="69"/>
        <v/>
      </c>
      <c r="IB41" s="196" t="str">
        <f t="shared" si="70"/>
        <v/>
      </c>
      <c r="IC41" s="196" t="str">
        <f t="shared" si="71"/>
        <v/>
      </c>
      <c r="ID41" s="196" t="str">
        <f t="shared" si="72"/>
        <v/>
      </c>
      <c r="IE41" s="196" t="str">
        <f t="shared" si="73"/>
        <v/>
      </c>
      <c r="IF41" s="196" t="str">
        <f t="shared" si="74"/>
        <v/>
      </c>
      <c r="IG41" s="196" t="str">
        <f t="shared" si="75"/>
        <v/>
      </c>
      <c r="IH41" s="196" t="str">
        <f t="shared" si="76"/>
        <v/>
      </c>
      <c r="II41" s="196" t="str">
        <f t="shared" si="77"/>
        <v/>
      </c>
      <c r="IJ41" s="196" t="str">
        <f t="shared" si="78"/>
        <v/>
      </c>
      <c r="IK41" s="196" t="str">
        <f t="shared" si="79"/>
        <v/>
      </c>
      <c r="IL41" s="196" t="str">
        <f t="shared" si="80"/>
        <v/>
      </c>
      <c r="IM41" s="196" t="str">
        <f t="shared" si="81"/>
        <v/>
      </c>
      <c r="IN41" s="196" t="str">
        <f t="shared" si="82"/>
        <v/>
      </c>
      <c r="IO41" s="196" t="str">
        <f t="shared" si="83"/>
        <v/>
      </c>
      <c r="IP41" s="196" t="str">
        <f t="shared" si="84"/>
        <v/>
      </c>
      <c r="IQ41" s="196" t="str">
        <f t="shared" si="85"/>
        <v/>
      </c>
      <c r="IR41" s="196" t="str">
        <f t="shared" si="86"/>
        <v/>
      </c>
      <c r="IS41" s="196" t="str">
        <f t="shared" si="87"/>
        <v/>
      </c>
      <c r="IT41" s="196" t="str">
        <f t="shared" si="88"/>
        <v/>
      </c>
      <c r="IU41" s="210" t="str">
        <f t="shared" si="89"/>
        <v/>
      </c>
      <c r="IX41" s="202" t="str">
        <f t="shared" si="90"/>
        <v/>
      </c>
      <c r="IY41" s="196" t="str">
        <f t="shared" si="91"/>
        <v/>
      </c>
      <c r="IZ41" s="196" t="str">
        <f t="shared" si="92"/>
        <v/>
      </c>
      <c r="JA41" s="196" t="str">
        <f t="shared" si="93"/>
        <v/>
      </c>
      <c r="JB41" s="196" t="str">
        <f t="shared" si="94"/>
        <v/>
      </c>
      <c r="JC41" s="196" t="str">
        <f t="shared" si="95"/>
        <v/>
      </c>
      <c r="JD41" s="196" t="str">
        <f t="shared" si="96"/>
        <v/>
      </c>
      <c r="JE41" s="196" t="str">
        <f t="shared" si="97"/>
        <v/>
      </c>
      <c r="JF41" s="196" t="str">
        <f t="shared" si="98"/>
        <v/>
      </c>
      <c r="JG41" s="196" t="str">
        <f t="shared" si="99"/>
        <v/>
      </c>
      <c r="JH41" s="196" t="str">
        <f t="shared" si="100"/>
        <v/>
      </c>
      <c r="JI41" s="196" t="str">
        <f t="shared" si="101"/>
        <v/>
      </c>
      <c r="JJ41" s="196" t="str">
        <f t="shared" si="102"/>
        <v/>
      </c>
      <c r="JK41" s="196" t="str">
        <f t="shared" si="103"/>
        <v/>
      </c>
      <c r="JL41" s="196" t="str">
        <f t="shared" si="104"/>
        <v/>
      </c>
      <c r="JM41" s="196" t="str">
        <f t="shared" si="105"/>
        <v/>
      </c>
      <c r="JN41" s="196" t="str">
        <f t="shared" si="106"/>
        <v/>
      </c>
      <c r="JO41" s="196" t="str">
        <f t="shared" si="107"/>
        <v/>
      </c>
      <c r="JP41" s="196" t="str">
        <f t="shared" si="108"/>
        <v/>
      </c>
      <c r="JQ41" s="196" t="str">
        <f t="shared" si="109"/>
        <v/>
      </c>
      <c r="JR41" s="196" t="str">
        <f t="shared" si="110"/>
        <v/>
      </c>
      <c r="JS41" s="196" t="str">
        <f t="shared" si="111"/>
        <v/>
      </c>
      <c r="JT41" s="196" t="str">
        <f t="shared" si="112"/>
        <v/>
      </c>
      <c r="JU41" s="196" t="str">
        <f t="shared" si="113"/>
        <v/>
      </c>
      <c r="JV41" s="196" t="str">
        <f t="shared" si="114"/>
        <v/>
      </c>
      <c r="JW41" s="196" t="str">
        <f t="shared" si="115"/>
        <v/>
      </c>
      <c r="JX41" s="196" t="str">
        <f t="shared" si="116"/>
        <v/>
      </c>
      <c r="JY41" s="196" t="str">
        <f t="shared" si="117"/>
        <v/>
      </c>
      <c r="JZ41" s="210" t="str">
        <f t="shared" si="118"/>
        <v/>
      </c>
      <c r="KA41" s="196"/>
      <c r="KB41" s="176"/>
      <c r="KC41" s="227"/>
      <c r="KD41" s="218" t="str">
        <f t="shared" si="2"/>
        <v/>
      </c>
      <c r="KE41" s="196" t="str">
        <f t="shared" si="3"/>
        <v/>
      </c>
      <c r="KF41" s="196" t="str">
        <f t="shared" si="4"/>
        <v/>
      </c>
      <c r="KG41" s="196" t="str">
        <f t="shared" si="5"/>
        <v/>
      </c>
      <c r="KH41" s="196" t="str">
        <f t="shared" si="6"/>
        <v/>
      </c>
      <c r="KI41" s="196" t="str">
        <f t="shared" si="7"/>
        <v/>
      </c>
      <c r="KJ41" s="196" t="str">
        <f t="shared" si="8"/>
        <v/>
      </c>
      <c r="KK41" s="196" t="str">
        <f t="shared" si="9"/>
        <v/>
      </c>
      <c r="KL41" s="196" t="str">
        <f t="shared" si="10"/>
        <v/>
      </c>
      <c r="KM41" s="196" t="str">
        <f t="shared" si="11"/>
        <v/>
      </c>
      <c r="KN41" s="196" t="str">
        <f t="shared" si="12"/>
        <v/>
      </c>
      <c r="KO41" s="196" t="str">
        <f t="shared" si="13"/>
        <v/>
      </c>
      <c r="KP41" s="196" t="str">
        <f t="shared" si="14"/>
        <v/>
      </c>
      <c r="KQ41" s="196" t="str">
        <f t="shared" si="15"/>
        <v/>
      </c>
      <c r="KR41" s="196" t="str">
        <f t="shared" si="16"/>
        <v/>
      </c>
      <c r="KS41" s="196" t="str">
        <f t="shared" si="17"/>
        <v/>
      </c>
      <c r="KT41" s="196" t="str">
        <f t="shared" si="18"/>
        <v/>
      </c>
      <c r="KU41" s="196" t="str">
        <f t="shared" si="19"/>
        <v/>
      </c>
      <c r="KV41" s="196" t="str">
        <f t="shared" si="20"/>
        <v/>
      </c>
      <c r="KW41" s="196" t="str">
        <f t="shared" si="21"/>
        <v/>
      </c>
      <c r="KX41" s="196" t="str">
        <f t="shared" si="22"/>
        <v/>
      </c>
      <c r="KY41" s="196" t="str">
        <f t="shared" si="23"/>
        <v/>
      </c>
      <c r="KZ41" s="196" t="str">
        <f t="shared" si="24"/>
        <v/>
      </c>
      <c r="LA41" s="196" t="str">
        <f t="shared" si="25"/>
        <v/>
      </c>
      <c r="LB41" s="196" t="str">
        <f t="shared" si="26"/>
        <v/>
      </c>
      <c r="LC41" s="196" t="str">
        <f t="shared" si="27"/>
        <v/>
      </c>
      <c r="LD41" s="196" t="str">
        <f t="shared" si="28"/>
        <v/>
      </c>
      <c r="LE41" s="196" t="str">
        <f t="shared" si="29"/>
        <v/>
      </c>
      <c r="LF41" s="226" t="str">
        <f t="shared" si="30"/>
        <v/>
      </c>
    </row>
    <row r="42" spans="1:318" s="172" customFormat="1" ht="11.45" customHeight="1" x14ac:dyDescent="0.2">
      <c r="A42" s="35"/>
      <c r="B42" s="54"/>
      <c r="C42" s="438">
        <f t="shared" si="0"/>
        <v>45316</v>
      </c>
      <c r="D42" s="438"/>
      <c r="E42" s="430">
        <f t="shared" si="119"/>
        <v>45316</v>
      </c>
      <c r="F42" s="431"/>
      <c r="G42" s="26"/>
      <c r="H42" s="51"/>
      <c r="I42" s="50"/>
      <c r="J42" s="51"/>
      <c r="K42" s="50"/>
      <c r="L42" s="51"/>
      <c r="M42" s="50"/>
      <c r="N42" s="51"/>
      <c r="O42" s="50"/>
      <c r="P42" s="51"/>
      <c r="Q42" s="50"/>
      <c r="R42" s="51"/>
      <c r="S42" s="50"/>
      <c r="T42" s="51"/>
      <c r="U42" s="50"/>
      <c r="V42" s="51"/>
      <c r="W42" s="50"/>
      <c r="X42" s="276"/>
      <c r="Y42" s="50"/>
      <c r="Z42" s="51"/>
      <c r="AA42" s="50"/>
      <c r="AB42" s="51"/>
      <c r="AC42" s="50"/>
      <c r="AD42" s="51"/>
      <c r="AE42" s="50"/>
      <c r="AF42" s="51"/>
      <c r="AG42" s="50"/>
      <c r="AH42" s="51"/>
      <c r="AI42" s="50"/>
      <c r="AJ42" s="51"/>
      <c r="AK42" s="50"/>
      <c r="AL42" s="51"/>
      <c r="AM42" s="50"/>
      <c r="AN42" s="51"/>
      <c r="AO42" s="50"/>
      <c r="AP42" s="51"/>
      <c r="AQ42" s="50"/>
      <c r="AR42" s="51"/>
      <c r="AS42" s="50"/>
      <c r="AT42" s="51"/>
      <c r="AU42" s="50"/>
      <c r="AV42" s="51"/>
      <c r="AW42" s="50"/>
      <c r="AX42" s="51"/>
      <c r="AY42" s="50"/>
      <c r="AZ42" s="51"/>
      <c r="BA42" s="50"/>
      <c r="BB42" s="51"/>
      <c r="BC42" s="50"/>
      <c r="BD42" s="51"/>
      <c r="BE42" s="50"/>
      <c r="BF42" s="51"/>
      <c r="BG42" s="50"/>
      <c r="BH42" s="51"/>
      <c r="BI42" s="50"/>
      <c r="BJ42" s="51"/>
      <c r="BK42" s="50"/>
      <c r="BL42" s="51"/>
      <c r="BM42" s="109"/>
      <c r="BO42" s="174"/>
      <c r="BP42" s="174">
        <v>2061</v>
      </c>
      <c r="BQ42" s="221" t="s">
        <v>59</v>
      </c>
      <c r="BR42" s="222"/>
      <c r="BS42" s="174" t="s">
        <v>1116</v>
      </c>
      <c r="BU42" s="202" t="str">
        <f t="shared" si="31"/>
        <v/>
      </c>
      <c r="BV42" s="196" t="str">
        <f t="shared" si="32"/>
        <v/>
      </c>
      <c r="BW42" s="196" t="str">
        <f t="shared" si="33"/>
        <v/>
      </c>
      <c r="BX42" s="196" t="str">
        <f t="shared" si="34"/>
        <v/>
      </c>
      <c r="BY42" s="196" t="str">
        <f t="shared" si="35"/>
        <v/>
      </c>
      <c r="BZ42" s="196" t="str">
        <f t="shared" si="36"/>
        <v/>
      </c>
      <c r="CA42" s="196" t="str">
        <f t="shared" si="37"/>
        <v/>
      </c>
      <c r="CB42" s="196" t="str">
        <f t="shared" si="38"/>
        <v/>
      </c>
      <c r="CC42" s="196" t="str">
        <f t="shared" si="39"/>
        <v/>
      </c>
      <c r="CD42" s="196" t="str">
        <f t="shared" si="40"/>
        <v/>
      </c>
      <c r="CE42" s="196" t="str">
        <f t="shared" si="41"/>
        <v/>
      </c>
      <c r="CF42" s="196" t="str">
        <f t="shared" si="42"/>
        <v/>
      </c>
      <c r="CG42" s="196" t="str">
        <f t="shared" si="43"/>
        <v/>
      </c>
      <c r="CH42" s="196" t="str">
        <f t="shared" si="44"/>
        <v/>
      </c>
      <c r="CI42" s="196" t="str">
        <f t="shared" si="45"/>
        <v/>
      </c>
      <c r="CJ42" s="196" t="str">
        <f t="shared" si="46"/>
        <v/>
      </c>
      <c r="CK42" s="196" t="str">
        <f t="shared" si="47"/>
        <v/>
      </c>
      <c r="CL42" s="196" t="str">
        <f t="shared" si="48"/>
        <v/>
      </c>
      <c r="CM42" s="196" t="str">
        <f t="shared" si="120"/>
        <v/>
      </c>
      <c r="CN42" s="196" t="str">
        <f t="shared" si="49"/>
        <v/>
      </c>
      <c r="CO42" s="196" t="str">
        <f t="shared" si="50"/>
        <v/>
      </c>
      <c r="CP42" s="196" t="str">
        <f t="shared" si="51"/>
        <v/>
      </c>
      <c r="CQ42" s="196" t="str">
        <f t="shared" si="52"/>
        <v/>
      </c>
      <c r="CR42" s="196" t="str">
        <f t="shared" si="53"/>
        <v/>
      </c>
      <c r="CS42" s="196" t="str">
        <f t="shared" si="54"/>
        <v/>
      </c>
      <c r="CT42" s="196" t="str">
        <f t="shared" si="55"/>
        <v/>
      </c>
      <c r="CU42" s="196" t="str">
        <f t="shared" si="56"/>
        <v/>
      </c>
      <c r="CV42" s="196" t="str">
        <f t="shared" si="57"/>
        <v/>
      </c>
      <c r="CW42" s="210" t="str">
        <f t="shared" si="58"/>
        <v/>
      </c>
      <c r="CY42" s="212" t="str">
        <f>IF(I42&lt;&gt;"",IF(H42="&lt;",IF(AND('Outfall 1 Limits'!$AM$16="Y",$BU$54&lt;&gt;"Y",I42&lt;='Outfall 1 Limits'!$AL$16),0,(1*I42)),I42),"")</f>
        <v/>
      </c>
      <c r="CZ42" s="206" t="str">
        <f>IF(K42&lt;&gt;"",IF(J42="&lt;",IF(AND('Outfall 1 Limits'!$AM$20="Y",$BV$54&lt;&gt;"Y",K42&lt;='Outfall 1 Limits'!$AL$20),0,(1*K42)),K42),"")</f>
        <v/>
      </c>
      <c r="DA42" s="206" t="str">
        <f>IF(M42&lt;&gt;"",IF(L42="&lt;",IF(AND('Outfall 1 Limits'!$AM$24="Y",$BW$54&lt;&gt;"Y",M42&lt;='Outfall 1 Limits'!$AL$24),0,(1*M42)),M42),"")</f>
        <v/>
      </c>
      <c r="DB42" s="206" t="str">
        <f>IF(O42&lt;&gt;"",IF(N42="&lt;",IF(AND('Outfall 1 Limits'!$AM$28="Y",$BX$54&lt;&gt;"Y",O42&lt;='Outfall 1 Limits'!$AL$28),0,(1*O42)),O42),"")</f>
        <v/>
      </c>
      <c r="DC42" s="206" t="str">
        <f>IF(Q42&lt;&gt;"",IF(P42="&lt;",IF(AND('Outfall 1 Limits'!$AM$32="Y",$BY$54&lt;&gt;"Y",Q42&lt;='Outfall 1 Limits'!$AL$32),0,(1*Q42)),Q42),"")</f>
        <v/>
      </c>
      <c r="DD42" s="206" t="str">
        <f>IF(S42&lt;&gt;"",IF(R42="&lt;",IF(AND('Outfall 1 Limits'!$AM$36="Y",$BZ$54&lt;&gt;"Y",S42&lt;='Outfall 1 Limits'!$AL$36),0,(1*S42)),S42),"")</f>
        <v/>
      </c>
      <c r="DE42" s="206" t="str">
        <f>IF(U42&lt;&gt;"",IF(T42="&lt;",IF(AND('Outfall 1 Limits'!$AM$40="Y",$CA$54&lt;&gt;"Y",U42&lt;='Outfall 1 Limits'!$AL$40),0,(1*U42)),U42),"")</f>
        <v/>
      </c>
      <c r="DF42" s="206" t="str">
        <f>IF(W42&lt;&gt;"",IF(V42="&lt;",IF(AND('Outfall 1 Limits'!$AM$44="Y",$CB$54&lt;&gt;"Y",W42&lt;='Outfall 1 Limits'!$AL$44),0,(1*W42)),W42),"")</f>
        <v/>
      </c>
      <c r="DG42" s="206" t="str">
        <f>IF(Y42&lt;&gt;"",IF(X42="&lt;",IF(AND('Outfall 1 Limits'!$AM$48="Y",$CC$54&lt;&gt;"Y",Y42&lt;='Outfall 1 Limits'!$AL$48),0,(1*Y42)),Y42),"")</f>
        <v/>
      </c>
      <c r="DH42" s="206" t="str">
        <f>IF(AA42&lt;&gt;"",IF(Z42="&lt;",IF(AND('Outfall 1 Limits'!$AM$52="Y",$CD$54&lt;&gt;"Y",AA42&lt;='Outfall 1 Limits'!$AL$52),0,(1*AA42)),AA42),"")</f>
        <v/>
      </c>
      <c r="DI42" s="206" t="str">
        <f>IF(AC42&lt;&gt;"",IF(AB42="&lt;",IF(AND('Outfall 1 Limits'!$AM$56="Y",$CE$54&lt;&gt;"Y",AC42&lt;='Outfall 1 Limits'!$AL$56),0,(1*AC42)),AC42),"")</f>
        <v/>
      </c>
      <c r="DJ42" s="206" t="str">
        <f>IF(AE42&lt;&gt;"",IF(AD42="&lt;",IF(AND('Outfall 1 Limits'!$AM$60="Y",$CF$54&lt;&gt;"Y",AE42&lt;='Outfall 1 Limits'!$AL$60),0,(1*AE42)),AE42),"")</f>
        <v/>
      </c>
      <c r="DK42" s="206" t="str">
        <f>IF(AG42&lt;&gt;"",IF(AF42="&lt;",IF(AND('Outfall 1 Limits'!$AM$64="Y",$CG$54&lt;&gt;"Y",AG42&lt;='Outfall 1 Limits'!$AL$64),0,(1*AG42)),AG42),"")</f>
        <v/>
      </c>
      <c r="DL42" s="206" t="str">
        <f>IF(AI42&lt;&gt;"",IF(AH42="&lt;",IF(AND('Outfall 1 Limits'!$AM$68="Y",$CH$54&lt;&gt;"Y",AI42&lt;='Outfall 1 Limits'!$AL$68),0,(1*AI42)),AI42),"")</f>
        <v/>
      </c>
      <c r="DM42" s="206" t="str">
        <f>IF(AK42&lt;&gt;"",IF(AJ42="&lt;",IF(AND('Outfall 1 Limits'!$AM$72="Y",$CI$54&lt;&gt;"Y",AK42&lt;='Outfall 1 Limits'!$AL$72),0,(1*AK42)),AK42),"")</f>
        <v/>
      </c>
      <c r="DN42" s="206" t="str">
        <f>IF(AM42&lt;&gt;"",IF(AL42="&lt;",IF(AND('Outfall 1 Limits'!$AM$76="Y",$CJ$54&lt;&gt;"Y",AM42&lt;='Outfall 1 Limits'!$AL$76),0,(1*AM42)),AM42),"")</f>
        <v/>
      </c>
      <c r="DO42" s="206" t="str">
        <f>IF(AO42&lt;&gt;"",IF(AN42="&lt;",IF(AND('Outfall 1 Limits'!$AM$80="Y",$CK$54&lt;&gt;"Y",AO42&lt;='Outfall 1 Limits'!$AL$80),0,(1*AO42)),AO42),"")</f>
        <v/>
      </c>
      <c r="DP42" s="206" t="str">
        <f>IF(AQ42&lt;&gt;"",IF(AP42="&lt;",IF(AND('Outfall 1 Limits'!$AM$84="Y",$CL$54&lt;&gt;"Y",AQ42&lt;='Outfall 1 Limits'!$AL$84),0,(1*AQ42)),AQ42),"")</f>
        <v/>
      </c>
      <c r="DQ42" s="206" t="str">
        <f>IF(AS42&lt;&gt;"",IF(AR42="&lt;",IF(AND('Outfall 1 Limits'!$AM$88="Y",$CM$54&lt;&gt;"Y",AS42&lt;='Outfall 1 Limits'!$AL$88),0,(1*AS42)),AS42),"")</f>
        <v/>
      </c>
      <c r="DR42" s="206" t="str">
        <f>IF(AU42&lt;&gt;"",IF(AT42="&lt;",IF(AND('Outfall 1 Limits'!$AM$92="Y",$CN$54&lt;&gt;"Y",AU42&lt;='Outfall 1 Limits'!$AL$92),0,(1*AU42)),AU42),"")</f>
        <v/>
      </c>
      <c r="DS42" s="206" t="str">
        <f>IF(AW42&lt;&gt;"",IF(AV42="&lt;",IF(AND('Outfall 1 Limits'!$AM$96="Y",$CO$54&lt;&gt;"Y",AW42&lt;='Outfall 1 Limits'!$AL$96),0,(1*AW42)),AW42),"")</f>
        <v/>
      </c>
      <c r="DT42" s="206" t="str">
        <f>IF(AY42&lt;&gt;"",IF(AX42="&lt;",IF(AND('Outfall 1 Limits'!$AM$100="Y",$CP$54&lt;&gt;"Y",AY42&lt;='Outfall 1 Limits'!$AL$100),0,(1*AY42)),AY42),"")</f>
        <v/>
      </c>
      <c r="DU42" s="206" t="str">
        <f>IF(BA42&lt;&gt;"",IF(AZ42="&lt;",IF(AND('Outfall 1 Limits'!$AM$104="Y",$CQ$54&lt;&gt;"Y",BA42&lt;='Outfall 1 Limits'!$AL$104),0,(1*BA42)),BA42),"")</f>
        <v/>
      </c>
      <c r="DV42" s="206" t="str">
        <f>IF(BC42&lt;&gt;"",IF(BB42="&lt;",IF(AND('Outfall 1 Limits'!$AM$108="Y",$CR$54&lt;&gt;"Y",BC42&lt;='Outfall 1 Limits'!$AL$108),0,(1*BC42)),BC42),"")</f>
        <v/>
      </c>
      <c r="DW42" s="206" t="str">
        <f>IF(BE42&lt;&gt;"",IF(BD42="&lt;",IF(AND('Outfall 1 Limits'!$AM$112="Y",$CS$54&lt;&gt;"Y",BE42&lt;='Outfall 1 Limits'!$AL$112),0,(1*BE42)),BE42),"")</f>
        <v/>
      </c>
      <c r="DX42" s="206" t="str">
        <f>IF(BG42&lt;&gt;"",IF(BF42="&lt;",IF(AND('Outfall 1 Limits'!$AM$116="Y",$CT$54&lt;&gt;"Y",BG42&lt;='Outfall 1 Limits'!$AL$116),0,(1*BG42)),BG42),"")</f>
        <v/>
      </c>
      <c r="DY42" s="206" t="str">
        <f>IF(BI42&lt;&gt;"",IF(BH42="&lt;",IF(AND('Outfall 1 Limits'!$AM$120="Y",$CU$54&lt;&gt;"Y",BI42&lt;='Outfall 1 Limits'!$AL$120),0,(1*BI42)),BI42),"")</f>
        <v/>
      </c>
      <c r="DZ42" s="206" t="str">
        <f>IF(BK42&lt;&gt;"",IF(BJ42="&lt;",IF(AND('Outfall 1 Limits'!$AM$124="Y",$CV$54&lt;&gt;"Y",BK42&lt;='Outfall 1 Limits'!$AL$124),0,(1*BK42)),BK42),"")</f>
        <v/>
      </c>
      <c r="EA42" s="223" t="str">
        <f>IF(BM42&lt;&gt;"",IF(BL42="&lt;",IF(AND('Outfall 1 Limits'!$AM$128="Y",$CW$54&lt;&gt;"Y",BM42&lt;='Outfall 1 Limits'!$AL$128),0,(1*BM42)),BM42),"")</f>
        <v/>
      </c>
      <c r="EB42" s="209" t="s">
        <v>1145</v>
      </c>
      <c r="EC42" s="231" t="str">
        <f>IF(EC35&lt;&gt;"",IF(BU66="Y",EC35-0.1,EC35),"")</f>
        <v/>
      </c>
      <c r="ED42" s="232" t="str">
        <f t="shared" ref="ED42:FE42" si="166">IF(ED35&lt;&gt;"",IF(BV66="Y",ED35-0.1,ED35),"")</f>
        <v/>
      </c>
      <c r="EE42" s="232" t="str">
        <f t="shared" si="166"/>
        <v/>
      </c>
      <c r="EF42" s="232" t="str">
        <f t="shared" si="166"/>
        <v/>
      </c>
      <c r="EG42" s="232" t="str">
        <f t="shared" si="166"/>
        <v/>
      </c>
      <c r="EH42" s="232" t="str">
        <f t="shared" si="166"/>
        <v/>
      </c>
      <c r="EI42" s="232" t="str">
        <f t="shared" si="166"/>
        <v/>
      </c>
      <c r="EJ42" s="232" t="str">
        <f t="shared" si="166"/>
        <v/>
      </c>
      <c r="EK42" s="232" t="str">
        <f t="shared" si="166"/>
        <v/>
      </c>
      <c r="EL42" s="232" t="str">
        <f t="shared" si="166"/>
        <v/>
      </c>
      <c r="EM42" s="232" t="str">
        <f t="shared" si="166"/>
        <v/>
      </c>
      <c r="EN42" s="232" t="str">
        <f t="shared" si="166"/>
        <v/>
      </c>
      <c r="EO42" s="232" t="str">
        <f t="shared" si="166"/>
        <v/>
      </c>
      <c r="EP42" s="232" t="str">
        <f t="shared" si="166"/>
        <v/>
      </c>
      <c r="EQ42" s="232" t="str">
        <f t="shared" si="166"/>
        <v/>
      </c>
      <c r="ER42" s="232" t="str">
        <f t="shared" si="166"/>
        <v/>
      </c>
      <c r="ES42" s="232" t="str">
        <f t="shared" si="166"/>
        <v/>
      </c>
      <c r="ET42" s="232" t="str">
        <f t="shared" si="166"/>
        <v/>
      </c>
      <c r="EU42" s="232" t="str">
        <f t="shared" si="166"/>
        <v/>
      </c>
      <c r="EV42" s="232" t="str">
        <f t="shared" si="166"/>
        <v/>
      </c>
      <c r="EW42" s="232" t="str">
        <f t="shared" si="166"/>
        <v/>
      </c>
      <c r="EX42" s="232" t="str">
        <f t="shared" si="166"/>
        <v/>
      </c>
      <c r="EY42" s="232" t="str">
        <f t="shared" si="166"/>
        <v/>
      </c>
      <c r="EZ42" s="232" t="str">
        <f t="shared" si="166"/>
        <v/>
      </c>
      <c r="FA42" s="232" t="str">
        <f t="shared" si="166"/>
        <v/>
      </c>
      <c r="FB42" s="232" t="str">
        <f t="shared" si="166"/>
        <v/>
      </c>
      <c r="FC42" s="232" t="str">
        <f t="shared" si="166"/>
        <v/>
      </c>
      <c r="FD42" s="232" t="str">
        <f t="shared" si="166"/>
        <v/>
      </c>
      <c r="FE42" s="233" t="str">
        <f t="shared" si="166"/>
        <v/>
      </c>
      <c r="FG42" s="212" t="str">
        <f>IF(AND($G42&lt;&gt;"",$G42&gt;0,'Outfall 1 Limits'!$AX$16="C1",I42&lt;&gt;""),I42*$G42*8.34,IF(AND($I42&lt;&gt;"",'Outfall 1 Limits'!$AX$16="L"),I42,""))</f>
        <v/>
      </c>
      <c r="FH42" s="206" t="str">
        <f>IF(AND($G42&lt;&gt;"",$G42&gt;0,'Outfall 1 Limits'!$AX$20="C1",$K42&lt;&gt;""),$K42*$G42*8.34,IF(AND($K42&lt;&gt;"",'Outfall 1 Limits'!$AX$20="L"),$K42,""))</f>
        <v/>
      </c>
      <c r="FI42" s="206" t="str">
        <f>IF(AND($G42&lt;&gt;"",$G42&gt;0,'Outfall 1 Limits'!$AX$24="C1",$M42&lt;&gt;""),$M42*$G42*8.34,IF(AND($M42&lt;&gt;"",'Outfall 1 Limits'!$AX$24="L"),$M42,""))</f>
        <v/>
      </c>
      <c r="FJ42" s="206" t="str">
        <f>IF(AND($G42&lt;&gt;"",$G42&gt;0,'Outfall 1 Limits'!$AX$28="C1",$O42&lt;&gt;""),$O42*$G42*8.34,IF(AND($O42&lt;&gt;"",'Outfall 1 Limits'!$AX$28="L"),$O42,""))</f>
        <v/>
      </c>
      <c r="FK42" s="206" t="str">
        <f>IF(AND($G42&lt;&gt;"",$G42&gt;0,'Outfall 1 Limits'!$AX$32="C1",$Q42&lt;&gt;""),$Q42*$G42*8.34,IF(AND($Q42&lt;&gt;"",'Outfall 1 Limits'!$AX$32="L"),$Q42,""))</f>
        <v/>
      </c>
      <c r="FL42" s="206" t="str">
        <f>IF(AND($G42&lt;&gt;"",$G42&gt;0,'Outfall 1 Limits'!$AX$36="C1",$S42&lt;&gt;""),$S42*$G42*8.34,IF(AND($S42&lt;&gt;"",'Outfall 1 Limits'!$AX$36="L"),$S42,""))</f>
        <v/>
      </c>
      <c r="FM42" s="206" t="str">
        <f>IF(AND($G42&lt;&gt;"",$G42&gt;0,'Outfall 1 Limits'!$AX$40="C1",$U42&lt;&gt;""),$U42*$G42*8.34,IF(AND($U42&lt;&gt;"",'Outfall 1 Limits'!$AX$40="L"),$U42,""))</f>
        <v/>
      </c>
      <c r="FN42" s="206" t="str">
        <f>IF(AND($G42&lt;&gt;"",$G42&gt;0,'Outfall 1 Limits'!$AX$44="C1",$W42&lt;&gt;""),$W42*$G42*8.34,IF(AND($W42&lt;&gt;"",'Outfall 1 Limits'!$AX$44="L"),$W42,""))</f>
        <v/>
      </c>
      <c r="FO42" s="206" t="str">
        <f>IF(AND($G42&lt;&gt;"",$G42&gt;0,'Outfall 1 Limits'!$AX$48="C1",$Y42&lt;&gt;""),$Y42*$G42*8.34,IF(AND($Y42&lt;&gt;"",'Outfall 1 Limits'!$AX$48="L"),$Y42,""))</f>
        <v/>
      </c>
      <c r="FP42" s="206" t="str">
        <f>IF(AND($G42&lt;&gt;"",$G42&gt;0,'Outfall 1 Limits'!$AX$52="C1",$AA42&lt;&gt;""),$AA42*$G42*8.34,IF(AND($AA42&lt;&gt;"",'Outfall 1 Limits'!$AX$52="L"),$AA42,""))</f>
        <v/>
      </c>
      <c r="FQ42" s="206" t="str">
        <f>IF(AND($G42&lt;&gt;"",$G42&gt;0,'Outfall 1 Limits'!$AX$56="C1",$AC42&lt;&gt;""),$AC42*$G42*8.34,IF(AND($AC42&lt;&gt;"",'Outfall 1 Limits'!$AX$56="L"),$AC42,""))</f>
        <v/>
      </c>
      <c r="FR42" s="206" t="str">
        <f>IF(AND($G42&lt;&gt;"",$G42&gt;0,'Outfall 1 Limits'!$AX$60="C1",$AE42&lt;&gt;""),$AE42*$G42*8.34,IF(AND($AE42&lt;&gt;"",'Outfall 1 Limits'!$AX$60="L"),$AE42,""))</f>
        <v/>
      </c>
      <c r="FS42" s="206" t="str">
        <f>IF(AND($G42&lt;&gt;"",$G42&gt;0,'Outfall 1 Limits'!$AX$64="C1",$AG42&lt;&gt;""),$AG42*$G42*8.34,IF(AND($AG42&lt;&gt;"",'Outfall 1 Limits'!$AX$64="L"),$AG42,""))</f>
        <v/>
      </c>
      <c r="FT42" s="206" t="str">
        <f>IF(AND($G42&lt;&gt;"",$G42&gt;0,'Outfall 1 Limits'!$AX$68="C1",$AI42&lt;&gt;""),$AI42*$G42*8.34,IF(AND($AI42&lt;&gt;"",'Outfall 1 Limits'!$AX$68="L"),$AI42,""))</f>
        <v/>
      </c>
      <c r="FU42" s="206" t="str">
        <f>IF(AND($G42&lt;&gt;"",$G42&gt;0,'Outfall 1 Limits'!$AX$72="C1",$AK42&lt;&gt;""),$AK42*$G42*8.34,IF(AND($AK42&lt;&gt;"",'Outfall 1 Limits'!$AX$72="L"),$AK42,""))</f>
        <v/>
      </c>
      <c r="FV42" s="206" t="str">
        <f>IF(AND($G42&lt;&gt;"",$G42&gt;0,'Outfall 1 Limits'!$AX$76="C1",$AM42&lt;&gt;""),$AM42*$G42*8.34,IF(AND($AM42&lt;&gt;"",'Outfall 1 Limits'!$AX$76="L"),$AM42,""))</f>
        <v/>
      </c>
      <c r="FW42" s="206" t="str">
        <f>IF(AND($G42&lt;&gt;"",$G42&gt;0,'Outfall 1 Limits'!$AX$80="C1",$AO42&lt;&gt;""),$AO42*$G42*8.34,IF(AND($AO42&lt;&gt;"",'Outfall 1 Limits'!$AX$80="L"),$AO42,""))</f>
        <v/>
      </c>
      <c r="FX42" s="206" t="str">
        <f>IF(AND($G42&lt;&gt;"",$G42&gt;0,'Outfall 1 Limits'!$AX$84="C1",$AQ42&lt;&gt;""),$AQ42*$G42*8.34,IF(AND($AQ42&lt;&gt;"",'Outfall 1 Limits'!$AX$84="L"),$AQ42,""))</f>
        <v/>
      </c>
      <c r="FY42" s="206" t="str">
        <f>IF(AND($G42&lt;&gt;"",$G42&gt;0,'Outfall 1 Limits'!$AX$88="C1",$AS42&lt;&gt;""),$AS42*$G42*8.34,IF(AND($AS42&lt;&gt;"",'Outfall 1 Limits'!$AX$88="L"),$AS42,""))</f>
        <v/>
      </c>
      <c r="FZ42" s="206" t="str">
        <f>IF(AND($G42&lt;&gt;"",$G42&gt;0,'Outfall 1 Limits'!$AX$92="C1",$AU42&lt;&gt;""),$AU42*$G42*8.34,IF(AND($AU42&lt;&gt;"",'Outfall 1 Limits'!$AX$92="L"),$AU42,""))</f>
        <v/>
      </c>
      <c r="GA42" s="206" t="str">
        <f>IF(AND($G42&lt;&gt;"",$G42&gt;0,'Outfall 1 Limits'!$AX$96="C1",$AW42&lt;&gt;""),$AW42*$G42*8.34,IF(AND($AW42&lt;&gt;"",'Outfall 1 Limits'!$AX$96="L"),$AW42,""))</f>
        <v/>
      </c>
      <c r="GB42" s="206" t="str">
        <f>IF(AND($G42&lt;&gt;"",$G42&gt;0,'Outfall 1 Limits'!$AX$100="C1",$AY42&lt;&gt;""),$AY42*$G42*8.34,IF(AND($AY42&lt;&gt;"",'Outfall 1 Limits'!$AX$100="L"),$AY42,""))</f>
        <v/>
      </c>
      <c r="GC42" s="206" t="str">
        <f>IF(AND($G42&lt;&gt;"",$G42&gt;0,'Outfall 1 Limits'!$AX$104="C1",$BA42&lt;&gt;""),$BA42*$G42*8.34,IF(AND($BA42&lt;&gt;"",'Outfall 1 Limits'!$AX$104="L"),$BA42,""))</f>
        <v/>
      </c>
      <c r="GD42" s="206" t="str">
        <f>IF(AND($G42&lt;&gt;"",$G42&gt;0,'Outfall 1 Limits'!$AX$108="C1",$BC42&lt;&gt;""),$BC42*$G42*8.34,IF(AND($BC42&lt;&gt;"",'Outfall 1 Limits'!$AX$108="L"),$BC42,""))</f>
        <v/>
      </c>
      <c r="GE42" s="206" t="str">
        <f>IF(AND($G42&lt;&gt;"",$G42&gt;0,'Outfall 1 Limits'!$AX$112="C1",$BE42&lt;&gt;""),$BE42*$G42*8.34,IF(AND($BE42&lt;&gt;"",'Outfall 1 Limits'!$AX$112="L"),$BE42,""))</f>
        <v/>
      </c>
      <c r="GF42" s="206" t="str">
        <f>IF(AND($G42&lt;&gt;"",$G42&gt;0,'Outfall 1 Limits'!$AX$116="C1",$BG42&lt;&gt;""),$BG42*$G42*8.34,IF(AND($BG42&lt;&gt;"",'Outfall 1 Limits'!$AX$116="L"),$BG42,""))</f>
        <v/>
      </c>
      <c r="GG42" s="206" t="str">
        <f>IF(AND($G42&lt;&gt;"",$G42&gt;0,'Outfall 1 Limits'!$AX$120="C1",$BI42&lt;&gt;""),$BI42*$G42*8.34,IF(AND($BI42&lt;&gt;"",'Outfall 1 Limits'!$AX$120="L"),$BI42,""))</f>
        <v/>
      </c>
      <c r="GH42" s="206" t="str">
        <f>IF(AND($G42&lt;&gt;"",$G42&gt;0,'Outfall 1 Limits'!$AX$124="C1",$BK42&lt;&gt;""),$BK42*$G42*8.34,IF(AND($BK42&lt;&gt;"",'Outfall 1 Limits'!$AX$124="L"),$BK42,""))</f>
        <v/>
      </c>
      <c r="GI42" s="223" t="str">
        <f>IF(AND($G42&lt;&gt;"",$G42&gt;0,'Outfall 1 Limits'!$AX$128="C1",$BM42&lt;&gt;""),$BM42*$G42*8.34,IF(AND($BM42&lt;&gt;"",'Outfall 1 Limits'!$AX$128="L"),$BM42,""))</f>
        <v/>
      </c>
      <c r="GJ42" s="177" t="str">
        <f t="shared" si="59"/>
        <v/>
      </c>
      <c r="GK42" s="212" t="str">
        <f>IF(AND($G42&lt;&gt;"",$G42&gt;0,'Outfall 1 Limits'!$AX$16="C1",CY42&lt;&gt;""),CY42*$G42*8.34,IF(AND(CY42&lt;&gt;"",'Outfall 1 Limits'!$AX$16="L"),CY42,""))</f>
        <v/>
      </c>
      <c r="GL42" s="206" t="str">
        <f>IF(AND($G42&lt;&gt;"",$G42&gt;0,'Outfall 1 Limits'!$AX$20="C1",CZ42&lt;&gt;""),CZ42*$G42*8.34,IF(AND(CZ42&lt;&gt;"",'Outfall 1 Limits'!$AX$20="L"),CZ42,""))</f>
        <v/>
      </c>
      <c r="GM42" s="206" t="str">
        <f>IF(AND($G42&lt;&gt;"",$G42&gt;0,'Outfall 1 Limits'!$AX$24="C1",DA42&lt;&gt;""),DA42*$G42*8.34,IF(AND(DA42&lt;&gt;"",'Outfall 1 Limits'!$AX$24="L"),DA42,""))</f>
        <v/>
      </c>
      <c r="GN42" s="206" t="str">
        <f>IF(AND($G42&lt;&gt;"",$G42&gt;0,'Outfall 1 Limits'!$AX$28="C1",DB42&lt;&gt;""),DB42*$G42*8.34,IF(AND(DB42&lt;&gt;"",'Outfall 1 Limits'!$AX$28="L"),DB42,""))</f>
        <v/>
      </c>
      <c r="GO42" s="206" t="str">
        <f>IF(AND($G42&lt;&gt;"",$G42&gt;0,'Outfall 1 Limits'!$AX$32="C1",DC42&lt;&gt;""),DC42*$G42*8.34,IF(AND(DC42&lt;&gt;"",'Outfall 1 Limits'!$AX$32="L"),DC42,""))</f>
        <v/>
      </c>
      <c r="GP42" s="206" t="str">
        <f>IF(AND($G42&lt;&gt;"",$G42&gt;0,'Outfall 1 Limits'!$AX$36="C1",DD42&lt;&gt;""),DD42*$G42*8.34,IF(AND(DD42&lt;&gt;"",'Outfall 1 Limits'!$AX$36="L"),DD42,""))</f>
        <v/>
      </c>
      <c r="GQ42" s="206" t="str">
        <f>IF(AND($G42&lt;&gt;"",$G42&gt;0,'Outfall 1 Limits'!$AX$40="C1",DE42&lt;&gt;""),DE42*$G42*8.34,IF(AND(DE42&lt;&gt;"",'Outfall 1 Limits'!$AX$40="L"),DE42,""))</f>
        <v/>
      </c>
      <c r="GR42" s="206" t="str">
        <f>IF(AND($G42&lt;&gt;"",$G42&gt;0,'Outfall 1 Limits'!$AX$44="C1",DF42&lt;&gt;""),DF42*$G42*8.34,IF(AND(DF42&lt;&gt;"",'Outfall 1 Limits'!$AX$44="L"),DF42,""))</f>
        <v/>
      </c>
      <c r="GS42" s="206" t="str">
        <f>IF(AND($G42&lt;&gt;"",$G42&gt;0,'Outfall 1 Limits'!$AX$48="C1",DG42&lt;&gt;""),DG42*$G42*8.34,IF(AND(DG42&lt;&gt;"",'Outfall 1 Limits'!$AX$48="L"),DG42,""))</f>
        <v/>
      </c>
      <c r="GT42" s="206" t="str">
        <f>IF(AND($G42&lt;&gt;"",$G42&gt;0,'Outfall 1 Limits'!$AX$52="C1",DH42&lt;&gt;""),DH42*$G42*8.34,IF(AND(DH42&lt;&gt;"",'Outfall 1 Limits'!$AX$52="L"),DH42,""))</f>
        <v/>
      </c>
      <c r="GU42" s="206" t="str">
        <f>IF(AND($G42&lt;&gt;"",$G42&gt;0,'Outfall 1 Limits'!$AX$56="C1",DI42&lt;&gt;""),DI42*$G42*8.34,IF(AND(DI42&lt;&gt;"",'Outfall 1 Limits'!$AX$56="L"),DI42,""))</f>
        <v/>
      </c>
      <c r="GV42" s="206" t="str">
        <f>IF(AND($G42&lt;&gt;"",$G42&gt;0,'Outfall 1 Limits'!$AX$60="C1",DJ42&lt;&gt;""),DJ42*$G42*8.34,IF(AND(DJ42&lt;&gt;"",'Outfall 1 Limits'!$AX$60="L"),DJ42,""))</f>
        <v/>
      </c>
      <c r="GW42" s="206" t="str">
        <f>IF(AND($G42&lt;&gt;"",$G42&gt;0,'Outfall 1 Limits'!$AX$64="C1",DK42&lt;&gt;""),DK42*$G42*8.34,IF(AND(DK42&lt;&gt;"",'Outfall 1 Limits'!$AX$64="L"),DK42,""))</f>
        <v/>
      </c>
      <c r="GX42" s="206" t="str">
        <f>IF(AND($G42&lt;&gt;"",$G42&gt;0,'Outfall 1 Limits'!$AX$68="C1",DL42&lt;&gt;""),DL42*$G42*8.34,IF(AND(DL42&lt;&gt;"",'Outfall 1 Limits'!$AX$68="L"),DL42,""))</f>
        <v/>
      </c>
      <c r="GY42" s="206" t="str">
        <f>IF(AND($G42&lt;&gt;"",$G42&gt;0,'Outfall 1 Limits'!$AX$72="C1",DM42&lt;&gt;""),DM42*$G42*8.34,IF(AND(DM42&lt;&gt;"",'Outfall 1 Limits'!$AX$72="L"),DM42,""))</f>
        <v/>
      </c>
      <c r="GZ42" s="206" t="str">
        <f>IF(AND($G42&lt;&gt;"",$G42&gt;0,'Outfall 1 Limits'!$AX$76="C1",DN42&lt;&gt;""),DN42*$G42*8.34,IF(AND(DN42&lt;&gt;"",'Outfall 1 Limits'!$AX$76="L"),DN42,""))</f>
        <v/>
      </c>
      <c r="HA42" s="206" t="str">
        <f>IF(AND($G42&lt;&gt;"",$G42&gt;0,'Outfall 1 Limits'!$AX$80="C1",DO42&lt;&gt;""),DO42*$G42*8.34,IF(AND(DO42&lt;&gt;"",'Outfall 1 Limits'!$AX$80="L"),DO42,""))</f>
        <v/>
      </c>
      <c r="HB42" s="206" t="str">
        <f>IF(AND($G42&lt;&gt;"",$G42&gt;0,'Outfall 1 Limits'!$AX$84="C1",DP42&lt;&gt;""),DP42*$G42*8.34,IF(AND(DP42&lt;&gt;"",'Outfall 1 Limits'!$AX$84="L"),DP42,""))</f>
        <v/>
      </c>
      <c r="HC42" s="206" t="str">
        <f>IF(AND($G42&lt;&gt;"",$G42&gt;0,'Outfall 1 Limits'!$AX$88="C1",DQ42&lt;&gt;""),DQ42*$G42*8.34,IF(AND(DQ42&lt;&gt;"",'Outfall 1 Limits'!$AX$88="L"),DQ42,""))</f>
        <v/>
      </c>
      <c r="HD42" s="206" t="str">
        <f>IF(AND($G42&lt;&gt;"",$G42&gt;0,'Outfall 1 Limits'!$AX$92="C1",DR42&lt;&gt;""),DR42*$G42*8.34,IF(AND(DR42&lt;&gt;"",'Outfall 1 Limits'!$AX$92="L"),DR42,""))</f>
        <v/>
      </c>
      <c r="HE42" s="206" t="str">
        <f>IF(AND($G42&lt;&gt;"",$G42&gt;0,'Outfall 1 Limits'!$AX$96="C1",DS42&lt;&gt;""),DS42*$G42*8.34,IF(AND(DS42&lt;&gt;"",'Outfall 1 Limits'!$AX$96="L"),DS42,""))</f>
        <v/>
      </c>
      <c r="HF42" s="206" t="str">
        <f>IF(AND($G42&lt;&gt;"",$G42&gt;0,'Outfall 1 Limits'!$AX$100="C1",DT42&lt;&gt;""),DT42*$G42*8.34,IF(AND(DT42&lt;&gt;"",'Outfall 1 Limits'!$AX$100="L"),DT42,""))</f>
        <v/>
      </c>
      <c r="HG42" s="206" t="str">
        <f>IF(AND($G42&lt;&gt;"",$G42&gt;0,'Outfall 1 Limits'!$AX$104="C1",DU42&lt;&gt;""),DU42*$G42*8.34,IF(AND(DU42&lt;&gt;"",'Outfall 1 Limits'!$AX$104="L"),DU42,""))</f>
        <v/>
      </c>
      <c r="HH42" s="206" t="str">
        <f>IF(AND($G42&lt;&gt;"",$G42&gt;0,'Outfall 1 Limits'!$AX$108="C1",DV42&lt;&gt;""),DV42*$G42*8.34,IF(AND(DV42&lt;&gt;"",'Outfall 1 Limits'!$AX$108="L"),DV42,""))</f>
        <v/>
      </c>
      <c r="HI42" s="206" t="str">
        <f>IF(AND($G42&lt;&gt;"",$G42&gt;0,'Outfall 1 Limits'!$AX$112="C1",DW42&lt;&gt;""),DW42*$G42*8.34,IF(AND(DW42&lt;&gt;"",'Outfall 1 Limits'!$AX$112="L"),DW42,""))</f>
        <v/>
      </c>
      <c r="HJ42" s="206" t="str">
        <f>IF(AND($G42&lt;&gt;"",$G42&gt;0,'Outfall 1 Limits'!$AX$116="C1",DX42&lt;&gt;""),DX42*$G42*8.34,IF(AND(DX42&lt;&gt;"",'Outfall 1 Limits'!$AX$116="L"),DX42,""))</f>
        <v/>
      </c>
      <c r="HK42" s="206" t="str">
        <f>IF(AND($G42&lt;&gt;"",$G42&gt;0,'Outfall 1 Limits'!$AX$120="C1",DY42&lt;&gt;""),DY42*$G42*8.34,IF(AND(DY42&lt;&gt;"",'Outfall 1 Limits'!$AX$120="L"),DY42,""))</f>
        <v/>
      </c>
      <c r="HL42" s="206" t="str">
        <f>IF(AND($G42&lt;&gt;"",$G42&gt;0,'Outfall 1 Limits'!$AX$124="C1",DZ42&lt;&gt;""),DZ42*$G42*8.34,IF(AND(DZ42&lt;&gt;"",'Outfall 1 Limits'!$AX$124="L"),DZ42,""))</f>
        <v/>
      </c>
      <c r="HM42" s="223" t="str">
        <f>IF(AND($G42&lt;&gt;"",$G42&gt;0,'Outfall 1 Limits'!$AX$128="C1",EA42&lt;&gt;""),EA42*$G42*8.34,IF(AND(EA42&lt;&gt;"",'Outfall 1 Limits'!$AX$128="L"),EA42,""))</f>
        <v/>
      </c>
      <c r="HO42" s="224" t="str">
        <f t="shared" si="60"/>
        <v/>
      </c>
      <c r="HS42" s="202" t="str">
        <f t="shared" si="61"/>
        <v/>
      </c>
      <c r="HT42" s="196" t="str">
        <f t="shared" si="62"/>
        <v/>
      </c>
      <c r="HU42" s="196" t="str">
        <f t="shared" si="63"/>
        <v/>
      </c>
      <c r="HV42" s="196" t="str">
        <f t="shared" si="64"/>
        <v/>
      </c>
      <c r="HW42" s="196" t="str">
        <f t="shared" si="65"/>
        <v/>
      </c>
      <c r="HX42" s="196" t="str">
        <f t="shared" si="66"/>
        <v/>
      </c>
      <c r="HY42" s="196" t="str">
        <f t="shared" si="67"/>
        <v/>
      </c>
      <c r="HZ42" s="196" t="str">
        <f t="shared" si="68"/>
        <v/>
      </c>
      <c r="IA42" s="196" t="str">
        <f t="shared" si="69"/>
        <v/>
      </c>
      <c r="IB42" s="196" t="str">
        <f t="shared" si="70"/>
        <v/>
      </c>
      <c r="IC42" s="196" t="str">
        <f t="shared" si="71"/>
        <v/>
      </c>
      <c r="ID42" s="196" t="str">
        <f t="shared" si="72"/>
        <v/>
      </c>
      <c r="IE42" s="196" t="str">
        <f t="shared" si="73"/>
        <v/>
      </c>
      <c r="IF42" s="196" t="str">
        <f t="shared" si="74"/>
        <v/>
      </c>
      <c r="IG42" s="196" t="str">
        <f t="shared" si="75"/>
        <v/>
      </c>
      <c r="IH42" s="196" t="str">
        <f t="shared" si="76"/>
        <v/>
      </c>
      <c r="II42" s="196" t="str">
        <f t="shared" si="77"/>
        <v/>
      </c>
      <c r="IJ42" s="196" t="str">
        <f t="shared" si="78"/>
        <v/>
      </c>
      <c r="IK42" s="196" t="str">
        <f t="shared" si="79"/>
        <v/>
      </c>
      <c r="IL42" s="196" t="str">
        <f t="shared" si="80"/>
        <v/>
      </c>
      <c r="IM42" s="196" t="str">
        <f t="shared" si="81"/>
        <v/>
      </c>
      <c r="IN42" s="196" t="str">
        <f t="shared" si="82"/>
        <v/>
      </c>
      <c r="IO42" s="196" t="str">
        <f t="shared" si="83"/>
        <v/>
      </c>
      <c r="IP42" s="196" t="str">
        <f t="shared" si="84"/>
        <v/>
      </c>
      <c r="IQ42" s="196" t="str">
        <f t="shared" si="85"/>
        <v/>
      </c>
      <c r="IR42" s="196" t="str">
        <f t="shared" si="86"/>
        <v/>
      </c>
      <c r="IS42" s="196" t="str">
        <f t="shared" si="87"/>
        <v/>
      </c>
      <c r="IT42" s="196" t="str">
        <f t="shared" si="88"/>
        <v/>
      </c>
      <c r="IU42" s="210" t="str">
        <f t="shared" si="89"/>
        <v/>
      </c>
      <c r="IX42" s="202" t="str">
        <f t="shared" si="90"/>
        <v/>
      </c>
      <c r="IY42" s="196" t="str">
        <f t="shared" si="91"/>
        <v/>
      </c>
      <c r="IZ42" s="196" t="str">
        <f t="shared" si="92"/>
        <v/>
      </c>
      <c r="JA42" s="196" t="str">
        <f t="shared" si="93"/>
        <v/>
      </c>
      <c r="JB42" s="196" t="str">
        <f t="shared" si="94"/>
        <v/>
      </c>
      <c r="JC42" s="196" t="str">
        <f t="shared" si="95"/>
        <v/>
      </c>
      <c r="JD42" s="196" t="str">
        <f t="shared" si="96"/>
        <v/>
      </c>
      <c r="JE42" s="196" t="str">
        <f t="shared" si="97"/>
        <v/>
      </c>
      <c r="JF42" s="196" t="str">
        <f t="shared" si="98"/>
        <v/>
      </c>
      <c r="JG42" s="196" t="str">
        <f t="shared" si="99"/>
        <v/>
      </c>
      <c r="JH42" s="196" t="str">
        <f t="shared" si="100"/>
        <v/>
      </c>
      <c r="JI42" s="196" t="str">
        <f t="shared" si="101"/>
        <v/>
      </c>
      <c r="JJ42" s="196" t="str">
        <f t="shared" si="102"/>
        <v/>
      </c>
      <c r="JK42" s="196" t="str">
        <f t="shared" si="103"/>
        <v/>
      </c>
      <c r="JL42" s="196" t="str">
        <f t="shared" si="104"/>
        <v/>
      </c>
      <c r="JM42" s="196" t="str">
        <f t="shared" si="105"/>
        <v/>
      </c>
      <c r="JN42" s="196" t="str">
        <f t="shared" si="106"/>
        <v/>
      </c>
      <c r="JO42" s="196" t="str">
        <f t="shared" si="107"/>
        <v/>
      </c>
      <c r="JP42" s="196" t="str">
        <f t="shared" si="108"/>
        <v/>
      </c>
      <c r="JQ42" s="196" t="str">
        <f t="shared" si="109"/>
        <v/>
      </c>
      <c r="JR42" s="196" t="str">
        <f t="shared" si="110"/>
        <v/>
      </c>
      <c r="JS42" s="196" t="str">
        <f t="shared" si="111"/>
        <v/>
      </c>
      <c r="JT42" s="196" t="str">
        <f t="shared" si="112"/>
        <v/>
      </c>
      <c r="JU42" s="196" t="str">
        <f t="shared" si="113"/>
        <v/>
      </c>
      <c r="JV42" s="196" t="str">
        <f t="shared" si="114"/>
        <v/>
      </c>
      <c r="JW42" s="196" t="str">
        <f t="shared" si="115"/>
        <v/>
      </c>
      <c r="JX42" s="196" t="str">
        <f t="shared" si="116"/>
        <v/>
      </c>
      <c r="JY42" s="196" t="str">
        <f t="shared" si="117"/>
        <v/>
      </c>
      <c r="JZ42" s="210" t="str">
        <f t="shared" si="118"/>
        <v/>
      </c>
      <c r="KA42" s="196"/>
      <c r="KB42" s="176"/>
      <c r="KC42" s="227"/>
      <c r="KD42" s="218" t="str">
        <f t="shared" si="2"/>
        <v/>
      </c>
      <c r="KE42" s="196" t="str">
        <f t="shared" si="3"/>
        <v/>
      </c>
      <c r="KF42" s="196" t="str">
        <f t="shared" si="4"/>
        <v/>
      </c>
      <c r="KG42" s="196" t="str">
        <f t="shared" si="5"/>
        <v/>
      </c>
      <c r="KH42" s="196" t="str">
        <f t="shared" si="6"/>
        <v/>
      </c>
      <c r="KI42" s="196" t="str">
        <f t="shared" si="7"/>
        <v/>
      </c>
      <c r="KJ42" s="196" t="str">
        <f t="shared" si="8"/>
        <v/>
      </c>
      <c r="KK42" s="196" t="str">
        <f t="shared" si="9"/>
        <v/>
      </c>
      <c r="KL42" s="196" t="str">
        <f t="shared" si="10"/>
        <v/>
      </c>
      <c r="KM42" s="196" t="str">
        <f t="shared" si="11"/>
        <v/>
      </c>
      <c r="KN42" s="196" t="str">
        <f t="shared" si="12"/>
        <v/>
      </c>
      <c r="KO42" s="196" t="str">
        <f t="shared" si="13"/>
        <v/>
      </c>
      <c r="KP42" s="196" t="str">
        <f t="shared" si="14"/>
        <v/>
      </c>
      <c r="KQ42" s="196" t="str">
        <f t="shared" si="15"/>
        <v/>
      </c>
      <c r="KR42" s="196" t="str">
        <f t="shared" si="16"/>
        <v/>
      </c>
      <c r="KS42" s="196" t="str">
        <f t="shared" si="17"/>
        <v/>
      </c>
      <c r="KT42" s="196" t="str">
        <f t="shared" si="18"/>
        <v/>
      </c>
      <c r="KU42" s="196" t="str">
        <f t="shared" si="19"/>
        <v/>
      </c>
      <c r="KV42" s="196" t="str">
        <f t="shared" si="20"/>
        <v/>
      </c>
      <c r="KW42" s="196" t="str">
        <f t="shared" si="21"/>
        <v/>
      </c>
      <c r="KX42" s="196" t="str">
        <f t="shared" si="22"/>
        <v/>
      </c>
      <c r="KY42" s="196" t="str">
        <f t="shared" si="23"/>
        <v/>
      </c>
      <c r="KZ42" s="196" t="str">
        <f t="shared" si="24"/>
        <v/>
      </c>
      <c r="LA42" s="196" t="str">
        <f t="shared" si="25"/>
        <v/>
      </c>
      <c r="LB42" s="196" t="str">
        <f t="shared" si="26"/>
        <v/>
      </c>
      <c r="LC42" s="196" t="str">
        <f t="shared" si="27"/>
        <v/>
      </c>
      <c r="LD42" s="196" t="str">
        <f t="shared" si="28"/>
        <v/>
      </c>
      <c r="LE42" s="196" t="str">
        <f t="shared" si="29"/>
        <v/>
      </c>
      <c r="LF42" s="219" t="str">
        <f t="shared" si="30"/>
        <v/>
      </c>
    </row>
    <row r="43" spans="1:318" s="172" customFormat="1" ht="11.45" customHeight="1" x14ac:dyDescent="0.2">
      <c r="A43" s="35"/>
      <c r="B43" s="54"/>
      <c r="C43" s="438">
        <f t="shared" si="0"/>
        <v>45317</v>
      </c>
      <c r="D43" s="438"/>
      <c r="E43" s="430">
        <f t="shared" si="119"/>
        <v>45317</v>
      </c>
      <c r="F43" s="431"/>
      <c r="G43" s="26"/>
      <c r="H43" s="51"/>
      <c r="I43" s="50"/>
      <c r="J43" s="51"/>
      <c r="K43" s="50"/>
      <c r="L43" s="51"/>
      <c r="M43" s="50"/>
      <c r="N43" s="51"/>
      <c r="O43" s="50"/>
      <c r="P43" s="51"/>
      <c r="Q43" s="50"/>
      <c r="R43" s="51"/>
      <c r="S43" s="50"/>
      <c r="T43" s="51"/>
      <c r="U43" s="50"/>
      <c r="V43" s="51"/>
      <c r="W43" s="50"/>
      <c r="X43" s="276"/>
      <c r="Y43" s="50"/>
      <c r="Z43" s="51"/>
      <c r="AA43" s="50"/>
      <c r="AB43" s="51"/>
      <c r="AC43" s="50"/>
      <c r="AD43" s="51"/>
      <c r="AE43" s="50"/>
      <c r="AF43" s="51"/>
      <c r="AG43" s="50"/>
      <c r="AH43" s="51"/>
      <c r="AI43" s="50"/>
      <c r="AJ43" s="51"/>
      <c r="AK43" s="50"/>
      <c r="AL43" s="51"/>
      <c r="AM43" s="50"/>
      <c r="AN43" s="51"/>
      <c r="AO43" s="50"/>
      <c r="AP43" s="51"/>
      <c r="AQ43" s="50"/>
      <c r="AR43" s="51"/>
      <c r="AS43" s="50"/>
      <c r="AT43" s="51"/>
      <c r="AU43" s="50"/>
      <c r="AV43" s="51"/>
      <c r="AW43" s="50"/>
      <c r="AX43" s="51"/>
      <c r="AY43" s="50"/>
      <c r="AZ43" s="51"/>
      <c r="BA43" s="50"/>
      <c r="BB43" s="51"/>
      <c r="BC43" s="50"/>
      <c r="BD43" s="51"/>
      <c r="BE43" s="50"/>
      <c r="BF43" s="51"/>
      <c r="BG43" s="50"/>
      <c r="BH43" s="51"/>
      <c r="BI43" s="50"/>
      <c r="BJ43" s="51"/>
      <c r="BK43" s="50"/>
      <c r="BL43" s="51"/>
      <c r="BM43" s="109"/>
      <c r="BO43" s="174"/>
      <c r="BP43" s="174">
        <v>2062</v>
      </c>
      <c r="BQ43" s="221" t="s">
        <v>60</v>
      </c>
      <c r="BR43" s="222"/>
      <c r="BS43" s="174" t="s">
        <v>5</v>
      </c>
      <c r="BU43" s="202" t="str">
        <f t="shared" si="31"/>
        <v/>
      </c>
      <c r="BV43" s="196" t="str">
        <f t="shared" si="32"/>
        <v/>
      </c>
      <c r="BW43" s="196" t="str">
        <f t="shared" si="33"/>
        <v/>
      </c>
      <c r="BX43" s="196" t="str">
        <f t="shared" si="34"/>
        <v/>
      </c>
      <c r="BY43" s="196" t="str">
        <f t="shared" si="35"/>
        <v/>
      </c>
      <c r="BZ43" s="196" t="str">
        <f t="shared" si="36"/>
        <v/>
      </c>
      <c r="CA43" s="196" t="str">
        <f t="shared" si="37"/>
        <v/>
      </c>
      <c r="CB43" s="196" t="str">
        <f t="shared" si="38"/>
        <v/>
      </c>
      <c r="CC43" s="196" t="str">
        <f t="shared" si="39"/>
        <v/>
      </c>
      <c r="CD43" s="196" t="str">
        <f t="shared" si="40"/>
        <v/>
      </c>
      <c r="CE43" s="196" t="str">
        <f t="shared" si="41"/>
        <v/>
      </c>
      <c r="CF43" s="196" t="str">
        <f t="shared" si="42"/>
        <v/>
      </c>
      <c r="CG43" s="196" t="str">
        <f t="shared" si="43"/>
        <v/>
      </c>
      <c r="CH43" s="196" t="str">
        <f t="shared" si="44"/>
        <v/>
      </c>
      <c r="CI43" s="196" t="str">
        <f t="shared" si="45"/>
        <v/>
      </c>
      <c r="CJ43" s="196" t="str">
        <f t="shared" si="46"/>
        <v/>
      </c>
      <c r="CK43" s="196" t="str">
        <f t="shared" si="47"/>
        <v/>
      </c>
      <c r="CL43" s="196" t="str">
        <f t="shared" si="48"/>
        <v/>
      </c>
      <c r="CM43" s="196" t="str">
        <f t="shared" si="120"/>
        <v/>
      </c>
      <c r="CN43" s="196" t="str">
        <f t="shared" si="49"/>
        <v/>
      </c>
      <c r="CO43" s="196" t="str">
        <f t="shared" si="50"/>
        <v/>
      </c>
      <c r="CP43" s="196" t="str">
        <f t="shared" si="51"/>
        <v/>
      </c>
      <c r="CQ43" s="196" t="str">
        <f t="shared" si="52"/>
        <v/>
      </c>
      <c r="CR43" s="196" t="str">
        <f t="shared" si="53"/>
        <v/>
      </c>
      <c r="CS43" s="196" t="str">
        <f t="shared" si="54"/>
        <v/>
      </c>
      <c r="CT43" s="196" t="str">
        <f t="shared" si="55"/>
        <v/>
      </c>
      <c r="CU43" s="196" t="str">
        <f t="shared" si="56"/>
        <v/>
      </c>
      <c r="CV43" s="196" t="str">
        <f t="shared" si="57"/>
        <v/>
      </c>
      <c r="CW43" s="210" t="str">
        <f t="shared" si="58"/>
        <v/>
      </c>
      <c r="CY43" s="212" t="str">
        <f>IF(I43&lt;&gt;"",IF(H43="&lt;",IF(AND('Outfall 1 Limits'!$AM$16="Y",$BU$54&lt;&gt;"Y",I43&lt;='Outfall 1 Limits'!$AL$16),0,(1*I43)),I43),"")</f>
        <v/>
      </c>
      <c r="CZ43" s="206" t="str">
        <f>IF(K43&lt;&gt;"",IF(J43="&lt;",IF(AND('Outfall 1 Limits'!$AM$20="Y",$BV$54&lt;&gt;"Y",K43&lt;='Outfall 1 Limits'!$AL$20),0,(1*K43)),K43),"")</f>
        <v/>
      </c>
      <c r="DA43" s="206" t="str">
        <f>IF(M43&lt;&gt;"",IF(L43="&lt;",IF(AND('Outfall 1 Limits'!$AM$24="Y",$BW$54&lt;&gt;"Y",M43&lt;='Outfall 1 Limits'!$AL$24),0,(1*M43)),M43),"")</f>
        <v/>
      </c>
      <c r="DB43" s="206" t="str">
        <f>IF(O43&lt;&gt;"",IF(N43="&lt;",IF(AND('Outfall 1 Limits'!$AM$28="Y",$BX$54&lt;&gt;"Y",O43&lt;='Outfall 1 Limits'!$AL$28),0,(1*O43)),O43),"")</f>
        <v/>
      </c>
      <c r="DC43" s="206" t="str">
        <f>IF(Q43&lt;&gt;"",IF(P43="&lt;",IF(AND('Outfall 1 Limits'!$AM$32="Y",$BY$54&lt;&gt;"Y",Q43&lt;='Outfall 1 Limits'!$AL$32),0,(1*Q43)),Q43),"")</f>
        <v/>
      </c>
      <c r="DD43" s="206" t="str">
        <f>IF(S43&lt;&gt;"",IF(R43="&lt;",IF(AND('Outfall 1 Limits'!$AM$36="Y",$BZ$54&lt;&gt;"Y",S43&lt;='Outfall 1 Limits'!$AL$36),0,(1*S43)),S43),"")</f>
        <v/>
      </c>
      <c r="DE43" s="206" t="str">
        <f>IF(U43&lt;&gt;"",IF(T43="&lt;",IF(AND('Outfall 1 Limits'!$AM$40="Y",$CA$54&lt;&gt;"Y",U43&lt;='Outfall 1 Limits'!$AL$40),0,(1*U43)),U43),"")</f>
        <v/>
      </c>
      <c r="DF43" s="206" t="str">
        <f>IF(W43&lt;&gt;"",IF(V43="&lt;",IF(AND('Outfall 1 Limits'!$AM$44="Y",$CB$54&lt;&gt;"Y",W43&lt;='Outfall 1 Limits'!$AL$44),0,(1*W43)),W43),"")</f>
        <v/>
      </c>
      <c r="DG43" s="206" t="str">
        <f>IF(Y43&lt;&gt;"",IF(X43="&lt;",IF(AND('Outfall 1 Limits'!$AM$48="Y",$CC$54&lt;&gt;"Y",Y43&lt;='Outfall 1 Limits'!$AL$48),0,(1*Y43)),Y43),"")</f>
        <v/>
      </c>
      <c r="DH43" s="206" t="str">
        <f>IF(AA43&lt;&gt;"",IF(Z43="&lt;",IF(AND('Outfall 1 Limits'!$AM$52="Y",$CD$54&lt;&gt;"Y",AA43&lt;='Outfall 1 Limits'!$AL$52),0,(1*AA43)),AA43),"")</f>
        <v/>
      </c>
      <c r="DI43" s="206" t="str">
        <f>IF(AC43&lt;&gt;"",IF(AB43="&lt;",IF(AND('Outfall 1 Limits'!$AM$56="Y",$CE$54&lt;&gt;"Y",AC43&lt;='Outfall 1 Limits'!$AL$56),0,(1*AC43)),AC43),"")</f>
        <v/>
      </c>
      <c r="DJ43" s="206" t="str">
        <f>IF(AE43&lt;&gt;"",IF(AD43="&lt;",IF(AND('Outfall 1 Limits'!$AM$60="Y",$CF$54&lt;&gt;"Y",AE43&lt;='Outfall 1 Limits'!$AL$60),0,(1*AE43)),AE43),"")</f>
        <v/>
      </c>
      <c r="DK43" s="206" t="str">
        <f>IF(AG43&lt;&gt;"",IF(AF43="&lt;",IF(AND('Outfall 1 Limits'!$AM$64="Y",$CG$54&lt;&gt;"Y",AG43&lt;='Outfall 1 Limits'!$AL$64),0,(1*AG43)),AG43),"")</f>
        <v/>
      </c>
      <c r="DL43" s="206" t="str">
        <f>IF(AI43&lt;&gt;"",IF(AH43="&lt;",IF(AND('Outfall 1 Limits'!$AM$68="Y",$CH$54&lt;&gt;"Y",AI43&lt;='Outfall 1 Limits'!$AL$68),0,(1*AI43)),AI43),"")</f>
        <v/>
      </c>
      <c r="DM43" s="206" t="str">
        <f>IF(AK43&lt;&gt;"",IF(AJ43="&lt;",IF(AND('Outfall 1 Limits'!$AM$72="Y",$CI$54&lt;&gt;"Y",AK43&lt;='Outfall 1 Limits'!$AL$72),0,(1*AK43)),AK43),"")</f>
        <v/>
      </c>
      <c r="DN43" s="206" t="str">
        <f>IF(AM43&lt;&gt;"",IF(AL43="&lt;",IF(AND('Outfall 1 Limits'!$AM$76="Y",$CJ$54&lt;&gt;"Y",AM43&lt;='Outfall 1 Limits'!$AL$76),0,(1*AM43)),AM43),"")</f>
        <v/>
      </c>
      <c r="DO43" s="206" t="str">
        <f>IF(AO43&lt;&gt;"",IF(AN43="&lt;",IF(AND('Outfall 1 Limits'!$AM$80="Y",$CK$54&lt;&gt;"Y",AO43&lt;='Outfall 1 Limits'!$AL$80),0,(1*AO43)),AO43),"")</f>
        <v/>
      </c>
      <c r="DP43" s="206" t="str">
        <f>IF(AQ43&lt;&gt;"",IF(AP43="&lt;",IF(AND('Outfall 1 Limits'!$AM$84="Y",$CL$54&lt;&gt;"Y",AQ43&lt;='Outfall 1 Limits'!$AL$84),0,(1*AQ43)),AQ43),"")</f>
        <v/>
      </c>
      <c r="DQ43" s="206" t="str">
        <f>IF(AS43&lt;&gt;"",IF(AR43="&lt;",IF(AND('Outfall 1 Limits'!$AM$88="Y",$CM$54&lt;&gt;"Y",AS43&lt;='Outfall 1 Limits'!$AL$88),0,(1*AS43)),AS43),"")</f>
        <v/>
      </c>
      <c r="DR43" s="206" t="str">
        <f>IF(AU43&lt;&gt;"",IF(AT43="&lt;",IF(AND('Outfall 1 Limits'!$AM$92="Y",$CN$54&lt;&gt;"Y",AU43&lt;='Outfall 1 Limits'!$AL$92),0,(1*AU43)),AU43),"")</f>
        <v/>
      </c>
      <c r="DS43" s="206" t="str">
        <f>IF(AW43&lt;&gt;"",IF(AV43="&lt;",IF(AND('Outfall 1 Limits'!$AM$96="Y",$CO$54&lt;&gt;"Y",AW43&lt;='Outfall 1 Limits'!$AL$96),0,(1*AW43)),AW43),"")</f>
        <v/>
      </c>
      <c r="DT43" s="206" t="str">
        <f>IF(AY43&lt;&gt;"",IF(AX43="&lt;",IF(AND('Outfall 1 Limits'!$AM$100="Y",$CP$54&lt;&gt;"Y",AY43&lt;='Outfall 1 Limits'!$AL$100),0,(1*AY43)),AY43),"")</f>
        <v/>
      </c>
      <c r="DU43" s="206" t="str">
        <f>IF(BA43&lt;&gt;"",IF(AZ43="&lt;",IF(AND('Outfall 1 Limits'!$AM$104="Y",$CQ$54&lt;&gt;"Y",BA43&lt;='Outfall 1 Limits'!$AL$104),0,(1*BA43)),BA43),"")</f>
        <v/>
      </c>
      <c r="DV43" s="206" t="str">
        <f>IF(BC43&lt;&gt;"",IF(BB43="&lt;",IF(AND('Outfall 1 Limits'!$AM$108="Y",$CR$54&lt;&gt;"Y",BC43&lt;='Outfall 1 Limits'!$AL$108),0,(1*BC43)),BC43),"")</f>
        <v/>
      </c>
      <c r="DW43" s="206" t="str">
        <f>IF(BE43&lt;&gt;"",IF(BD43="&lt;",IF(AND('Outfall 1 Limits'!$AM$112="Y",$CS$54&lt;&gt;"Y",BE43&lt;='Outfall 1 Limits'!$AL$112),0,(1*BE43)),BE43),"")</f>
        <v/>
      </c>
      <c r="DX43" s="206" t="str">
        <f>IF(BG43&lt;&gt;"",IF(BF43="&lt;",IF(AND('Outfall 1 Limits'!$AM$116="Y",$CT$54&lt;&gt;"Y",BG43&lt;='Outfall 1 Limits'!$AL$116),0,(1*BG43)),BG43),"")</f>
        <v/>
      </c>
      <c r="DY43" s="206" t="str">
        <f>IF(BI43&lt;&gt;"",IF(BH43="&lt;",IF(AND('Outfall 1 Limits'!$AM$120="Y",$CU$54&lt;&gt;"Y",BI43&lt;='Outfall 1 Limits'!$AL$120),0,(1*BI43)),BI43),"")</f>
        <v/>
      </c>
      <c r="DZ43" s="206" t="str">
        <f>IF(BK43&lt;&gt;"",IF(BJ43="&lt;",IF(AND('Outfall 1 Limits'!$AM$124="Y",$CV$54&lt;&gt;"Y",BK43&lt;='Outfall 1 Limits'!$AL$124),0,(1*BK43)),BK43),"")</f>
        <v/>
      </c>
      <c r="EA43" s="223" t="str">
        <f>IF(BM43&lt;&gt;"",IF(BL43="&lt;",IF(AND('Outfall 1 Limits'!$AM$128="Y",$CW$54&lt;&gt;"Y",BM43&lt;='Outfall 1 Limits'!$AL$128),0,(1*BM43)),BM43),"")</f>
        <v/>
      </c>
      <c r="EB43" s="209" t="s">
        <v>382</v>
      </c>
      <c r="EC43" s="231" t="str">
        <f>IF(SUM(EC31:EC35)&gt;0,MAX(EC38:EC42),"")</f>
        <v/>
      </c>
      <c r="ED43" s="232" t="str">
        <f t="shared" ref="ED43:FE43" si="167">IF(SUM(ED31:ED35)&gt;0,MAX(ED38:ED42),"")</f>
        <v/>
      </c>
      <c r="EE43" s="232" t="str">
        <f t="shared" si="167"/>
        <v/>
      </c>
      <c r="EF43" s="232" t="str">
        <f t="shared" si="167"/>
        <v/>
      </c>
      <c r="EG43" s="232" t="str">
        <f t="shared" si="167"/>
        <v/>
      </c>
      <c r="EH43" s="232" t="str">
        <f t="shared" si="167"/>
        <v/>
      </c>
      <c r="EI43" s="232" t="str">
        <f t="shared" si="167"/>
        <v/>
      </c>
      <c r="EJ43" s="232" t="str">
        <f t="shared" si="167"/>
        <v/>
      </c>
      <c r="EK43" s="232" t="str">
        <f t="shared" si="167"/>
        <v/>
      </c>
      <c r="EL43" s="232" t="str">
        <f t="shared" si="167"/>
        <v/>
      </c>
      <c r="EM43" s="232" t="str">
        <f t="shared" si="167"/>
        <v/>
      </c>
      <c r="EN43" s="232" t="str">
        <f t="shared" si="167"/>
        <v/>
      </c>
      <c r="EO43" s="232" t="str">
        <f t="shared" si="167"/>
        <v/>
      </c>
      <c r="EP43" s="232" t="str">
        <f t="shared" si="167"/>
        <v/>
      </c>
      <c r="EQ43" s="232" t="str">
        <f t="shared" si="167"/>
        <v/>
      </c>
      <c r="ER43" s="232" t="str">
        <f t="shared" si="167"/>
        <v/>
      </c>
      <c r="ES43" s="232" t="str">
        <f t="shared" si="167"/>
        <v/>
      </c>
      <c r="ET43" s="232" t="str">
        <f t="shared" si="167"/>
        <v/>
      </c>
      <c r="EU43" s="232" t="str">
        <f t="shared" si="167"/>
        <v/>
      </c>
      <c r="EV43" s="232" t="str">
        <f t="shared" si="167"/>
        <v/>
      </c>
      <c r="EW43" s="232" t="str">
        <f t="shared" si="167"/>
        <v/>
      </c>
      <c r="EX43" s="232" t="str">
        <f t="shared" si="167"/>
        <v/>
      </c>
      <c r="EY43" s="232" t="str">
        <f t="shared" si="167"/>
        <v/>
      </c>
      <c r="EZ43" s="232" t="str">
        <f t="shared" si="167"/>
        <v/>
      </c>
      <c r="FA43" s="232" t="str">
        <f t="shared" si="167"/>
        <v/>
      </c>
      <c r="FB43" s="232" t="str">
        <f t="shared" si="167"/>
        <v/>
      </c>
      <c r="FC43" s="232" t="str">
        <f t="shared" si="167"/>
        <v/>
      </c>
      <c r="FD43" s="232" t="str">
        <f t="shared" si="167"/>
        <v/>
      </c>
      <c r="FE43" s="233" t="str">
        <f t="shared" si="167"/>
        <v/>
      </c>
      <c r="FG43" s="212" t="str">
        <f>IF(AND($G43&lt;&gt;"",$G43&gt;0,'Outfall 1 Limits'!$AX$16="C1",I43&lt;&gt;""),I43*$G43*8.34,IF(AND($I43&lt;&gt;"",'Outfall 1 Limits'!$AX$16="L"),I43,""))</f>
        <v/>
      </c>
      <c r="FH43" s="206" t="str">
        <f>IF(AND($G43&lt;&gt;"",$G43&gt;0,'Outfall 1 Limits'!$AX$20="C1",$K43&lt;&gt;""),$K43*$G43*8.34,IF(AND($K43&lt;&gt;"",'Outfall 1 Limits'!$AX$20="L"),$K43,""))</f>
        <v/>
      </c>
      <c r="FI43" s="206" t="str">
        <f>IF(AND($G43&lt;&gt;"",$G43&gt;0,'Outfall 1 Limits'!$AX$24="C1",$M43&lt;&gt;""),$M43*$G43*8.34,IF(AND($M43&lt;&gt;"",'Outfall 1 Limits'!$AX$24="L"),$M43,""))</f>
        <v/>
      </c>
      <c r="FJ43" s="206" t="str">
        <f>IF(AND($G43&lt;&gt;"",$G43&gt;0,'Outfall 1 Limits'!$AX$28="C1",$O43&lt;&gt;""),$O43*$G43*8.34,IF(AND($O43&lt;&gt;"",'Outfall 1 Limits'!$AX$28="L"),$O43,""))</f>
        <v/>
      </c>
      <c r="FK43" s="206" t="str">
        <f>IF(AND($G43&lt;&gt;"",$G43&gt;0,'Outfall 1 Limits'!$AX$32="C1",$Q43&lt;&gt;""),$Q43*$G43*8.34,IF(AND($Q43&lt;&gt;"",'Outfall 1 Limits'!$AX$32="L"),$Q43,""))</f>
        <v/>
      </c>
      <c r="FL43" s="206" t="str">
        <f>IF(AND($G43&lt;&gt;"",$G43&gt;0,'Outfall 1 Limits'!$AX$36="C1",$S43&lt;&gt;""),$S43*$G43*8.34,IF(AND($S43&lt;&gt;"",'Outfall 1 Limits'!$AX$36="L"),$S43,""))</f>
        <v/>
      </c>
      <c r="FM43" s="206" t="str">
        <f>IF(AND($G43&lt;&gt;"",$G43&gt;0,'Outfall 1 Limits'!$AX$40="C1",$U43&lt;&gt;""),$U43*$G43*8.34,IF(AND($U43&lt;&gt;"",'Outfall 1 Limits'!$AX$40="L"),$U43,""))</f>
        <v/>
      </c>
      <c r="FN43" s="206" t="str">
        <f>IF(AND($G43&lt;&gt;"",$G43&gt;0,'Outfall 1 Limits'!$AX$44="C1",$W43&lt;&gt;""),$W43*$G43*8.34,IF(AND($W43&lt;&gt;"",'Outfall 1 Limits'!$AX$44="L"),$W43,""))</f>
        <v/>
      </c>
      <c r="FO43" s="206" t="str">
        <f>IF(AND($G43&lt;&gt;"",$G43&gt;0,'Outfall 1 Limits'!$AX$48="C1",$Y43&lt;&gt;""),$Y43*$G43*8.34,IF(AND($Y43&lt;&gt;"",'Outfall 1 Limits'!$AX$48="L"),$Y43,""))</f>
        <v/>
      </c>
      <c r="FP43" s="206" t="str">
        <f>IF(AND($G43&lt;&gt;"",$G43&gt;0,'Outfall 1 Limits'!$AX$52="C1",$AA43&lt;&gt;""),$AA43*$G43*8.34,IF(AND($AA43&lt;&gt;"",'Outfall 1 Limits'!$AX$52="L"),$AA43,""))</f>
        <v/>
      </c>
      <c r="FQ43" s="206" t="str">
        <f>IF(AND($G43&lt;&gt;"",$G43&gt;0,'Outfall 1 Limits'!$AX$56="C1",$AC43&lt;&gt;""),$AC43*$G43*8.34,IF(AND($AC43&lt;&gt;"",'Outfall 1 Limits'!$AX$56="L"),$AC43,""))</f>
        <v/>
      </c>
      <c r="FR43" s="206" t="str">
        <f>IF(AND($G43&lt;&gt;"",$G43&gt;0,'Outfall 1 Limits'!$AX$60="C1",$AE43&lt;&gt;""),$AE43*$G43*8.34,IF(AND($AE43&lt;&gt;"",'Outfall 1 Limits'!$AX$60="L"),$AE43,""))</f>
        <v/>
      </c>
      <c r="FS43" s="206" t="str">
        <f>IF(AND($G43&lt;&gt;"",$G43&gt;0,'Outfall 1 Limits'!$AX$64="C1",$AG43&lt;&gt;""),$AG43*$G43*8.34,IF(AND($AG43&lt;&gt;"",'Outfall 1 Limits'!$AX$64="L"),$AG43,""))</f>
        <v/>
      </c>
      <c r="FT43" s="206" t="str">
        <f>IF(AND($G43&lt;&gt;"",$G43&gt;0,'Outfall 1 Limits'!$AX$68="C1",$AI43&lt;&gt;""),$AI43*$G43*8.34,IF(AND($AI43&lt;&gt;"",'Outfall 1 Limits'!$AX$68="L"),$AI43,""))</f>
        <v/>
      </c>
      <c r="FU43" s="206" t="str">
        <f>IF(AND($G43&lt;&gt;"",$G43&gt;0,'Outfall 1 Limits'!$AX$72="C1",$AK43&lt;&gt;""),$AK43*$G43*8.34,IF(AND($AK43&lt;&gt;"",'Outfall 1 Limits'!$AX$72="L"),$AK43,""))</f>
        <v/>
      </c>
      <c r="FV43" s="206" t="str">
        <f>IF(AND($G43&lt;&gt;"",$G43&gt;0,'Outfall 1 Limits'!$AX$76="C1",$AM43&lt;&gt;""),$AM43*$G43*8.34,IF(AND($AM43&lt;&gt;"",'Outfall 1 Limits'!$AX$76="L"),$AM43,""))</f>
        <v/>
      </c>
      <c r="FW43" s="206" t="str">
        <f>IF(AND($G43&lt;&gt;"",$G43&gt;0,'Outfall 1 Limits'!$AX$80="C1",$AO43&lt;&gt;""),$AO43*$G43*8.34,IF(AND($AO43&lt;&gt;"",'Outfall 1 Limits'!$AX$80="L"),$AO43,""))</f>
        <v/>
      </c>
      <c r="FX43" s="206" t="str">
        <f>IF(AND($G43&lt;&gt;"",$G43&gt;0,'Outfall 1 Limits'!$AX$84="C1",$AQ43&lt;&gt;""),$AQ43*$G43*8.34,IF(AND($AQ43&lt;&gt;"",'Outfall 1 Limits'!$AX$84="L"),$AQ43,""))</f>
        <v/>
      </c>
      <c r="FY43" s="206" t="str">
        <f>IF(AND($G43&lt;&gt;"",$G43&gt;0,'Outfall 1 Limits'!$AX$88="C1",$AS43&lt;&gt;""),$AS43*$G43*8.34,IF(AND($AS43&lt;&gt;"",'Outfall 1 Limits'!$AX$88="L"),$AS43,""))</f>
        <v/>
      </c>
      <c r="FZ43" s="206" t="str">
        <f>IF(AND($G43&lt;&gt;"",$G43&gt;0,'Outfall 1 Limits'!$AX$92="C1",$AU43&lt;&gt;""),$AU43*$G43*8.34,IF(AND($AU43&lt;&gt;"",'Outfall 1 Limits'!$AX$92="L"),$AU43,""))</f>
        <v/>
      </c>
      <c r="GA43" s="206" t="str">
        <f>IF(AND($G43&lt;&gt;"",$G43&gt;0,'Outfall 1 Limits'!$AX$96="C1",$AW43&lt;&gt;""),$AW43*$G43*8.34,IF(AND($AW43&lt;&gt;"",'Outfall 1 Limits'!$AX$96="L"),$AW43,""))</f>
        <v/>
      </c>
      <c r="GB43" s="206" t="str">
        <f>IF(AND($G43&lt;&gt;"",$G43&gt;0,'Outfall 1 Limits'!$AX$100="C1",$AY43&lt;&gt;""),$AY43*$G43*8.34,IF(AND($AY43&lt;&gt;"",'Outfall 1 Limits'!$AX$100="L"),$AY43,""))</f>
        <v/>
      </c>
      <c r="GC43" s="206" t="str">
        <f>IF(AND($G43&lt;&gt;"",$G43&gt;0,'Outfall 1 Limits'!$AX$104="C1",$BA43&lt;&gt;""),$BA43*$G43*8.34,IF(AND($BA43&lt;&gt;"",'Outfall 1 Limits'!$AX$104="L"),$BA43,""))</f>
        <v/>
      </c>
      <c r="GD43" s="206" t="str">
        <f>IF(AND($G43&lt;&gt;"",$G43&gt;0,'Outfall 1 Limits'!$AX$108="C1",$BC43&lt;&gt;""),$BC43*$G43*8.34,IF(AND($BC43&lt;&gt;"",'Outfall 1 Limits'!$AX$108="L"),$BC43,""))</f>
        <v/>
      </c>
      <c r="GE43" s="206" t="str">
        <f>IF(AND($G43&lt;&gt;"",$G43&gt;0,'Outfall 1 Limits'!$AX$112="C1",$BE43&lt;&gt;""),$BE43*$G43*8.34,IF(AND($BE43&lt;&gt;"",'Outfall 1 Limits'!$AX$112="L"),$BE43,""))</f>
        <v/>
      </c>
      <c r="GF43" s="206" t="str">
        <f>IF(AND($G43&lt;&gt;"",$G43&gt;0,'Outfall 1 Limits'!$AX$116="C1",$BG43&lt;&gt;""),$BG43*$G43*8.34,IF(AND($BG43&lt;&gt;"",'Outfall 1 Limits'!$AX$116="L"),$BG43,""))</f>
        <v/>
      </c>
      <c r="GG43" s="206" t="str">
        <f>IF(AND($G43&lt;&gt;"",$G43&gt;0,'Outfall 1 Limits'!$AX$120="C1",$BI43&lt;&gt;""),$BI43*$G43*8.34,IF(AND($BI43&lt;&gt;"",'Outfall 1 Limits'!$AX$120="L"),$BI43,""))</f>
        <v/>
      </c>
      <c r="GH43" s="206" t="str">
        <f>IF(AND($G43&lt;&gt;"",$G43&gt;0,'Outfall 1 Limits'!$AX$124="C1",$BK43&lt;&gt;""),$BK43*$G43*8.34,IF(AND($BK43&lt;&gt;"",'Outfall 1 Limits'!$AX$124="L"),$BK43,""))</f>
        <v/>
      </c>
      <c r="GI43" s="223" t="str">
        <f>IF(AND($G43&lt;&gt;"",$G43&gt;0,'Outfall 1 Limits'!$AX$128="C1",$BM43&lt;&gt;""),$BM43*$G43*8.34,IF(AND($BM43&lt;&gt;"",'Outfall 1 Limits'!$AX$128="L"),$BM43,""))</f>
        <v/>
      </c>
      <c r="GJ43" s="177" t="str">
        <f t="shared" si="59"/>
        <v/>
      </c>
      <c r="GK43" s="212" t="str">
        <f>IF(AND($G43&lt;&gt;"",$G43&gt;0,'Outfall 1 Limits'!$AX$16="C1",CY43&lt;&gt;""),CY43*$G43*8.34,IF(AND(CY43&lt;&gt;"",'Outfall 1 Limits'!$AX$16="L"),CY43,""))</f>
        <v/>
      </c>
      <c r="GL43" s="206" t="str">
        <f>IF(AND($G43&lt;&gt;"",$G43&gt;0,'Outfall 1 Limits'!$AX$20="C1",CZ43&lt;&gt;""),CZ43*$G43*8.34,IF(AND(CZ43&lt;&gt;"",'Outfall 1 Limits'!$AX$20="L"),CZ43,""))</f>
        <v/>
      </c>
      <c r="GM43" s="206" t="str">
        <f>IF(AND($G43&lt;&gt;"",$G43&gt;0,'Outfall 1 Limits'!$AX$24="C1",DA43&lt;&gt;""),DA43*$G43*8.34,IF(AND(DA43&lt;&gt;"",'Outfall 1 Limits'!$AX$24="L"),DA43,""))</f>
        <v/>
      </c>
      <c r="GN43" s="206" t="str">
        <f>IF(AND($G43&lt;&gt;"",$G43&gt;0,'Outfall 1 Limits'!$AX$28="C1",DB43&lt;&gt;""),DB43*$G43*8.34,IF(AND(DB43&lt;&gt;"",'Outfall 1 Limits'!$AX$28="L"),DB43,""))</f>
        <v/>
      </c>
      <c r="GO43" s="206" t="str">
        <f>IF(AND($G43&lt;&gt;"",$G43&gt;0,'Outfall 1 Limits'!$AX$32="C1",DC43&lt;&gt;""),DC43*$G43*8.34,IF(AND(DC43&lt;&gt;"",'Outfall 1 Limits'!$AX$32="L"),DC43,""))</f>
        <v/>
      </c>
      <c r="GP43" s="206" t="str">
        <f>IF(AND($G43&lt;&gt;"",$G43&gt;0,'Outfall 1 Limits'!$AX$36="C1",DD43&lt;&gt;""),DD43*$G43*8.34,IF(AND(DD43&lt;&gt;"",'Outfall 1 Limits'!$AX$36="L"),DD43,""))</f>
        <v/>
      </c>
      <c r="GQ43" s="206" t="str">
        <f>IF(AND($G43&lt;&gt;"",$G43&gt;0,'Outfall 1 Limits'!$AX$40="C1",DE43&lt;&gt;""),DE43*$G43*8.34,IF(AND(DE43&lt;&gt;"",'Outfall 1 Limits'!$AX$40="L"),DE43,""))</f>
        <v/>
      </c>
      <c r="GR43" s="206" t="str">
        <f>IF(AND($G43&lt;&gt;"",$G43&gt;0,'Outfall 1 Limits'!$AX$44="C1",DF43&lt;&gt;""),DF43*$G43*8.34,IF(AND(DF43&lt;&gt;"",'Outfall 1 Limits'!$AX$44="L"),DF43,""))</f>
        <v/>
      </c>
      <c r="GS43" s="206" t="str">
        <f>IF(AND($G43&lt;&gt;"",$G43&gt;0,'Outfall 1 Limits'!$AX$48="C1",DG43&lt;&gt;""),DG43*$G43*8.34,IF(AND(DG43&lt;&gt;"",'Outfall 1 Limits'!$AX$48="L"),DG43,""))</f>
        <v/>
      </c>
      <c r="GT43" s="206" t="str">
        <f>IF(AND($G43&lt;&gt;"",$G43&gt;0,'Outfall 1 Limits'!$AX$52="C1",DH43&lt;&gt;""),DH43*$G43*8.34,IF(AND(DH43&lt;&gt;"",'Outfall 1 Limits'!$AX$52="L"),DH43,""))</f>
        <v/>
      </c>
      <c r="GU43" s="206" t="str">
        <f>IF(AND($G43&lt;&gt;"",$G43&gt;0,'Outfall 1 Limits'!$AX$56="C1",DI43&lt;&gt;""),DI43*$G43*8.34,IF(AND(DI43&lt;&gt;"",'Outfall 1 Limits'!$AX$56="L"),DI43,""))</f>
        <v/>
      </c>
      <c r="GV43" s="206" t="str">
        <f>IF(AND($G43&lt;&gt;"",$G43&gt;0,'Outfall 1 Limits'!$AX$60="C1",DJ43&lt;&gt;""),DJ43*$G43*8.34,IF(AND(DJ43&lt;&gt;"",'Outfall 1 Limits'!$AX$60="L"),DJ43,""))</f>
        <v/>
      </c>
      <c r="GW43" s="206" t="str">
        <f>IF(AND($G43&lt;&gt;"",$G43&gt;0,'Outfall 1 Limits'!$AX$64="C1",DK43&lt;&gt;""),DK43*$G43*8.34,IF(AND(DK43&lt;&gt;"",'Outfall 1 Limits'!$AX$64="L"),DK43,""))</f>
        <v/>
      </c>
      <c r="GX43" s="206" t="str">
        <f>IF(AND($G43&lt;&gt;"",$G43&gt;0,'Outfall 1 Limits'!$AX$68="C1",DL43&lt;&gt;""),DL43*$G43*8.34,IF(AND(DL43&lt;&gt;"",'Outfall 1 Limits'!$AX$68="L"),DL43,""))</f>
        <v/>
      </c>
      <c r="GY43" s="206" t="str">
        <f>IF(AND($G43&lt;&gt;"",$G43&gt;0,'Outfall 1 Limits'!$AX$72="C1",DM43&lt;&gt;""),DM43*$G43*8.34,IF(AND(DM43&lt;&gt;"",'Outfall 1 Limits'!$AX$72="L"),DM43,""))</f>
        <v/>
      </c>
      <c r="GZ43" s="206" t="str">
        <f>IF(AND($G43&lt;&gt;"",$G43&gt;0,'Outfall 1 Limits'!$AX$76="C1",DN43&lt;&gt;""),DN43*$G43*8.34,IF(AND(DN43&lt;&gt;"",'Outfall 1 Limits'!$AX$76="L"),DN43,""))</f>
        <v/>
      </c>
      <c r="HA43" s="206" t="str">
        <f>IF(AND($G43&lt;&gt;"",$G43&gt;0,'Outfall 1 Limits'!$AX$80="C1",DO43&lt;&gt;""),DO43*$G43*8.34,IF(AND(DO43&lt;&gt;"",'Outfall 1 Limits'!$AX$80="L"),DO43,""))</f>
        <v/>
      </c>
      <c r="HB43" s="206" t="str">
        <f>IF(AND($G43&lt;&gt;"",$G43&gt;0,'Outfall 1 Limits'!$AX$84="C1",DP43&lt;&gt;""),DP43*$G43*8.34,IF(AND(DP43&lt;&gt;"",'Outfall 1 Limits'!$AX$84="L"),DP43,""))</f>
        <v/>
      </c>
      <c r="HC43" s="206" t="str">
        <f>IF(AND($G43&lt;&gt;"",$G43&gt;0,'Outfall 1 Limits'!$AX$88="C1",DQ43&lt;&gt;""),DQ43*$G43*8.34,IF(AND(DQ43&lt;&gt;"",'Outfall 1 Limits'!$AX$88="L"),DQ43,""))</f>
        <v/>
      </c>
      <c r="HD43" s="206" t="str">
        <f>IF(AND($G43&lt;&gt;"",$G43&gt;0,'Outfall 1 Limits'!$AX$92="C1",DR43&lt;&gt;""),DR43*$G43*8.34,IF(AND(DR43&lt;&gt;"",'Outfall 1 Limits'!$AX$92="L"),DR43,""))</f>
        <v/>
      </c>
      <c r="HE43" s="206" t="str">
        <f>IF(AND($G43&lt;&gt;"",$G43&gt;0,'Outfall 1 Limits'!$AX$96="C1",DS43&lt;&gt;""),DS43*$G43*8.34,IF(AND(DS43&lt;&gt;"",'Outfall 1 Limits'!$AX$96="L"),DS43,""))</f>
        <v/>
      </c>
      <c r="HF43" s="206" t="str">
        <f>IF(AND($G43&lt;&gt;"",$G43&gt;0,'Outfall 1 Limits'!$AX$100="C1",DT43&lt;&gt;""),DT43*$G43*8.34,IF(AND(DT43&lt;&gt;"",'Outfall 1 Limits'!$AX$100="L"),DT43,""))</f>
        <v/>
      </c>
      <c r="HG43" s="206" t="str">
        <f>IF(AND($G43&lt;&gt;"",$G43&gt;0,'Outfall 1 Limits'!$AX$104="C1",DU43&lt;&gt;""),DU43*$G43*8.34,IF(AND(DU43&lt;&gt;"",'Outfall 1 Limits'!$AX$104="L"),DU43,""))</f>
        <v/>
      </c>
      <c r="HH43" s="206" t="str">
        <f>IF(AND($G43&lt;&gt;"",$G43&gt;0,'Outfall 1 Limits'!$AX$108="C1",DV43&lt;&gt;""),DV43*$G43*8.34,IF(AND(DV43&lt;&gt;"",'Outfall 1 Limits'!$AX$108="L"),DV43,""))</f>
        <v/>
      </c>
      <c r="HI43" s="206" t="str">
        <f>IF(AND($G43&lt;&gt;"",$G43&gt;0,'Outfall 1 Limits'!$AX$112="C1",DW43&lt;&gt;""),DW43*$G43*8.34,IF(AND(DW43&lt;&gt;"",'Outfall 1 Limits'!$AX$112="L"),DW43,""))</f>
        <v/>
      </c>
      <c r="HJ43" s="206" t="str">
        <f>IF(AND($G43&lt;&gt;"",$G43&gt;0,'Outfall 1 Limits'!$AX$116="C1",DX43&lt;&gt;""),DX43*$G43*8.34,IF(AND(DX43&lt;&gt;"",'Outfall 1 Limits'!$AX$116="L"),DX43,""))</f>
        <v/>
      </c>
      <c r="HK43" s="206" t="str">
        <f>IF(AND($G43&lt;&gt;"",$G43&gt;0,'Outfall 1 Limits'!$AX$120="C1",DY43&lt;&gt;""),DY43*$G43*8.34,IF(AND(DY43&lt;&gt;"",'Outfall 1 Limits'!$AX$120="L"),DY43,""))</f>
        <v/>
      </c>
      <c r="HL43" s="206" t="str">
        <f>IF(AND($G43&lt;&gt;"",$G43&gt;0,'Outfall 1 Limits'!$AX$124="C1",DZ43&lt;&gt;""),DZ43*$G43*8.34,IF(AND(DZ43&lt;&gt;"",'Outfall 1 Limits'!$AX$124="L"),DZ43,""))</f>
        <v/>
      </c>
      <c r="HM43" s="223" t="str">
        <f>IF(AND($G43&lt;&gt;"",$G43&gt;0,'Outfall 1 Limits'!$AX$128="C1",EA43&lt;&gt;""),EA43*$G43*8.34,IF(AND(EA43&lt;&gt;"",'Outfall 1 Limits'!$AX$128="L"),EA43,""))</f>
        <v/>
      </c>
      <c r="HO43" s="224" t="str">
        <f t="shared" si="60"/>
        <v/>
      </c>
      <c r="HS43" s="202" t="str">
        <f t="shared" si="61"/>
        <v/>
      </c>
      <c r="HT43" s="196" t="str">
        <f t="shared" si="62"/>
        <v/>
      </c>
      <c r="HU43" s="196" t="str">
        <f t="shared" si="63"/>
        <v/>
      </c>
      <c r="HV43" s="196" t="str">
        <f t="shared" si="64"/>
        <v/>
      </c>
      <c r="HW43" s="196" t="str">
        <f t="shared" si="65"/>
        <v/>
      </c>
      <c r="HX43" s="196" t="str">
        <f t="shared" si="66"/>
        <v/>
      </c>
      <c r="HY43" s="196" t="str">
        <f t="shared" si="67"/>
        <v/>
      </c>
      <c r="HZ43" s="196" t="str">
        <f t="shared" si="68"/>
        <v/>
      </c>
      <c r="IA43" s="196" t="str">
        <f t="shared" si="69"/>
        <v/>
      </c>
      <c r="IB43" s="196" t="str">
        <f t="shared" si="70"/>
        <v/>
      </c>
      <c r="IC43" s="196" t="str">
        <f t="shared" si="71"/>
        <v/>
      </c>
      <c r="ID43" s="196" t="str">
        <f t="shared" si="72"/>
        <v/>
      </c>
      <c r="IE43" s="196" t="str">
        <f t="shared" si="73"/>
        <v/>
      </c>
      <c r="IF43" s="196" t="str">
        <f t="shared" si="74"/>
        <v/>
      </c>
      <c r="IG43" s="196" t="str">
        <f t="shared" si="75"/>
        <v/>
      </c>
      <c r="IH43" s="196" t="str">
        <f t="shared" si="76"/>
        <v/>
      </c>
      <c r="II43" s="196" t="str">
        <f t="shared" si="77"/>
        <v/>
      </c>
      <c r="IJ43" s="196" t="str">
        <f t="shared" si="78"/>
        <v/>
      </c>
      <c r="IK43" s="196" t="str">
        <f t="shared" si="79"/>
        <v/>
      </c>
      <c r="IL43" s="196" t="str">
        <f t="shared" si="80"/>
        <v/>
      </c>
      <c r="IM43" s="196" t="str">
        <f t="shared" si="81"/>
        <v/>
      </c>
      <c r="IN43" s="196" t="str">
        <f t="shared" si="82"/>
        <v/>
      </c>
      <c r="IO43" s="196" t="str">
        <f t="shared" si="83"/>
        <v/>
      </c>
      <c r="IP43" s="196" t="str">
        <f t="shared" si="84"/>
        <v/>
      </c>
      <c r="IQ43" s="196" t="str">
        <f t="shared" si="85"/>
        <v/>
      </c>
      <c r="IR43" s="196" t="str">
        <f t="shared" si="86"/>
        <v/>
      </c>
      <c r="IS43" s="196" t="str">
        <f t="shared" si="87"/>
        <v/>
      </c>
      <c r="IT43" s="196" t="str">
        <f t="shared" si="88"/>
        <v/>
      </c>
      <c r="IU43" s="210" t="str">
        <f t="shared" si="89"/>
        <v/>
      </c>
      <c r="IX43" s="202" t="str">
        <f t="shared" si="90"/>
        <v/>
      </c>
      <c r="IY43" s="196" t="str">
        <f t="shared" si="91"/>
        <v/>
      </c>
      <c r="IZ43" s="196" t="str">
        <f t="shared" si="92"/>
        <v/>
      </c>
      <c r="JA43" s="196" t="str">
        <f t="shared" si="93"/>
        <v/>
      </c>
      <c r="JB43" s="196" t="str">
        <f t="shared" si="94"/>
        <v/>
      </c>
      <c r="JC43" s="196" t="str">
        <f t="shared" si="95"/>
        <v/>
      </c>
      <c r="JD43" s="196" t="str">
        <f t="shared" si="96"/>
        <v/>
      </c>
      <c r="JE43" s="196" t="str">
        <f t="shared" si="97"/>
        <v/>
      </c>
      <c r="JF43" s="196" t="str">
        <f t="shared" si="98"/>
        <v/>
      </c>
      <c r="JG43" s="196" t="str">
        <f t="shared" si="99"/>
        <v/>
      </c>
      <c r="JH43" s="196" t="str">
        <f t="shared" si="100"/>
        <v/>
      </c>
      <c r="JI43" s="196" t="str">
        <f t="shared" si="101"/>
        <v/>
      </c>
      <c r="JJ43" s="196" t="str">
        <f t="shared" si="102"/>
        <v/>
      </c>
      <c r="JK43" s="196" t="str">
        <f t="shared" si="103"/>
        <v/>
      </c>
      <c r="JL43" s="196" t="str">
        <f t="shared" si="104"/>
        <v/>
      </c>
      <c r="JM43" s="196" t="str">
        <f t="shared" si="105"/>
        <v/>
      </c>
      <c r="JN43" s="196" t="str">
        <f t="shared" si="106"/>
        <v/>
      </c>
      <c r="JO43" s="196" t="str">
        <f t="shared" si="107"/>
        <v/>
      </c>
      <c r="JP43" s="196" t="str">
        <f t="shared" si="108"/>
        <v/>
      </c>
      <c r="JQ43" s="196" t="str">
        <f t="shared" si="109"/>
        <v/>
      </c>
      <c r="JR43" s="196" t="str">
        <f t="shared" si="110"/>
        <v/>
      </c>
      <c r="JS43" s="196" t="str">
        <f t="shared" si="111"/>
        <v/>
      </c>
      <c r="JT43" s="196" t="str">
        <f t="shared" si="112"/>
        <v/>
      </c>
      <c r="JU43" s="196" t="str">
        <f t="shared" si="113"/>
        <v/>
      </c>
      <c r="JV43" s="196" t="str">
        <f t="shared" si="114"/>
        <v/>
      </c>
      <c r="JW43" s="196" t="str">
        <f t="shared" si="115"/>
        <v/>
      </c>
      <c r="JX43" s="196" t="str">
        <f t="shared" si="116"/>
        <v/>
      </c>
      <c r="JY43" s="196" t="str">
        <f t="shared" si="117"/>
        <v/>
      </c>
      <c r="JZ43" s="210" t="str">
        <f t="shared" si="118"/>
        <v/>
      </c>
      <c r="KA43" s="196"/>
      <c r="KB43" s="176"/>
      <c r="KC43" s="227"/>
      <c r="KD43" s="218" t="str">
        <f t="shared" si="2"/>
        <v/>
      </c>
      <c r="KE43" s="196" t="str">
        <f t="shared" si="3"/>
        <v/>
      </c>
      <c r="KF43" s="196" t="str">
        <f t="shared" si="4"/>
        <v/>
      </c>
      <c r="KG43" s="196" t="str">
        <f t="shared" si="5"/>
        <v/>
      </c>
      <c r="KH43" s="196" t="str">
        <f t="shared" si="6"/>
        <v/>
      </c>
      <c r="KI43" s="196" t="str">
        <f t="shared" si="7"/>
        <v/>
      </c>
      <c r="KJ43" s="196" t="str">
        <f t="shared" si="8"/>
        <v/>
      </c>
      <c r="KK43" s="196" t="str">
        <f t="shared" si="9"/>
        <v/>
      </c>
      <c r="KL43" s="196" t="str">
        <f t="shared" si="10"/>
        <v/>
      </c>
      <c r="KM43" s="196" t="str">
        <f t="shared" si="11"/>
        <v/>
      </c>
      <c r="KN43" s="196" t="str">
        <f t="shared" si="12"/>
        <v/>
      </c>
      <c r="KO43" s="196" t="str">
        <f t="shared" si="13"/>
        <v/>
      </c>
      <c r="KP43" s="196" t="str">
        <f t="shared" si="14"/>
        <v/>
      </c>
      <c r="KQ43" s="196" t="str">
        <f t="shared" si="15"/>
        <v/>
      </c>
      <c r="KR43" s="196" t="str">
        <f t="shared" si="16"/>
        <v/>
      </c>
      <c r="KS43" s="196" t="str">
        <f t="shared" si="17"/>
        <v/>
      </c>
      <c r="KT43" s="196" t="str">
        <f t="shared" si="18"/>
        <v/>
      </c>
      <c r="KU43" s="196" t="str">
        <f t="shared" si="19"/>
        <v/>
      </c>
      <c r="KV43" s="196" t="str">
        <f t="shared" si="20"/>
        <v/>
      </c>
      <c r="KW43" s="196" t="str">
        <f t="shared" si="21"/>
        <v/>
      </c>
      <c r="KX43" s="196" t="str">
        <f t="shared" si="22"/>
        <v/>
      </c>
      <c r="KY43" s="196" t="str">
        <f t="shared" si="23"/>
        <v/>
      </c>
      <c r="KZ43" s="196" t="str">
        <f t="shared" si="24"/>
        <v/>
      </c>
      <c r="LA43" s="196" t="str">
        <f t="shared" si="25"/>
        <v/>
      </c>
      <c r="LB43" s="196" t="str">
        <f t="shared" si="26"/>
        <v/>
      </c>
      <c r="LC43" s="196" t="str">
        <f t="shared" si="27"/>
        <v/>
      </c>
      <c r="LD43" s="196" t="str">
        <f t="shared" si="28"/>
        <v/>
      </c>
      <c r="LE43" s="196" t="str">
        <f t="shared" si="29"/>
        <v/>
      </c>
      <c r="LF43" s="219" t="str">
        <f t="shared" si="30"/>
        <v/>
      </c>
    </row>
    <row r="44" spans="1:318" s="172" customFormat="1" ht="11.45" customHeight="1" x14ac:dyDescent="0.2">
      <c r="A44" s="35"/>
      <c r="B44" s="54"/>
      <c r="C44" s="438">
        <f t="shared" si="0"/>
        <v>45318</v>
      </c>
      <c r="D44" s="438"/>
      <c r="E44" s="430">
        <f t="shared" si="119"/>
        <v>45318</v>
      </c>
      <c r="F44" s="431"/>
      <c r="G44" s="26"/>
      <c r="H44" s="51"/>
      <c r="I44" s="50"/>
      <c r="J44" s="51"/>
      <c r="K44" s="50"/>
      <c r="L44" s="51"/>
      <c r="M44" s="50"/>
      <c r="N44" s="51"/>
      <c r="O44" s="50"/>
      <c r="P44" s="51"/>
      <c r="Q44" s="50"/>
      <c r="R44" s="51"/>
      <c r="S44" s="50"/>
      <c r="T44" s="51"/>
      <c r="U44" s="50"/>
      <c r="V44" s="51"/>
      <c r="W44" s="50"/>
      <c r="X44" s="276"/>
      <c r="Y44" s="50"/>
      <c r="Z44" s="51"/>
      <c r="AA44" s="50"/>
      <c r="AB44" s="51"/>
      <c r="AC44" s="50"/>
      <c r="AD44" s="51"/>
      <c r="AE44" s="50"/>
      <c r="AF44" s="51"/>
      <c r="AG44" s="50"/>
      <c r="AH44" s="51"/>
      <c r="AI44" s="50"/>
      <c r="AJ44" s="51"/>
      <c r="AK44" s="50"/>
      <c r="AL44" s="51"/>
      <c r="AM44" s="50"/>
      <c r="AN44" s="51"/>
      <c r="AO44" s="50"/>
      <c r="AP44" s="51"/>
      <c r="AQ44" s="50"/>
      <c r="AR44" s="51"/>
      <c r="AS44" s="50"/>
      <c r="AT44" s="51"/>
      <c r="AU44" s="50"/>
      <c r="AV44" s="51"/>
      <c r="AW44" s="50"/>
      <c r="AX44" s="51"/>
      <c r="AY44" s="50"/>
      <c r="AZ44" s="51"/>
      <c r="BA44" s="50"/>
      <c r="BB44" s="51"/>
      <c r="BC44" s="50"/>
      <c r="BD44" s="51"/>
      <c r="BE44" s="50"/>
      <c r="BF44" s="51"/>
      <c r="BG44" s="50"/>
      <c r="BH44" s="51"/>
      <c r="BI44" s="50"/>
      <c r="BJ44" s="51"/>
      <c r="BK44" s="50"/>
      <c r="BL44" s="51"/>
      <c r="BM44" s="109"/>
      <c r="BO44" s="174"/>
      <c r="BP44" s="174">
        <v>2063</v>
      </c>
      <c r="BQ44" s="179" t="s">
        <v>61</v>
      </c>
      <c r="BR44" s="174"/>
      <c r="BS44" s="174"/>
      <c r="BU44" s="202" t="str">
        <f t="shared" si="31"/>
        <v/>
      </c>
      <c r="BV44" s="196" t="str">
        <f t="shared" si="32"/>
        <v/>
      </c>
      <c r="BW44" s="196" t="str">
        <f t="shared" si="33"/>
        <v/>
      </c>
      <c r="BX44" s="196" t="str">
        <f t="shared" si="34"/>
        <v/>
      </c>
      <c r="BY44" s="196" t="str">
        <f t="shared" si="35"/>
        <v/>
      </c>
      <c r="BZ44" s="196" t="str">
        <f t="shared" si="36"/>
        <v/>
      </c>
      <c r="CA44" s="196" t="str">
        <f t="shared" si="37"/>
        <v/>
      </c>
      <c r="CB44" s="196" t="str">
        <f t="shared" si="38"/>
        <v/>
      </c>
      <c r="CC44" s="196" t="str">
        <f t="shared" si="39"/>
        <v/>
      </c>
      <c r="CD44" s="196" t="str">
        <f t="shared" si="40"/>
        <v/>
      </c>
      <c r="CE44" s="196" t="str">
        <f t="shared" si="41"/>
        <v/>
      </c>
      <c r="CF44" s="196" t="str">
        <f t="shared" si="42"/>
        <v/>
      </c>
      <c r="CG44" s="196" t="str">
        <f t="shared" si="43"/>
        <v/>
      </c>
      <c r="CH44" s="196" t="str">
        <f t="shared" si="44"/>
        <v/>
      </c>
      <c r="CI44" s="196" t="str">
        <f t="shared" si="45"/>
        <v/>
      </c>
      <c r="CJ44" s="196" t="str">
        <f t="shared" si="46"/>
        <v/>
      </c>
      <c r="CK44" s="196" t="str">
        <f t="shared" si="47"/>
        <v/>
      </c>
      <c r="CL44" s="196" t="str">
        <f t="shared" si="48"/>
        <v/>
      </c>
      <c r="CM44" s="196" t="str">
        <f t="shared" si="120"/>
        <v/>
      </c>
      <c r="CN44" s="196" t="str">
        <f t="shared" si="49"/>
        <v/>
      </c>
      <c r="CO44" s="196" t="str">
        <f t="shared" si="50"/>
        <v/>
      </c>
      <c r="CP44" s="196" t="str">
        <f t="shared" si="51"/>
        <v/>
      </c>
      <c r="CQ44" s="196" t="str">
        <f t="shared" si="52"/>
        <v/>
      </c>
      <c r="CR44" s="196" t="str">
        <f t="shared" si="53"/>
        <v/>
      </c>
      <c r="CS44" s="196" t="str">
        <f t="shared" si="54"/>
        <v/>
      </c>
      <c r="CT44" s="196" t="str">
        <f t="shared" si="55"/>
        <v/>
      </c>
      <c r="CU44" s="196" t="str">
        <f t="shared" si="56"/>
        <v/>
      </c>
      <c r="CV44" s="196" t="str">
        <f t="shared" si="57"/>
        <v/>
      </c>
      <c r="CW44" s="210" t="str">
        <f t="shared" si="58"/>
        <v/>
      </c>
      <c r="CY44" s="212" t="str">
        <f>IF(I44&lt;&gt;"",IF(H44="&lt;",IF(AND('Outfall 1 Limits'!$AM$16="Y",$BU$54&lt;&gt;"Y",I44&lt;='Outfall 1 Limits'!$AL$16),0,(1*I44)),I44),"")</f>
        <v/>
      </c>
      <c r="CZ44" s="206" t="str">
        <f>IF(K44&lt;&gt;"",IF(J44="&lt;",IF(AND('Outfall 1 Limits'!$AM$20="Y",$BV$54&lt;&gt;"Y",K44&lt;='Outfall 1 Limits'!$AL$20),0,(1*K44)),K44),"")</f>
        <v/>
      </c>
      <c r="DA44" s="206" t="str">
        <f>IF(M44&lt;&gt;"",IF(L44="&lt;",IF(AND('Outfall 1 Limits'!$AM$24="Y",$BW$54&lt;&gt;"Y",M44&lt;='Outfall 1 Limits'!$AL$24),0,(1*M44)),M44),"")</f>
        <v/>
      </c>
      <c r="DB44" s="206" t="str">
        <f>IF(O44&lt;&gt;"",IF(N44="&lt;",IF(AND('Outfall 1 Limits'!$AM$28="Y",$BX$54&lt;&gt;"Y",O44&lt;='Outfall 1 Limits'!$AL$28),0,(1*O44)),O44),"")</f>
        <v/>
      </c>
      <c r="DC44" s="206" t="str">
        <f>IF(Q44&lt;&gt;"",IF(P44="&lt;",IF(AND('Outfall 1 Limits'!$AM$32="Y",$BY$54&lt;&gt;"Y",Q44&lt;='Outfall 1 Limits'!$AL$32),0,(1*Q44)),Q44),"")</f>
        <v/>
      </c>
      <c r="DD44" s="206" t="str">
        <f>IF(S44&lt;&gt;"",IF(R44="&lt;",IF(AND('Outfall 1 Limits'!$AM$36="Y",$BZ$54&lt;&gt;"Y",S44&lt;='Outfall 1 Limits'!$AL$36),0,(1*S44)),S44),"")</f>
        <v/>
      </c>
      <c r="DE44" s="206" t="str">
        <f>IF(U44&lt;&gt;"",IF(T44="&lt;",IF(AND('Outfall 1 Limits'!$AM$40="Y",$CA$54&lt;&gt;"Y",U44&lt;='Outfall 1 Limits'!$AL$40),0,(1*U44)),U44),"")</f>
        <v/>
      </c>
      <c r="DF44" s="206" t="str">
        <f>IF(W44&lt;&gt;"",IF(V44="&lt;",IF(AND('Outfall 1 Limits'!$AM$44="Y",$CB$54&lt;&gt;"Y",W44&lt;='Outfall 1 Limits'!$AL$44),0,(1*W44)),W44),"")</f>
        <v/>
      </c>
      <c r="DG44" s="206" t="str">
        <f>IF(Y44&lt;&gt;"",IF(X44="&lt;",IF(AND('Outfall 1 Limits'!$AM$48="Y",$CC$54&lt;&gt;"Y",Y44&lt;='Outfall 1 Limits'!$AL$48),0,(1*Y44)),Y44),"")</f>
        <v/>
      </c>
      <c r="DH44" s="206" t="str">
        <f>IF(AA44&lt;&gt;"",IF(Z44="&lt;",IF(AND('Outfall 1 Limits'!$AM$52="Y",$CD$54&lt;&gt;"Y",AA44&lt;='Outfall 1 Limits'!$AL$52),0,(1*AA44)),AA44),"")</f>
        <v/>
      </c>
      <c r="DI44" s="206" t="str">
        <f>IF(AC44&lt;&gt;"",IF(AB44="&lt;",IF(AND('Outfall 1 Limits'!$AM$56="Y",$CE$54&lt;&gt;"Y",AC44&lt;='Outfall 1 Limits'!$AL$56),0,(1*AC44)),AC44),"")</f>
        <v/>
      </c>
      <c r="DJ44" s="206" t="str">
        <f>IF(AE44&lt;&gt;"",IF(AD44="&lt;",IF(AND('Outfall 1 Limits'!$AM$60="Y",$CF$54&lt;&gt;"Y",AE44&lt;='Outfall 1 Limits'!$AL$60),0,(1*AE44)),AE44),"")</f>
        <v/>
      </c>
      <c r="DK44" s="206" t="str">
        <f>IF(AG44&lt;&gt;"",IF(AF44="&lt;",IF(AND('Outfall 1 Limits'!$AM$64="Y",$CG$54&lt;&gt;"Y",AG44&lt;='Outfall 1 Limits'!$AL$64),0,(1*AG44)),AG44),"")</f>
        <v/>
      </c>
      <c r="DL44" s="206" t="str">
        <f>IF(AI44&lt;&gt;"",IF(AH44="&lt;",IF(AND('Outfall 1 Limits'!$AM$68="Y",$CH$54&lt;&gt;"Y",AI44&lt;='Outfall 1 Limits'!$AL$68),0,(1*AI44)),AI44),"")</f>
        <v/>
      </c>
      <c r="DM44" s="206" t="str">
        <f>IF(AK44&lt;&gt;"",IF(AJ44="&lt;",IF(AND('Outfall 1 Limits'!$AM$72="Y",$CI$54&lt;&gt;"Y",AK44&lt;='Outfall 1 Limits'!$AL$72),0,(1*AK44)),AK44),"")</f>
        <v/>
      </c>
      <c r="DN44" s="206" t="str">
        <f>IF(AM44&lt;&gt;"",IF(AL44="&lt;",IF(AND('Outfall 1 Limits'!$AM$76="Y",$CJ$54&lt;&gt;"Y",AM44&lt;='Outfall 1 Limits'!$AL$76),0,(1*AM44)),AM44),"")</f>
        <v/>
      </c>
      <c r="DO44" s="206" t="str">
        <f>IF(AO44&lt;&gt;"",IF(AN44="&lt;",IF(AND('Outfall 1 Limits'!$AM$80="Y",$CK$54&lt;&gt;"Y",AO44&lt;='Outfall 1 Limits'!$AL$80),0,(1*AO44)),AO44),"")</f>
        <v/>
      </c>
      <c r="DP44" s="206" t="str">
        <f>IF(AQ44&lt;&gt;"",IF(AP44="&lt;",IF(AND('Outfall 1 Limits'!$AM$84="Y",$CL$54&lt;&gt;"Y",AQ44&lt;='Outfall 1 Limits'!$AL$84),0,(1*AQ44)),AQ44),"")</f>
        <v/>
      </c>
      <c r="DQ44" s="206" t="str">
        <f>IF(AS44&lt;&gt;"",IF(AR44="&lt;",IF(AND('Outfall 1 Limits'!$AM$88="Y",$CM$54&lt;&gt;"Y",AS44&lt;='Outfall 1 Limits'!$AL$88),0,(1*AS44)),AS44),"")</f>
        <v/>
      </c>
      <c r="DR44" s="206" t="str">
        <f>IF(AU44&lt;&gt;"",IF(AT44="&lt;",IF(AND('Outfall 1 Limits'!$AM$92="Y",$CN$54&lt;&gt;"Y",AU44&lt;='Outfall 1 Limits'!$AL$92),0,(1*AU44)),AU44),"")</f>
        <v/>
      </c>
      <c r="DS44" s="206" t="str">
        <f>IF(AW44&lt;&gt;"",IF(AV44="&lt;",IF(AND('Outfall 1 Limits'!$AM$96="Y",$CO$54&lt;&gt;"Y",AW44&lt;='Outfall 1 Limits'!$AL$96),0,(1*AW44)),AW44),"")</f>
        <v/>
      </c>
      <c r="DT44" s="206" t="str">
        <f>IF(AY44&lt;&gt;"",IF(AX44="&lt;",IF(AND('Outfall 1 Limits'!$AM$100="Y",$CP$54&lt;&gt;"Y",AY44&lt;='Outfall 1 Limits'!$AL$100),0,(1*AY44)),AY44),"")</f>
        <v/>
      </c>
      <c r="DU44" s="206" t="str">
        <f>IF(BA44&lt;&gt;"",IF(AZ44="&lt;",IF(AND('Outfall 1 Limits'!$AM$104="Y",$CQ$54&lt;&gt;"Y",BA44&lt;='Outfall 1 Limits'!$AL$104),0,(1*BA44)),BA44),"")</f>
        <v/>
      </c>
      <c r="DV44" s="206" t="str">
        <f>IF(BC44&lt;&gt;"",IF(BB44="&lt;",IF(AND('Outfall 1 Limits'!$AM$108="Y",$CR$54&lt;&gt;"Y",BC44&lt;='Outfall 1 Limits'!$AL$108),0,(1*BC44)),BC44),"")</f>
        <v/>
      </c>
      <c r="DW44" s="206" t="str">
        <f>IF(BE44&lt;&gt;"",IF(BD44="&lt;",IF(AND('Outfall 1 Limits'!$AM$112="Y",$CS$54&lt;&gt;"Y",BE44&lt;='Outfall 1 Limits'!$AL$112),0,(1*BE44)),BE44),"")</f>
        <v/>
      </c>
      <c r="DX44" s="206" t="str">
        <f>IF(BG44&lt;&gt;"",IF(BF44="&lt;",IF(AND('Outfall 1 Limits'!$AM$116="Y",$CT$54&lt;&gt;"Y",BG44&lt;='Outfall 1 Limits'!$AL$116),0,(1*BG44)),BG44),"")</f>
        <v/>
      </c>
      <c r="DY44" s="206" t="str">
        <f>IF(BI44&lt;&gt;"",IF(BH44="&lt;",IF(AND('Outfall 1 Limits'!$AM$120="Y",$CU$54&lt;&gt;"Y",BI44&lt;='Outfall 1 Limits'!$AL$120),0,(1*BI44)),BI44),"")</f>
        <v/>
      </c>
      <c r="DZ44" s="206" t="str">
        <f>IF(BK44&lt;&gt;"",IF(BJ44="&lt;",IF(AND('Outfall 1 Limits'!$AM$124="Y",$CV$54&lt;&gt;"Y",BK44&lt;='Outfall 1 Limits'!$AL$124),0,(1*BK44)),BK44),"")</f>
        <v/>
      </c>
      <c r="EA44" s="223" t="str">
        <f>IF(BM44&lt;&gt;"",IF(BL44="&lt;",IF(AND('Outfall 1 Limits'!$AM$128="Y",$CW$54&lt;&gt;"Y",BM44&lt;='Outfall 1 Limits'!$AL$128),0,(1*BM44)),BM44),"")</f>
        <v/>
      </c>
      <c r="EB44" s="209" t="s">
        <v>1152</v>
      </c>
      <c r="EC44" s="228" t="str">
        <f>IF(EC36&lt;&gt;"",IF(OR('Outfall 1 Limits'!$AX$16="C1",'Outfall 1 Limits'!$AX$16="L"),IF(EC36&gt;=1,IF('Outfall 1 Limits'!$AO$16=0,ROUND(EC36,0),TEXT(EC36,"0."&amp;REPT("0",LEN('Outfall 1 Limits'!$O16)-FIND(".",'Outfall 1 Limits'!$O16)))),ROUND(EC36,1-(1+INT(LOG10(ABS(EC36)))))),ROUND(EC36,$I126)),"")</f>
        <v/>
      </c>
      <c r="ED44" s="229" t="str">
        <f>IF(ED36&lt;&gt;"",IF(OR('Outfall 1 Limits'!$AX$20="C1",'Outfall 1 Limits'!$AX$20="L"),IF(ED36&gt;=1,IF('Outfall 1 Limits'!$AO$20=0,ROUND(ED36,0),TEXT(ED36,"0."&amp;REPT("0",LEN('Outfall 1 Limits'!$O20)-FIND(".",'Outfall 1 Limits'!$O20)))),ROUND(ED36,1-(1+INT(LOG10(ABS(ED36)))))),ROUND(ED36,$K126)),"")</f>
        <v/>
      </c>
      <c r="EE44" s="229" t="str">
        <f>IF(EE36&lt;&gt;"",IF(OR('Outfall 1 Limits'!$AX$24="C1",'Outfall 1 Limits'!$AX$24="L"),IF(EE36&gt;=1,IF('Outfall 1 Limits'!$AO$24=0,ROUND(EE36,0),TEXT(EE36,"0."&amp;REPT("0",LEN('Outfall 1 Limits'!$O24)-FIND(".",'Outfall 1 Limits'!$O24)))),ROUND(EE36,1-(1+INT(LOG10(ABS(EE36)))))),ROUND(EE36,$M126)),"")</f>
        <v/>
      </c>
      <c r="EF44" s="229" t="str">
        <f>IF(EF36&lt;&gt;"",IF(OR('Outfall 1 Limits'!$AX$28="C1",'Outfall 1 Limits'!$AX$28="L"),IF(EF36&gt;=1,IF('Outfall 1 Limits'!$AO$28=0,ROUND(EF36,0),TEXT(EF36,"0."&amp;REPT("0",LEN('Outfall 1 Limits'!$O28)-FIND(".",'Outfall 1 Limits'!$O28)))),ROUND(EF36,1-(1+INT(LOG10(ABS(EF36)))))),ROUND(EF36,$O126)),"")</f>
        <v/>
      </c>
      <c r="EG44" s="229" t="str">
        <f>IF(EG36&lt;&gt;"",IF(OR('Outfall 1 Limits'!$AX$32="C1",'Outfall 1 Limits'!$AX$32="L"),IF(EG36&gt;=1,IF('Outfall 1 Limits'!$AO$32=0,ROUND(EG36,0),TEXT(EG36,"0."&amp;REPT("0",LEN('Outfall 1 Limits'!$O32)-FIND(".",'Outfall 1 Limits'!$O32)))),ROUND(EG36,1-(1+INT(LOG10(ABS(EG36)))))),ROUND(EG36,$Q126)),"")</f>
        <v/>
      </c>
      <c r="EH44" s="229" t="str">
        <f>IF(EH36&lt;&gt;"",IF(OR('Outfall 1 Limits'!$AX$36="C1",'Outfall 1 Limits'!$AX$36="L"),IF(EH36&gt;=1,IF('Outfall 1 Limits'!$AO$36=0,ROUND(EH36,0),TEXT(EH36,"0."&amp;REPT("0",LEN('Outfall 1 Limits'!$O36)-FIND(".",'Outfall 1 Limits'!$O36)))),ROUND(EH36,1-(1+INT(LOG10(ABS(EH36)))))),ROUND(EH36,$S126)),"")</f>
        <v/>
      </c>
      <c r="EI44" s="229" t="str">
        <f>IF(EI36&lt;&gt;"",IF(OR('Outfall 1 Limits'!$AX$40="C1",'Outfall 1 Limits'!$AX$40="L"),IF(EI36&gt;=1,IF('Outfall 1 Limits'!$AO$40=0,ROUND(EI36,0),TEXT(EI36,"0."&amp;REPT("0",LEN('Outfall 1 Limits'!$O40)-FIND(".",'Outfall 1 Limits'!$O40)))),ROUND(EI36,1-(1+INT(LOG10(ABS(EI36)))))),ROUND(EI36,$U126)),"")</f>
        <v/>
      </c>
      <c r="EJ44" s="229" t="str">
        <f>IF(EJ36&lt;&gt;"",IF(OR('Outfall 1 Limits'!$AX$44="C1",'Outfall 1 Limits'!$AX$44="L"),IF(EJ36&gt;=1,IF('Outfall 1 Limits'!$AO$44=0,ROUND(EJ36,0),TEXT(EJ36,"0."&amp;REPT("0",LEN('Outfall 1 Limits'!$O44)-FIND(".",'Outfall 1 Limits'!$O44)))),ROUND(EJ36,1-(1+INT(LOG10(ABS(EJ36)))))),ROUND(EJ36,$W126)),"")</f>
        <v/>
      </c>
      <c r="EK44" s="229" t="str">
        <f>IF(EK36&lt;&gt;"",IF(OR('Outfall 1 Limits'!$AX$48="C1",'Outfall 1 Limits'!$AX$48="L"),IF(EK36&gt;=1,IF('Outfall 1 Limits'!$AO$48=0,ROUND(EK36,0),TEXT(EK36,"0."&amp;REPT("0",LEN('Outfall 1 Limits'!$O48)-FIND(".",'Outfall 1 Limits'!$O48)))),ROUND(EK36,1-(1+INT(LOG10(ABS(EK36)))))),ROUND(EK36,$Y126)),"")</f>
        <v/>
      </c>
      <c r="EL44" s="229" t="str">
        <f>IF(EL36&lt;&gt;"",IF(OR('Outfall 1 Limits'!$AX$52="C1",'Outfall 1 Limits'!$AX$52="L"),IF(EL36&gt;=1,IF('Outfall 1 Limits'!$AO$52=0,ROUND(EL36,0),TEXT(EL36,"0."&amp;REPT("0",LEN('Outfall 1 Limits'!$O52)-FIND(".",'Outfall 1 Limits'!$O52)))),ROUND(EL36,1-(1+INT(LOG10(ABS(EL36)))))),ROUND(EL36,$AA126)),"")</f>
        <v/>
      </c>
      <c r="EM44" s="229" t="str">
        <f>IF(EM36&lt;&gt;"",IF(OR('Outfall 1 Limits'!$AX$56="C1",'Outfall 1 Limits'!$AX$56="L"),IF(EM36&gt;=1,IF('Outfall 1 Limits'!$AO$56=0,ROUND(EM36,0),TEXT(EM36,"0."&amp;REPT("0",LEN('Outfall 1 Limits'!$O56)-FIND(".",'Outfall 1 Limits'!$O56)))),ROUND(EM36,1-(1+INT(LOG10(ABS(EM36)))))),ROUND(EM36,$AC126)),"")</f>
        <v/>
      </c>
      <c r="EN44" s="229" t="str">
        <f>IF(EN36&lt;&gt;"",IF(OR('Outfall 1 Limits'!$AX$60="C1",'Outfall 1 Limits'!$AX$60="L"),IF(EN36&gt;=1,IF('Outfall 1 Limits'!$AO$60=0,ROUND(EN36,0),TEXT(EN36,"0."&amp;REPT("0",LEN('Outfall 1 Limits'!$O60)-FIND(".",'Outfall 1 Limits'!$O60)))),ROUND(EN36,1-(1+INT(LOG10(ABS(EN36)))))),ROUND(EN36,$AE126)),"")</f>
        <v/>
      </c>
      <c r="EO44" s="229" t="str">
        <f>IF(EO36&lt;&gt;"",IF(OR('Outfall 1 Limits'!$AX$64="C1",'Outfall 1 Limits'!$AX$64="L"),IF(EO36&gt;=1,IF('Outfall 1 Limits'!$AO$64=0,ROUND(EO36,0),TEXT(EO36,"0."&amp;REPT("0",LEN('Outfall 1 Limits'!$O64)-FIND(".",'Outfall 1 Limits'!$O64)))),ROUND(EO36,1-(1+INT(LOG10(ABS(EO36)))))),ROUND(EO36,$AG126)),"")</f>
        <v/>
      </c>
      <c r="EP44" s="229" t="str">
        <f>IF(EP36&lt;&gt;"",IF(OR('Outfall 1 Limits'!$AX$68="C1",'Outfall 1 Limits'!$AX$68="L"),IF(EP36&gt;=1,IF('Outfall 1 Limits'!$AO$68=0,ROUND(EP36,0),TEXT(EP36,"0."&amp;REPT("0",LEN('Outfall 1 Limits'!$O68)-FIND(".",'Outfall 1 Limits'!$O68)))),ROUND(EP36,1-(1+INT(LOG10(ABS(EP36)))))),ROUND(EP36,$AI126)),"")</f>
        <v/>
      </c>
      <c r="EQ44" s="229" t="str">
        <f>IF(EQ36&lt;&gt;"",IF(OR('Outfall 1 Limits'!$AX$72="C1",'Outfall 1 Limits'!$AX$72="L"),IF(EQ36&gt;=1,IF('Outfall 1 Limits'!$AO$72=0,ROUND(EQ36,0),TEXT(EQ36,"0."&amp;REPT("0",LEN('Outfall 1 Limits'!$O72)-FIND(".",'Outfall 1 Limits'!$O72)))),ROUND(EQ36,1-(1+INT(LOG10(ABS(EQ36)))))),ROUND(EQ36,$AK126)),"")</f>
        <v/>
      </c>
      <c r="ER44" s="229" t="str">
        <f>IF(ER36&lt;&gt;"",IF(OR('Outfall 1 Limits'!$AX$76="C1",'Outfall 1 Limits'!$AX$76="L"),IF(ER36&gt;=1,IF('Outfall 1 Limits'!$AO$76=0,ROUND(ER36,0),TEXT(ER36,"0."&amp;REPT("0",LEN('Outfall 1 Limits'!$O76)-FIND(".",'Outfall 1 Limits'!$O76)))),ROUND(ER36,1-(1+INT(LOG10(ABS(ER36)))))),ROUND(ER36,$AM126)),"")</f>
        <v/>
      </c>
      <c r="ES44" s="229" t="str">
        <f>IF(ES36&lt;&gt;"",IF(OR('Outfall 1 Limits'!$AX$80="C1",'Outfall 1 Limits'!$AX$80="L"),IF(ES36&gt;=1,IF('Outfall 1 Limits'!$AO$80=0,ROUND(ES36,0),TEXT(ES36,"0."&amp;REPT("0",LEN('Outfall 1 Limits'!$O80)-FIND(".",'Outfall 1 Limits'!$O80)))),ROUND(ES36,1-(1+INT(LOG10(ABS(ES36)))))),ROUND(ES36,$AO126)),"")</f>
        <v/>
      </c>
      <c r="ET44" s="229" t="str">
        <f>IF(ET36&lt;&gt;"",IF(OR('Outfall 1 Limits'!$AX$84="C1",'Outfall 1 Limits'!$AX$84="L"),IF(ET36&gt;=1,IF('Outfall 1 Limits'!$AO$84=0,ROUND(ET36,0),TEXT(ET36,"0."&amp;REPT("0",LEN('Outfall 1 Limits'!$O84)-FIND(".",'Outfall 1 Limits'!$O84)))),ROUND(ET36,1-(1+INT(LOG10(ABS(ET36)))))),ROUND(ET36,$AQ126)),"")</f>
        <v/>
      </c>
      <c r="EU44" s="229" t="str">
        <f>IF(EU36&lt;&gt;"",IF(OR('Outfall 1 Limits'!$AX$88="C1",'Outfall 1 Limits'!$AX$88="L"),IF(EU36&gt;=1,IF('Outfall 1 Limits'!$AO$88=0,ROUND(EU36,0),TEXT(EU36,"0."&amp;REPT("0",LEN('Outfall 1 Limits'!$O88)-FIND(".",'Outfall 1 Limits'!$O88)))),ROUND(EU36,1-(1+INT(LOG10(ABS(EU36)))))),ROUND(EU36,$AS126)),"")</f>
        <v/>
      </c>
      <c r="EV44" s="229" t="str">
        <f>IF(EV36&lt;&gt;"",IF(OR('Outfall 1 Limits'!$AX$92="C1",'Outfall 1 Limits'!$AX$92="L"),IF(EV36&gt;=1,IF('Outfall 1 Limits'!$AO$92=0,ROUND(EV36,0),TEXT(EV36,"0."&amp;REPT("0",LEN('Outfall 1 Limits'!$O92)-FIND(".",'Outfall 1 Limits'!$O92)))),ROUND(EV36,1-(1+INT(LOG10(ABS(EV36)))))),ROUND(EV36,$AU126)),"")</f>
        <v/>
      </c>
      <c r="EW44" s="229" t="str">
        <f>IF(EW36&lt;&gt;"",IF(OR('Outfall 1 Limits'!$AX$96="C1",'Outfall 1 Limits'!$AX$96="L"),IF(EW36&gt;=1,IF('Outfall 1 Limits'!$AO$96=0,ROUND(EW36,0),TEXT(EW36,"0."&amp;REPT("0",LEN('Outfall 1 Limits'!$O96)-FIND(".",'Outfall 1 Limits'!$O96)))),ROUND(EW36,1-(1+INT(LOG10(ABS(EW36)))))),ROUND(EW36,$AW126)),"")</f>
        <v/>
      </c>
      <c r="EX44" s="229" t="str">
        <f>IF(EX36&lt;&gt;"",IF(OR('Outfall 1 Limits'!$AX$100="C1",'Outfall 1 Limits'!$AX$100="L"),IF(EX36&gt;=1,IF('Outfall 1 Limits'!$AO$100=0,ROUND(EX36,0),TEXT(EX36,"0."&amp;REPT("0",LEN('Outfall 1 Limits'!$O100)-FIND(".",'Outfall 1 Limits'!$O100)))),ROUND(EX36,1-(1+INT(LOG10(ABS(EX36)))))),ROUND(EX36,$AY126)),"")</f>
        <v/>
      </c>
      <c r="EY44" s="229" t="str">
        <f>IF(EY36&lt;&gt;"",IF(OR('Outfall 1 Limits'!$AX$104="C1",'Outfall 1 Limits'!$AX$104="L"),IF(EY36&gt;=1,IF('Outfall 1 Limits'!$AO$104=0,ROUND(EY36,0),TEXT(EY36,"0."&amp;REPT("0",LEN('Outfall 1 Limits'!$O104)-FIND(".",'Outfall 1 Limits'!$O104)))),ROUND(EY36,1-(1+INT(LOG10(ABS(EY36)))))),ROUND(EY36,$BA126)),"")</f>
        <v/>
      </c>
      <c r="EZ44" s="229" t="str">
        <f>IF(EZ36&lt;&gt;"",IF(OR('Outfall 1 Limits'!$AX$108="C1",'Outfall 1 Limits'!$AX$108="L"),IF(EZ36&gt;=1,IF('Outfall 1 Limits'!$AO$108=0,ROUND(EZ36,0),TEXT(EZ36,"0."&amp;REPT("0",LEN('Outfall 1 Limits'!$O108)-FIND(".",'Outfall 1 Limits'!$O108)))),ROUND(EZ36,1-(1+INT(LOG10(ABS(EZ36)))))),ROUND(EZ36,$BC126)),"")</f>
        <v/>
      </c>
      <c r="FA44" s="229" t="str">
        <f>IF(FA36&lt;&gt;"",IF(OR('Outfall 1 Limits'!$AX$112="C1",'Outfall 1 Limits'!$AX$112="L"),IF(FA36&gt;=1,IF('Outfall 1 Limits'!$AO$112=0,ROUND(FA36,0),TEXT(FA36,"0."&amp;REPT("0",LEN('Outfall 1 Limits'!$O112)-FIND(".",'Outfall 1 Limits'!$O112)))),ROUND(FA36,1-(1+INT(LOG10(ABS(FA36)))))),ROUND(FA36,$BE126)),"")</f>
        <v/>
      </c>
      <c r="FB44" s="229" t="str">
        <f>IF(FB36&lt;&gt;"",IF(OR('Outfall 1 Limits'!$AX$116="C1",'Outfall 1 Limits'!$AX$116="L"),IF(FB36&gt;=1,IF('Outfall 1 Limits'!$AO$116=0,ROUND(FB36,0),TEXT(FB36,"0."&amp;REPT("0",LEN('Outfall 1 Limits'!$O116)-FIND(".",'Outfall 1 Limits'!$O116)))),ROUND(FB36,1-(1+INT(LOG10(ABS(FB36)))))),ROUND(FB36,$BG126)),"")</f>
        <v/>
      </c>
      <c r="FC44" s="229" t="str">
        <f>IF(FC36&lt;&gt;"",IF(OR('Outfall 1 Limits'!$AX$120="C1",'Outfall 1 Limits'!$AX$120="L"),IF(FC36&gt;=1,IF('Outfall 1 Limits'!$AO$120=0,ROUND(FC36,0),TEXT(FC36,"0."&amp;REPT("0",LEN('Outfall 1 Limits'!$O120)-FIND(".",'Outfall 1 Limits'!$O120)))),ROUND(FC36,1-(1+INT(LOG10(ABS(FC36)))))),ROUND(FC36,$BI126)),"")</f>
        <v/>
      </c>
      <c r="FD44" s="229" t="str">
        <f>IF(FD36&lt;&gt;"",IF(OR('Outfall 1 Limits'!$AX$124="C1",'Outfall 1 Limits'!$AX$124="L"),IF(FD36&gt;=1,IF('Outfall 1 Limits'!$AO$124=0,ROUND(FD36,0),TEXT(FD36,"0."&amp;REPT("0",LEN('Outfall 1 Limits'!$O124)-FIND(".",'Outfall 1 Limits'!$O124)))),ROUND(FD36,1-(1+INT(LOG10(ABS(FD36)))))),ROUND(FD36,$BK126)),"")</f>
        <v/>
      </c>
      <c r="FE44" s="230" t="str">
        <f>IF(FE36&lt;&gt;"",IF(OR('Outfall 1 Limits'!$AX$128="C1",'Outfall 1 Limits'!$AX$128="L"),IF(FE36&gt;=1,IF('Outfall 1 Limits'!$AO$128=0,ROUND(FE36,0),TEXT(FE36,"0."&amp;REPT("0",LEN('Outfall 1 Limits'!$O128)-FIND(".",'Outfall 1 Limits'!$O128)))),ROUND(FE36,1-(1+INT(LOG10(ABS(FE36)))))),ROUND(FE36,$BM126)),"")</f>
        <v/>
      </c>
      <c r="FG44" s="212" t="str">
        <f>IF(AND($G44&lt;&gt;"",$G44&gt;0,'Outfall 1 Limits'!$AX$16="C1",I44&lt;&gt;""),I44*$G44*8.34,IF(AND($I44&lt;&gt;"",'Outfall 1 Limits'!$AX$16="L"),I44,""))</f>
        <v/>
      </c>
      <c r="FH44" s="206" t="str">
        <f>IF(AND($G44&lt;&gt;"",$G44&gt;0,'Outfall 1 Limits'!$AX$20="C1",$K44&lt;&gt;""),$K44*$G44*8.34,IF(AND($K44&lt;&gt;"",'Outfall 1 Limits'!$AX$20="L"),$K44,""))</f>
        <v/>
      </c>
      <c r="FI44" s="206" t="str">
        <f>IF(AND($G44&lt;&gt;"",$G44&gt;0,'Outfall 1 Limits'!$AX$24="C1",$M44&lt;&gt;""),$M44*$G44*8.34,IF(AND($M44&lt;&gt;"",'Outfall 1 Limits'!$AX$24="L"),$M44,""))</f>
        <v/>
      </c>
      <c r="FJ44" s="206" t="str">
        <f>IF(AND($G44&lt;&gt;"",$G44&gt;0,'Outfall 1 Limits'!$AX$28="C1",$O44&lt;&gt;""),$O44*$G44*8.34,IF(AND($O44&lt;&gt;"",'Outfall 1 Limits'!$AX$28="L"),$O44,""))</f>
        <v/>
      </c>
      <c r="FK44" s="206" t="str">
        <f>IF(AND($G44&lt;&gt;"",$G44&gt;0,'Outfall 1 Limits'!$AX$32="C1",$Q44&lt;&gt;""),$Q44*$G44*8.34,IF(AND($Q44&lt;&gt;"",'Outfall 1 Limits'!$AX$32="L"),$Q44,""))</f>
        <v/>
      </c>
      <c r="FL44" s="206" t="str">
        <f>IF(AND($G44&lt;&gt;"",$G44&gt;0,'Outfall 1 Limits'!$AX$36="C1",$S44&lt;&gt;""),$S44*$G44*8.34,IF(AND($S44&lt;&gt;"",'Outfall 1 Limits'!$AX$36="L"),$S44,""))</f>
        <v/>
      </c>
      <c r="FM44" s="206" t="str">
        <f>IF(AND($G44&lt;&gt;"",$G44&gt;0,'Outfall 1 Limits'!$AX$40="C1",$U44&lt;&gt;""),$U44*$G44*8.34,IF(AND($U44&lt;&gt;"",'Outfall 1 Limits'!$AX$40="L"),$U44,""))</f>
        <v/>
      </c>
      <c r="FN44" s="206" t="str">
        <f>IF(AND($G44&lt;&gt;"",$G44&gt;0,'Outfall 1 Limits'!$AX$44="C1",$W44&lt;&gt;""),$W44*$G44*8.34,IF(AND($W44&lt;&gt;"",'Outfall 1 Limits'!$AX$44="L"),$W44,""))</f>
        <v/>
      </c>
      <c r="FO44" s="206" t="str">
        <f>IF(AND($G44&lt;&gt;"",$G44&gt;0,'Outfall 1 Limits'!$AX$48="C1",$Y44&lt;&gt;""),$Y44*$G44*8.34,IF(AND($Y44&lt;&gt;"",'Outfall 1 Limits'!$AX$48="L"),$Y44,""))</f>
        <v/>
      </c>
      <c r="FP44" s="206" t="str">
        <f>IF(AND($G44&lt;&gt;"",$G44&gt;0,'Outfall 1 Limits'!$AX$52="C1",$AA44&lt;&gt;""),$AA44*$G44*8.34,IF(AND($AA44&lt;&gt;"",'Outfall 1 Limits'!$AX$52="L"),$AA44,""))</f>
        <v/>
      </c>
      <c r="FQ44" s="206" t="str">
        <f>IF(AND($G44&lt;&gt;"",$G44&gt;0,'Outfall 1 Limits'!$AX$56="C1",$AC44&lt;&gt;""),$AC44*$G44*8.34,IF(AND($AC44&lt;&gt;"",'Outfall 1 Limits'!$AX$56="L"),$AC44,""))</f>
        <v/>
      </c>
      <c r="FR44" s="206" t="str">
        <f>IF(AND($G44&lt;&gt;"",$G44&gt;0,'Outfall 1 Limits'!$AX$60="C1",$AE44&lt;&gt;""),$AE44*$G44*8.34,IF(AND($AE44&lt;&gt;"",'Outfall 1 Limits'!$AX$60="L"),$AE44,""))</f>
        <v/>
      </c>
      <c r="FS44" s="206" t="str">
        <f>IF(AND($G44&lt;&gt;"",$G44&gt;0,'Outfall 1 Limits'!$AX$64="C1",$AG44&lt;&gt;""),$AG44*$G44*8.34,IF(AND($AG44&lt;&gt;"",'Outfall 1 Limits'!$AX$64="L"),$AG44,""))</f>
        <v/>
      </c>
      <c r="FT44" s="206" t="str">
        <f>IF(AND($G44&lt;&gt;"",$G44&gt;0,'Outfall 1 Limits'!$AX$68="C1",$AI44&lt;&gt;""),$AI44*$G44*8.34,IF(AND($AI44&lt;&gt;"",'Outfall 1 Limits'!$AX$68="L"),$AI44,""))</f>
        <v/>
      </c>
      <c r="FU44" s="206" t="str">
        <f>IF(AND($G44&lt;&gt;"",$G44&gt;0,'Outfall 1 Limits'!$AX$72="C1",$AK44&lt;&gt;""),$AK44*$G44*8.34,IF(AND($AK44&lt;&gt;"",'Outfall 1 Limits'!$AX$72="L"),$AK44,""))</f>
        <v/>
      </c>
      <c r="FV44" s="206" t="str">
        <f>IF(AND($G44&lt;&gt;"",$G44&gt;0,'Outfall 1 Limits'!$AX$76="C1",$AM44&lt;&gt;""),$AM44*$G44*8.34,IF(AND($AM44&lt;&gt;"",'Outfall 1 Limits'!$AX$76="L"),$AM44,""))</f>
        <v/>
      </c>
      <c r="FW44" s="206" t="str">
        <f>IF(AND($G44&lt;&gt;"",$G44&gt;0,'Outfall 1 Limits'!$AX$80="C1",$AO44&lt;&gt;""),$AO44*$G44*8.34,IF(AND($AO44&lt;&gt;"",'Outfall 1 Limits'!$AX$80="L"),$AO44,""))</f>
        <v/>
      </c>
      <c r="FX44" s="206" t="str">
        <f>IF(AND($G44&lt;&gt;"",$G44&gt;0,'Outfall 1 Limits'!$AX$84="C1",$AQ44&lt;&gt;""),$AQ44*$G44*8.34,IF(AND($AQ44&lt;&gt;"",'Outfall 1 Limits'!$AX$84="L"),$AQ44,""))</f>
        <v/>
      </c>
      <c r="FY44" s="206" t="str">
        <f>IF(AND($G44&lt;&gt;"",$G44&gt;0,'Outfall 1 Limits'!$AX$88="C1",$AS44&lt;&gt;""),$AS44*$G44*8.34,IF(AND($AS44&lt;&gt;"",'Outfall 1 Limits'!$AX$88="L"),$AS44,""))</f>
        <v/>
      </c>
      <c r="FZ44" s="206" t="str">
        <f>IF(AND($G44&lt;&gt;"",$G44&gt;0,'Outfall 1 Limits'!$AX$92="C1",$AU44&lt;&gt;""),$AU44*$G44*8.34,IF(AND($AU44&lt;&gt;"",'Outfall 1 Limits'!$AX$92="L"),$AU44,""))</f>
        <v/>
      </c>
      <c r="GA44" s="206" t="str">
        <f>IF(AND($G44&lt;&gt;"",$G44&gt;0,'Outfall 1 Limits'!$AX$96="C1",$AW44&lt;&gt;""),$AW44*$G44*8.34,IF(AND($AW44&lt;&gt;"",'Outfall 1 Limits'!$AX$96="L"),$AW44,""))</f>
        <v/>
      </c>
      <c r="GB44" s="206" t="str">
        <f>IF(AND($G44&lt;&gt;"",$G44&gt;0,'Outfall 1 Limits'!$AX$100="C1",$AY44&lt;&gt;""),$AY44*$G44*8.34,IF(AND($AY44&lt;&gt;"",'Outfall 1 Limits'!$AX$100="L"),$AY44,""))</f>
        <v/>
      </c>
      <c r="GC44" s="206" t="str">
        <f>IF(AND($G44&lt;&gt;"",$G44&gt;0,'Outfall 1 Limits'!$AX$104="C1",$BA44&lt;&gt;""),$BA44*$G44*8.34,IF(AND($BA44&lt;&gt;"",'Outfall 1 Limits'!$AX$104="L"),$BA44,""))</f>
        <v/>
      </c>
      <c r="GD44" s="206" t="str">
        <f>IF(AND($G44&lt;&gt;"",$G44&gt;0,'Outfall 1 Limits'!$AX$108="C1",$BC44&lt;&gt;""),$BC44*$G44*8.34,IF(AND($BC44&lt;&gt;"",'Outfall 1 Limits'!$AX$108="L"),$BC44,""))</f>
        <v/>
      </c>
      <c r="GE44" s="206" t="str">
        <f>IF(AND($G44&lt;&gt;"",$G44&gt;0,'Outfall 1 Limits'!$AX$112="C1",$BE44&lt;&gt;""),$BE44*$G44*8.34,IF(AND($BE44&lt;&gt;"",'Outfall 1 Limits'!$AX$112="L"),$BE44,""))</f>
        <v/>
      </c>
      <c r="GF44" s="206" t="str">
        <f>IF(AND($G44&lt;&gt;"",$G44&gt;0,'Outfall 1 Limits'!$AX$116="C1",$BG44&lt;&gt;""),$BG44*$G44*8.34,IF(AND($BG44&lt;&gt;"",'Outfall 1 Limits'!$AX$116="L"),$BG44,""))</f>
        <v/>
      </c>
      <c r="GG44" s="206" t="str">
        <f>IF(AND($G44&lt;&gt;"",$G44&gt;0,'Outfall 1 Limits'!$AX$120="C1",$BI44&lt;&gt;""),$BI44*$G44*8.34,IF(AND($BI44&lt;&gt;"",'Outfall 1 Limits'!$AX$120="L"),$BI44,""))</f>
        <v/>
      </c>
      <c r="GH44" s="206" t="str">
        <f>IF(AND($G44&lt;&gt;"",$G44&gt;0,'Outfall 1 Limits'!$AX$124="C1",$BK44&lt;&gt;""),$BK44*$G44*8.34,IF(AND($BK44&lt;&gt;"",'Outfall 1 Limits'!$AX$124="L"),$BK44,""))</f>
        <v/>
      </c>
      <c r="GI44" s="223" t="str">
        <f>IF(AND($G44&lt;&gt;"",$G44&gt;0,'Outfall 1 Limits'!$AX$128="C1",$BM44&lt;&gt;""),$BM44*$G44*8.34,IF(AND($BM44&lt;&gt;"",'Outfall 1 Limits'!$AX$128="L"),$BM44,""))</f>
        <v/>
      </c>
      <c r="GJ44" s="177" t="str">
        <f t="shared" si="59"/>
        <v/>
      </c>
      <c r="GK44" s="212" t="str">
        <f>IF(AND($G44&lt;&gt;"",$G44&gt;0,'Outfall 1 Limits'!$AX$16="C1",CY44&lt;&gt;""),CY44*$G44*8.34,IF(AND(CY44&lt;&gt;"",'Outfall 1 Limits'!$AX$16="L"),CY44,""))</f>
        <v/>
      </c>
      <c r="GL44" s="206" t="str">
        <f>IF(AND($G44&lt;&gt;"",$G44&gt;0,'Outfall 1 Limits'!$AX$20="C1",CZ44&lt;&gt;""),CZ44*$G44*8.34,IF(AND(CZ44&lt;&gt;"",'Outfall 1 Limits'!$AX$20="L"),CZ44,""))</f>
        <v/>
      </c>
      <c r="GM44" s="206" t="str">
        <f>IF(AND($G44&lt;&gt;"",$G44&gt;0,'Outfall 1 Limits'!$AX$24="C1",DA44&lt;&gt;""),DA44*$G44*8.34,IF(AND(DA44&lt;&gt;"",'Outfall 1 Limits'!$AX$24="L"),DA44,""))</f>
        <v/>
      </c>
      <c r="GN44" s="206" t="str">
        <f>IF(AND($G44&lt;&gt;"",$G44&gt;0,'Outfall 1 Limits'!$AX$28="C1",DB44&lt;&gt;""),DB44*$G44*8.34,IF(AND(DB44&lt;&gt;"",'Outfall 1 Limits'!$AX$28="L"),DB44,""))</f>
        <v/>
      </c>
      <c r="GO44" s="206" t="str">
        <f>IF(AND($G44&lt;&gt;"",$G44&gt;0,'Outfall 1 Limits'!$AX$32="C1",DC44&lt;&gt;""),DC44*$G44*8.34,IF(AND(DC44&lt;&gt;"",'Outfall 1 Limits'!$AX$32="L"),DC44,""))</f>
        <v/>
      </c>
      <c r="GP44" s="206" t="str">
        <f>IF(AND($G44&lt;&gt;"",$G44&gt;0,'Outfall 1 Limits'!$AX$36="C1",DD44&lt;&gt;""),DD44*$G44*8.34,IF(AND(DD44&lt;&gt;"",'Outfall 1 Limits'!$AX$36="L"),DD44,""))</f>
        <v/>
      </c>
      <c r="GQ44" s="206" t="str">
        <f>IF(AND($G44&lt;&gt;"",$G44&gt;0,'Outfall 1 Limits'!$AX$40="C1",DE44&lt;&gt;""),DE44*$G44*8.34,IF(AND(DE44&lt;&gt;"",'Outfall 1 Limits'!$AX$40="L"),DE44,""))</f>
        <v/>
      </c>
      <c r="GR44" s="206" t="str">
        <f>IF(AND($G44&lt;&gt;"",$G44&gt;0,'Outfall 1 Limits'!$AX$44="C1",DF44&lt;&gt;""),DF44*$G44*8.34,IF(AND(DF44&lt;&gt;"",'Outfall 1 Limits'!$AX$44="L"),DF44,""))</f>
        <v/>
      </c>
      <c r="GS44" s="206" t="str">
        <f>IF(AND($G44&lt;&gt;"",$G44&gt;0,'Outfall 1 Limits'!$AX$48="C1",DG44&lt;&gt;""),DG44*$G44*8.34,IF(AND(DG44&lt;&gt;"",'Outfall 1 Limits'!$AX$48="L"),DG44,""))</f>
        <v/>
      </c>
      <c r="GT44" s="206" t="str">
        <f>IF(AND($G44&lt;&gt;"",$G44&gt;0,'Outfall 1 Limits'!$AX$52="C1",DH44&lt;&gt;""),DH44*$G44*8.34,IF(AND(DH44&lt;&gt;"",'Outfall 1 Limits'!$AX$52="L"),DH44,""))</f>
        <v/>
      </c>
      <c r="GU44" s="206" t="str">
        <f>IF(AND($G44&lt;&gt;"",$G44&gt;0,'Outfall 1 Limits'!$AX$56="C1",DI44&lt;&gt;""),DI44*$G44*8.34,IF(AND(DI44&lt;&gt;"",'Outfall 1 Limits'!$AX$56="L"),DI44,""))</f>
        <v/>
      </c>
      <c r="GV44" s="206" t="str">
        <f>IF(AND($G44&lt;&gt;"",$G44&gt;0,'Outfall 1 Limits'!$AX$60="C1",DJ44&lt;&gt;""),DJ44*$G44*8.34,IF(AND(DJ44&lt;&gt;"",'Outfall 1 Limits'!$AX$60="L"),DJ44,""))</f>
        <v/>
      </c>
      <c r="GW44" s="206" t="str">
        <f>IF(AND($G44&lt;&gt;"",$G44&gt;0,'Outfall 1 Limits'!$AX$64="C1",DK44&lt;&gt;""),DK44*$G44*8.34,IF(AND(DK44&lt;&gt;"",'Outfall 1 Limits'!$AX$64="L"),DK44,""))</f>
        <v/>
      </c>
      <c r="GX44" s="206" t="str">
        <f>IF(AND($G44&lt;&gt;"",$G44&gt;0,'Outfall 1 Limits'!$AX$68="C1",DL44&lt;&gt;""),DL44*$G44*8.34,IF(AND(DL44&lt;&gt;"",'Outfall 1 Limits'!$AX$68="L"),DL44,""))</f>
        <v/>
      </c>
      <c r="GY44" s="206" t="str">
        <f>IF(AND($G44&lt;&gt;"",$G44&gt;0,'Outfall 1 Limits'!$AX$72="C1",DM44&lt;&gt;""),DM44*$G44*8.34,IF(AND(DM44&lt;&gt;"",'Outfall 1 Limits'!$AX$72="L"),DM44,""))</f>
        <v/>
      </c>
      <c r="GZ44" s="206" t="str">
        <f>IF(AND($G44&lt;&gt;"",$G44&gt;0,'Outfall 1 Limits'!$AX$76="C1",DN44&lt;&gt;""),DN44*$G44*8.34,IF(AND(DN44&lt;&gt;"",'Outfall 1 Limits'!$AX$76="L"),DN44,""))</f>
        <v/>
      </c>
      <c r="HA44" s="206" t="str">
        <f>IF(AND($G44&lt;&gt;"",$G44&gt;0,'Outfall 1 Limits'!$AX$80="C1",DO44&lt;&gt;""),DO44*$G44*8.34,IF(AND(DO44&lt;&gt;"",'Outfall 1 Limits'!$AX$80="L"),DO44,""))</f>
        <v/>
      </c>
      <c r="HB44" s="206" t="str">
        <f>IF(AND($G44&lt;&gt;"",$G44&gt;0,'Outfall 1 Limits'!$AX$84="C1",DP44&lt;&gt;""),DP44*$G44*8.34,IF(AND(DP44&lt;&gt;"",'Outfall 1 Limits'!$AX$84="L"),DP44,""))</f>
        <v/>
      </c>
      <c r="HC44" s="206" t="str">
        <f>IF(AND($G44&lt;&gt;"",$G44&gt;0,'Outfall 1 Limits'!$AX$88="C1",DQ44&lt;&gt;""),DQ44*$G44*8.34,IF(AND(DQ44&lt;&gt;"",'Outfall 1 Limits'!$AX$88="L"),DQ44,""))</f>
        <v/>
      </c>
      <c r="HD44" s="206" t="str">
        <f>IF(AND($G44&lt;&gt;"",$G44&gt;0,'Outfall 1 Limits'!$AX$92="C1",DR44&lt;&gt;""),DR44*$G44*8.34,IF(AND(DR44&lt;&gt;"",'Outfall 1 Limits'!$AX$92="L"),DR44,""))</f>
        <v/>
      </c>
      <c r="HE44" s="206" t="str">
        <f>IF(AND($G44&lt;&gt;"",$G44&gt;0,'Outfall 1 Limits'!$AX$96="C1",DS44&lt;&gt;""),DS44*$G44*8.34,IF(AND(DS44&lt;&gt;"",'Outfall 1 Limits'!$AX$96="L"),DS44,""))</f>
        <v/>
      </c>
      <c r="HF44" s="206" t="str">
        <f>IF(AND($G44&lt;&gt;"",$G44&gt;0,'Outfall 1 Limits'!$AX$100="C1",DT44&lt;&gt;""),DT44*$G44*8.34,IF(AND(DT44&lt;&gt;"",'Outfall 1 Limits'!$AX$100="L"),DT44,""))</f>
        <v/>
      </c>
      <c r="HG44" s="206" t="str">
        <f>IF(AND($G44&lt;&gt;"",$G44&gt;0,'Outfall 1 Limits'!$AX$104="C1",DU44&lt;&gt;""),DU44*$G44*8.34,IF(AND(DU44&lt;&gt;"",'Outfall 1 Limits'!$AX$104="L"),DU44,""))</f>
        <v/>
      </c>
      <c r="HH44" s="206" t="str">
        <f>IF(AND($G44&lt;&gt;"",$G44&gt;0,'Outfall 1 Limits'!$AX$108="C1",DV44&lt;&gt;""),DV44*$G44*8.34,IF(AND(DV44&lt;&gt;"",'Outfall 1 Limits'!$AX$108="L"),DV44,""))</f>
        <v/>
      </c>
      <c r="HI44" s="206" t="str">
        <f>IF(AND($G44&lt;&gt;"",$G44&gt;0,'Outfall 1 Limits'!$AX$112="C1",DW44&lt;&gt;""),DW44*$G44*8.34,IF(AND(DW44&lt;&gt;"",'Outfall 1 Limits'!$AX$112="L"),DW44,""))</f>
        <v/>
      </c>
      <c r="HJ44" s="206" t="str">
        <f>IF(AND($G44&lt;&gt;"",$G44&gt;0,'Outfall 1 Limits'!$AX$116="C1",DX44&lt;&gt;""),DX44*$G44*8.34,IF(AND(DX44&lt;&gt;"",'Outfall 1 Limits'!$AX$116="L"),DX44,""))</f>
        <v/>
      </c>
      <c r="HK44" s="206" t="str">
        <f>IF(AND($G44&lt;&gt;"",$G44&gt;0,'Outfall 1 Limits'!$AX$120="C1",DY44&lt;&gt;""),DY44*$G44*8.34,IF(AND(DY44&lt;&gt;"",'Outfall 1 Limits'!$AX$120="L"),DY44,""))</f>
        <v/>
      </c>
      <c r="HL44" s="206" t="str">
        <f>IF(AND($G44&lt;&gt;"",$G44&gt;0,'Outfall 1 Limits'!$AX$124="C1",DZ44&lt;&gt;""),DZ44*$G44*8.34,IF(AND(DZ44&lt;&gt;"",'Outfall 1 Limits'!$AX$124="L"),DZ44,""))</f>
        <v/>
      </c>
      <c r="HM44" s="223" t="str">
        <f>IF(AND($G44&lt;&gt;"",$G44&gt;0,'Outfall 1 Limits'!$AX$128="C1",EA44&lt;&gt;""),EA44*$G44*8.34,IF(AND(EA44&lt;&gt;"",'Outfall 1 Limits'!$AX$128="L"),EA44,""))</f>
        <v/>
      </c>
      <c r="HO44" s="224" t="str">
        <f t="shared" si="60"/>
        <v/>
      </c>
      <c r="HS44" s="202" t="str">
        <f t="shared" si="61"/>
        <v/>
      </c>
      <c r="HT44" s="196" t="str">
        <f t="shared" si="62"/>
        <v/>
      </c>
      <c r="HU44" s="196" t="str">
        <f t="shared" si="63"/>
        <v/>
      </c>
      <c r="HV44" s="196" t="str">
        <f t="shared" si="64"/>
        <v/>
      </c>
      <c r="HW44" s="196" t="str">
        <f t="shared" si="65"/>
        <v/>
      </c>
      <c r="HX44" s="196" t="str">
        <f t="shared" si="66"/>
        <v/>
      </c>
      <c r="HY44" s="196" t="str">
        <f t="shared" si="67"/>
        <v/>
      </c>
      <c r="HZ44" s="196" t="str">
        <f t="shared" si="68"/>
        <v/>
      </c>
      <c r="IA44" s="196" t="str">
        <f t="shared" si="69"/>
        <v/>
      </c>
      <c r="IB44" s="196" t="str">
        <f t="shared" si="70"/>
        <v/>
      </c>
      <c r="IC44" s="196" t="str">
        <f t="shared" si="71"/>
        <v/>
      </c>
      <c r="ID44" s="196" t="str">
        <f t="shared" si="72"/>
        <v/>
      </c>
      <c r="IE44" s="196" t="str">
        <f t="shared" si="73"/>
        <v/>
      </c>
      <c r="IF44" s="196" t="str">
        <f t="shared" si="74"/>
        <v/>
      </c>
      <c r="IG44" s="196" t="str">
        <f t="shared" si="75"/>
        <v/>
      </c>
      <c r="IH44" s="196" t="str">
        <f t="shared" si="76"/>
        <v/>
      </c>
      <c r="II44" s="196" t="str">
        <f t="shared" si="77"/>
        <v/>
      </c>
      <c r="IJ44" s="196" t="str">
        <f t="shared" si="78"/>
        <v/>
      </c>
      <c r="IK44" s="196" t="str">
        <f t="shared" si="79"/>
        <v/>
      </c>
      <c r="IL44" s="196" t="str">
        <f t="shared" si="80"/>
        <v/>
      </c>
      <c r="IM44" s="196" t="str">
        <f t="shared" si="81"/>
        <v/>
      </c>
      <c r="IN44" s="196" t="str">
        <f t="shared" si="82"/>
        <v/>
      </c>
      <c r="IO44" s="196" t="str">
        <f t="shared" si="83"/>
        <v/>
      </c>
      <c r="IP44" s="196" t="str">
        <f t="shared" si="84"/>
        <v/>
      </c>
      <c r="IQ44" s="196" t="str">
        <f t="shared" si="85"/>
        <v/>
      </c>
      <c r="IR44" s="196" t="str">
        <f t="shared" si="86"/>
        <v/>
      </c>
      <c r="IS44" s="196" t="str">
        <f t="shared" si="87"/>
        <v/>
      </c>
      <c r="IT44" s="196" t="str">
        <f t="shared" si="88"/>
        <v/>
      </c>
      <c r="IU44" s="210" t="str">
        <f t="shared" si="89"/>
        <v/>
      </c>
      <c r="IX44" s="202" t="str">
        <f t="shared" si="90"/>
        <v/>
      </c>
      <c r="IY44" s="196" t="str">
        <f t="shared" si="91"/>
        <v/>
      </c>
      <c r="IZ44" s="196" t="str">
        <f t="shared" si="92"/>
        <v/>
      </c>
      <c r="JA44" s="196" t="str">
        <f t="shared" si="93"/>
        <v/>
      </c>
      <c r="JB44" s="196" t="str">
        <f t="shared" si="94"/>
        <v/>
      </c>
      <c r="JC44" s="196" t="str">
        <f t="shared" si="95"/>
        <v/>
      </c>
      <c r="JD44" s="196" t="str">
        <f t="shared" si="96"/>
        <v/>
      </c>
      <c r="JE44" s="196" t="str">
        <f t="shared" si="97"/>
        <v/>
      </c>
      <c r="JF44" s="196" t="str">
        <f t="shared" si="98"/>
        <v/>
      </c>
      <c r="JG44" s="196" t="str">
        <f t="shared" si="99"/>
        <v/>
      </c>
      <c r="JH44" s="196" t="str">
        <f t="shared" si="100"/>
        <v/>
      </c>
      <c r="JI44" s="196" t="str">
        <f t="shared" si="101"/>
        <v/>
      </c>
      <c r="JJ44" s="196" t="str">
        <f t="shared" si="102"/>
        <v/>
      </c>
      <c r="JK44" s="196" t="str">
        <f t="shared" si="103"/>
        <v/>
      </c>
      <c r="JL44" s="196" t="str">
        <f t="shared" si="104"/>
        <v/>
      </c>
      <c r="JM44" s="196" t="str">
        <f t="shared" si="105"/>
        <v/>
      </c>
      <c r="JN44" s="196" t="str">
        <f t="shared" si="106"/>
        <v/>
      </c>
      <c r="JO44" s="196" t="str">
        <f t="shared" si="107"/>
        <v/>
      </c>
      <c r="JP44" s="196" t="str">
        <f t="shared" si="108"/>
        <v/>
      </c>
      <c r="JQ44" s="196" t="str">
        <f t="shared" si="109"/>
        <v/>
      </c>
      <c r="JR44" s="196" t="str">
        <f t="shared" si="110"/>
        <v/>
      </c>
      <c r="JS44" s="196" t="str">
        <f t="shared" si="111"/>
        <v/>
      </c>
      <c r="JT44" s="196" t="str">
        <f t="shared" si="112"/>
        <v/>
      </c>
      <c r="JU44" s="196" t="str">
        <f t="shared" si="113"/>
        <v/>
      </c>
      <c r="JV44" s="196" t="str">
        <f t="shared" si="114"/>
        <v/>
      </c>
      <c r="JW44" s="196" t="str">
        <f t="shared" si="115"/>
        <v/>
      </c>
      <c r="JX44" s="196" t="str">
        <f t="shared" si="116"/>
        <v/>
      </c>
      <c r="JY44" s="196" t="str">
        <f t="shared" si="117"/>
        <v/>
      </c>
      <c r="JZ44" s="210" t="str">
        <f t="shared" si="118"/>
        <v/>
      </c>
      <c r="KA44" s="196"/>
      <c r="KB44" s="176"/>
      <c r="KC44" s="227"/>
      <c r="KD44" s="218" t="str">
        <f t="shared" si="2"/>
        <v/>
      </c>
      <c r="KE44" s="196" t="str">
        <f t="shared" si="3"/>
        <v/>
      </c>
      <c r="KF44" s="196" t="str">
        <f t="shared" si="4"/>
        <v/>
      </c>
      <c r="KG44" s="196" t="str">
        <f t="shared" si="5"/>
        <v/>
      </c>
      <c r="KH44" s="196" t="str">
        <f t="shared" si="6"/>
        <v/>
      </c>
      <c r="KI44" s="196" t="str">
        <f t="shared" si="7"/>
        <v/>
      </c>
      <c r="KJ44" s="196" t="str">
        <f t="shared" si="8"/>
        <v/>
      </c>
      <c r="KK44" s="196" t="str">
        <f t="shared" si="9"/>
        <v/>
      </c>
      <c r="KL44" s="196" t="str">
        <f t="shared" si="10"/>
        <v/>
      </c>
      <c r="KM44" s="196" t="str">
        <f t="shared" si="11"/>
        <v/>
      </c>
      <c r="KN44" s="196" t="str">
        <f t="shared" si="12"/>
        <v/>
      </c>
      <c r="KO44" s="196" t="str">
        <f t="shared" si="13"/>
        <v/>
      </c>
      <c r="KP44" s="196" t="str">
        <f t="shared" si="14"/>
        <v/>
      </c>
      <c r="KQ44" s="196" t="str">
        <f t="shared" si="15"/>
        <v/>
      </c>
      <c r="KR44" s="196" t="str">
        <f t="shared" si="16"/>
        <v/>
      </c>
      <c r="KS44" s="196" t="str">
        <f t="shared" si="17"/>
        <v/>
      </c>
      <c r="KT44" s="196" t="str">
        <f t="shared" si="18"/>
        <v/>
      </c>
      <c r="KU44" s="196" t="str">
        <f t="shared" si="19"/>
        <v/>
      </c>
      <c r="KV44" s="196" t="str">
        <f t="shared" si="20"/>
        <v/>
      </c>
      <c r="KW44" s="196" t="str">
        <f t="shared" si="21"/>
        <v/>
      </c>
      <c r="KX44" s="196" t="str">
        <f t="shared" si="22"/>
        <v/>
      </c>
      <c r="KY44" s="196" t="str">
        <f t="shared" si="23"/>
        <v/>
      </c>
      <c r="KZ44" s="196" t="str">
        <f t="shared" si="24"/>
        <v/>
      </c>
      <c r="LA44" s="196" t="str">
        <f t="shared" si="25"/>
        <v/>
      </c>
      <c r="LB44" s="196" t="str">
        <f t="shared" si="26"/>
        <v/>
      </c>
      <c r="LC44" s="196" t="str">
        <f t="shared" si="27"/>
        <v/>
      </c>
      <c r="LD44" s="196" t="str">
        <f t="shared" si="28"/>
        <v/>
      </c>
      <c r="LE44" s="196" t="str">
        <f t="shared" si="29"/>
        <v/>
      </c>
      <c r="LF44" s="219" t="str">
        <f t="shared" si="30"/>
        <v/>
      </c>
    </row>
    <row r="45" spans="1:318" s="172" customFormat="1" ht="11.45" customHeight="1" thickBot="1" x14ac:dyDescent="0.25">
      <c r="A45" s="35"/>
      <c r="B45" s="54">
        <v>5</v>
      </c>
      <c r="C45" s="438">
        <f t="shared" si="0"/>
        <v>45319</v>
      </c>
      <c r="D45" s="438"/>
      <c r="E45" s="430">
        <f t="shared" si="119"/>
        <v>45319</v>
      </c>
      <c r="F45" s="431"/>
      <c r="G45" s="26"/>
      <c r="H45" s="51"/>
      <c r="I45" s="50"/>
      <c r="J45" s="51"/>
      <c r="K45" s="50"/>
      <c r="L45" s="51"/>
      <c r="M45" s="50"/>
      <c r="N45" s="51"/>
      <c r="O45" s="50"/>
      <c r="P45" s="51"/>
      <c r="Q45" s="50"/>
      <c r="R45" s="51"/>
      <c r="S45" s="50"/>
      <c r="T45" s="51"/>
      <c r="U45" s="50"/>
      <c r="V45" s="51"/>
      <c r="W45" s="50"/>
      <c r="X45" s="276"/>
      <c r="Y45" s="50"/>
      <c r="Z45" s="51"/>
      <c r="AA45" s="50"/>
      <c r="AB45" s="51"/>
      <c r="AC45" s="50"/>
      <c r="AD45" s="51"/>
      <c r="AE45" s="50"/>
      <c r="AF45" s="51"/>
      <c r="AG45" s="50"/>
      <c r="AH45" s="51"/>
      <c r="AI45" s="50"/>
      <c r="AJ45" s="51"/>
      <c r="AK45" s="50"/>
      <c r="AL45" s="51"/>
      <c r="AM45" s="50"/>
      <c r="AN45" s="51"/>
      <c r="AO45" s="50"/>
      <c r="AP45" s="51"/>
      <c r="AQ45" s="50"/>
      <c r="AR45" s="51"/>
      <c r="AS45" s="50"/>
      <c r="AT45" s="51"/>
      <c r="AU45" s="50"/>
      <c r="AV45" s="51"/>
      <c r="AW45" s="50"/>
      <c r="AX45" s="51"/>
      <c r="AY45" s="50"/>
      <c r="AZ45" s="51"/>
      <c r="BA45" s="50"/>
      <c r="BB45" s="51"/>
      <c r="BC45" s="50"/>
      <c r="BD45" s="51"/>
      <c r="BE45" s="50"/>
      <c r="BF45" s="51"/>
      <c r="BG45" s="50"/>
      <c r="BH45" s="51"/>
      <c r="BI45" s="50"/>
      <c r="BJ45" s="51"/>
      <c r="BK45" s="50"/>
      <c r="BL45" s="51"/>
      <c r="BM45" s="109"/>
      <c r="BO45" s="174"/>
      <c r="BP45" s="174">
        <v>2064</v>
      </c>
      <c r="BQ45" s="179" t="s">
        <v>62</v>
      </c>
      <c r="BR45" s="174"/>
      <c r="BS45" s="174"/>
      <c r="BU45" s="202" t="str">
        <f t="shared" si="31"/>
        <v/>
      </c>
      <c r="BV45" s="196" t="str">
        <f t="shared" si="32"/>
        <v/>
      </c>
      <c r="BW45" s="196" t="str">
        <f t="shared" si="33"/>
        <v/>
      </c>
      <c r="BX45" s="196" t="str">
        <f t="shared" si="34"/>
        <v/>
      </c>
      <c r="BY45" s="196" t="str">
        <f t="shared" si="35"/>
        <v/>
      </c>
      <c r="BZ45" s="196" t="str">
        <f t="shared" si="36"/>
        <v/>
      </c>
      <c r="CA45" s="196" t="str">
        <f t="shared" si="37"/>
        <v/>
      </c>
      <c r="CB45" s="196" t="str">
        <f t="shared" si="38"/>
        <v/>
      </c>
      <c r="CC45" s="196" t="str">
        <f t="shared" si="39"/>
        <v/>
      </c>
      <c r="CD45" s="196" t="str">
        <f t="shared" si="40"/>
        <v/>
      </c>
      <c r="CE45" s="196" t="str">
        <f t="shared" si="41"/>
        <v/>
      </c>
      <c r="CF45" s="196" t="str">
        <f t="shared" si="42"/>
        <v/>
      </c>
      <c r="CG45" s="196" t="str">
        <f t="shared" si="43"/>
        <v/>
      </c>
      <c r="CH45" s="196" t="str">
        <f t="shared" si="44"/>
        <v/>
      </c>
      <c r="CI45" s="196" t="str">
        <f t="shared" si="45"/>
        <v/>
      </c>
      <c r="CJ45" s="196" t="str">
        <f t="shared" si="46"/>
        <v/>
      </c>
      <c r="CK45" s="196" t="str">
        <f t="shared" si="47"/>
        <v/>
      </c>
      <c r="CL45" s="196" t="str">
        <f t="shared" si="48"/>
        <v/>
      </c>
      <c r="CM45" s="196" t="str">
        <f t="shared" si="120"/>
        <v/>
      </c>
      <c r="CN45" s="196" t="str">
        <f t="shared" si="49"/>
        <v/>
      </c>
      <c r="CO45" s="196" t="str">
        <f t="shared" si="50"/>
        <v/>
      </c>
      <c r="CP45" s="196" t="str">
        <f t="shared" si="51"/>
        <v/>
      </c>
      <c r="CQ45" s="196" t="str">
        <f t="shared" si="52"/>
        <v/>
      </c>
      <c r="CR45" s="196" t="str">
        <f t="shared" si="53"/>
        <v/>
      </c>
      <c r="CS45" s="196" t="str">
        <f t="shared" si="54"/>
        <v/>
      </c>
      <c r="CT45" s="196" t="str">
        <f t="shared" si="55"/>
        <v/>
      </c>
      <c r="CU45" s="196" t="str">
        <f t="shared" si="56"/>
        <v/>
      </c>
      <c r="CV45" s="196" t="str">
        <f t="shared" si="57"/>
        <v/>
      </c>
      <c r="CW45" s="210" t="str">
        <f t="shared" si="58"/>
        <v/>
      </c>
      <c r="CY45" s="212" t="str">
        <f>IF(I45&lt;&gt;"",IF(H45="&lt;",IF(AND('Outfall 1 Limits'!$AM$16="Y",$BU$54&lt;&gt;"Y",I45&lt;='Outfall 1 Limits'!$AL$16),0,(1*I45)),I45),"")</f>
        <v/>
      </c>
      <c r="CZ45" s="206" t="str">
        <f>IF(K45&lt;&gt;"",IF(J45="&lt;",IF(AND('Outfall 1 Limits'!$AM$20="Y",$BV$54&lt;&gt;"Y",K45&lt;='Outfall 1 Limits'!$AL$20),0,(1*K45)),K45),"")</f>
        <v/>
      </c>
      <c r="DA45" s="206" t="str">
        <f>IF(M45&lt;&gt;"",IF(L45="&lt;",IF(AND('Outfall 1 Limits'!$AM$24="Y",$BW$54&lt;&gt;"Y",M45&lt;='Outfall 1 Limits'!$AL$24),0,(1*M45)),M45),"")</f>
        <v/>
      </c>
      <c r="DB45" s="206" t="str">
        <f>IF(O45&lt;&gt;"",IF(N45="&lt;",IF(AND('Outfall 1 Limits'!$AM$28="Y",$BX$54&lt;&gt;"Y",O45&lt;='Outfall 1 Limits'!$AL$28),0,(1*O45)),O45),"")</f>
        <v/>
      </c>
      <c r="DC45" s="206" t="str">
        <f>IF(Q45&lt;&gt;"",IF(P45="&lt;",IF(AND('Outfall 1 Limits'!$AM$32="Y",$BY$54&lt;&gt;"Y",Q45&lt;='Outfall 1 Limits'!$AL$32),0,(1*Q45)),Q45),"")</f>
        <v/>
      </c>
      <c r="DD45" s="206" t="str">
        <f>IF(S45&lt;&gt;"",IF(R45="&lt;",IF(AND('Outfall 1 Limits'!$AM$36="Y",$BZ$54&lt;&gt;"Y",S45&lt;='Outfall 1 Limits'!$AL$36),0,(1*S45)),S45),"")</f>
        <v/>
      </c>
      <c r="DE45" s="206" t="str">
        <f>IF(U45&lt;&gt;"",IF(T45="&lt;",IF(AND('Outfall 1 Limits'!$AM$40="Y",$CA$54&lt;&gt;"Y",U45&lt;='Outfall 1 Limits'!$AL$40),0,(1*U45)),U45),"")</f>
        <v/>
      </c>
      <c r="DF45" s="206" t="str">
        <f>IF(W45&lt;&gt;"",IF(V45="&lt;",IF(AND('Outfall 1 Limits'!$AM$44="Y",$CB$54&lt;&gt;"Y",W45&lt;='Outfall 1 Limits'!$AL$44),0,(1*W45)),W45),"")</f>
        <v/>
      </c>
      <c r="DG45" s="206" t="str">
        <f>IF(Y45&lt;&gt;"",IF(X45="&lt;",IF(AND('Outfall 1 Limits'!$AM$48="Y",$CC$54&lt;&gt;"Y",Y45&lt;='Outfall 1 Limits'!$AL$48),0,(1*Y45)),Y45),"")</f>
        <v/>
      </c>
      <c r="DH45" s="206" t="str">
        <f>IF(AA45&lt;&gt;"",IF(Z45="&lt;",IF(AND('Outfall 1 Limits'!$AM$52="Y",$CD$54&lt;&gt;"Y",AA45&lt;='Outfall 1 Limits'!$AL$52),0,(1*AA45)),AA45),"")</f>
        <v/>
      </c>
      <c r="DI45" s="206" t="str">
        <f>IF(AC45&lt;&gt;"",IF(AB45="&lt;",IF(AND('Outfall 1 Limits'!$AM$56="Y",$CE$54&lt;&gt;"Y",AC45&lt;='Outfall 1 Limits'!$AL$56),0,(1*AC45)),AC45),"")</f>
        <v/>
      </c>
      <c r="DJ45" s="206" t="str">
        <f>IF(AE45&lt;&gt;"",IF(AD45="&lt;",IF(AND('Outfall 1 Limits'!$AM$60="Y",$CF$54&lt;&gt;"Y",AE45&lt;='Outfall 1 Limits'!$AL$60),0,(1*AE45)),AE45),"")</f>
        <v/>
      </c>
      <c r="DK45" s="206" t="str">
        <f>IF(AG45&lt;&gt;"",IF(AF45="&lt;",IF(AND('Outfall 1 Limits'!$AM$64="Y",$CG$54&lt;&gt;"Y",AG45&lt;='Outfall 1 Limits'!$AL$64),0,(1*AG45)),AG45),"")</f>
        <v/>
      </c>
      <c r="DL45" s="206" t="str">
        <f>IF(AI45&lt;&gt;"",IF(AH45="&lt;",IF(AND('Outfall 1 Limits'!$AM$68="Y",$CH$54&lt;&gt;"Y",AI45&lt;='Outfall 1 Limits'!$AL$68),0,(1*AI45)),AI45),"")</f>
        <v/>
      </c>
      <c r="DM45" s="206" t="str">
        <f>IF(AK45&lt;&gt;"",IF(AJ45="&lt;",IF(AND('Outfall 1 Limits'!$AM$72="Y",$CI$54&lt;&gt;"Y",AK45&lt;='Outfall 1 Limits'!$AL$72),0,(1*AK45)),AK45),"")</f>
        <v/>
      </c>
      <c r="DN45" s="206" t="str">
        <f>IF(AM45&lt;&gt;"",IF(AL45="&lt;",IF(AND('Outfall 1 Limits'!$AM$76="Y",$CJ$54&lt;&gt;"Y",AM45&lt;='Outfall 1 Limits'!$AL$76),0,(1*AM45)),AM45),"")</f>
        <v/>
      </c>
      <c r="DO45" s="206" t="str">
        <f>IF(AO45&lt;&gt;"",IF(AN45="&lt;",IF(AND('Outfall 1 Limits'!$AM$80="Y",$CK$54&lt;&gt;"Y",AO45&lt;='Outfall 1 Limits'!$AL$80),0,(1*AO45)),AO45),"")</f>
        <v/>
      </c>
      <c r="DP45" s="206" t="str">
        <f>IF(AQ45&lt;&gt;"",IF(AP45="&lt;",IF(AND('Outfall 1 Limits'!$AM$84="Y",$CL$54&lt;&gt;"Y",AQ45&lt;='Outfall 1 Limits'!$AL$84),0,(1*AQ45)),AQ45),"")</f>
        <v/>
      </c>
      <c r="DQ45" s="206" t="str">
        <f>IF(AS45&lt;&gt;"",IF(AR45="&lt;",IF(AND('Outfall 1 Limits'!$AM$88="Y",$CM$54&lt;&gt;"Y",AS45&lt;='Outfall 1 Limits'!$AL$88),0,(1*AS45)),AS45),"")</f>
        <v/>
      </c>
      <c r="DR45" s="206" t="str">
        <f>IF(AU45&lt;&gt;"",IF(AT45="&lt;",IF(AND('Outfall 1 Limits'!$AM$92="Y",$CN$54&lt;&gt;"Y",AU45&lt;='Outfall 1 Limits'!$AL$92),0,(1*AU45)),AU45),"")</f>
        <v/>
      </c>
      <c r="DS45" s="206" t="str">
        <f>IF(AW45&lt;&gt;"",IF(AV45="&lt;",IF(AND('Outfall 1 Limits'!$AM$96="Y",$CO$54&lt;&gt;"Y",AW45&lt;='Outfall 1 Limits'!$AL$96),0,(1*AW45)),AW45),"")</f>
        <v/>
      </c>
      <c r="DT45" s="206" t="str">
        <f>IF(AY45&lt;&gt;"",IF(AX45="&lt;",IF(AND('Outfall 1 Limits'!$AM$100="Y",$CP$54&lt;&gt;"Y",AY45&lt;='Outfall 1 Limits'!$AL$100),0,(1*AY45)),AY45),"")</f>
        <v/>
      </c>
      <c r="DU45" s="206" t="str">
        <f>IF(BA45&lt;&gt;"",IF(AZ45="&lt;",IF(AND('Outfall 1 Limits'!$AM$104="Y",$CQ$54&lt;&gt;"Y",BA45&lt;='Outfall 1 Limits'!$AL$104),0,(1*BA45)),BA45),"")</f>
        <v/>
      </c>
      <c r="DV45" s="206" t="str">
        <f>IF(BC45&lt;&gt;"",IF(BB45="&lt;",IF(AND('Outfall 1 Limits'!$AM$108="Y",$CR$54&lt;&gt;"Y",BC45&lt;='Outfall 1 Limits'!$AL$108),0,(1*BC45)),BC45),"")</f>
        <v/>
      </c>
      <c r="DW45" s="206" t="str">
        <f>IF(BE45&lt;&gt;"",IF(BD45="&lt;",IF(AND('Outfall 1 Limits'!$AM$112="Y",$CS$54&lt;&gt;"Y",BE45&lt;='Outfall 1 Limits'!$AL$112),0,(1*BE45)),BE45),"")</f>
        <v/>
      </c>
      <c r="DX45" s="206" t="str">
        <f>IF(BG45&lt;&gt;"",IF(BF45="&lt;",IF(AND('Outfall 1 Limits'!$AM$116="Y",$CT$54&lt;&gt;"Y",BG45&lt;='Outfall 1 Limits'!$AL$116),0,(1*BG45)),BG45),"")</f>
        <v/>
      </c>
      <c r="DY45" s="206" t="str">
        <f>IF(BI45&lt;&gt;"",IF(BH45="&lt;",IF(AND('Outfall 1 Limits'!$AM$120="Y",$CU$54&lt;&gt;"Y",BI45&lt;='Outfall 1 Limits'!$AL$120),0,(1*BI45)),BI45),"")</f>
        <v/>
      </c>
      <c r="DZ45" s="206" t="str">
        <f>IF(BK45&lt;&gt;"",IF(BJ45="&lt;",IF(AND('Outfall 1 Limits'!$AM$124="Y",$CV$54&lt;&gt;"Y",BK45&lt;='Outfall 1 Limits'!$AL$124),0,(1*BK45)),BK45),"")</f>
        <v/>
      </c>
      <c r="EA45" s="223" t="str">
        <f>IF(BM45&lt;&gt;"",IF(BL45="&lt;",IF(AND('Outfall 1 Limits'!$AM$128="Y",$CW$54&lt;&gt;"Y",BM45&lt;='Outfall 1 Limits'!$AL$128),0,(1*BM45)),BM45),"")</f>
        <v/>
      </c>
      <c r="EB45" s="209" t="s">
        <v>383</v>
      </c>
      <c r="EC45" s="237" t="str">
        <f>IF(SUM(EC31:EC35)&gt;0,IF(EC43=EC36,"N","Y"),"")</f>
        <v/>
      </c>
      <c r="ED45" s="238" t="str">
        <f>IF(SUM(ED31:ED35)&gt;0,IF(ED43=ED36,"N","Y"),"")</f>
        <v/>
      </c>
      <c r="EE45" s="238" t="str">
        <f>IF(SUM(EE31:EE35)&gt;0,IF(EE43=EE36,"N","Y"),"")</f>
        <v/>
      </c>
      <c r="EF45" s="238" t="str">
        <f>IF(SUM(EF31:EF35)&gt;0,IF(EF43=EF36,"N","Y"),"")</f>
        <v/>
      </c>
      <c r="EG45" s="238" t="str">
        <f t="shared" ref="EG45:FE45" si="168">IF(SUM(EG31:EG35)&gt;0,IF(EG43=EG36,"N","Y"),"")</f>
        <v/>
      </c>
      <c r="EH45" s="238" t="str">
        <f t="shared" si="168"/>
        <v/>
      </c>
      <c r="EI45" s="238" t="str">
        <f t="shared" si="168"/>
        <v/>
      </c>
      <c r="EJ45" s="238" t="str">
        <f t="shared" si="168"/>
        <v/>
      </c>
      <c r="EK45" s="238" t="str">
        <f t="shared" si="168"/>
        <v/>
      </c>
      <c r="EL45" s="238" t="str">
        <f t="shared" si="168"/>
        <v/>
      </c>
      <c r="EM45" s="238" t="str">
        <f t="shared" si="168"/>
        <v/>
      </c>
      <c r="EN45" s="238" t="str">
        <f t="shared" si="168"/>
        <v/>
      </c>
      <c r="EO45" s="238" t="str">
        <f t="shared" si="168"/>
        <v/>
      </c>
      <c r="EP45" s="238" t="str">
        <f t="shared" si="168"/>
        <v/>
      </c>
      <c r="EQ45" s="238" t="str">
        <f t="shared" si="168"/>
        <v/>
      </c>
      <c r="ER45" s="238" t="str">
        <f t="shared" si="168"/>
        <v/>
      </c>
      <c r="ES45" s="238" t="str">
        <f t="shared" si="168"/>
        <v/>
      </c>
      <c r="ET45" s="238" t="str">
        <f t="shared" si="168"/>
        <v/>
      </c>
      <c r="EU45" s="238" t="str">
        <f t="shared" si="168"/>
        <v/>
      </c>
      <c r="EV45" s="238" t="str">
        <f t="shared" si="168"/>
        <v/>
      </c>
      <c r="EW45" s="238" t="str">
        <f t="shared" si="168"/>
        <v/>
      </c>
      <c r="EX45" s="238" t="str">
        <f t="shared" si="168"/>
        <v/>
      </c>
      <c r="EY45" s="238" t="str">
        <f t="shared" si="168"/>
        <v/>
      </c>
      <c r="EZ45" s="238" t="str">
        <f t="shared" si="168"/>
        <v/>
      </c>
      <c r="FA45" s="238" t="str">
        <f t="shared" si="168"/>
        <v/>
      </c>
      <c r="FB45" s="238" t="str">
        <f t="shared" si="168"/>
        <v/>
      </c>
      <c r="FC45" s="238" t="str">
        <f t="shared" si="168"/>
        <v/>
      </c>
      <c r="FD45" s="238" t="str">
        <f t="shared" si="168"/>
        <v/>
      </c>
      <c r="FE45" s="239" t="str">
        <f t="shared" si="168"/>
        <v/>
      </c>
      <c r="FG45" s="212" t="str">
        <f>IF(AND($G45&lt;&gt;"",$G45&gt;0,'Outfall 1 Limits'!$AX$16="C1",I45&lt;&gt;""),I45*$G45*8.34,IF(AND($I45&lt;&gt;"",'Outfall 1 Limits'!$AX$16="L"),I45,""))</f>
        <v/>
      </c>
      <c r="FH45" s="206" t="str">
        <f>IF(AND($G45&lt;&gt;"",$G45&gt;0,'Outfall 1 Limits'!$AX$20="C1",$K45&lt;&gt;""),$K45*$G45*8.34,IF(AND($K45&lt;&gt;"",'Outfall 1 Limits'!$AX$20="L"),$K45,""))</f>
        <v/>
      </c>
      <c r="FI45" s="206" t="str">
        <f>IF(AND($G45&lt;&gt;"",$G45&gt;0,'Outfall 1 Limits'!$AX$24="C1",$M45&lt;&gt;""),$M45*$G45*8.34,IF(AND($M45&lt;&gt;"",'Outfall 1 Limits'!$AX$24="L"),$M45,""))</f>
        <v/>
      </c>
      <c r="FJ45" s="206" t="str">
        <f>IF(AND($G45&lt;&gt;"",$G45&gt;0,'Outfall 1 Limits'!$AX$28="C1",$O45&lt;&gt;""),$O45*$G45*8.34,IF(AND($O45&lt;&gt;"",'Outfall 1 Limits'!$AX$28="L"),$O45,""))</f>
        <v/>
      </c>
      <c r="FK45" s="206" t="str">
        <f>IF(AND($G45&lt;&gt;"",$G45&gt;0,'Outfall 1 Limits'!$AX$32="C1",$Q45&lt;&gt;""),$Q45*$G45*8.34,IF(AND($Q45&lt;&gt;"",'Outfall 1 Limits'!$AX$32="L"),$Q45,""))</f>
        <v/>
      </c>
      <c r="FL45" s="206" t="str">
        <f>IF(AND($G45&lt;&gt;"",$G45&gt;0,'Outfall 1 Limits'!$AX$36="C1",$S45&lt;&gt;""),$S45*$G45*8.34,IF(AND($S45&lt;&gt;"",'Outfall 1 Limits'!$AX$36="L"),$S45,""))</f>
        <v/>
      </c>
      <c r="FM45" s="206" t="str">
        <f>IF(AND($G45&lt;&gt;"",$G45&gt;0,'Outfall 1 Limits'!$AX$40="C1",$U45&lt;&gt;""),$U45*$G45*8.34,IF(AND($U45&lt;&gt;"",'Outfall 1 Limits'!$AX$40="L"),$U45,""))</f>
        <v/>
      </c>
      <c r="FN45" s="206" t="str">
        <f>IF(AND($G45&lt;&gt;"",$G45&gt;0,'Outfall 1 Limits'!$AX$44="C1",$W45&lt;&gt;""),$W45*$G45*8.34,IF(AND($W45&lt;&gt;"",'Outfall 1 Limits'!$AX$44="L"),$W45,""))</f>
        <v/>
      </c>
      <c r="FO45" s="206" t="str">
        <f>IF(AND($G45&lt;&gt;"",$G45&gt;0,'Outfall 1 Limits'!$AX$48="C1",$Y45&lt;&gt;""),$Y45*$G45*8.34,IF(AND($Y45&lt;&gt;"",'Outfall 1 Limits'!$AX$48="L"),$Y45,""))</f>
        <v/>
      </c>
      <c r="FP45" s="206" t="str">
        <f>IF(AND($G45&lt;&gt;"",$G45&gt;0,'Outfall 1 Limits'!$AX$52="C1",$AA45&lt;&gt;""),$AA45*$G45*8.34,IF(AND($AA45&lt;&gt;"",'Outfall 1 Limits'!$AX$52="L"),$AA45,""))</f>
        <v/>
      </c>
      <c r="FQ45" s="206" t="str">
        <f>IF(AND($G45&lt;&gt;"",$G45&gt;0,'Outfall 1 Limits'!$AX$56="C1",$AC45&lt;&gt;""),$AC45*$G45*8.34,IF(AND($AC45&lt;&gt;"",'Outfall 1 Limits'!$AX$56="L"),$AC45,""))</f>
        <v/>
      </c>
      <c r="FR45" s="206" t="str">
        <f>IF(AND($G45&lt;&gt;"",$G45&gt;0,'Outfall 1 Limits'!$AX$60="C1",$AE45&lt;&gt;""),$AE45*$G45*8.34,IF(AND($AE45&lt;&gt;"",'Outfall 1 Limits'!$AX$60="L"),$AE45,""))</f>
        <v/>
      </c>
      <c r="FS45" s="206" t="str">
        <f>IF(AND($G45&lt;&gt;"",$G45&gt;0,'Outfall 1 Limits'!$AX$64="C1",$AG45&lt;&gt;""),$AG45*$G45*8.34,IF(AND($AG45&lt;&gt;"",'Outfall 1 Limits'!$AX$64="L"),$AG45,""))</f>
        <v/>
      </c>
      <c r="FT45" s="206" t="str">
        <f>IF(AND($G45&lt;&gt;"",$G45&gt;0,'Outfall 1 Limits'!$AX$68="C1",$AI45&lt;&gt;""),$AI45*$G45*8.34,IF(AND($AI45&lt;&gt;"",'Outfall 1 Limits'!$AX$68="L"),$AI45,""))</f>
        <v/>
      </c>
      <c r="FU45" s="206" t="str">
        <f>IF(AND($G45&lt;&gt;"",$G45&gt;0,'Outfall 1 Limits'!$AX$72="C1",$AK45&lt;&gt;""),$AK45*$G45*8.34,IF(AND($AK45&lt;&gt;"",'Outfall 1 Limits'!$AX$72="L"),$AK45,""))</f>
        <v/>
      </c>
      <c r="FV45" s="206" t="str">
        <f>IF(AND($G45&lt;&gt;"",$G45&gt;0,'Outfall 1 Limits'!$AX$76="C1",$AM45&lt;&gt;""),$AM45*$G45*8.34,IF(AND($AM45&lt;&gt;"",'Outfall 1 Limits'!$AX$76="L"),$AM45,""))</f>
        <v/>
      </c>
      <c r="FW45" s="206" t="str">
        <f>IF(AND($G45&lt;&gt;"",$G45&gt;0,'Outfall 1 Limits'!$AX$80="C1",$AO45&lt;&gt;""),$AO45*$G45*8.34,IF(AND($AO45&lt;&gt;"",'Outfall 1 Limits'!$AX$80="L"),$AO45,""))</f>
        <v/>
      </c>
      <c r="FX45" s="206" t="str">
        <f>IF(AND($G45&lt;&gt;"",$G45&gt;0,'Outfall 1 Limits'!$AX$84="C1",$AQ45&lt;&gt;""),$AQ45*$G45*8.34,IF(AND($AQ45&lt;&gt;"",'Outfall 1 Limits'!$AX$84="L"),$AQ45,""))</f>
        <v/>
      </c>
      <c r="FY45" s="206" t="str">
        <f>IF(AND($G45&lt;&gt;"",$G45&gt;0,'Outfall 1 Limits'!$AX$88="C1",$AS45&lt;&gt;""),$AS45*$G45*8.34,IF(AND($AS45&lt;&gt;"",'Outfall 1 Limits'!$AX$88="L"),$AS45,""))</f>
        <v/>
      </c>
      <c r="FZ45" s="206" t="str">
        <f>IF(AND($G45&lt;&gt;"",$G45&gt;0,'Outfall 1 Limits'!$AX$92="C1",$AU45&lt;&gt;""),$AU45*$G45*8.34,IF(AND($AU45&lt;&gt;"",'Outfall 1 Limits'!$AX$92="L"),$AU45,""))</f>
        <v/>
      </c>
      <c r="GA45" s="206" t="str">
        <f>IF(AND($G45&lt;&gt;"",$G45&gt;0,'Outfall 1 Limits'!$AX$96="C1",$AW45&lt;&gt;""),$AW45*$G45*8.34,IF(AND($AW45&lt;&gt;"",'Outfall 1 Limits'!$AX$96="L"),$AW45,""))</f>
        <v/>
      </c>
      <c r="GB45" s="206" t="str">
        <f>IF(AND($G45&lt;&gt;"",$G45&gt;0,'Outfall 1 Limits'!$AX$100="C1",$AY45&lt;&gt;""),$AY45*$G45*8.34,IF(AND($AY45&lt;&gt;"",'Outfall 1 Limits'!$AX$100="L"),$AY45,""))</f>
        <v/>
      </c>
      <c r="GC45" s="206" t="str">
        <f>IF(AND($G45&lt;&gt;"",$G45&gt;0,'Outfall 1 Limits'!$AX$104="C1",$BA45&lt;&gt;""),$BA45*$G45*8.34,IF(AND($BA45&lt;&gt;"",'Outfall 1 Limits'!$AX$104="L"),$BA45,""))</f>
        <v/>
      </c>
      <c r="GD45" s="206" t="str">
        <f>IF(AND($G45&lt;&gt;"",$G45&gt;0,'Outfall 1 Limits'!$AX$108="C1",$BC45&lt;&gt;""),$BC45*$G45*8.34,IF(AND($BC45&lt;&gt;"",'Outfall 1 Limits'!$AX$108="L"),$BC45,""))</f>
        <v/>
      </c>
      <c r="GE45" s="206" t="str">
        <f>IF(AND($G45&lt;&gt;"",$G45&gt;0,'Outfall 1 Limits'!$AX$112="C1",$BE45&lt;&gt;""),$BE45*$G45*8.34,IF(AND($BE45&lt;&gt;"",'Outfall 1 Limits'!$AX$112="L"),$BE45,""))</f>
        <v/>
      </c>
      <c r="GF45" s="206" t="str">
        <f>IF(AND($G45&lt;&gt;"",$G45&gt;0,'Outfall 1 Limits'!$AX$116="C1",$BG45&lt;&gt;""),$BG45*$G45*8.34,IF(AND($BG45&lt;&gt;"",'Outfall 1 Limits'!$AX$116="L"),$BG45,""))</f>
        <v/>
      </c>
      <c r="GG45" s="206" t="str">
        <f>IF(AND($G45&lt;&gt;"",$G45&gt;0,'Outfall 1 Limits'!$AX$120="C1",$BI45&lt;&gt;""),$BI45*$G45*8.34,IF(AND($BI45&lt;&gt;"",'Outfall 1 Limits'!$AX$120="L"),$BI45,""))</f>
        <v/>
      </c>
      <c r="GH45" s="206" t="str">
        <f>IF(AND($G45&lt;&gt;"",$G45&gt;0,'Outfall 1 Limits'!$AX$124="C1",$BK45&lt;&gt;""),$BK45*$G45*8.34,IF(AND($BK45&lt;&gt;"",'Outfall 1 Limits'!$AX$124="L"),$BK45,""))</f>
        <v/>
      </c>
      <c r="GI45" s="223" t="str">
        <f>IF(AND($G45&lt;&gt;"",$G45&gt;0,'Outfall 1 Limits'!$AX$128="C1",$BM45&lt;&gt;""),$BM45*$G45*8.34,IF(AND($BM45&lt;&gt;"",'Outfall 1 Limits'!$AX$128="L"),$BM45,""))</f>
        <v/>
      </c>
      <c r="GJ45" s="177" t="str">
        <f t="shared" si="59"/>
        <v/>
      </c>
      <c r="GK45" s="212" t="str">
        <f>IF(AND($G45&lt;&gt;"",$G45&gt;0,'Outfall 1 Limits'!$AX$16="C1",CY45&lt;&gt;""),CY45*$G45*8.34,IF(AND(CY45&lt;&gt;"",'Outfall 1 Limits'!$AX$16="L"),CY45,""))</f>
        <v/>
      </c>
      <c r="GL45" s="206" t="str">
        <f>IF(AND($G45&lt;&gt;"",$G45&gt;0,'Outfall 1 Limits'!$AX$20="C1",CZ45&lt;&gt;""),CZ45*$G45*8.34,IF(AND(CZ45&lt;&gt;"",'Outfall 1 Limits'!$AX$20="L"),CZ45,""))</f>
        <v/>
      </c>
      <c r="GM45" s="206" t="str">
        <f>IF(AND($G45&lt;&gt;"",$G45&gt;0,'Outfall 1 Limits'!$AX$24="C1",DA45&lt;&gt;""),DA45*$G45*8.34,IF(AND(DA45&lt;&gt;"",'Outfall 1 Limits'!$AX$24="L"),DA45,""))</f>
        <v/>
      </c>
      <c r="GN45" s="206" t="str">
        <f>IF(AND($G45&lt;&gt;"",$G45&gt;0,'Outfall 1 Limits'!$AX$28="C1",DB45&lt;&gt;""),DB45*$G45*8.34,IF(AND(DB45&lt;&gt;"",'Outfall 1 Limits'!$AX$28="L"),DB45,""))</f>
        <v/>
      </c>
      <c r="GO45" s="206" t="str">
        <f>IF(AND($G45&lt;&gt;"",$G45&gt;0,'Outfall 1 Limits'!$AX$32="C1",DC45&lt;&gt;""),DC45*$G45*8.34,IF(AND(DC45&lt;&gt;"",'Outfall 1 Limits'!$AX$32="L"),DC45,""))</f>
        <v/>
      </c>
      <c r="GP45" s="206" t="str">
        <f>IF(AND($G45&lt;&gt;"",$G45&gt;0,'Outfall 1 Limits'!$AX$36="C1",DD45&lt;&gt;""),DD45*$G45*8.34,IF(AND(DD45&lt;&gt;"",'Outfall 1 Limits'!$AX$36="L"),DD45,""))</f>
        <v/>
      </c>
      <c r="GQ45" s="206" t="str">
        <f>IF(AND($G45&lt;&gt;"",$G45&gt;0,'Outfall 1 Limits'!$AX$40="C1",DE45&lt;&gt;""),DE45*$G45*8.34,IF(AND(DE45&lt;&gt;"",'Outfall 1 Limits'!$AX$40="L"),DE45,""))</f>
        <v/>
      </c>
      <c r="GR45" s="206" t="str">
        <f>IF(AND($G45&lt;&gt;"",$G45&gt;0,'Outfall 1 Limits'!$AX$44="C1",DF45&lt;&gt;""),DF45*$G45*8.34,IF(AND(DF45&lt;&gt;"",'Outfall 1 Limits'!$AX$44="L"),DF45,""))</f>
        <v/>
      </c>
      <c r="GS45" s="206" t="str">
        <f>IF(AND($G45&lt;&gt;"",$G45&gt;0,'Outfall 1 Limits'!$AX$48="C1",DG45&lt;&gt;""),DG45*$G45*8.34,IF(AND(DG45&lt;&gt;"",'Outfall 1 Limits'!$AX$48="L"),DG45,""))</f>
        <v/>
      </c>
      <c r="GT45" s="206" t="str">
        <f>IF(AND($G45&lt;&gt;"",$G45&gt;0,'Outfall 1 Limits'!$AX$52="C1",DH45&lt;&gt;""),DH45*$G45*8.34,IF(AND(DH45&lt;&gt;"",'Outfall 1 Limits'!$AX$52="L"),DH45,""))</f>
        <v/>
      </c>
      <c r="GU45" s="206" t="str">
        <f>IF(AND($G45&lt;&gt;"",$G45&gt;0,'Outfall 1 Limits'!$AX$56="C1",DI45&lt;&gt;""),DI45*$G45*8.34,IF(AND(DI45&lt;&gt;"",'Outfall 1 Limits'!$AX$56="L"),DI45,""))</f>
        <v/>
      </c>
      <c r="GV45" s="206" t="str">
        <f>IF(AND($G45&lt;&gt;"",$G45&gt;0,'Outfall 1 Limits'!$AX$60="C1",DJ45&lt;&gt;""),DJ45*$G45*8.34,IF(AND(DJ45&lt;&gt;"",'Outfall 1 Limits'!$AX$60="L"),DJ45,""))</f>
        <v/>
      </c>
      <c r="GW45" s="206" t="str">
        <f>IF(AND($G45&lt;&gt;"",$G45&gt;0,'Outfall 1 Limits'!$AX$64="C1",DK45&lt;&gt;""),DK45*$G45*8.34,IF(AND(DK45&lt;&gt;"",'Outfall 1 Limits'!$AX$64="L"),DK45,""))</f>
        <v/>
      </c>
      <c r="GX45" s="206" t="str">
        <f>IF(AND($G45&lt;&gt;"",$G45&gt;0,'Outfall 1 Limits'!$AX$68="C1",DL45&lt;&gt;""),DL45*$G45*8.34,IF(AND(DL45&lt;&gt;"",'Outfall 1 Limits'!$AX$68="L"),DL45,""))</f>
        <v/>
      </c>
      <c r="GY45" s="206" t="str">
        <f>IF(AND($G45&lt;&gt;"",$G45&gt;0,'Outfall 1 Limits'!$AX$72="C1",DM45&lt;&gt;""),DM45*$G45*8.34,IF(AND(DM45&lt;&gt;"",'Outfall 1 Limits'!$AX$72="L"),DM45,""))</f>
        <v/>
      </c>
      <c r="GZ45" s="206" t="str">
        <f>IF(AND($G45&lt;&gt;"",$G45&gt;0,'Outfall 1 Limits'!$AX$76="C1",DN45&lt;&gt;""),DN45*$G45*8.34,IF(AND(DN45&lt;&gt;"",'Outfall 1 Limits'!$AX$76="L"),DN45,""))</f>
        <v/>
      </c>
      <c r="HA45" s="206" t="str">
        <f>IF(AND($G45&lt;&gt;"",$G45&gt;0,'Outfall 1 Limits'!$AX$80="C1",DO45&lt;&gt;""),DO45*$G45*8.34,IF(AND(DO45&lt;&gt;"",'Outfall 1 Limits'!$AX$80="L"),DO45,""))</f>
        <v/>
      </c>
      <c r="HB45" s="206" t="str">
        <f>IF(AND($G45&lt;&gt;"",$G45&gt;0,'Outfall 1 Limits'!$AX$84="C1",DP45&lt;&gt;""),DP45*$G45*8.34,IF(AND(DP45&lt;&gt;"",'Outfall 1 Limits'!$AX$84="L"),DP45,""))</f>
        <v/>
      </c>
      <c r="HC45" s="206" t="str">
        <f>IF(AND($G45&lt;&gt;"",$G45&gt;0,'Outfall 1 Limits'!$AX$88="C1",DQ45&lt;&gt;""),DQ45*$G45*8.34,IF(AND(DQ45&lt;&gt;"",'Outfall 1 Limits'!$AX$88="L"),DQ45,""))</f>
        <v/>
      </c>
      <c r="HD45" s="206" t="str">
        <f>IF(AND($G45&lt;&gt;"",$G45&gt;0,'Outfall 1 Limits'!$AX$92="C1",DR45&lt;&gt;""),DR45*$G45*8.34,IF(AND(DR45&lt;&gt;"",'Outfall 1 Limits'!$AX$92="L"),DR45,""))</f>
        <v/>
      </c>
      <c r="HE45" s="206" t="str">
        <f>IF(AND($G45&lt;&gt;"",$G45&gt;0,'Outfall 1 Limits'!$AX$96="C1",DS45&lt;&gt;""),DS45*$G45*8.34,IF(AND(DS45&lt;&gt;"",'Outfall 1 Limits'!$AX$96="L"),DS45,""))</f>
        <v/>
      </c>
      <c r="HF45" s="206" t="str">
        <f>IF(AND($G45&lt;&gt;"",$G45&gt;0,'Outfall 1 Limits'!$AX$100="C1",DT45&lt;&gt;""),DT45*$G45*8.34,IF(AND(DT45&lt;&gt;"",'Outfall 1 Limits'!$AX$100="L"),DT45,""))</f>
        <v/>
      </c>
      <c r="HG45" s="206" t="str">
        <f>IF(AND($G45&lt;&gt;"",$G45&gt;0,'Outfall 1 Limits'!$AX$104="C1",DU45&lt;&gt;""),DU45*$G45*8.34,IF(AND(DU45&lt;&gt;"",'Outfall 1 Limits'!$AX$104="L"),DU45,""))</f>
        <v/>
      </c>
      <c r="HH45" s="206" t="str">
        <f>IF(AND($G45&lt;&gt;"",$G45&gt;0,'Outfall 1 Limits'!$AX$108="C1",DV45&lt;&gt;""),DV45*$G45*8.34,IF(AND(DV45&lt;&gt;"",'Outfall 1 Limits'!$AX$108="L"),DV45,""))</f>
        <v/>
      </c>
      <c r="HI45" s="206" t="str">
        <f>IF(AND($G45&lt;&gt;"",$G45&gt;0,'Outfall 1 Limits'!$AX$112="C1",DW45&lt;&gt;""),DW45*$G45*8.34,IF(AND(DW45&lt;&gt;"",'Outfall 1 Limits'!$AX$112="L"),DW45,""))</f>
        <v/>
      </c>
      <c r="HJ45" s="206" t="str">
        <f>IF(AND($G45&lt;&gt;"",$G45&gt;0,'Outfall 1 Limits'!$AX$116="C1",DX45&lt;&gt;""),DX45*$G45*8.34,IF(AND(DX45&lt;&gt;"",'Outfall 1 Limits'!$AX$116="L"),DX45,""))</f>
        <v/>
      </c>
      <c r="HK45" s="206" t="str">
        <f>IF(AND($G45&lt;&gt;"",$G45&gt;0,'Outfall 1 Limits'!$AX$120="C1",DY45&lt;&gt;""),DY45*$G45*8.34,IF(AND(DY45&lt;&gt;"",'Outfall 1 Limits'!$AX$120="L"),DY45,""))</f>
        <v/>
      </c>
      <c r="HL45" s="206" t="str">
        <f>IF(AND($G45&lt;&gt;"",$G45&gt;0,'Outfall 1 Limits'!$AX$124="C1",DZ45&lt;&gt;""),DZ45*$G45*8.34,IF(AND(DZ45&lt;&gt;"",'Outfall 1 Limits'!$AX$124="L"),DZ45,""))</f>
        <v/>
      </c>
      <c r="HM45" s="223" t="str">
        <f>IF(AND($G45&lt;&gt;"",$G45&gt;0,'Outfall 1 Limits'!$AX$128="C1",EA45&lt;&gt;""),EA45*$G45*8.34,IF(AND(EA45&lt;&gt;"",'Outfall 1 Limits'!$AX$128="L"),EA45,""))</f>
        <v/>
      </c>
      <c r="HO45" s="224" t="str">
        <f t="shared" si="60"/>
        <v/>
      </c>
      <c r="HS45" s="202" t="str">
        <f t="shared" si="61"/>
        <v/>
      </c>
      <c r="HT45" s="196" t="str">
        <f t="shared" si="62"/>
        <v/>
      </c>
      <c r="HU45" s="196" t="str">
        <f t="shared" si="63"/>
        <v/>
      </c>
      <c r="HV45" s="196" t="str">
        <f t="shared" si="64"/>
        <v/>
      </c>
      <c r="HW45" s="196" t="str">
        <f t="shared" si="65"/>
        <v/>
      </c>
      <c r="HX45" s="196" t="str">
        <f t="shared" si="66"/>
        <v/>
      </c>
      <c r="HY45" s="196" t="str">
        <f t="shared" si="67"/>
        <v/>
      </c>
      <c r="HZ45" s="196" t="str">
        <f t="shared" si="68"/>
        <v/>
      </c>
      <c r="IA45" s="196" t="str">
        <f t="shared" si="69"/>
        <v/>
      </c>
      <c r="IB45" s="196" t="str">
        <f t="shared" si="70"/>
        <v/>
      </c>
      <c r="IC45" s="196" t="str">
        <f t="shared" si="71"/>
        <v/>
      </c>
      <c r="ID45" s="196" t="str">
        <f t="shared" si="72"/>
        <v/>
      </c>
      <c r="IE45" s="196" t="str">
        <f t="shared" si="73"/>
        <v/>
      </c>
      <c r="IF45" s="196" t="str">
        <f t="shared" si="74"/>
        <v/>
      </c>
      <c r="IG45" s="196" t="str">
        <f t="shared" si="75"/>
        <v/>
      </c>
      <c r="IH45" s="196" t="str">
        <f t="shared" si="76"/>
        <v/>
      </c>
      <c r="II45" s="196" t="str">
        <f t="shared" si="77"/>
        <v/>
      </c>
      <c r="IJ45" s="196" t="str">
        <f t="shared" si="78"/>
        <v/>
      </c>
      <c r="IK45" s="196" t="str">
        <f t="shared" si="79"/>
        <v/>
      </c>
      <c r="IL45" s="196" t="str">
        <f t="shared" si="80"/>
        <v/>
      </c>
      <c r="IM45" s="196" t="str">
        <f t="shared" si="81"/>
        <v/>
      </c>
      <c r="IN45" s="196" t="str">
        <f t="shared" si="82"/>
        <v/>
      </c>
      <c r="IO45" s="196" t="str">
        <f t="shared" si="83"/>
        <v/>
      </c>
      <c r="IP45" s="196" t="str">
        <f t="shared" si="84"/>
        <v/>
      </c>
      <c r="IQ45" s="196" t="str">
        <f t="shared" si="85"/>
        <v/>
      </c>
      <c r="IR45" s="196" t="str">
        <f t="shared" si="86"/>
        <v/>
      </c>
      <c r="IS45" s="196" t="str">
        <f t="shared" si="87"/>
        <v/>
      </c>
      <c r="IT45" s="196" t="str">
        <f t="shared" si="88"/>
        <v/>
      </c>
      <c r="IU45" s="210" t="str">
        <f t="shared" si="89"/>
        <v/>
      </c>
      <c r="IX45" s="202" t="str">
        <f t="shared" si="90"/>
        <v/>
      </c>
      <c r="IY45" s="196" t="str">
        <f t="shared" si="91"/>
        <v/>
      </c>
      <c r="IZ45" s="196" t="str">
        <f t="shared" si="92"/>
        <v/>
      </c>
      <c r="JA45" s="196" t="str">
        <f t="shared" si="93"/>
        <v/>
      </c>
      <c r="JB45" s="196" t="str">
        <f t="shared" si="94"/>
        <v/>
      </c>
      <c r="JC45" s="196" t="str">
        <f t="shared" si="95"/>
        <v/>
      </c>
      <c r="JD45" s="196" t="str">
        <f t="shared" si="96"/>
        <v/>
      </c>
      <c r="JE45" s="196" t="str">
        <f t="shared" si="97"/>
        <v/>
      </c>
      <c r="JF45" s="196" t="str">
        <f t="shared" si="98"/>
        <v/>
      </c>
      <c r="JG45" s="196" t="str">
        <f t="shared" si="99"/>
        <v/>
      </c>
      <c r="JH45" s="196" t="str">
        <f t="shared" si="100"/>
        <v/>
      </c>
      <c r="JI45" s="196" t="str">
        <f t="shared" si="101"/>
        <v/>
      </c>
      <c r="JJ45" s="196" t="str">
        <f t="shared" si="102"/>
        <v/>
      </c>
      <c r="JK45" s="196" t="str">
        <f t="shared" si="103"/>
        <v/>
      </c>
      <c r="JL45" s="196" t="str">
        <f t="shared" si="104"/>
        <v/>
      </c>
      <c r="JM45" s="196" t="str">
        <f t="shared" si="105"/>
        <v/>
      </c>
      <c r="JN45" s="196" t="str">
        <f t="shared" si="106"/>
        <v/>
      </c>
      <c r="JO45" s="196" t="str">
        <f t="shared" si="107"/>
        <v/>
      </c>
      <c r="JP45" s="196" t="str">
        <f t="shared" si="108"/>
        <v/>
      </c>
      <c r="JQ45" s="196" t="str">
        <f t="shared" si="109"/>
        <v/>
      </c>
      <c r="JR45" s="196" t="str">
        <f t="shared" si="110"/>
        <v/>
      </c>
      <c r="JS45" s="196" t="str">
        <f t="shared" si="111"/>
        <v/>
      </c>
      <c r="JT45" s="196" t="str">
        <f t="shared" si="112"/>
        <v/>
      </c>
      <c r="JU45" s="196" t="str">
        <f t="shared" si="113"/>
        <v/>
      </c>
      <c r="JV45" s="196" t="str">
        <f t="shared" si="114"/>
        <v/>
      </c>
      <c r="JW45" s="196" t="str">
        <f t="shared" si="115"/>
        <v/>
      </c>
      <c r="JX45" s="196" t="str">
        <f t="shared" si="116"/>
        <v/>
      </c>
      <c r="JY45" s="196" t="str">
        <f t="shared" si="117"/>
        <v/>
      </c>
      <c r="JZ45" s="210" t="str">
        <f t="shared" si="118"/>
        <v/>
      </c>
      <c r="KA45" s="196"/>
      <c r="KB45" s="176"/>
      <c r="KC45" s="227"/>
      <c r="KD45" s="218" t="str">
        <f t="shared" si="2"/>
        <v/>
      </c>
      <c r="KE45" s="196" t="str">
        <f t="shared" si="3"/>
        <v/>
      </c>
      <c r="KF45" s="196" t="str">
        <f t="shared" si="4"/>
        <v/>
      </c>
      <c r="KG45" s="196" t="str">
        <f t="shared" si="5"/>
        <v/>
      </c>
      <c r="KH45" s="196" t="str">
        <f t="shared" si="6"/>
        <v/>
      </c>
      <c r="KI45" s="196" t="str">
        <f t="shared" si="7"/>
        <v/>
      </c>
      <c r="KJ45" s="196" t="str">
        <f t="shared" si="8"/>
        <v/>
      </c>
      <c r="KK45" s="196" t="str">
        <f t="shared" si="9"/>
        <v/>
      </c>
      <c r="KL45" s="196" t="str">
        <f t="shared" si="10"/>
        <v/>
      </c>
      <c r="KM45" s="196" t="str">
        <f t="shared" si="11"/>
        <v/>
      </c>
      <c r="KN45" s="196" t="str">
        <f t="shared" si="12"/>
        <v/>
      </c>
      <c r="KO45" s="196" t="str">
        <f t="shared" si="13"/>
        <v/>
      </c>
      <c r="KP45" s="196" t="str">
        <f t="shared" si="14"/>
        <v/>
      </c>
      <c r="KQ45" s="196" t="str">
        <f t="shared" si="15"/>
        <v/>
      </c>
      <c r="KR45" s="196" t="str">
        <f t="shared" si="16"/>
        <v/>
      </c>
      <c r="KS45" s="196" t="str">
        <f t="shared" si="17"/>
        <v/>
      </c>
      <c r="KT45" s="196" t="str">
        <f t="shared" si="18"/>
        <v/>
      </c>
      <c r="KU45" s="196" t="str">
        <f t="shared" si="19"/>
        <v/>
      </c>
      <c r="KV45" s="196" t="str">
        <f t="shared" si="20"/>
        <v/>
      </c>
      <c r="KW45" s="196" t="str">
        <f t="shared" si="21"/>
        <v/>
      </c>
      <c r="KX45" s="196" t="str">
        <f t="shared" si="22"/>
        <v/>
      </c>
      <c r="KY45" s="196" t="str">
        <f t="shared" si="23"/>
        <v/>
      </c>
      <c r="KZ45" s="196" t="str">
        <f t="shared" si="24"/>
        <v/>
      </c>
      <c r="LA45" s="196" t="str">
        <f t="shared" si="25"/>
        <v/>
      </c>
      <c r="LB45" s="196" t="str">
        <f t="shared" si="26"/>
        <v/>
      </c>
      <c r="LC45" s="196" t="str">
        <f t="shared" si="27"/>
        <v/>
      </c>
      <c r="LD45" s="196" t="str">
        <f t="shared" si="28"/>
        <v/>
      </c>
      <c r="LE45" s="196" t="str">
        <f t="shared" si="29"/>
        <v/>
      </c>
      <c r="LF45" s="219" t="str">
        <f t="shared" si="30"/>
        <v/>
      </c>
    </row>
    <row r="46" spans="1:318" s="172" customFormat="1" ht="11.45" customHeight="1" thickTop="1" x14ac:dyDescent="0.2">
      <c r="A46" s="35"/>
      <c r="B46" s="54"/>
      <c r="C46" s="438">
        <f t="shared" si="0"/>
        <v>45320</v>
      </c>
      <c r="D46" s="438"/>
      <c r="E46" s="430">
        <f t="shared" si="119"/>
        <v>45320</v>
      </c>
      <c r="F46" s="431"/>
      <c r="G46" s="26"/>
      <c r="H46" s="51"/>
      <c r="I46" s="50"/>
      <c r="J46" s="51"/>
      <c r="K46" s="50"/>
      <c r="L46" s="51"/>
      <c r="M46" s="50"/>
      <c r="N46" s="51"/>
      <c r="O46" s="50"/>
      <c r="P46" s="51"/>
      <c r="Q46" s="50"/>
      <c r="R46" s="51"/>
      <c r="S46" s="50"/>
      <c r="T46" s="51"/>
      <c r="U46" s="50"/>
      <c r="V46" s="51"/>
      <c r="W46" s="50"/>
      <c r="X46" s="276"/>
      <c r="Y46" s="50"/>
      <c r="Z46" s="51"/>
      <c r="AA46" s="50"/>
      <c r="AB46" s="51"/>
      <c r="AC46" s="50"/>
      <c r="AD46" s="51"/>
      <c r="AE46" s="50"/>
      <c r="AF46" s="51"/>
      <c r="AG46" s="50"/>
      <c r="AH46" s="51"/>
      <c r="AI46" s="50"/>
      <c r="AJ46" s="51"/>
      <c r="AK46" s="50"/>
      <c r="AL46" s="51"/>
      <c r="AM46" s="50"/>
      <c r="AN46" s="51"/>
      <c r="AO46" s="50"/>
      <c r="AP46" s="51"/>
      <c r="AQ46" s="50"/>
      <c r="AR46" s="51"/>
      <c r="AS46" s="50"/>
      <c r="AT46" s="51"/>
      <c r="AU46" s="50"/>
      <c r="AV46" s="51"/>
      <c r="AW46" s="50"/>
      <c r="AX46" s="51"/>
      <c r="AY46" s="50"/>
      <c r="AZ46" s="51"/>
      <c r="BA46" s="50"/>
      <c r="BB46" s="51"/>
      <c r="BC46" s="50"/>
      <c r="BD46" s="51"/>
      <c r="BE46" s="50"/>
      <c r="BF46" s="51"/>
      <c r="BG46" s="50"/>
      <c r="BH46" s="51"/>
      <c r="BI46" s="50"/>
      <c r="BJ46" s="51"/>
      <c r="BK46" s="50"/>
      <c r="BL46" s="51"/>
      <c r="BM46" s="109"/>
      <c r="BO46" s="174"/>
      <c r="BP46" s="174">
        <v>2065</v>
      </c>
      <c r="BQ46" s="179" t="s">
        <v>63</v>
      </c>
      <c r="BR46" s="174"/>
      <c r="BS46" s="174"/>
      <c r="BU46" s="202" t="str">
        <f t="shared" si="31"/>
        <v/>
      </c>
      <c r="BV46" s="196" t="str">
        <f t="shared" si="32"/>
        <v/>
      </c>
      <c r="BW46" s="196" t="str">
        <f t="shared" si="33"/>
        <v/>
      </c>
      <c r="BX46" s="196" t="str">
        <f t="shared" si="34"/>
        <v/>
      </c>
      <c r="BY46" s="196" t="str">
        <f t="shared" si="35"/>
        <v/>
      </c>
      <c r="BZ46" s="196" t="str">
        <f t="shared" si="36"/>
        <v/>
      </c>
      <c r="CA46" s="196" t="str">
        <f t="shared" si="37"/>
        <v/>
      </c>
      <c r="CB46" s="196" t="str">
        <f t="shared" si="38"/>
        <v/>
      </c>
      <c r="CC46" s="196" t="str">
        <f t="shared" si="39"/>
        <v/>
      </c>
      <c r="CD46" s="196" t="str">
        <f t="shared" si="40"/>
        <v/>
      </c>
      <c r="CE46" s="196" t="str">
        <f t="shared" si="41"/>
        <v/>
      </c>
      <c r="CF46" s="196" t="str">
        <f t="shared" si="42"/>
        <v/>
      </c>
      <c r="CG46" s="196" t="str">
        <f t="shared" si="43"/>
        <v/>
      </c>
      <c r="CH46" s="196" t="str">
        <f t="shared" si="44"/>
        <v/>
      </c>
      <c r="CI46" s="196" t="str">
        <f t="shared" si="45"/>
        <v/>
      </c>
      <c r="CJ46" s="196" t="str">
        <f t="shared" si="46"/>
        <v/>
      </c>
      <c r="CK46" s="196" t="str">
        <f t="shared" si="47"/>
        <v/>
      </c>
      <c r="CL46" s="196" t="str">
        <f t="shared" si="48"/>
        <v/>
      </c>
      <c r="CM46" s="196" t="str">
        <f t="shared" si="120"/>
        <v/>
      </c>
      <c r="CN46" s="196" t="str">
        <f t="shared" si="49"/>
        <v/>
      </c>
      <c r="CO46" s="196" t="str">
        <f t="shared" si="50"/>
        <v/>
      </c>
      <c r="CP46" s="196" t="str">
        <f t="shared" si="51"/>
        <v/>
      </c>
      <c r="CQ46" s="196" t="str">
        <f t="shared" si="52"/>
        <v/>
      </c>
      <c r="CR46" s="196" t="str">
        <f t="shared" si="53"/>
        <v/>
      </c>
      <c r="CS46" s="196" t="str">
        <f t="shared" si="54"/>
        <v/>
      </c>
      <c r="CT46" s="196" t="str">
        <f t="shared" si="55"/>
        <v/>
      </c>
      <c r="CU46" s="196" t="str">
        <f t="shared" si="56"/>
        <v/>
      </c>
      <c r="CV46" s="196" t="str">
        <f t="shared" si="57"/>
        <v/>
      </c>
      <c r="CW46" s="210" t="str">
        <f t="shared" si="58"/>
        <v/>
      </c>
      <c r="CY46" s="212" t="str">
        <f>IF(I46&lt;&gt;"",IF(H46="&lt;",IF(AND('Outfall 1 Limits'!$AM$16="Y",$BU$54&lt;&gt;"Y",I46&lt;='Outfall 1 Limits'!$AL$16),0,(1*I46)),I46),"")</f>
        <v/>
      </c>
      <c r="CZ46" s="206" t="str">
        <f>IF(K46&lt;&gt;"",IF(J46="&lt;",IF(AND('Outfall 1 Limits'!$AM$20="Y",$BV$54&lt;&gt;"Y",K46&lt;='Outfall 1 Limits'!$AL$20),0,(1*K46)),K46),"")</f>
        <v/>
      </c>
      <c r="DA46" s="206" t="str">
        <f>IF(M46&lt;&gt;"",IF(L46="&lt;",IF(AND('Outfall 1 Limits'!$AM$24="Y",$BW$54&lt;&gt;"Y",M46&lt;='Outfall 1 Limits'!$AL$24),0,(1*M46)),M46),"")</f>
        <v/>
      </c>
      <c r="DB46" s="206" t="str">
        <f>IF(O46&lt;&gt;"",IF(N46="&lt;",IF(AND('Outfall 1 Limits'!$AM$28="Y",$BX$54&lt;&gt;"Y",O46&lt;='Outfall 1 Limits'!$AL$28),0,(1*O46)),O46),"")</f>
        <v/>
      </c>
      <c r="DC46" s="206" t="str">
        <f>IF(Q46&lt;&gt;"",IF(P46="&lt;",IF(AND('Outfall 1 Limits'!$AM$32="Y",$BY$54&lt;&gt;"Y",Q46&lt;='Outfall 1 Limits'!$AL$32),0,(1*Q46)),Q46),"")</f>
        <v/>
      </c>
      <c r="DD46" s="206" t="str">
        <f>IF(S46&lt;&gt;"",IF(R46="&lt;",IF(AND('Outfall 1 Limits'!$AM$36="Y",$BZ$54&lt;&gt;"Y",S46&lt;='Outfall 1 Limits'!$AL$36),0,(1*S46)),S46),"")</f>
        <v/>
      </c>
      <c r="DE46" s="206" t="str">
        <f>IF(U46&lt;&gt;"",IF(T46="&lt;",IF(AND('Outfall 1 Limits'!$AM$40="Y",$CA$54&lt;&gt;"Y",U46&lt;='Outfall 1 Limits'!$AL$40),0,(1*U46)),U46),"")</f>
        <v/>
      </c>
      <c r="DF46" s="206" t="str">
        <f>IF(W46&lt;&gt;"",IF(V46="&lt;",IF(AND('Outfall 1 Limits'!$AM$44="Y",$CB$54&lt;&gt;"Y",W46&lt;='Outfall 1 Limits'!$AL$44),0,(1*W46)),W46),"")</f>
        <v/>
      </c>
      <c r="DG46" s="206" t="str">
        <f>IF(Y46&lt;&gt;"",IF(X46="&lt;",IF(AND('Outfall 1 Limits'!$AM$48="Y",$CC$54&lt;&gt;"Y",Y46&lt;='Outfall 1 Limits'!$AL$48),0,(1*Y46)),Y46),"")</f>
        <v/>
      </c>
      <c r="DH46" s="206" t="str">
        <f>IF(AA46&lt;&gt;"",IF(Z46="&lt;",IF(AND('Outfall 1 Limits'!$AM$52="Y",$CD$54&lt;&gt;"Y",AA46&lt;='Outfall 1 Limits'!$AL$52),0,(1*AA46)),AA46),"")</f>
        <v/>
      </c>
      <c r="DI46" s="206" t="str">
        <f>IF(AC46&lt;&gt;"",IF(AB46="&lt;",IF(AND('Outfall 1 Limits'!$AM$56="Y",$CE$54&lt;&gt;"Y",AC46&lt;='Outfall 1 Limits'!$AL$56),0,(1*AC46)),AC46),"")</f>
        <v/>
      </c>
      <c r="DJ46" s="206" t="str">
        <f>IF(AE46&lt;&gt;"",IF(AD46="&lt;",IF(AND('Outfall 1 Limits'!$AM$60="Y",$CF$54&lt;&gt;"Y",AE46&lt;='Outfall 1 Limits'!$AL$60),0,(1*AE46)),AE46),"")</f>
        <v/>
      </c>
      <c r="DK46" s="206" t="str">
        <f>IF(AG46&lt;&gt;"",IF(AF46="&lt;",IF(AND('Outfall 1 Limits'!$AM$64="Y",$CG$54&lt;&gt;"Y",AG46&lt;='Outfall 1 Limits'!$AL$64),0,(1*AG46)),AG46),"")</f>
        <v/>
      </c>
      <c r="DL46" s="206" t="str">
        <f>IF(AI46&lt;&gt;"",IF(AH46="&lt;",IF(AND('Outfall 1 Limits'!$AM$68="Y",$CH$54&lt;&gt;"Y",AI46&lt;='Outfall 1 Limits'!$AL$68),0,(1*AI46)),AI46),"")</f>
        <v/>
      </c>
      <c r="DM46" s="206" t="str">
        <f>IF(AK46&lt;&gt;"",IF(AJ46="&lt;",IF(AND('Outfall 1 Limits'!$AM$72="Y",$CI$54&lt;&gt;"Y",AK46&lt;='Outfall 1 Limits'!$AL$72),0,(1*AK46)),AK46),"")</f>
        <v/>
      </c>
      <c r="DN46" s="206" t="str">
        <f>IF(AM46&lt;&gt;"",IF(AL46="&lt;",IF(AND('Outfall 1 Limits'!$AM$76="Y",$CJ$54&lt;&gt;"Y",AM46&lt;='Outfall 1 Limits'!$AL$76),0,(1*AM46)),AM46),"")</f>
        <v/>
      </c>
      <c r="DO46" s="206" t="str">
        <f>IF(AO46&lt;&gt;"",IF(AN46="&lt;",IF(AND('Outfall 1 Limits'!$AM$80="Y",$CK$54&lt;&gt;"Y",AO46&lt;='Outfall 1 Limits'!$AL$80),0,(1*AO46)),AO46),"")</f>
        <v/>
      </c>
      <c r="DP46" s="206" t="str">
        <f>IF(AQ46&lt;&gt;"",IF(AP46="&lt;",IF(AND('Outfall 1 Limits'!$AM$84="Y",$CL$54&lt;&gt;"Y",AQ46&lt;='Outfall 1 Limits'!$AL$84),0,(1*AQ46)),AQ46),"")</f>
        <v/>
      </c>
      <c r="DQ46" s="206" t="str">
        <f>IF(AS46&lt;&gt;"",IF(AR46="&lt;",IF(AND('Outfall 1 Limits'!$AM$88="Y",$CM$54&lt;&gt;"Y",AS46&lt;='Outfall 1 Limits'!$AL$88),0,(1*AS46)),AS46),"")</f>
        <v/>
      </c>
      <c r="DR46" s="206" t="str">
        <f>IF(AU46&lt;&gt;"",IF(AT46="&lt;",IF(AND('Outfall 1 Limits'!$AM$92="Y",$CN$54&lt;&gt;"Y",AU46&lt;='Outfall 1 Limits'!$AL$92),0,(1*AU46)),AU46),"")</f>
        <v/>
      </c>
      <c r="DS46" s="206" t="str">
        <f>IF(AW46&lt;&gt;"",IF(AV46="&lt;",IF(AND('Outfall 1 Limits'!$AM$96="Y",$CO$54&lt;&gt;"Y",AW46&lt;='Outfall 1 Limits'!$AL$96),0,(1*AW46)),AW46),"")</f>
        <v/>
      </c>
      <c r="DT46" s="206" t="str">
        <f>IF(AY46&lt;&gt;"",IF(AX46="&lt;",IF(AND('Outfall 1 Limits'!$AM$100="Y",$CP$54&lt;&gt;"Y",AY46&lt;='Outfall 1 Limits'!$AL$100),0,(1*AY46)),AY46),"")</f>
        <v/>
      </c>
      <c r="DU46" s="206" t="str">
        <f>IF(BA46&lt;&gt;"",IF(AZ46="&lt;",IF(AND('Outfall 1 Limits'!$AM$104="Y",$CQ$54&lt;&gt;"Y",BA46&lt;='Outfall 1 Limits'!$AL$104),0,(1*BA46)),BA46),"")</f>
        <v/>
      </c>
      <c r="DV46" s="206" t="str">
        <f>IF(BC46&lt;&gt;"",IF(BB46="&lt;",IF(AND('Outfall 1 Limits'!$AM$108="Y",$CR$54&lt;&gt;"Y",BC46&lt;='Outfall 1 Limits'!$AL$108),0,(1*BC46)),BC46),"")</f>
        <v/>
      </c>
      <c r="DW46" s="206" t="str">
        <f>IF(BE46&lt;&gt;"",IF(BD46="&lt;",IF(AND('Outfall 1 Limits'!$AM$112="Y",$CS$54&lt;&gt;"Y",BE46&lt;='Outfall 1 Limits'!$AL$112),0,(1*BE46)),BE46),"")</f>
        <v/>
      </c>
      <c r="DX46" s="206" t="str">
        <f>IF(BG46&lt;&gt;"",IF(BF46="&lt;",IF(AND('Outfall 1 Limits'!$AM$116="Y",$CT$54&lt;&gt;"Y",BG46&lt;='Outfall 1 Limits'!$AL$116),0,(1*BG46)),BG46),"")</f>
        <v/>
      </c>
      <c r="DY46" s="206" t="str">
        <f>IF(BI46&lt;&gt;"",IF(BH46="&lt;",IF(AND('Outfall 1 Limits'!$AM$120="Y",$CU$54&lt;&gt;"Y",BI46&lt;='Outfall 1 Limits'!$AL$120),0,(1*BI46)),BI46),"")</f>
        <v/>
      </c>
      <c r="DZ46" s="206" t="str">
        <f>IF(BK46&lt;&gt;"",IF(BJ46="&lt;",IF(AND('Outfall 1 Limits'!$AM$124="Y",$CV$54&lt;&gt;"Y",BK46&lt;='Outfall 1 Limits'!$AL$124),0,(1*BK46)),BK46),"")</f>
        <v/>
      </c>
      <c r="EA46" s="223" t="str">
        <f>IF(BM46&lt;&gt;"",IF(BL46="&lt;",IF(AND('Outfall 1 Limits'!$AM$128="Y",$CW$54&lt;&gt;"Y",BM46&lt;='Outfall 1 Limits'!$AL$128),0,(1*BM46)),BM46),"")</f>
        <v/>
      </c>
      <c r="EB46" s="176"/>
      <c r="EE46" s="177"/>
      <c r="EF46" s="177"/>
      <c r="EG46" s="177"/>
      <c r="EH46" s="177"/>
      <c r="EI46" s="177"/>
      <c r="EJ46" s="177"/>
      <c r="EK46" s="177"/>
      <c r="EL46" s="177"/>
      <c r="EM46" s="177"/>
      <c r="EN46" s="177"/>
      <c r="EO46" s="177"/>
      <c r="EP46" s="177"/>
      <c r="EQ46" s="177"/>
      <c r="ER46" s="177"/>
      <c r="ES46" s="177"/>
      <c r="ET46" s="177"/>
      <c r="EU46" s="177"/>
      <c r="EV46" s="177"/>
      <c r="EW46" s="177"/>
      <c r="EX46" s="177"/>
      <c r="EY46" s="177"/>
      <c r="EZ46" s="177"/>
      <c r="FG46" s="212" t="str">
        <f>IF(AND($G46&lt;&gt;"",$G46&gt;0,'Outfall 1 Limits'!$AX$16="C1",I46&lt;&gt;""),I46*$G46*8.34,IF(AND($I46&lt;&gt;"",'Outfall 1 Limits'!$AX$16="L"),I46,""))</f>
        <v/>
      </c>
      <c r="FH46" s="206" t="str">
        <f>IF(AND($G46&lt;&gt;"",$G46&gt;0,'Outfall 1 Limits'!$AX$20="C1",$K46&lt;&gt;""),$K46*$G46*8.34,IF(AND($K46&lt;&gt;"",'Outfall 1 Limits'!$AX$20="L"),$K46,""))</f>
        <v/>
      </c>
      <c r="FI46" s="206" t="str">
        <f>IF(AND($G46&lt;&gt;"",$G46&gt;0,'Outfall 1 Limits'!$AX$24="C1",$M46&lt;&gt;""),$M46*$G46*8.34,IF(AND($M46&lt;&gt;"",'Outfall 1 Limits'!$AX$24="L"),$M46,""))</f>
        <v/>
      </c>
      <c r="FJ46" s="206" t="str">
        <f>IF(AND($G46&lt;&gt;"",$G46&gt;0,'Outfall 1 Limits'!$AX$28="C1",$O46&lt;&gt;""),$O46*$G46*8.34,IF(AND($O46&lt;&gt;"",'Outfall 1 Limits'!$AX$28="L"),$O46,""))</f>
        <v/>
      </c>
      <c r="FK46" s="206" t="str">
        <f>IF(AND($G46&lt;&gt;"",$G46&gt;0,'Outfall 1 Limits'!$AX$32="C1",$Q46&lt;&gt;""),$Q46*$G46*8.34,IF(AND($Q46&lt;&gt;"",'Outfall 1 Limits'!$AX$32="L"),$Q46,""))</f>
        <v/>
      </c>
      <c r="FL46" s="206" t="str">
        <f>IF(AND($G46&lt;&gt;"",$G46&gt;0,'Outfall 1 Limits'!$AX$36="C1",$S46&lt;&gt;""),$S46*$G46*8.34,IF(AND($S46&lt;&gt;"",'Outfall 1 Limits'!$AX$36="L"),$S46,""))</f>
        <v/>
      </c>
      <c r="FM46" s="206" t="str">
        <f>IF(AND($G46&lt;&gt;"",$G46&gt;0,'Outfall 1 Limits'!$AX$40="C1",$U46&lt;&gt;""),$U46*$G46*8.34,IF(AND($U46&lt;&gt;"",'Outfall 1 Limits'!$AX$40="L"),$U46,""))</f>
        <v/>
      </c>
      <c r="FN46" s="206" t="str">
        <f>IF(AND($G46&lt;&gt;"",$G46&gt;0,'Outfall 1 Limits'!$AX$44="C1",$W46&lt;&gt;""),$W46*$G46*8.34,IF(AND($W46&lt;&gt;"",'Outfall 1 Limits'!$AX$44="L"),$W46,""))</f>
        <v/>
      </c>
      <c r="FO46" s="206" t="str">
        <f>IF(AND($G46&lt;&gt;"",$G46&gt;0,'Outfall 1 Limits'!$AX$48="C1",$Y46&lt;&gt;""),$Y46*$G46*8.34,IF(AND($Y46&lt;&gt;"",'Outfall 1 Limits'!$AX$48="L"),$Y46,""))</f>
        <v/>
      </c>
      <c r="FP46" s="206" t="str">
        <f>IF(AND($G46&lt;&gt;"",$G46&gt;0,'Outfall 1 Limits'!$AX$52="C1",$AA46&lt;&gt;""),$AA46*$G46*8.34,IF(AND($AA46&lt;&gt;"",'Outfall 1 Limits'!$AX$52="L"),$AA46,""))</f>
        <v/>
      </c>
      <c r="FQ46" s="206" t="str">
        <f>IF(AND($G46&lt;&gt;"",$G46&gt;0,'Outfall 1 Limits'!$AX$56="C1",$AC46&lt;&gt;""),$AC46*$G46*8.34,IF(AND($AC46&lt;&gt;"",'Outfall 1 Limits'!$AX$56="L"),$AC46,""))</f>
        <v/>
      </c>
      <c r="FR46" s="206" t="str">
        <f>IF(AND($G46&lt;&gt;"",$G46&gt;0,'Outfall 1 Limits'!$AX$60="C1",$AE46&lt;&gt;""),$AE46*$G46*8.34,IF(AND($AE46&lt;&gt;"",'Outfall 1 Limits'!$AX$60="L"),$AE46,""))</f>
        <v/>
      </c>
      <c r="FS46" s="206" t="str">
        <f>IF(AND($G46&lt;&gt;"",$G46&gt;0,'Outfall 1 Limits'!$AX$64="C1",$AG46&lt;&gt;""),$AG46*$G46*8.34,IF(AND($AG46&lt;&gt;"",'Outfall 1 Limits'!$AX$64="L"),$AG46,""))</f>
        <v/>
      </c>
      <c r="FT46" s="206" t="str">
        <f>IF(AND($G46&lt;&gt;"",$G46&gt;0,'Outfall 1 Limits'!$AX$68="C1",$AI46&lt;&gt;""),$AI46*$G46*8.34,IF(AND($AI46&lt;&gt;"",'Outfall 1 Limits'!$AX$68="L"),$AI46,""))</f>
        <v/>
      </c>
      <c r="FU46" s="206" t="str">
        <f>IF(AND($G46&lt;&gt;"",$G46&gt;0,'Outfall 1 Limits'!$AX$72="C1",$AK46&lt;&gt;""),$AK46*$G46*8.34,IF(AND($AK46&lt;&gt;"",'Outfall 1 Limits'!$AX$72="L"),$AK46,""))</f>
        <v/>
      </c>
      <c r="FV46" s="206" t="str">
        <f>IF(AND($G46&lt;&gt;"",$G46&gt;0,'Outfall 1 Limits'!$AX$76="C1",$AM46&lt;&gt;""),$AM46*$G46*8.34,IF(AND($AM46&lt;&gt;"",'Outfall 1 Limits'!$AX$76="L"),$AM46,""))</f>
        <v/>
      </c>
      <c r="FW46" s="206" t="str">
        <f>IF(AND($G46&lt;&gt;"",$G46&gt;0,'Outfall 1 Limits'!$AX$80="C1",$AO46&lt;&gt;""),$AO46*$G46*8.34,IF(AND($AO46&lt;&gt;"",'Outfall 1 Limits'!$AX$80="L"),$AO46,""))</f>
        <v/>
      </c>
      <c r="FX46" s="206" t="str">
        <f>IF(AND($G46&lt;&gt;"",$G46&gt;0,'Outfall 1 Limits'!$AX$84="C1",$AQ46&lt;&gt;""),$AQ46*$G46*8.34,IF(AND($AQ46&lt;&gt;"",'Outfall 1 Limits'!$AX$84="L"),$AQ46,""))</f>
        <v/>
      </c>
      <c r="FY46" s="206" t="str">
        <f>IF(AND($G46&lt;&gt;"",$G46&gt;0,'Outfall 1 Limits'!$AX$88="C1",$AS46&lt;&gt;""),$AS46*$G46*8.34,IF(AND($AS46&lt;&gt;"",'Outfall 1 Limits'!$AX$88="L"),$AS46,""))</f>
        <v/>
      </c>
      <c r="FZ46" s="206" t="str">
        <f>IF(AND($G46&lt;&gt;"",$G46&gt;0,'Outfall 1 Limits'!$AX$92="C1",$AU46&lt;&gt;""),$AU46*$G46*8.34,IF(AND($AU46&lt;&gt;"",'Outfall 1 Limits'!$AX$92="L"),$AU46,""))</f>
        <v/>
      </c>
      <c r="GA46" s="206" t="str">
        <f>IF(AND($G46&lt;&gt;"",$G46&gt;0,'Outfall 1 Limits'!$AX$96="C1",$AW46&lt;&gt;""),$AW46*$G46*8.34,IF(AND($AW46&lt;&gt;"",'Outfall 1 Limits'!$AX$96="L"),$AW46,""))</f>
        <v/>
      </c>
      <c r="GB46" s="206" t="str">
        <f>IF(AND($G46&lt;&gt;"",$G46&gt;0,'Outfall 1 Limits'!$AX$100="C1",$AY46&lt;&gt;""),$AY46*$G46*8.34,IF(AND($AY46&lt;&gt;"",'Outfall 1 Limits'!$AX$100="L"),$AY46,""))</f>
        <v/>
      </c>
      <c r="GC46" s="206" t="str">
        <f>IF(AND($G46&lt;&gt;"",$G46&gt;0,'Outfall 1 Limits'!$AX$104="C1",$BA46&lt;&gt;""),$BA46*$G46*8.34,IF(AND($BA46&lt;&gt;"",'Outfall 1 Limits'!$AX$104="L"),$BA46,""))</f>
        <v/>
      </c>
      <c r="GD46" s="206" t="str">
        <f>IF(AND($G46&lt;&gt;"",$G46&gt;0,'Outfall 1 Limits'!$AX$108="C1",$BC46&lt;&gt;""),$BC46*$G46*8.34,IF(AND($BC46&lt;&gt;"",'Outfall 1 Limits'!$AX$108="L"),$BC46,""))</f>
        <v/>
      </c>
      <c r="GE46" s="206" t="str">
        <f>IF(AND($G46&lt;&gt;"",$G46&gt;0,'Outfall 1 Limits'!$AX$112="C1",$BE46&lt;&gt;""),$BE46*$G46*8.34,IF(AND($BE46&lt;&gt;"",'Outfall 1 Limits'!$AX$112="L"),$BE46,""))</f>
        <v/>
      </c>
      <c r="GF46" s="206" t="str">
        <f>IF(AND($G46&lt;&gt;"",$G46&gt;0,'Outfall 1 Limits'!$AX$116="C1",$BG46&lt;&gt;""),$BG46*$G46*8.34,IF(AND($BG46&lt;&gt;"",'Outfall 1 Limits'!$AX$116="L"),$BG46,""))</f>
        <v/>
      </c>
      <c r="GG46" s="206" t="str">
        <f>IF(AND($G46&lt;&gt;"",$G46&gt;0,'Outfall 1 Limits'!$AX$120="C1",$BI46&lt;&gt;""),$BI46*$G46*8.34,IF(AND($BI46&lt;&gt;"",'Outfall 1 Limits'!$AX$120="L"),$BI46,""))</f>
        <v/>
      </c>
      <c r="GH46" s="206" t="str">
        <f>IF(AND($G46&lt;&gt;"",$G46&gt;0,'Outfall 1 Limits'!$AX$124="C1",$BK46&lt;&gt;""),$BK46*$G46*8.34,IF(AND($BK46&lt;&gt;"",'Outfall 1 Limits'!$AX$124="L"),$BK46,""))</f>
        <v/>
      </c>
      <c r="GI46" s="223" t="str">
        <f>IF(AND($G46&lt;&gt;"",$G46&gt;0,'Outfall 1 Limits'!$AX$128="C1",$BM46&lt;&gt;""),$BM46*$G46*8.34,IF(AND($BM46&lt;&gt;"",'Outfall 1 Limits'!$AX$128="L"),$BM46,""))</f>
        <v/>
      </c>
      <c r="GJ46" s="177" t="str">
        <f t="shared" si="59"/>
        <v/>
      </c>
      <c r="GK46" s="212" t="str">
        <f>IF(AND($G46&lt;&gt;"",$G46&gt;0,'Outfall 1 Limits'!$AX$16="C1",CY46&lt;&gt;""),CY46*$G46*8.34,IF(AND(CY46&lt;&gt;"",'Outfall 1 Limits'!$AX$16="L"),CY46,""))</f>
        <v/>
      </c>
      <c r="GL46" s="206" t="str">
        <f>IF(AND($G46&lt;&gt;"",$G46&gt;0,'Outfall 1 Limits'!$AX$20="C1",CZ46&lt;&gt;""),CZ46*$G46*8.34,IF(AND(CZ46&lt;&gt;"",'Outfall 1 Limits'!$AX$20="L"),CZ46,""))</f>
        <v/>
      </c>
      <c r="GM46" s="206" t="str">
        <f>IF(AND($G46&lt;&gt;"",$G46&gt;0,'Outfall 1 Limits'!$AX$24="C1",DA46&lt;&gt;""),DA46*$G46*8.34,IF(AND(DA46&lt;&gt;"",'Outfall 1 Limits'!$AX$24="L"),DA46,""))</f>
        <v/>
      </c>
      <c r="GN46" s="206" t="str">
        <f>IF(AND($G46&lt;&gt;"",$G46&gt;0,'Outfall 1 Limits'!$AX$28="C1",DB46&lt;&gt;""),DB46*$G46*8.34,IF(AND(DB46&lt;&gt;"",'Outfall 1 Limits'!$AX$28="L"),DB46,""))</f>
        <v/>
      </c>
      <c r="GO46" s="206" t="str">
        <f>IF(AND($G46&lt;&gt;"",$G46&gt;0,'Outfall 1 Limits'!$AX$32="C1",DC46&lt;&gt;""),DC46*$G46*8.34,IF(AND(DC46&lt;&gt;"",'Outfall 1 Limits'!$AX$32="L"),DC46,""))</f>
        <v/>
      </c>
      <c r="GP46" s="206" t="str">
        <f>IF(AND($G46&lt;&gt;"",$G46&gt;0,'Outfall 1 Limits'!$AX$36="C1",DD46&lt;&gt;""),DD46*$G46*8.34,IF(AND(DD46&lt;&gt;"",'Outfall 1 Limits'!$AX$36="L"),DD46,""))</f>
        <v/>
      </c>
      <c r="GQ46" s="206" t="str">
        <f>IF(AND($G46&lt;&gt;"",$G46&gt;0,'Outfall 1 Limits'!$AX$40="C1",DE46&lt;&gt;""),DE46*$G46*8.34,IF(AND(DE46&lt;&gt;"",'Outfall 1 Limits'!$AX$40="L"),DE46,""))</f>
        <v/>
      </c>
      <c r="GR46" s="206" t="str">
        <f>IF(AND($G46&lt;&gt;"",$G46&gt;0,'Outfall 1 Limits'!$AX$44="C1",DF46&lt;&gt;""),DF46*$G46*8.34,IF(AND(DF46&lt;&gt;"",'Outfall 1 Limits'!$AX$44="L"),DF46,""))</f>
        <v/>
      </c>
      <c r="GS46" s="206" t="str">
        <f>IF(AND($G46&lt;&gt;"",$G46&gt;0,'Outfall 1 Limits'!$AX$48="C1",DG46&lt;&gt;""),DG46*$G46*8.34,IF(AND(DG46&lt;&gt;"",'Outfall 1 Limits'!$AX$48="L"),DG46,""))</f>
        <v/>
      </c>
      <c r="GT46" s="206" t="str">
        <f>IF(AND($G46&lt;&gt;"",$G46&gt;0,'Outfall 1 Limits'!$AX$52="C1",DH46&lt;&gt;""),DH46*$G46*8.34,IF(AND(DH46&lt;&gt;"",'Outfall 1 Limits'!$AX$52="L"),DH46,""))</f>
        <v/>
      </c>
      <c r="GU46" s="206" t="str">
        <f>IF(AND($G46&lt;&gt;"",$G46&gt;0,'Outfall 1 Limits'!$AX$56="C1",DI46&lt;&gt;""),DI46*$G46*8.34,IF(AND(DI46&lt;&gt;"",'Outfall 1 Limits'!$AX$56="L"),DI46,""))</f>
        <v/>
      </c>
      <c r="GV46" s="206" t="str">
        <f>IF(AND($G46&lt;&gt;"",$G46&gt;0,'Outfall 1 Limits'!$AX$60="C1",DJ46&lt;&gt;""),DJ46*$G46*8.34,IF(AND(DJ46&lt;&gt;"",'Outfall 1 Limits'!$AX$60="L"),DJ46,""))</f>
        <v/>
      </c>
      <c r="GW46" s="206" t="str">
        <f>IF(AND($G46&lt;&gt;"",$G46&gt;0,'Outfall 1 Limits'!$AX$64="C1",DK46&lt;&gt;""),DK46*$G46*8.34,IF(AND(DK46&lt;&gt;"",'Outfall 1 Limits'!$AX$64="L"),DK46,""))</f>
        <v/>
      </c>
      <c r="GX46" s="206" t="str">
        <f>IF(AND($G46&lt;&gt;"",$G46&gt;0,'Outfall 1 Limits'!$AX$68="C1",DL46&lt;&gt;""),DL46*$G46*8.34,IF(AND(DL46&lt;&gt;"",'Outfall 1 Limits'!$AX$68="L"),DL46,""))</f>
        <v/>
      </c>
      <c r="GY46" s="206" t="str">
        <f>IF(AND($G46&lt;&gt;"",$G46&gt;0,'Outfall 1 Limits'!$AX$72="C1",DM46&lt;&gt;""),DM46*$G46*8.34,IF(AND(DM46&lt;&gt;"",'Outfall 1 Limits'!$AX$72="L"),DM46,""))</f>
        <v/>
      </c>
      <c r="GZ46" s="206" t="str">
        <f>IF(AND($G46&lt;&gt;"",$G46&gt;0,'Outfall 1 Limits'!$AX$76="C1",DN46&lt;&gt;""),DN46*$G46*8.34,IF(AND(DN46&lt;&gt;"",'Outfall 1 Limits'!$AX$76="L"),DN46,""))</f>
        <v/>
      </c>
      <c r="HA46" s="206" t="str">
        <f>IF(AND($G46&lt;&gt;"",$G46&gt;0,'Outfall 1 Limits'!$AX$80="C1",DO46&lt;&gt;""),DO46*$G46*8.34,IF(AND(DO46&lt;&gt;"",'Outfall 1 Limits'!$AX$80="L"),DO46,""))</f>
        <v/>
      </c>
      <c r="HB46" s="206" t="str">
        <f>IF(AND($G46&lt;&gt;"",$G46&gt;0,'Outfall 1 Limits'!$AX$84="C1",DP46&lt;&gt;""),DP46*$G46*8.34,IF(AND(DP46&lt;&gt;"",'Outfall 1 Limits'!$AX$84="L"),DP46,""))</f>
        <v/>
      </c>
      <c r="HC46" s="206" t="str">
        <f>IF(AND($G46&lt;&gt;"",$G46&gt;0,'Outfall 1 Limits'!$AX$88="C1",DQ46&lt;&gt;""),DQ46*$G46*8.34,IF(AND(DQ46&lt;&gt;"",'Outfall 1 Limits'!$AX$88="L"),DQ46,""))</f>
        <v/>
      </c>
      <c r="HD46" s="206" t="str">
        <f>IF(AND($G46&lt;&gt;"",$G46&gt;0,'Outfall 1 Limits'!$AX$92="C1",DR46&lt;&gt;""),DR46*$G46*8.34,IF(AND(DR46&lt;&gt;"",'Outfall 1 Limits'!$AX$92="L"),DR46,""))</f>
        <v/>
      </c>
      <c r="HE46" s="206" t="str">
        <f>IF(AND($G46&lt;&gt;"",$G46&gt;0,'Outfall 1 Limits'!$AX$96="C1",DS46&lt;&gt;""),DS46*$G46*8.34,IF(AND(DS46&lt;&gt;"",'Outfall 1 Limits'!$AX$96="L"),DS46,""))</f>
        <v/>
      </c>
      <c r="HF46" s="206" t="str">
        <f>IF(AND($G46&lt;&gt;"",$G46&gt;0,'Outfall 1 Limits'!$AX$100="C1",DT46&lt;&gt;""),DT46*$G46*8.34,IF(AND(DT46&lt;&gt;"",'Outfall 1 Limits'!$AX$100="L"),DT46,""))</f>
        <v/>
      </c>
      <c r="HG46" s="206" t="str">
        <f>IF(AND($G46&lt;&gt;"",$G46&gt;0,'Outfall 1 Limits'!$AX$104="C1",DU46&lt;&gt;""),DU46*$G46*8.34,IF(AND(DU46&lt;&gt;"",'Outfall 1 Limits'!$AX$104="L"),DU46,""))</f>
        <v/>
      </c>
      <c r="HH46" s="206" t="str">
        <f>IF(AND($G46&lt;&gt;"",$G46&gt;0,'Outfall 1 Limits'!$AX$108="C1",DV46&lt;&gt;""),DV46*$G46*8.34,IF(AND(DV46&lt;&gt;"",'Outfall 1 Limits'!$AX$108="L"),DV46,""))</f>
        <v/>
      </c>
      <c r="HI46" s="206" t="str">
        <f>IF(AND($G46&lt;&gt;"",$G46&gt;0,'Outfall 1 Limits'!$AX$112="C1",DW46&lt;&gt;""),DW46*$G46*8.34,IF(AND(DW46&lt;&gt;"",'Outfall 1 Limits'!$AX$112="L"),DW46,""))</f>
        <v/>
      </c>
      <c r="HJ46" s="206" t="str">
        <f>IF(AND($G46&lt;&gt;"",$G46&gt;0,'Outfall 1 Limits'!$AX$116="C1",DX46&lt;&gt;""),DX46*$G46*8.34,IF(AND(DX46&lt;&gt;"",'Outfall 1 Limits'!$AX$116="L"),DX46,""))</f>
        <v/>
      </c>
      <c r="HK46" s="206" t="str">
        <f>IF(AND($G46&lt;&gt;"",$G46&gt;0,'Outfall 1 Limits'!$AX$120="C1",DY46&lt;&gt;""),DY46*$G46*8.34,IF(AND(DY46&lt;&gt;"",'Outfall 1 Limits'!$AX$120="L"),DY46,""))</f>
        <v/>
      </c>
      <c r="HL46" s="206" t="str">
        <f>IF(AND($G46&lt;&gt;"",$G46&gt;0,'Outfall 1 Limits'!$AX$124="C1",DZ46&lt;&gt;""),DZ46*$G46*8.34,IF(AND(DZ46&lt;&gt;"",'Outfall 1 Limits'!$AX$124="L"),DZ46,""))</f>
        <v/>
      </c>
      <c r="HM46" s="223" t="str">
        <f>IF(AND($G46&lt;&gt;"",$G46&gt;0,'Outfall 1 Limits'!$AX$128="C1",EA46&lt;&gt;""),EA46*$G46*8.34,IF(AND(EA46&lt;&gt;"",'Outfall 1 Limits'!$AX$128="L"),EA46,""))</f>
        <v/>
      </c>
      <c r="HO46" s="224" t="str">
        <f t="shared" si="60"/>
        <v/>
      </c>
      <c r="HS46" s="202" t="str">
        <f t="shared" si="61"/>
        <v/>
      </c>
      <c r="HT46" s="196" t="str">
        <f t="shared" si="62"/>
        <v/>
      </c>
      <c r="HU46" s="196" t="str">
        <f t="shared" si="63"/>
        <v/>
      </c>
      <c r="HV46" s="196" t="str">
        <f t="shared" si="64"/>
        <v/>
      </c>
      <c r="HW46" s="196" t="str">
        <f t="shared" si="65"/>
        <v/>
      </c>
      <c r="HX46" s="196" t="str">
        <f t="shared" si="66"/>
        <v/>
      </c>
      <c r="HY46" s="196" t="str">
        <f t="shared" si="67"/>
        <v/>
      </c>
      <c r="HZ46" s="196" t="str">
        <f t="shared" si="68"/>
        <v/>
      </c>
      <c r="IA46" s="196" t="str">
        <f t="shared" si="69"/>
        <v/>
      </c>
      <c r="IB46" s="196" t="str">
        <f t="shared" si="70"/>
        <v/>
      </c>
      <c r="IC46" s="196" t="str">
        <f t="shared" si="71"/>
        <v/>
      </c>
      <c r="ID46" s="196" t="str">
        <f t="shared" si="72"/>
        <v/>
      </c>
      <c r="IE46" s="196" t="str">
        <f t="shared" si="73"/>
        <v/>
      </c>
      <c r="IF46" s="196" t="str">
        <f t="shared" si="74"/>
        <v/>
      </c>
      <c r="IG46" s="196" t="str">
        <f t="shared" si="75"/>
        <v/>
      </c>
      <c r="IH46" s="196" t="str">
        <f t="shared" si="76"/>
        <v/>
      </c>
      <c r="II46" s="196" t="str">
        <f t="shared" si="77"/>
        <v/>
      </c>
      <c r="IJ46" s="196" t="str">
        <f t="shared" si="78"/>
        <v/>
      </c>
      <c r="IK46" s="196" t="str">
        <f t="shared" si="79"/>
        <v/>
      </c>
      <c r="IL46" s="196" t="str">
        <f t="shared" si="80"/>
        <v/>
      </c>
      <c r="IM46" s="196" t="str">
        <f t="shared" si="81"/>
        <v/>
      </c>
      <c r="IN46" s="196" t="str">
        <f t="shared" si="82"/>
        <v/>
      </c>
      <c r="IO46" s="196" t="str">
        <f t="shared" si="83"/>
        <v/>
      </c>
      <c r="IP46" s="196" t="str">
        <f t="shared" si="84"/>
        <v/>
      </c>
      <c r="IQ46" s="196" t="str">
        <f t="shared" si="85"/>
        <v/>
      </c>
      <c r="IR46" s="196" t="str">
        <f t="shared" si="86"/>
        <v/>
      </c>
      <c r="IS46" s="196" t="str">
        <f t="shared" si="87"/>
        <v/>
      </c>
      <c r="IT46" s="196" t="str">
        <f t="shared" si="88"/>
        <v/>
      </c>
      <c r="IU46" s="210" t="str">
        <f t="shared" si="89"/>
        <v/>
      </c>
      <c r="IX46" s="202" t="str">
        <f t="shared" si="90"/>
        <v/>
      </c>
      <c r="IY46" s="196" t="str">
        <f t="shared" si="91"/>
        <v/>
      </c>
      <c r="IZ46" s="196" t="str">
        <f t="shared" si="92"/>
        <v/>
      </c>
      <c r="JA46" s="196" t="str">
        <f t="shared" si="93"/>
        <v/>
      </c>
      <c r="JB46" s="196" t="str">
        <f t="shared" si="94"/>
        <v/>
      </c>
      <c r="JC46" s="196" t="str">
        <f t="shared" si="95"/>
        <v/>
      </c>
      <c r="JD46" s="196" t="str">
        <f t="shared" si="96"/>
        <v/>
      </c>
      <c r="JE46" s="196" t="str">
        <f t="shared" si="97"/>
        <v/>
      </c>
      <c r="JF46" s="196" t="str">
        <f t="shared" si="98"/>
        <v/>
      </c>
      <c r="JG46" s="196" t="str">
        <f t="shared" si="99"/>
        <v/>
      </c>
      <c r="JH46" s="196" t="str">
        <f t="shared" si="100"/>
        <v/>
      </c>
      <c r="JI46" s="196" t="str">
        <f t="shared" si="101"/>
        <v/>
      </c>
      <c r="JJ46" s="196" t="str">
        <f t="shared" si="102"/>
        <v/>
      </c>
      <c r="JK46" s="196" t="str">
        <f t="shared" si="103"/>
        <v/>
      </c>
      <c r="JL46" s="196" t="str">
        <f t="shared" si="104"/>
        <v/>
      </c>
      <c r="JM46" s="196" t="str">
        <f t="shared" si="105"/>
        <v/>
      </c>
      <c r="JN46" s="196" t="str">
        <f t="shared" si="106"/>
        <v/>
      </c>
      <c r="JO46" s="196" t="str">
        <f t="shared" si="107"/>
        <v/>
      </c>
      <c r="JP46" s="196" t="str">
        <f t="shared" si="108"/>
        <v/>
      </c>
      <c r="JQ46" s="196" t="str">
        <f t="shared" si="109"/>
        <v/>
      </c>
      <c r="JR46" s="196" t="str">
        <f t="shared" si="110"/>
        <v/>
      </c>
      <c r="JS46" s="196" t="str">
        <f t="shared" si="111"/>
        <v/>
      </c>
      <c r="JT46" s="196" t="str">
        <f t="shared" si="112"/>
        <v/>
      </c>
      <c r="JU46" s="196" t="str">
        <f t="shared" si="113"/>
        <v/>
      </c>
      <c r="JV46" s="196" t="str">
        <f t="shared" si="114"/>
        <v/>
      </c>
      <c r="JW46" s="196" t="str">
        <f t="shared" si="115"/>
        <v/>
      </c>
      <c r="JX46" s="196" t="str">
        <f t="shared" si="116"/>
        <v/>
      </c>
      <c r="JY46" s="196" t="str">
        <f t="shared" si="117"/>
        <v/>
      </c>
      <c r="JZ46" s="210" t="str">
        <f t="shared" si="118"/>
        <v/>
      </c>
      <c r="KA46" s="196"/>
      <c r="KB46" s="176"/>
      <c r="KC46" s="227"/>
      <c r="KD46" s="218" t="str">
        <f t="shared" si="2"/>
        <v/>
      </c>
      <c r="KE46" s="196" t="str">
        <f t="shared" si="3"/>
        <v/>
      </c>
      <c r="KF46" s="196" t="str">
        <f t="shared" si="4"/>
        <v/>
      </c>
      <c r="KG46" s="196" t="str">
        <f t="shared" si="5"/>
        <v/>
      </c>
      <c r="KH46" s="196" t="str">
        <f t="shared" si="6"/>
        <v/>
      </c>
      <c r="KI46" s="196" t="str">
        <f t="shared" si="7"/>
        <v/>
      </c>
      <c r="KJ46" s="196" t="str">
        <f t="shared" si="8"/>
        <v/>
      </c>
      <c r="KK46" s="196" t="str">
        <f t="shared" si="9"/>
        <v/>
      </c>
      <c r="KL46" s="196" t="str">
        <f t="shared" si="10"/>
        <v/>
      </c>
      <c r="KM46" s="196" t="str">
        <f t="shared" si="11"/>
        <v/>
      </c>
      <c r="KN46" s="196" t="str">
        <f t="shared" si="12"/>
        <v/>
      </c>
      <c r="KO46" s="196" t="str">
        <f t="shared" si="13"/>
        <v/>
      </c>
      <c r="KP46" s="196" t="str">
        <f t="shared" si="14"/>
        <v/>
      </c>
      <c r="KQ46" s="196" t="str">
        <f t="shared" si="15"/>
        <v/>
      </c>
      <c r="KR46" s="196" t="str">
        <f t="shared" si="16"/>
        <v/>
      </c>
      <c r="KS46" s="196" t="str">
        <f t="shared" si="17"/>
        <v/>
      </c>
      <c r="KT46" s="196" t="str">
        <f t="shared" si="18"/>
        <v/>
      </c>
      <c r="KU46" s="196" t="str">
        <f t="shared" si="19"/>
        <v/>
      </c>
      <c r="KV46" s="196" t="str">
        <f t="shared" si="20"/>
        <v/>
      </c>
      <c r="KW46" s="196" t="str">
        <f t="shared" si="21"/>
        <v/>
      </c>
      <c r="KX46" s="196" t="str">
        <f t="shared" si="22"/>
        <v/>
      </c>
      <c r="KY46" s="196" t="str">
        <f t="shared" si="23"/>
        <v/>
      </c>
      <c r="KZ46" s="196" t="str">
        <f t="shared" si="24"/>
        <v/>
      </c>
      <c r="LA46" s="196" t="str">
        <f t="shared" si="25"/>
        <v/>
      </c>
      <c r="LB46" s="196" t="str">
        <f t="shared" si="26"/>
        <v/>
      </c>
      <c r="LC46" s="196" t="str">
        <f t="shared" si="27"/>
        <v/>
      </c>
      <c r="LD46" s="196" t="str">
        <f t="shared" si="28"/>
        <v/>
      </c>
      <c r="LE46" s="196" t="str">
        <f t="shared" si="29"/>
        <v/>
      </c>
      <c r="LF46" s="219" t="str">
        <f t="shared" si="30"/>
        <v/>
      </c>
    </row>
    <row r="47" spans="1:318" s="172" customFormat="1" ht="11.45" customHeight="1" x14ac:dyDescent="0.2">
      <c r="A47" s="35"/>
      <c r="B47" s="54"/>
      <c r="C47" s="438">
        <f t="shared" si="0"/>
        <v>45321</v>
      </c>
      <c r="D47" s="438"/>
      <c r="E47" s="430">
        <f t="shared" si="119"/>
        <v>45321</v>
      </c>
      <c r="F47" s="431"/>
      <c r="G47" s="26"/>
      <c r="H47" s="51"/>
      <c r="I47" s="50"/>
      <c r="J47" s="51"/>
      <c r="K47" s="50"/>
      <c r="L47" s="51"/>
      <c r="M47" s="50"/>
      <c r="N47" s="51"/>
      <c r="O47" s="50"/>
      <c r="P47" s="51"/>
      <c r="Q47" s="50"/>
      <c r="R47" s="51"/>
      <c r="S47" s="50"/>
      <c r="T47" s="51"/>
      <c r="U47" s="50"/>
      <c r="V47" s="51"/>
      <c r="W47" s="50"/>
      <c r="X47" s="276"/>
      <c r="Y47" s="50"/>
      <c r="Z47" s="51"/>
      <c r="AA47" s="50"/>
      <c r="AB47" s="51"/>
      <c r="AC47" s="50"/>
      <c r="AD47" s="51"/>
      <c r="AE47" s="50"/>
      <c r="AF47" s="51"/>
      <c r="AG47" s="50"/>
      <c r="AH47" s="51"/>
      <c r="AI47" s="50"/>
      <c r="AJ47" s="51"/>
      <c r="AK47" s="50"/>
      <c r="AL47" s="51"/>
      <c r="AM47" s="50"/>
      <c r="AN47" s="51"/>
      <c r="AO47" s="50"/>
      <c r="AP47" s="51"/>
      <c r="AQ47" s="50"/>
      <c r="AR47" s="51"/>
      <c r="AS47" s="50"/>
      <c r="AT47" s="51"/>
      <c r="AU47" s="50"/>
      <c r="AV47" s="51"/>
      <c r="AW47" s="50"/>
      <c r="AX47" s="51"/>
      <c r="AY47" s="50"/>
      <c r="AZ47" s="51"/>
      <c r="BA47" s="50"/>
      <c r="BB47" s="51"/>
      <c r="BC47" s="50"/>
      <c r="BD47" s="51"/>
      <c r="BE47" s="50"/>
      <c r="BF47" s="51"/>
      <c r="BG47" s="50"/>
      <c r="BH47" s="51"/>
      <c r="BI47" s="50"/>
      <c r="BJ47" s="51"/>
      <c r="BK47" s="50"/>
      <c r="BL47" s="51"/>
      <c r="BM47" s="109"/>
      <c r="BO47" s="174"/>
      <c r="BP47" s="174">
        <v>2066</v>
      </c>
      <c r="BQ47" s="221" t="s">
        <v>64</v>
      </c>
      <c r="BR47" s="222"/>
      <c r="BS47" s="174"/>
      <c r="BU47" s="202" t="str">
        <f t="shared" si="31"/>
        <v/>
      </c>
      <c r="BV47" s="196" t="str">
        <f t="shared" si="32"/>
        <v/>
      </c>
      <c r="BW47" s="196" t="str">
        <f t="shared" si="33"/>
        <v/>
      </c>
      <c r="BX47" s="196" t="str">
        <f t="shared" si="34"/>
        <v/>
      </c>
      <c r="BY47" s="196" t="str">
        <f t="shared" si="35"/>
        <v/>
      </c>
      <c r="BZ47" s="196" t="str">
        <f t="shared" si="36"/>
        <v/>
      </c>
      <c r="CA47" s="196" t="str">
        <f t="shared" si="37"/>
        <v/>
      </c>
      <c r="CB47" s="196" t="str">
        <f t="shared" si="38"/>
        <v/>
      </c>
      <c r="CC47" s="196" t="str">
        <f t="shared" si="39"/>
        <v/>
      </c>
      <c r="CD47" s="196" t="str">
        <f t="shared" si="40"/>
        <v/>
      </c>
      <c r="CE47" s="196" t="str">
        <f t="shared" si="41"/>
        <v/>
      </c>
      <c r="CF47" s="196" t="str">
        <f t="shared" si="42"/>
        <v/>
      </c>
      <c r="CG47" s="196" t="str">
        <f t="shared" si="43"/>
        <v/>
      </c>
      <c r="CH47" s="196" t="str">
        <f t="shared" si="44"/>
        <v/>
      </c>
      <c r="CI47" s="196" t="str">
        <f t="shared" si="45"/>
        <v/>
      </c>
      <c r="CJ47" s="196" t="str">
        <f t="shared" si="46"/>
        <v/>
      </c>
      <c r="CK47" s="196" t="str">
        <f t="shared" si="47"/>
        <v/>
      </c>
      <c r="CL47" s="196" t="str">
        <f t="shared" si="48"/>
        <v/>
      </c>
      <c r="CM47" s="196" t="str">
        <f t="shared" si="120"/>
        <v/>
      </c>
      <c r="CN47" s="196" t="str">
        <f t="shared" si="49"/>
        <v/>
      </c>
      <c r="CO47" s="196" t="str">
        <f t="shared" si="50"/>
        <v/>
      </c>
      <c r="CP47" s="196" t="str">
        <f t="shared" si="51"/>
        <v/>
      </c>
      <c r="CQ47" s="196" t="str">
        <f t="shared" si="52"/>
        <v/>
      </c>
      <c r="CR47" s="196" t="str">
        <f t="shared" si="53"/>
        <v/>
      </c>
      <c r="CS47" s="196" t="str">
        <f t="shared" si="54"/>
        <v/>
      </c>
      <c r="CT47" s="196" t="str">
        <f t="shared" si="55"/>
        <v/>
      </c>
      <c r="CU47" s="196" t="str">
        <f t="shared" si="56"/>
        <v/>
      </c>
      <c r="CV47" s="196" t="str">
        <f t="shared" si="57"/>
        <v/>
      </c>
      <c r="CW47" s="210" t="str">
        <f t="shared" si="58"/>
        <v/>
      </c>
      <c r="CY47" s="212" t="str">
        <f>IF(I47&lt;&gt;"",IF(H47="&lt;",IF(AND('Outfall 1 Limits'!$AM$16="Y",$BU$54&lt;&gt;"Y",I47&lt;='Outfall 1 Limits'!$AL$16),0,(1*I47)),I47),"")</f>
        <v/>
      </c>
      <c r="CZ47" s="206" t="str">
        <f>IF(K47&lt;&gt;"",IF(J47="&lt;",IF(AND('Outfall 1 Limits'!$AM$20="Y",$BV$54&lt;&gt;"Y",K47&lt;='Outfall 1 Limits'!$AL$20),0,(1*K47)),K47),"")</f>
        <v/>
      </c>
      <c r="DA47" s="206" t="str">
        <f>IF(M47&lt;&gt;"",IF(L47="&lt;",IF(AND('Outfall 1 Limits'!$AM$24="Y",$BW$54&lt;&gt;"Y",M47&lt;='Outfall 1 Limits'!$AL$24),0,(1*M47)),M47),"")</f>
        <v/>
      </c>
      <c r="DB47" s="206" t="str">
        <f>IF(O47&lt;&gt;"",IF(N47="&lt;",IF(AND('Outfall 1 Limits'!$AM$28="Y",$BX$54&lt;&gt;"Y",O47&lt;='Outfall 1 Limits'!$AL$28),0,(1*O47)),O47),"")</f>
        <v/>
      </c>
      <c r="DC47" s="206" t="str">
        <f>IF(Q47&lt;&gt;"",IF(P47="&lt;",IF(AND('Outfall 1 Limits'!$AM$32="Y",$BY$54&lt;&gt;"Y",Q47&lt;='Outfall 1 Limits'!$AL$32),0,(1*Q47)),Q47),"")</f>
        <v/>
      </c>
      <c r="DD47" s="206" t="str">
        <f>IF(S47&lt;&gt;"",IF(R47="&lt;",IF(AND('Outfall 1 Limits'!$AM$36="Y",$BZ$54&lt;&gt;"Y",S47&lt;='Outfall 1 Limits'!$AL$36),0,(1*S47)),S47),"")</f>
        <v/>
      </c>
      <c r="DE47" s="206" t="str">
        <f>IF(U47&lt;&gt;"",IF(T47="&lt;",IF(AND('Outfall 1 Limits'!$AM$40="Y",$CA$54&lt;&gt;"Y",U47&lt;='Outfall 1 Limits'!$AL$40),0,(1*U47)),U47),"")</f>
        <v/>
      </c>
      <c r="DF47" s="206" t="str">
        <f>IF(W47&lt;&gt;"",IF(V47="&lt;",IF(AND('Outfall 1 Limits'!$AM$44="Y",$CB$54&lt;&gt;"Y",W47&lt;='Outfall 1 Limits'!$AL$44),0,(1*W47)),W47),"")</f>
        <v/>
      </c>
      <c r="DG47" s="206" t="str">
        <f>IF(Y47&lt;&gt;"",IF(X47="&lt;",IF(AND('Outfall 1 Limits'!$AM$48="Y",$CC$54&lt;&gt;"Y",Y47&lt;='Outfall 1 Limits'!$AL$48),0,(1*Y47)),Y47),"")</f>
        <v/>
      </c>
      <c r="DH47" s="206" t="str">
        <f>IF(AA47&lt;&gt;"",IF(Z47="&lt;",IF(AND('Outfall 1 Limits'!$AM$52="Y",$CD$54&lt;&gt;"Y",AA47&lt;='Outfall 1 Limits'!$AL$52),0,(1*AA47)),AA47),"")</f>
        <v/>
      </c>
      <c r="DI47" s="206" t="str">
        <f>IF(AC47&lt;&gt;"",IF(AB47="&lt;",IF(AND('Outfall 1 Limits'!$AM$56="Y",$CE$54&lt;&gt;"Y",AC47&lt;='Outfall 1 Limits'!$AL$56),0,(1*AC47)),AC47),"")</f>
        <v/>
      </c>
      <c r="DJ47" s="206" t="str">
        <f>IF(AE47&lt;&gt;"",IF(AD47="&lt;",IF(AND('Outfall 1 Limits'!$AM$60="Y",$CF$54&lt;&gt;"Y",AE47&lt;='Outfall 1 Limits'!$AL$60),0,(1*AE47)),AE47),"")</f>
        <v/>
      </c>
      <c r="DK47" s="206" t="str">
        <f>IF(AG47&lt;&gt;"",IF(AF47="&lt;",IF(AND('Outfall 1 Limits'!$AM$64="Y",$CG$54&lt;&gt;"Y",AG47&lt;='Outfall 1 Limits'!$AL$64),0,(1*AG47)),AG47),"")</f>
        <v/>
      </c>
      <c r="DL47" s="206" t="str">
        <f>IF(AI47&lt;&gt;"",IF(AH47="&lt;",IF(AND('Outfall 1 Limits'!$AM$68="Y",$CH$54&lt;&gt;"Y",AI47&lt;='Outfall 1 Limits'!$AL$68),0,(1*AI47)),AI47),"")</f>
        <v/>
      </c>
      <c r="DM47" s="206" t="str">
        <f>IF(AK47&lt;&gt;"",IF(AJ47="&lt;",IF(AND('Outfall 1 Limits'!$AM$72="Y",$CI$54&lt;&gt;"Y",AK47&lt;='Outfall 1 Limits'!$AL$72),0,(1*AK47)),AK47),"")</f>
        <v/>
      </c>
      <c r="DN47" s="206" t="str">
        <f>IF(AM47&lt;&gt;"",IF(AL47="&lt;",IF(AND('Outfall 1 Limits'!$AM$76="Y",$CJ$54&lt;&gt;"Y",AM47&lt;='Outfall 1 Limits'!$AL$76),0,(1*AM47)),AM47),"")</f>
        <v/>
      </c>
      <c r="DO47" s="206" t="str">
        <f>IF(AO47&lt;&gt;"",IF(AN47="&lt;",IF(AND('Outfall 1 Limits'!$AM$80="Y",$CK$54&lt;&gt;"Y",AO47&lt;='Outfall 1 Limits'!$AL$80),0,(1*AO47)),AO47),"")</f>
        <v/>
      </c>
      <c r="DP47" s="206" t="str">
        <f>IF(AQ47&lt;&gt;"",IF(AP47="&lt;",IF(AND('Outfall 1 Limits'!$AM$84="Y",$CL$54&lt;&gt;"Y",AQ47&lt;='Outfall 1 Limits'!$AL$84),0,(1*AQ47)),AQ47),"")</f>
        <v/>
      </c>
      <c r="DQ47" s="206" t="str">
        <f>IF(AS47&lt;&gt;"",IF(AR47="&lt;",IF(AND('Outfall 1 Limits'!$AM$88="Y",$CM$54&lt;&gt;"Y",AS47&lt;='Outfall 1 Limits'!$AL$88),0,(1*AS47)),AS47),"")</f>
        <v/>
      </c>
      <c r="DR47" s="206" t="str">
        <f>IF(AU47&lt;&gt;"",IF(AT47="&lt;",IF(AND('Outfall 1 Limits'!$AM$92="Y",$CN$54&lt;&gt;"Y",AU47&lt;='Outfall 1 Limits'!$AL$92),0,(1*AU47)),AU47),"")</f>
        <v/>
      </c>
      <c r="DS47" s="206" t="str">
        <f>IF(AW47&lt;&gt;"",IF(AV47="&lt;",IF(AND('Outfall 1 Limits'!$AM$96="Y",$CO$54&lt;&gt;"Y",AW47&lt;='Outfall 1 Limits'!$AL$96),0,(1*AW47)),AW47),"")</f>
        <v/>
      </c>
      <c r="DT47" s="206" t="str">
        <f>IF(AY47&lt;&gt;"",IF(AX47="&lt;",IF(AND('Outfall 1 Limits'!$AM$100="Y",$CP$54&lt;&gt;"Y",AY47&lt;='Outfall 1 Limits'!$AL$100),0,(1*AY47)),AY47),"")</f>
        <v/>
      </c>
      <c r="DU47" s="206" t="str">
        <f>IF(BA47&lt;&gt;"",IF(AZ47="&lt;",IF(AND('Outfall 1 Limits'!$AM$104="Y",$CQ$54&lt;&gt;"Y",BA47&lt;='Outfall 1 Limits'!$AL$104),0,(1*BA47)),BA47),"")</f>
        <v/>
      </c>
      <c r="DV47" s="206" t="str">
        <f>IF(BC47&lt;&gt;"",IF(BB47="&lt;",IF(AND('Outfall 1 Limits'!$AM$108="Y",$CR$54&lt;&gt;"Y",BC47&lt;='Outfall 1 Limits'!$AL$108),0,(1*BC47)),BC47),"")</f>
        <v/>
      </c>
      <c r="DW47" s="206" t="str">
        <f>IF(BE47&lt;&gt;"",IF(BD47="&lt;",IF(AND('Outfall 1 Limits'!$AM$112="Y",$CS$54&lt;&gt;"Y",BE47&lt;='Outfall 1 Limits'!$AL$112),0,(1*BE47)),BE47),"")</f>
        <v/>
      </c>
      <c r="DX47" s="206" t="str">
        <f>IF(BG47&lt;&gt;"",IF(BF47="&lt;",IF(AND('Outfall 1 Limits'!$AM$116="Y",$CT$54&lt;&gt;"Y",BG47&lt;='Outfall 1 Limits'!$AL$116),0,(1*BG47)),BG47),"")</f>
        <v/>
      </c>
      <c r="DY47" s="206" t="str">
        <f>IF(BI47&lt;&gt;"",IF(BH47="&lt;",IF(AND('Outfall 1 Limits'!$AM$120="Y",$CU$54&lt;&gt;"Y",BI47&lt;='Outfall 1 Limits'!$AL$120),0,(1*BI47)),BI47),"")</f>
        <v/>
      </c>
      <c r="DZ47" s="206" t="str">
        <f>IF(BK47&lt;&gt;"",IF(BJ47="&lt;",IF(AND('Outfall 1 Limits'!$AM$124="Y",$CV$54&lt;&gt;"Y",BK47&lt;='Outfall 1 Limits'!$AL$124),0,(1*BK47)),BK47),"")</f>
        <v/>
      </c>
      <c r="EA47" s="223" t="str">
        <f>IF(BM47&lt;&gt;"",IF(BL47="&lt;",IF(AND('Outfall 1 Limits'!$AM$128="Y",$CW$54&lt;&gt;"Y",BM47&lt;='Outfall 1 Limits'!$AL$128),0,(1*BM47)),BM47),"")</f>
        <v/>
      </c>
      <c r="EB47" s="176"/>
      <c r="FG47" s="212" t="str">
        <f>IF(AND($G47&lt;&gt;"",$G47&gt;0,'Outfall 1 Limits'!$AX$16="C1",I47&lt;&gt;""),I47*$G47*8.34,IF(AND($I47&lt;&gt;"",'Outfall 1 Limits'!$AX$16="L"),I47,""))</f>
        <v/>
      </c>
      <c r="FH47" s="206" t="str">
        <f>IF(AND($G47&lt;&gt;"",$G47&gt;0,'Outfall 1 Limits'!$AX$20="C1",$K47&lt;&gt;""),$K47*$G47*8.34,IF(AND($K47&lt;&gt;"",'Outfall 1 Limits'!$AX$20="L"),$K47,""))</f>
        <v/>
      </c>
      <c r="FI47" s="206" t="str">
        <f>IF(AND($G47&lt;&gt;"",$G47&gt;0,'Outfall 1 Limits'!$AX$24="C1",$M47&lt;&gt;""),$M47*$G47*8.34,IF(AND($M47&lt;&gt;"",'Outfall 1 Limits'!$AX$24="L"),$M47,""))</f>
        <v/>
      </c>
      <c r="FJ47" s="206" t="str">
        <f>IF(AND($G47&lt;&gt;"",$G47&gt;0,'Outfall 1 Limits'!$AX$28="C1",$O47&lt;&gt;""),$O47*$G47*8.34,IF(AND($O47&lt;&gt;"",'Outfall 1 Limits'!$AX$28="L"),$O47,""))</f>
        <v/>
      </c>
      <c r="FK47" s="206" t="str">
        <f>IF(AND($G47&lt;&gt;"",$G47&gt;0,'Outfall 1 Limits'!$AX$32="C1",$Q47&lt;&gt;""),$Q47*$G47*8.34,IF(AND($Q47&lt;&gt;"",'Outfall 1 Limits'!$AX$32="L"),$Q47,""))</f>
        <v/>
      </c>
      <c r="FL47" s="206" t="str">
        <f>IF(AND($G47&lt;&gt;"",$G47&gt;0,'Outfall 1 Limits'!$AX$36="C1",$S47&lt;&gt;""),$S47*$G47*8.34,IF(AND($S47&lt;&gt;"",'Outfall 1 Limits'!$AX$36="L"),$S47,""))</f>
        <v/>
      </c>
      <c r="FM47" s="206" t="str">
        <f>IF(AND($G47&lt;&gt;"",$G47&gt;0,'Outfall 1 Limits'!$AX$40="C1",$U47&lt;&gt;""),$U47*$G47*8.34,IF(AND($U47&lt;&gt;"",'Outfall 1 Limits'!$AX$40="L"),$U47,""))</f>
        <v/>
      </c>
      <c r="FN47" s="206" t="str">
        <f>IF(AND($G47&lt;&gt;"",$G47&gt;0,'Outfall 1 Limits'!$AX$44="C1",$W47&lt;&gt;""),$W47*$G47*8.34,IF(AND($W47&lt;&gt;"",'Outfall 1 Limits'!$AX$44="L"),$W47,""))</f>
        <v/>
      </c>
      <c r="FO47" s="206" t="str">
        <f>IF(AND($G47&lt;&gt;"",$G47&gt;0,'Outfall 1 Limits'!$AX$48="C1",$Y47&lt;&gt;""),$Y47*$G47*8.34,IF(AND($Y47&lt;&gt;"",'Outfall 1 Limits'!$AX$48="L"),$Y47,""))</f>
        <v/>
      </c>
      <c r="FP47" s="206" t="str">
        <f>IF(AND($G47&lt;&gt;"",$G47&gt;0,'Outfall 1 Limits'!$AX$52="C1",$AA47&lt;&gt;""),$AA47*$G47*8.34,IF(AND($AA47&lt;&gt;"",'Outfall 1 Limits'!$AX$52="L"),$AA47,""))</f>
        <v/>
      </c>
      <c r="FQ47" s="206" t="str">
        <f>IF(AND($G47&lt;&gt;"",$G47&gt;0,'Outfall 1 Limits'!$AX$56="C1",$AC47&lt;&gt;""),$AC47*$G47*8.34,IF(AND($AC47&lt;&gt;"",'Outfall 1 Limits'!$AX$56="L"),$AC47,""))</f>
        <v/>
      </c>
      <c r="FR47" s="206" t="str">
        <f>IF(AND($G47&lt;&gt;"",$G47&gt;0,'Outfall 1 Limits'!$AX$60="C1",$AE47&lt;&gt;""),$AE47*$G47*8.34,IF(AND($AE47&lt;&gt;"",'Outfall 1 Limits'!$AX$60="L"),$AE47,""))</f>
        <v/>
      </c>
      <c r="FS47" s="206" t="str">
        <f>IF(AND($G47&lt;&gt;"",$G47&gt;0,'Outfall 1 Limits'!$AX$64="C1",$AG47&lt;&gt;""),$AG47*$G47*8.34,IF(AND($AG47&lt;&gt;"",'Outfall 1 Limits'!$AX$64="L"),$AG47,""))</f>
        <v/>
      </c>
      <c r="FT47" s="206" t="str">
        <f>IF(AND($G47&lt;&gt;"",$G47&gt;0,'Outfall 1 Limits'!$AX$68="C1",$AI47&lt;&gt;""),$AI47*$G47*8.34,IF(AND($AI47&lt;&gt;"",'Outfall 1 Limits'!$AX$68="L"),$AI47,""))</f>
        <v/>
      </c>
      <c r="FU47" s="206" t="str">
        <f>IF(AND($G47&lt;&gt;"",$G47&gt;0,'Outfall 1 Limits'!$AX$72="C1",$AK47&lt;&gt;""),$AK47*$G47*8.34,IF(AND($AK47&lt;&gt;"",'Outfall 1 Limits'!$AX$72="L"),$AK47,""))</f>
        <v/>
      </c>
      <c r="FV47" s="206" t="str">
        <f>IF(AND($G47&lt;&gt;"",$G47&gt;0,'Outfall 1 Limits'!$AX$76="C1",$AM47&lt;&gt;""),$AM47*$G47*8.34,IF(AND($AM47&lt;&gt;"",'Outfall 1 Limits'!$AX$76="L"),$AM47,""))</f>
        <v/>
      </c>
      <c r="FW47" s="206" t="str">
        <f>IF(AND($G47&lt;&gt;"",$G47&gt;0,'Outfall 1 Limits'!$AX$80="C1",$AO47&lt;&gt;""),$AO47*$G47*8.34,IF(AND($AO47&lt;&gt;"",'Outfall 1 Limits'!$AX$80="L"),$AO47,""))</f>
        <v/>
      </c>
      <c r="FX47" s="206" t="str">
        <f>IF(AND($G47&lt;&gt;"",$G47&gt;0,'Outfall 1 Limits'!$AX$84="C1",$AQ47&lt;&gt;""),$AQ47*$G47*8.34,IF(AND($AQ47&lt;&gt;"",'Outfall 1 Limits'!$AX$84="L"),$AQ47,""))</f>
        <v/>
      </c>
      <c r="FY47" s="206" t="str">
        <f>IF(AND($G47&lt;&gt;"",$G47&gt;0,'Outfall 1 Limits'!$AX$88="C1",$AS47&lt;&gt;""),$AS47*$G47*8.34,IF(AND($AS47&lt;&gt;"",'Outfall 1 Limits'!$AX$88="L"),$AS47,""))</f>
        <v/>
      </c>
      <c r="FZ47" s="206" t="str">
        <f>IF(AND($G47&lt;&gt;"",$G47&gt;0,'Outfall 1 Limits'!$AX$92="C1",$AU47&lt;&gt;""),$AU47*$G47*8.34,IF(AND($AU47&lt;&gt;"",'Outfall 1 Limits'!$AX$92="L"),$AU47,""))</f>
        <v/>
      </c>
      <c r="GA47" s="206" t="str">
        <f>IF(AND($G47&lt;&gt;"",$G47&gt;0,'Outfall 1 Limits'!$AX$96="C1",$AW47&lt;&gt;""),$AW47*$G47*8.34,IF(AND($AW47&lt;&gt;"",'Outfall 1 Limits'!$AX$96="L"),$AW47,""))</f>
        <v/>
      </c>
      <c r="GB47" s="206" t="str">
        <f>IF(AND($G47&lt;&gt;"",$G47&gt;0,'Outfall 1 Limits'!$AX$100="C1",$AY47&lt;&gt;""),$AY47*$G47*8.34,IF(AND($AY47&lt;&gt;"",'Outfall 1 Limits'!$AX$100="L"),$AY47,""))</f>
        <v/>
      </c>
      <c r="GC47" s="206" t="str">
        <f>IF(AND($G47&lt;&gt;"",$G47&gt;0,'Outfall 1 Limits'!$AX$104="C1",$BA47&lt;&gt;""),$BA47*$G47*8.34,IF(AND($BA47&lt;&gt;"",'Outfall 1 Limits'!$AX$104="L"),$BA47,""))</f>
        <v/>
      </c>
      <c r="GD47" s="206" t="str">
        <f>IF(AND($G47&lt;&gt;"",$G47&gt;0,'Outfall 1 Limits'!$AX$108="C1",$BC47&lt;&gt;""),$BC47*$G47*8.34,IF(AND($BC47&lt;&gt;"",'Outfall 1 Limits'!$AX$108="L"),$BC47,""))</f>
        <v/>
      </c>
      <c r="GE47" s="206" t="str">
        <f>IF(AND($G47&lt;&gt;"",$G47&gt;0,'Outfall 1 Limits'!$AX$112="C1",$BE47&lt;&gt;""),$BE47*$G47*8.34,IF(AND($BE47&lt;&gt;"",'Outfall 1 Limits'!$AX$112="L"),$BE47,""))</f>
        <v/>
      </c>
      <c r="GF47" s="206" t="str">
        <f>IF(AND($G47&lt;&gt;"",$G47&gt;0,'Outfall 1 Limits'!$AX$116="C1",$BG47&lt;&gt;""),$BG47*$G47*8.34,IF(AND($BG47&lt;&gt;"",'Outfall 1 Limits'!$AX$116="L"),$BG47,""))</f>
        <v/>
      </c>
      <c r="GG47" s="206" t="str">
        <f>IF(AND($G47&lt;&gt;"",$G47&gt;0,'Outfall 1 Limits'!$AX$120="C1",$BI47&lt;&gt;""),$BI47*$G47*8.34,IF(AND($BI47&lt;&gt;"",'Outfall 1 Limits'!$AX$120="L"),$BI47,""))</f>
        <v/>
      </c>
      <c r="GH47" s="206" t="str">
        <f>IF(AND($G47&lt;&gt;"",$G47&gt;0,'Outfall 1 Limits'!$AX$124="C1",$BK47&lt;&gt;""),$BK47*$G47*8.34,IF(AND($BK47&lt;&gt;"",'Outfall 1 Limits'!$AX$124="L"),$BK47,""))</f>
        <v/>
      </c>
      <c r="GI47" s="223" t="str">
        <f>IF(AND($G47&lt;&gt;"",$G47&gt;0,'Outfall 1 Limits'!$AX$128="C1",$BM47&lt;&gt;""),$BM47*$G47*8.34,IF(AND($BM47&lt;&gt;"",'Outfall 1 Limits'!$AX$128="L"),$BM47,""))</f>
        <v/>
      </c>
      <c r="GJ47" s="177" t="str">
        <f t="shared" si="59"/>
        <v/>
      </c>
      <c r="GK47" s="212" t="str">
        <f>IF(AND($G47&lt;&gt;"",$G47&gt;0,'Outfall 1 Limits'!$AX$16="C1",CY47&lt;&gt;""),CY47*$G47*8.34,IF(AND(CY47&lt;&gt;"",'Outfall 1 Limits'!$AX$16="L"),CY47,""))</f>
        <v/>
      </c>
      <c r="GL47" s="206" t="str">
        <f>IF(AND($G47&lt;&gt;"",$G47&gt;0,'Outfall 1 Limits'!$AX$20="C1",CZ47&lt;&gt;""),CZ47*$G47*8.34,IF(AND(CZ47&lt;&gt;"",'Outfall 1 Limits'!$AX$20="L"),CZ47,""))</f>
        <v/>
      </c>
      <c r="GM47" s="206" t="str">
        <f>IF(AND($G47&lt;&gt;"",$G47&gt;0,'Outfall 1 Limits'!$AX$24="C1",DA47&lt;&gt;""),DA47*$G47*8.34,IF(AND(DA47&lt;&gt;"",'Outfall 1 Limits'!$AX$24="L"),DA47,""))</f>
        <v/>
      </c>
      <c r="GN47" s="206" t="str">
        <f>IF(AND($G47&lt;&gt;"",$G47&gt;0,'Outfall 1 Limits'!$AX$28="C1",DB47&lt;&gt;""),DB47*$G47*8.34,IF(AND(DB47&lt;&gt;"",'Outfall 1 Limits'!$AX$28="L"),DB47,""))</f>
        <v/>
      </c>
      <c r="GO47" s="206" t="str">
        <f>IF(AND($G47&lt;&gt;"",$G47&gt;0,'Outfall 1 Limits'!$AX$32="C1",DC47&lt;&gt;""),DC47*$G47*8.34,IF(AND(DC47&lt;&gt;"",'Outfall 1 Limits'!$AX$32="L"),DC47,""))</f>
        <v/>
      </c>
      <c r="GP47" s="206" t="str">
        <f>IF(AND($G47&lt;&gt;"",$G47&gt;0,'Outfall 1 Limits'!$AX$36="C1",DD47&lt;&gt;""),DD47*$G47*8.34,IF(AND(DD47&lt;&gt;"",'Outfall 1 Limits'!$AX$36="L"),DD47,""))</f>
        <v/>
      </c>
      <c r="GQ47" s="206" t="str">
        <f>IF(AND($G47&lt;&gt;"",$G47&gt;0,'Outfall 1 Limits'!$AX$40="C1",DE47&lt;&gt;""),DE47*$G47*8.34,IF(AND(DE47&lt;&gt;"",'Outfall 1 Limits'!$AX$40="L"),DE47,""))</f>
        <v/>
      </c>
      <c r="GR47" s="206" t="str">
        <f>IF(AND($G47&lt;&gt;"",$G47&gt;0,'Outfall 1 Limits'!$AX$44="C1",DF47&lt;&gt;""),DF47*$G47*8.34,IF(AND(DF47&lt;&gt;"",'Outfall 1 Limits'!$AX$44="L"),DF47,""))</f>
        <v/>
      </c>
      <c r="GS47" s="206" t="str">
        <f>IF(AND($G47&lt;&gt;"",$G47&gt;0,'Outfall 1 Limits'!$AX$48="C1",DG47&lt;&gt;""),DG47*$G47*8.34,IF(AND(DG47&lt;&gt;"",'Outfall 1 Limits'!$AX$48="L"),DG47,""))</f>
        <v/>
      </c>
      <c r="GT47" s="206" t="str">
        <f>IF(AND($G47&lt;&gt;"",$G47&gt;0,'Outfall 1 Limits'!$AX$52="C1",DH47&lt;&gt;""),DH47*$G47*8.34,IF(AND(DH47&lt;&gt;"",'Outfall 1 Limits'!$AX$52="L"),DH47,""))</f>
        <v/>
      </c>
      <c r="GU47" s="206" t="str">
        <f>IF(AND($G47&lt;&gt;"",$G47&gt;0,'Outfall 1 Limits'!$AX$56="C1",DI47&lt;&gt;""),DI47*$G47*8.34,IF(AND(DI47&lt;&gt;"",'Outfall 1 Limits'!$AX$56="L"),DI47,""))</f>
        <v/>
      </c>
      <c r="GV47" s="206" t="str">
        <f>IF(AND($G47&lt;&gt;"",$G47&gt;0,'Outfall 1 Limits'!$AX$60="C1",DJ47&lt;&gt;""),DJ47*$G47*8.34,IF(AND(DJ47&lt;&gt;"",'Outfall 1 Limits'!$AX$60="L"),DJ47,""))</f>
        <v/>
      </c>
      <c r="GW47" s="206" t="str">
        <f>IF(AND($G47&lt;&gt;"",$G47&gt;0,'Outfall 1 Limits'!$AX$64="C1",DK47&lt;&gt;""),DK47*$G47*8.34,IF(AND(DK47&lt;&gt;"",'Outfall 1 Limits'!$AX$64="L"),DK47,""))</f>
        <v/>
      </c>
      <c r="GX47" s="206" t="str">
        <f>IF(AND($G47&lt;&gt;"",$G47&gt;0,'Outfall 1 Limits'!$AX$68="C1",DL47&lt;&gt;""),DL47*$G47*8.34,IF(AND(DL47&lt;&gt;"",'Outfall 1 Limits'!$AX$68="L"),DL47,""))</f>
        <v/>
      </c>
      <c r="GY47" s="206" t="str">
        <f>IF(AND($G47&lt;&gt;"",$G47&gt;0,'Outfall 1 Limits'!$AX$72="C1",DM47&lt;&gt;""),DM47*$G47*8.34,IF(AND(DM47&lt;&gt;"",'Outfall 1 Limits'!$AX$72="L"),DM47,""))</f>
        <v/>
      </c>
      <c r="GZ47" s="206" t="str">
        <f>IF(AND($G47&lt;&gt;"",$G47&gt;0,'Outfall 1 Limits'!$AX$76="C1",DN47&lt;&gt;""),DN47*$G47*8.34,IF(AND(DN47&lt;&gt;"",'Outfall 1 Limits'!$AX$76="L"),DN47,""))</f>
        <v/>
      </c>
      <c r="HA47" s="206" t="str">
        <f>IF(AND($G47&lt;&gt;"",$G47&gt;0,'Outfall 1 Limits'!$AX$80="C1",DO47&lt;&gt;""),DO47*$G47*8.34,IF(AND(DO47&lt;&gt;"",'Outfall 1 Limits'!$AX$80="L"),DO47,""))</f>
        <v/>
      </c>
      <c r="HB47" s="206" t="str">
        <f>IF(AND($G47&lt;&gt;"",$G47&gt;0,'Outfall 1 Limits'!$AX$84="C1",DP47&lt;&gt;""),DP47*$G47*8.34,IF(AND(DP47&lt;&gt;"",'Outfall 1 Limits'!$AX$84="L"),DP47,""))</f>
        <v/>
      </c>
      <c r="HC47" s="206" t="str">
        <f>IF(AND($G47&lt;&gt;"",$G47&gt;0,'Outfall 1 Limits'!$AX$88="C1",DQ47&lt;&gt;""),DQ47*$G47*8.34,IF(AND(DQ47&lt;&gt;"",'Outfall 1 Limits'!$AX$88="L"),DQ47,""))</f>
        <v/>
      </c>
      <c r="HD47" s="206" t="str">
        <f>IF(AND($G47&lt;&gt;"",$G47&gt;0,'Outfall 1 Limits'!$AX$92="C1",DR47&lt;&gt;""),DR47*$G47*8.34,IF(AND(DR47&lt;&gt;"",'Outfall 1 Limits'!$AX$92="L"),DR47,""))</f>
        <v/>
      </c>
      <c r="HE47" s="206" t="str">
        <f>IF(AND($G47&lt;&gt;"",$G47&gt;0,'Outfall 1 Limits'!$AX$96="C1",DS47&lt;&gt;""),DS47*$G47*8.34,IF(AND(DS47&lt;&gt;"",'Outfall 1 Limits'!$AX$96="L"),DS47,""))</f>
        <v/>
      </c>
      <c r="HF47" s="206" t="str">
        <f>IF(AND($G47&lt;&gt;"",$G47&gt;0,'Outfall 1 Limits'!$AX$100="C1",DT47&lt;&gt;""),DT47*$G47*8.34,IF(AND(DT47&lt;&gt;"",'Outfall 1 Limits'!$AX$100="L"),DT47,""))</f>
        <v/>
      </c>
      <c r="HG47" s="206" t="str">
        <f>IF(AND($G47&lt;&gt;"",$G47&gt;0,'Outfall 1 Limits'!$AX$104="C1",DU47&lt;&gt;""),DU47*$G47*8.34,IF(AND(DU47&lt;&gt;"",'Outfall 1 Limits'!$AX$104="L"),DU47,""))</f>
        <v/>
      </c>
      <c r="HH47" s="206" t="str">
        <f>IF(AND($G47&lt;&gt;"",$G47&gt;0,'Outfall 1 Limits'!$AX$108="C1",DV47&lt;&gt;""),DV47*$G47*8.34,IF(AND(DV47&lt;&gt;"",'Outfall 1 Limits'!$AX$108="L"),DV47,""))</f>
        <v/>
      </c>
      <c r="HI47" s="206" t="str">
        <f>IF(AND($G47&lt;&gt;"",$G47&gt;0,'Outfall 1 Limits'!$AX$112="C1",DW47&lt;&gt;""),DW47*$G47*8.34,IF(AND(DW47&lt;&gt;"",'Outfall 1 Limits'!$AX$112="L"),DW47,""))</f>
        <v/>
      </c>
      <c r="HJ47" s="206" t="str">
        <f>IF(AND($G47&lt;&gt;"",$G47&gt;0,'Outfall 1 Limits'!$AX$116="C1",DX47&lt;&gt;""),DX47*$G47*8.34,IF(AND(DX47&lt;&gt;"",'Outfall 1 Limits'!$AX$116="L"),DX47,""))</f>
        <v/>
      </c>
      <c r="HK47" s="206" t="str">
        <f>IF(AND($G47&lt;&gt;"",$G47&gt;0,'Outfall 1 Limits'!$AX$120="C1",DY47&lt;&gt;""),DY47*$G47*8.34,IF(AND(DY47&lt;&gt;"",'Outfall 1 Limits'!$AX$120="L"),DY47,""))</f>
        <v/>
      </c>
      <c r="HL47" s="206" t="str">
        <f>IF(AND($G47&lt;&gt;"",$G47&gt;0,'Outfall 1 Limits'!$AX$124="C1",DZ47&lt;&gt;""),DZ47*$G47*8.34,IF(AND(DZ47&lt;&gt;"",'Outfall 1 Limits'!$AX$124="L"),DZ47,""))</f>
        <v/>
      </c>
      <c r="HM47" s="223" t="str">
        <f>IF(AND($G47&lt;&gt;"",$G47&gt;0,'Outfall 1 Limits'!$AX$128="C1",EA47&lt;&gt;""),EA47*$G47*8.34,IF(AND(EA47&lt;&gt;"",'Outfall 1 Limits'!$AX$128="L"),EA47,""))</f>
        <v/>
      </c>
      <c r="HO47" s="224" t="str">
        <f t="shared" si="60"/>
        <v/>
      </c>
      <c r="HS47" s="202" t="str">
        <f t="shared" si="61"/>
        <v/>
      </c>
      <c r="HT47" s="196" t="str">
        <f t="shared" si="62"/>
        <v/>
      </c>
      <c r="HU47" s="196" t="str">
        <f t="shared" si="63"/>
        <v/>
      </c>
      <c r="HV47" s="196" t="str">
        <f t="shared" si="64"/>
        <v/>
      </c>
      <c r="HW47" s="196" t="str">
        <f t="shared" si="65"/>
        <v/>
      </c>
      <c r="HX47" s="196" t="str">
        <f t="shared" si="66"/>
        <v/>
      </c>
      <c r="HY47" s="196" t="str">
        <f t="shared" si="67"/>
        <v/>
      </c>
      <c r="HZ47" s="196" t="str">
        <f t="shared" si="68"/>
        <v/>
      </c>
      <c r="IA47" s="196" t="str">
        <f t="shared" si="69"/>
        <v/>
      </c>
      <c r="IB47" s="196" t="str">
        <f t="shared" si="70"/>
        <v/>
      </c>
      <c r="IC47" s="196" t="str">
        <f t="shared" si="71"/>
        <v/>
      </c>
      <c r="ID47" s="196" t="str">
        <f t="shared" si="72"/>
        <v/>
      </c>
      <c r="IE47" s="196" t="str">
        <f t="shared" si="73"/>
        <v/>
      </c>
      <c r="IF47" s="196" t="str">
        <f t="shared" si="74"/>
        <v/>
      </c>
      <c r="IG47" s="196" t="str">
        <f t="shared" si="75"/>
        <v/>
      </c>
      <c r="IH47" s="196" t="str">
        <f t="shared" si="76"/>
        <v/>
      </c>
      <c r="II47" s="196" t="str">
        <f t="shared" si="77"/>
        <v/>
      </c>
      <c r="IJ47" s="196" t="str">
        <f t="shared" si="78"/>
        <v/>
      </c>
      <c r="IK47" s="196" t="str">
        <f t="shared" si="79"/>
        <v/>
      </c>
      <c r="IL47" s="196" t="str">
        <f t="shared" si="80"/>
        <v/>
      </c>
      <c r="IM47" s="196" t="str">
        <f t="shared" si="81"/>
        <v/>
      </c>
      <c r="IN47" s="196" t="str">
        <f t="shared" si="82"/>
        <v/>
      </c>
      <c r="IO47" s="196" t="str">
        <f t="shared" si="83"/>
        <v/>
      </c>
      <c r="IP47" s="196" t="str">
        <f t="shared" si="84"/>
        <v/>
      </c>
      <c r="IQ47" s="196" t="str">
        <f t="shared" si="85"/>
        <v/>
      </c>
      <c r="IR47" s="196" t="str">
        <f t="shared" si="86"/>
        <v/>
      </c>
      <c r="IS47" s="196" t="str">
        <f t="shared" si="87"/>
        <v/>
      </c>
      <c r="IT47" s="196" t="str">
        <f t="shared" si="88"/>
        <v/>
      </c>
      <c r="IU47" s="210" t="str">
        <f t="shared" si="89"/>
        <v/>
      </c>
      <c r="IX47" s="202" t="str">
        <f t="shared" si="90"/>
        <v/>
      </c>
      <c r="IY47" s="196" t="str">
        <f t="shared" si="91"/>
        <v/>
      </c>
      <c r="IZ47" s="196" t="str">
        <f t="shared" si="92"/>
        <v/>
      </c>
      <c r="JA47" s="196" t="str">
        <f t="shared" si="93"/>
        <v/>
      </c>
      <c r="JB47" s="196" t="str">
        <f t="shared" si="94"/>
        <v/>
      </c>
      <c r="JC47" s="196" t="str">
        <f t="shared" si="95"/>
        <v/>
      </c>
      <c r="JD47" s="196" t="str">
        <f t="shared" si="96"/>
        <v/>
      </c>
      <c r="JE47" s="196" t="str">
        <f t="shared" si="97"/>
        <v/>
      </c>
      <c r="JF47" s="196" t="str">
        <f t="shared" si="98"/>
        <v/>
      </c>
      <c r="JG47" s="196" t="str">
        <f t="shared" si="99"/>
        <v/>
      </c>
      <c r="JH47" s="196" t="str">
        <f t="shared" si="100"/>
        <v/>
      </c>
      <c r="JI47" s="196" t="str">
        <f t="shared" si="101"/>
        <v/>
      </c>
      <c r="JJ47" s="196" t="str">
        <f t="shared" si="102"/>
        <v/>
      </c>
      <c r="JK47" s="196" t="str">
        <f t="shared" si="103"/>
        <v/>
      </c>
      <c r="JL47" s="196" t="str">
        <f t="shared" si="104"/>
        <v/>
      </c>
      <c r="JM47" s="196" t="str">
        <f t="shared" si="105"/>
        <v/>
      </c>
      <c r="JN47" s="196" t="str">
        <f t="shared" si="106"/>
        <v/>
      </c>
      <c r="JO47" s="196" t="str">
        <f t="shared" si="107"/>
        <v/>
      </c>
      <c r="JP47" s="196" t="str">
        <f t="shared" si="108"/>
        <v/>
      </c>
      <c r="JQ47" s="196" t="str">
        <f t="shared" si="109"/>
        <v/>
      </c>
      <c r="JR47" s="196" t="str">
        <f t="shared" si="110"/>
        <v/>
      </c>
      <c r="JS47" s="196" t="str">
        <f t="shared" si="111"/>
        <v/>
      </c>
      <c r="JT47" s="196" t="str">
        <f t="shared" si="112"/>
        <v/>
      </c>
      <c r="JU47" s="196" t="str">
        <f t="shared" si="113"/>
        <v/>
      </c>
      <c r="JV47" s="196" t="str">
        <f t="shared" si="114"/>
        <v/>
      </c>
      <c r="JW47" s="196" t="str">
        <f t="shared" si="115"/>
        <v/>
      </c>
      <c r="JX47" s="196" t="str">
        <f t="shared" si="116"/>
        <v/>
      </c>
      <c r="JY47" s="196" t="str">
        <f t="shared" si="117"/>
        <v/>
      </c>
      <c r="JZ47" s="210" t="str">
        <f t="shared" si="118"/>
        <v/>
      </c>
      <c r="KA47" s="196"/>
      <c r="KB47" s="176"/>
      <c r="KC47" s="227"/>
      <c r="KD47" s="218" t="str">
        <f t="shared" si="2"/>
        <v/>
      </c>
      <c r="KE47" s="196" t="str">
        <f t="shared" si="3"/>
        <v/>
      </c>
      <c r="KF47" s="196" t="str">
        <f t="shared" si="4"/>
        <v/>
      </c>
      <c r="KG47" s="196" t="str">
        <f t="shared" si="5"/>
        <v/>
      </c>
      <c r="KH47" s="196" t="str">
        <f t="shared" si="6"/>
        <v/>
      </c>
      <c r="KI47" s="196" t="str">
        <f t="shared" si="7"/>
        <v/>
      </c>
      <c r="KJ47" s="196" t="str">
        <f t="shared" si="8"/>
        <v/>
      </c>
      <c r="KK47" s="196" t="str">
        <f t="shared" si="9"/>
        <v/>
      </c>
      <c r="KL47" s="196" t="str">
        <f t="shared" si="10"/>
        <v/>
      </c>
      <c r="KM47" s="196" t="str">
        <f t="shared" si="11"/>
        <v/>
      </c>
      <c r="KN47" s="196" t="str">
        <f t="shared" si="12"/>
        <v/>
      </c>
      <c r="KO47" s="196" t="str">
        <f t="shared" si="13"/>
        <v/>
      </c>
      <c r="KP47" s="196" t="str">
        <f t="shared" si="14"/>
        <v/>
      </c>
      <c r="KQ47" s="196" t="str">
        <f t="shared" si="15"/>
        <v/>
      </c>
      <c r="KR47" s="196" t="str">
        <f t="shared" si="16"/>
        <v/>
      </c>
      <c r="KS47" s="196" t="str">
        <f t="shared" si="17"/>
        <v/>
      </c>
      <c r="KT47" s="196" t="str">
        <f t="shared" si="18"/>
        <v/>
      </c>
      <c r="KU47" s="196" t="str">
        <f t="shared" si="19"/>
        <v/>
      </c>
      <c r="KV47" s="196" t="str">
        <f t="shared" si="20"/>
        <v/>
      </c>
      <c r="KW47" s="196" t="str">
        <f t="shared" si="21"/>
        <v/>
      </c>
      <c r="KX47" s="196" t="str">
        <f t="shared" si="22"/>
        <v/>
      </c>
      <c r="KY47" s="196" t="str">
        <f t="shared" si="23"/>
        <v/>
      </c>
      <c r="KZ47" s="196" t="str">
        <f t="shared" si="24"/>
        <v/>
      </c>
      <c r="LA47" s="196" t="str">
        <f t="shared" si="25"/>
        <v/>
      </c>
      <c r="LB47" s="196" t="str">
        <f t="shared" si="26"/>
        <v/>
      </c>
      <c r="LC47" s="196" t="str">
        <f t="shared" si="27"/>
        <v/>
      </c>
      <c r="LD47" s="196" t="str">
        <f t="shared" si="28"/>
        <v/>
      </c>
      <c r="LE47" s="196" t="str">
        <f t="shared" si="29"/>
        <v/>
      </c>
      <c r="LF47" s="219" t="str">
        <f t="shared" si="30"/>
        <v/>
      </c>
    </row>
    <row r="48" spans="1:318" s="172" customFormat="1" ht="11.45" customHeight="1" x14ac:dyDescent="0.2">
      <c r="A48" s="35"/>
      <c r="B48" s="54"/>
      <c r="C48" s="438">
        <f t="shared" si="0"/>
        <v>45322</v>
      </c>
      <c r="D48" s="438"/>
      <c r="E48" s="430">
        <f t="shared" si="119"/>
        <v>45322</v>
      </c>
      <c r="F48" s="431"/>
      <c r="G48" s="26"/>
      <c r="H48" s="51"/>
      <c r="I48" s="50"/>
      <c r="J48" s="51"/>
      <c r="K48" s="50"/>
      <c r="L48" s="51"/>
      <c r="M48" s="50"/>
      <c r="N48" s="51"/>
      <c r="O48" s="50"/>
      <c r="P48" s="51"/>
      <c r="Q48" s="50"/>
      <c r="R48" s="51"/>
      <c r="S48" s="50"/>
      <c r="T48" s="51"/>
      <c r="U48" s="50"/>
      <c r="V48" s="51"/>
      <c r="W48" s="50"/>
      <c r="X48" s="276"/>
      <c r="Y48" s="50"/>
      <c r="Z48" s="51"/>
      <c r="AA48" s="50"/>
      <c r="AB48" s="51"/>
      <c r="AC48" s="50"/>
      <c r="AD48" s="51"/>
      <c r="AE48" s="50"/>
      <c r="AF48" s="51"/>
      <c r="AG48" s="50"/>
      <c r="AH48" s="51"/>
      <c r="AI48" s="50"/>
      <c r="AJ48" s="51"/>
      <c r="AK48" s="50"/>
      <c r="AL48" s="51"/>
      <c r="AM48" s="50"/>
      <c r="AN48" s="51"/>
      <c r="AO48" s="50"/>
      <c r="AP48" s="51"/>
      <c r="AQ48" s="50"/>
      <c r="AR48" s="51"/>
      <c r="AS48" s="50"/>
      <c r="AT48" s="51"/>
      <c r="AU48" s="50"/>
      <c r="AV48" s="51"/>
      <c r="AW48" s="50"/>
      <c r="AX48" s="51"/>
      <c r="AY48" s="50"/>
      <c r="AZ48" s="51"/>
      <c r="BA48" s="50"/>
      <c r="BB48" s="51"/>
      <c r="BC48" s="50"/>
      <c r="BD48" s="51"/>
      <c r="BE48" s="50"/>
      <c r="BF48" s="51"/>
      <c r="BG48" s="50"/>
      <c r="BH48" s="51"/>
      <c r="BI48" s="50"/>
      <c r="BJ48" s="51"/>
      <c r="BK48" s="50"/>
      <c r="BL48" s="51"/>
      <c r="BM48" s="109"/>
      <c r="BO48" s="174"/>
      <c r="BP48" s="174">
        <v>2067</v>
      </c>
      <c r="BQ48" s="221" t="s">
        <v>65</v>
      </c>
      <c r="BR48" s="222"/>
      <c r="BS48" s="174"/>
      <c r="BU48" s="202" t="str">
        <f t="shared" si="31"/>
        <v/>
      </c>
      <c r="BV48" s="196" t="str">
        <f t="shared" si="32"/>
        <v/>
      </c>
      <c r="BW48" s="196" t="str">
        <f t="shared" si="33"/>
        <v/>
      </c>
      <c r="BX48" s="196" t="str">
        <f t="shared" si="34"/>
        <v/>
      </c>
      <c r="BY48" s="196" t="str">
        <f t="shared" si="35"/>
        <v/>
      </c>
      <c r="BZ48" s="196" t="str">
        <f t="shared" si="36"/>
        <v/>
      </c>
      <c r="CA48" s="196" t="str">
        <f t="shared" si="37"/>
        <v/>
      </c>
      <c r="CB48" s="196" t="str">
        <f t="shared" si="38"/>
        <v/>
      </c>
      <c r="CC48" s="196" t="str">
        <f t="shared" si="39"/>
        <v/>
      </c>
      <c r="CD48" s="196" t="str">
        <f t="shared" si="40"/>
        <v/>
      </c>
      <c r="CE48" s="196" t="str">
        <f t="shared" si="41"/>
        <v/>
      </c>
      <c r="CF48" s="196" t="str">
        <f t="shared" si="42"/>
        <v/>
      </c>
      <c r="CG48" s="196" t="str">
        <f t="shared" si="43"/>
        <v/>
      </c>
      <c r="CH48" s="196" t="str">
        <f t="shared" si="44"/>
        <v/>
      </c>
      <c r="CI48" s="196" t="str">
        <f t="shared" si="45"/>
        <v/>
      </c>
      <c r="CJ48" s="196" t="str">
        <f t="shared" si="46"/>
        <v/>
      </c>
      <c r="CK48" s="196" t="str">
        <f t="shared" si="47"/>
        <v/>
      </c>
      <c r="CL48" s="196" t="str">
        <f t="shared" si="48"/>
        <v/>
      </c>
      <c r="CM48" s="196" t="str">
        <f t="shared" si="120"/>
        <v/>
      </c>
      <c r="CN48" s="196" t="str">
        <f t="shared" si="49"/>
        <v/>
      </c>
      <c r="CO48" s="196" t="str">
        <f t="shared" si="50"/>
        <v/>
      </c>
      <c r="CP48" s="196" t="str">
        <f t="shared" si="51"/>
        <v/>
      </c>
      <c r="CQ48" s="196" t="str">
        <f t="shared" si="52"/>
        <v/>
      </c>
      <c r="CR48" s="196" t="str">
        <f t="shared" si="53"/>
        <v/>
      </c>
      <c r="CS48" s="196" t="str">
        <f t="shared" si="54"/>
        <v/>
      </c>
      <c r="CT48" s="196" t="str">
        <f t="shared" si="55"/>
        <v/>
      </c>
      <c r="CU48" s="196" t="str">
        <f t="shared" si="56"/>
        <v/>
      </c>
      <c r="CV48" s="196" t="str">
        <f t="shared" si="57"/>
        <v/>
      </c>
      <c r="CW48" s="210" t="str">
        <f t="shared" si="58"/>
        <v/>
      </c>
      <c r="CY48" s="212" t="str">
        <f>IF(I48&lt;&gt;"",IF(H48="&lt;",IF(AND('Outfall 1 Limits'!$AM$16="Y",$BU$54&lt;&gt;"Y",I48&lt;='Outfall 1 Limits'!$AL$16),0,(1*I48)),I48),"")</f>
        <v/>
      </c>
      <c r="CZ48" s="206" t="str">
        <f>IF(K48&lt;&gt;"",IF(J48="&lt;",IF(AND('Outfall 1 Limits'!$AM$20="Y",$BV$54&lt;&gt;"Y",K48&lt;='Outfall 1 Limits'!$AL$20),0,(1*K48)),K48),"")</f>
        <v/>
      </c>
      <c r="DA48" s="206" t="str">
        <f>IF(M48&lt;&gt;"",IF(L48="&lt;",IF(AND('Outfall 1 Limits'!$AM$24="Y",$BW$54&lt;&gt;"Y",M48&lt;='Outfall 1 Limits'!$AL$24),0,(1*M48)),M48),"")</f>
        <v/>
      </c>
      <c r="DB48" s="206" t="str">
        <f>IF(O48&lt;&gt;"",IF(N48="&lt;",IF(AND('Outfall 1 Limits'!$AM$28="Y",$BX$54&lt;&gt;"Y",O48&lt;='Outfall 1 Limits'!$AL$28),0,(1*O48)),O48),"")</f>
        <v/>
      </c>
      <c r="DC48" s="206" t="str">
        <f>IF(Q48&lt;&gt;"",IF(P48="&lt;",IF(AND('Outfall 1 Limits'!$AM$32="Y",$BY$54&lt;&gt;"Y",Q48&lt;='Outfall 1 Limits'!$AL$32),0,(1*Q48)),Q48),"")</f>
        <v/>
      </c>
      <c r="DD48" s="206" t="str">
        <f>IF(S48&lt;&gt;"",IF(R48="&lt;",IF(AND('Outfall 1 Limits'!$AM$36="Y",$BZ$54&lt;&gt;"Y",S48&lt;='Outfall 1 Limits'!$AL$36),0,(1*S48)),S48),"")</f>
        <v/>
      </c>
      <c r="DE48" s="206" t="str">
        <f>IF(U48&lt;&gt;"",IF(T48="&lt;",IF(AND('Outfall 1 Limits'!$AM$40="Y",$CA$54&lt;&gt;"Y",U48&lt;='Outfall 1 Limits'!$AL$40),0,(1*U48)),U48),"")</f>
        <v/>
      </c>
      <c r="DF48" s="206" t="str">
        <f>IF(W48&lt;&gt;"",IF(V48="&lt;",IF(AND('Outfall 1 Limits'!$AM$44="Y",$CB$54&lt;&gt;"Y",W48&lt;='Outfall 1 Limits'!$AL$44),0,(1*W48)),W48),"")</f>
        <v/>
      </c>
      <c r="DG48" s="206" t="str">
        <f>IF(Y48&lt;&gt;"",IF(X48="&lt;",IF(AND('Outfall 1 Limits'!$AM$48="Y",$CC$54&lt;&gt;"Y",Y48&lt;='Outfall 1 Limits'!$AL$48),0,(1*Y48)),Y48),"")</f>
        <v/>
      </c>
      <c r="DH48" s="206" t="str">
        <f>IF(AA48&lt;&gt;"",IF(Z48="&lt;",IF(AND('Outfall 1 Limits'!$AM$52="Y",$CD$54&lt;&gt;"Y",AA48&lt;='Outfall 1 Limits'!$AL$52),0,(1*AA48)),AA48),"")</f>
        <v/>
      </c>
      <c r="DI48" s="206" t="str">
        <f>IF(AC48&lt;&gt;"",IF(AB48="&lt;",IF(AND('Outfall 1 Limits'!$AM$56="Y",$CE$54&lt;&gt;"Y",AC48&lt;='Outfall 1 Limits'!$AL$56),0,(1*AC48)),AC48),"")</f>
        <v/>
      </c>
      <c r="DJ48" s="206" t="str">
        <f>IF(AE48&lt;&gt;"",IF(AD48="&lt;",IF(AND('Outfall 1 Limits'!$AM$60="Y",$CF$54&lt;&gt;"Y",AE48&lt;='Outfall 1 Limits'!$AL$60),0,(1*AE48)),AE48),"")</f>
        <v/>
      </c>
      <c r="DK48" s="206" t="str">
        <f>IF(AG48&lt;&gt;"",IF(AF48="&lt;",IF(AND('Outfall 1 Limits'!$AM$64="Y",$CG$54&lt;&gt;"Y",AG48&lt;='Outfall 1 Limits'!$AL$64),0,(1*AG48)),AG48),"")</f>
        <v/>
      </c>
      <c r="DL48" s="206" t="str">
        <f>IF(AI48&lt;&gt;"",IF(AH48="&lt;",IF(AND('Outfall 1 Limits'!$AM$68="Y",$CH$54&lt;&gt;"Y",AI48&lt;='Outfall 1 Limits'!$AL$68),0,(1*AI48)),AI48),"")</f>
        <v/>
      </c>
      <c r="DM48" s="206" t="str">
        <f>IF(AK48&lt;&gt;"",IF(AJ48="&lt;",IF(AND('Outfall 1 Limits'!$AM$72="Y",$CI$54&lt;&gt;"Y",AK48&lt;='Outfall 1 Limits'!$AL$72),0,(1*AK48)),AK48),"")</f>
        <v/>
      </c>
      <c r="DN48" s="206" t="str">
        <f>IF(AM48&lt;&gt;"",IF(AL48="&lt;",IF(AND('Outfall 1 Limits'!$AM$76="Y",$CJ$54&lt;&gt;"Y",AM48&lt;='Outfall 1 Limits'!$AL$76),0,(1*AM48)),AM48),"")</f>
        <v/>
      </c>
      <c r="DO48" s="206" t="str">
        <f>IF(AO48&lt;&gt;"",IF(AN48="&lt;",IF(AND('Outfall 1 Limits'!$AM$80="Y",$CK$54&lt;&gt;"Y",AO48&lt;='Outfall 1 Limits'!$AL$80),0,(1*AO48)),AO48),"")</f>
        <v/>
      </c>
      <c r="DP48" s="206" t="str">
        <f>IF(AQ48&lt;&gt;"",IF(AP48="&lt;",IF(AND('Outfall 1 Limits'!$AM$84="Y",$CL$54&lt;&gt;"Y",AQ48&lt;='Outfall 1 Limits'!$AL$84),0,(1*AQ48)),AQ48),"")</f>
        <v/>
      </c>
      <c r="DQ48" s="206" t="str">
        <f>IF(AS48&lt;&gt;"",IF(AR48="&lt;",IF(AND('Outfall 1 Limits'!$AM$88="Y",$CM$54&lt;&gt;"Y",AS48&lt;='Outfall 1 Limits'!$AL$88),0,(1*AS48)),AS48),"")</f>
        <v/>
      </c>
      <c r="DR48" s="206" t="str">
        <f>IF(AU48&lt;&gt;"",IF(AT48="&lt;",IF(AND('Outfall 1 Limits'!$AM$92="Y",$CN$54&lt;&gt;"Y",AU48&lt;='Outfall 1 Limits'!$AL$92),0,(1*AU48)),AU48),"")</f>
        <v/>
      </c>
      <c r="DS48" s="206" t="str">
        <f>IF(AW48&lt;&gt;"",IF(AV48="&lt;",IF(AND('Outfall 1 Limits'!$AM$96="Y",$CO$54&lt;&gt;"Y",AW48&lt;='Outfall 1 Limits'!$AL$96),0,(1*AW48)),AW48),"")</f>
        <v/>
      </c>
      <c r="DT48" s="206" t="str">
        <f>IF(AY48&lt;&gt;"",IF(AX48="&lt;",IF(AND('Outfall 1 Limits'!$AM$100="Y",$CP$54&lt;&gt;"Y",AY48&lt;='Outfall 1 Limits'!$AL$100),0,(1*AY48)),AY48),"")</f>
        <v/>
      </c>
      <c r="DU48" s="206" t="str">
        <f>IF(BA48&lt;&gt;"",IF(AZ48="&lt;",IF(AND('Outfall 1 Limits'!$AM$104="Y",$CQ$54&lt;&gt;"Y",BA48&lt;='Outfall 1 Limits'!$AL$104),0,(1*BA48)),BA48),"")</f>
        <v/>
      </c>
      <c r="DV48" s="206" t="str">
        <f>IF(BC48&lt;&gt;"",IF(BB48="&lt;",IF(AND('Outfall 1 Limits'!$AM$108="Y",$CR$54&lt;&gt;"Y",BC48&lt;='Outfall 1 Limits'!$AL$108),0,(1*BC48)),BC48),"")</f>
        <v/>
      </c>
      <c r="DW48" s="206" t="str">
        <f>IF(BE48&lt;&gt;"",IF(BD48="&lt;",IF(AND('Outfall 1 Limits'!$AM$112="Y",$CS$54&lt;&gt;"Y",BE48&lt;='Outfall 1 Limits'!$AL$112),0,(1*BE48)),BE48),"")</f>
        <v/>
      </c>
      <c r="DX48" s="206" t="str">
        <f>IF(BG48&lt;&gt;"",IF(BF48="&lt;",IF(AND('Outfall 1 Limits'!$AM$116="Y",$CT$54&lt;&gt;"Y",BG48&lt;='Outfall 1 Limits'!$AL$116),0,(1*BG48)),BG48),"")</f>
        <v/>
      </c>
      <c r="DY48" s="206" t="str">
        <f>IF(BI48&lt;&gt;"",IF(BH48="&lt;",IF(AND('Outfall 1 Limits'!$AM$120="Y",$CU$54&lt;&gt;"Y",BI48&lt;='Outfall 1 Limits'!$AL$120),0,(1*BI48)),BI48),"")</f>
        <v/>
      </c>
      <c r="DZ48" s="206" t="str">
        <f>IF(BK48&lt;&gt;"",IF(BJ48="&lt;",IF(AND('Outfall 1 Limits'!$AM$124="Y",$CV$54&lt;&gt;"Y",BK48&lt;='Outfall 1 Limits'!$AL$124),0,(1*BK48)),BK48),"")</f>
        <v/>
      </c>
      <c r="EA48" s="223" t="str">
        <f>IF(BM48&lt;&gt;"",IF(BL48="&lt;",IF(AND('Outfall 1 Limits'!$AM$128="Y",$CW$54&lt;&gt;"Y",BM48&lt;='Outfall 1 Limits'!$AL$128),0,(1*BM48)),BM48),"")</f>
        <v/>
      </c>
      <c r="EB48" s="176"/>
      <c r="FG48" s="212" t="str">
        <f>IF(AND($G48&lt;&gt;"",$G48&gt;0,'Outfall 1 Limits'!$AX$16="C1",I48&lt;&gt;""),I48*$G48*8.34,IF(AND($I48&lt;&gt;"",'Outfall 1 Limits'!$AX$16="L"),I48,""))</f>
        <v/>
      </c>
      <c r="FH48" s="206" t="str">
        <f>IF(AND($G48&lt;&gt;"",$G48&gt;0,'Outfall 1 Limits'!$AX$20="C1",$K48&lt;&gt;""),$K48*$G48*8.34,IF(AND($K48&lt;&gt;"",'Outfall 1 Limits'!$AX$20="L"),$K48,""))</f>
        <v/>
      </c>
      <c r="FI48" s="206" t="str">
        <f>IF(AND($G48&lt;&gt;"",$G48&gt;0,'Outfall 1 Limits'!$AX$24="C1",$M48&lt;&gt;""),$M48*$G48*8.34,IF(AND($M48&lt;&gt;"",'Outfall 1 Limits'!$AX$24="L"),$M48,""))</f>
        <v/>
      </c>
      <c r="FJ48" s="206" t="str">
        <f>IF(AND($G48&lt;&gt;"",$G48&gt;0,'Outfall 1 Limits'!$AX$28="C1",$O48&lt;&gt;""),$O48*$G48*8.34,IF(AND($O48&lt;&gt;"",'Outfall 1 Limits'!$AX$28="L"),$O48,""))</f>
        <v/>
      </c>
      <c r="FK48" s="206" t="str">
        <f>IF(AND($G48&lt;&gt;"",$G48&gt;0,'Outfall 1 Limits'!$AX$32="C1",$Q48&lt;&gt;""),$Q48*$G48*8.34,IF(AND($Q48&lt;&gt;"",'Outfall 1 Limits'!$AX$32="L"),$Q48,""))</f>
        <v/>
      </c>
      <c r="FL48" s="206" t="str">
        <f>IF(AND($G48&lt;&gt;"",$G48&gt;0,'Outfall 1 Limits'!$AX$36="C1",$S48&lt;&gt;""),$S48*$G48*8.34,IF(AND($S48&lt;&gt;"",'Outfall 1 Limits'!$AX$36="L"),$S48,""))</f>
        <v/>
      </c>
      <c r="FM48" s="206" t="str">
        <f>IF(AND($G48&lt;&gt;"",$G48&gt;0,'Outfall 1 Limits'!$AX$40="C1",$U48&lt;&gt;""),$U48*$G48*8.34,IF(AND($U48&lt;&gt;"",'Outfall 1 Limits'!$AX$40="L"),$U48,""))</f>
        <v/>
      </c>
      <c r="FN48" s="206" t="str">
        <f>IF(AND($G48&lt;&gt;"",$G48&gt;0,'Outfall 1 Limits'!$AX$44="C1",$W48&lt;&gt;""),$W48*$G48*8.34,IF(AND($W48&lt;&gt;"",'Outfall 1 Limits'!$AX$44="L"),$W48,""))</f>
        <v/>
      </c>
      <c r="FO48" s="206" t="str">
        <f>IF(AND($G48&lt;&gt;"",$G48&gt;0,'Outfall 1 Limits'!$AX$48="C1",$Y48&lt;&gt;""),$Y48*$G48*8.34,IF(AND($Y48&lt;&gt;"",'Outfall 1 Limits'!$AX$48="L"),$Y48,""))</f>
        <v/>
      </c>
      <c r="FP48" s="206" t="str">
        <f>IF(AND($G48&lt;&gt;"",$G48&gt;0,'Outfall 1 Limits'!$AX$52="C1",$AA48&lt;&gt;""),$AA48*$G48*8.34,IF(AND($AA48&lt;&gt;"",'Outfall 1 Limits'!$AX$52="L"),$AA48,""))</f>
        <v/>
      </c>
      <c r="FQ48" s="206" t="str">
        <f>IF(AND($G48&lt;&gt;"",$G48&gt;0,'Outfall 1 Limits'!$AX$56="C1",$AC48&lt;&gt;""),$AC48*$G48*8.34,IF(AND($AC48&lt;&gt;"",'Outfall 1 Limits'!$AX$56="L"),$AC48,""))</f>
        <v/>
      </c>
      <c r="FR48" s="206" t="str">
        <f>IF(AND($G48&lt;&gt;"",$G48&gt;0,'Outfall 1 Limits'!$AX$60="C1",$AE48&lt;&gt;""),$AE48*$G48*8.34,IF(AND($AE48&lt;&gt;"",'Outfall 1 Limits'!$AX$60="L"),$AE48,""))</f>
        <v/>
      </c>
      <c r="FS48" s="206" t="str">
        <f>IF(AND($G48&lt;&gt;"",$G48&gt;0,'Outfall 1 Limits'!$AX$64="C1",$AG48&lt;&gt;""),$AG48*$G48*8.34,IF(AND($AG48&lt;&gt;"",'Outfall 1 Limits'!$AX$64="L"),$AG48,""))</f>
        <v/>
      </c>
      <c r="FT48" s="206" t="str">
        <f>IF(AND($G48&lt;&gt;"",$G48&gt;0,'Outfall 1 Limits'!$AX$68="C1",$AI48&lt;&gt;""),$AI48*$G48*8.34,IF(AND($AI48&lt;&gt;"",'Outfall 1 Limits'!$AX$68="L"),$AI48,""))</f>
        <v/>
      </c>
      <c r="FU48" s="206" t="str">
        <f>IF(AND($G48&lt;&gt;"",$G48&gt;0,'Outfall 1 Limits'!$AX$72="C1",$AK48&lt;&gt;""),$AK48*$G48*8.34,IF(AND($AK48&lt;&gt;"",'Outfall 1 Limits'!$AX$72="L"),$AK48,""))</f>
        <v/>
      </c>
      <c r="FV48" s="206" t="str">
        <f>IF(AND($G48&lt;&gt;"",$G48&gt;0,'Outfall 1 Limits'!$AX$76="C1",$AM48&lt;&gt;""),$AM48*$G48*8.34,IF(AND($AM48&lt;&gt;"",'Outfall 1 Limits'!$AX$76="L"),$AM48,""))</f>
        <v/>
      </c>
      <c r="FW48" s="206" t="str">
        <f>IF(AND($G48&lt;&gt;"",$G48&gt;0,'Outfall 1 Limits'!$AX$80="C1",$AO48&lt;&gt;""),$AO48*$G48*8.34,IF(AND($AO48&lt;&gt;"",'Outfall 1 Limits'!$AX$80="L"),$AO48,""))</f>
        <v/>
      </c>
      <c r="FX48" s="206" t="str">
        <f>IF(AND($G48&lt;&gt;"",$G48&gt;0,'Outfall 1 Limits'!$AX$84="C1",$AQ48&lt;&gt;""),$AQ48*$G48*8.34,IF(AND($AQ48&lt;&gt;"",'Outfall 1 Limits'!$AX$84="L"),$AQ48,""))</f>
        <v/>
      </c>
      <c r="FY48" s="206" t="str">
        <f>IF(AND($G48&lt;&gt;"",$G48&gt;0,'Outfall 1 Limits'!$AX$88="C1",$AS48&lt;&gt;""),$AS48*$G48*8.34,IF(AND($AS48&lt;&gt;"",'Outfall 1 Limits'!$AX$88="L"),$AS48,""))</f>
        <v/>
      </c>
      <c r="FZ48" s="206" t="str">
        <f>IF(AND($G48&lt;&gt;"",$G48&gt;0,'Outfall 1 Limits'!$AX$92="C1",$AU48&lt;&gt;""),$AU48*$G48*8.34,IF(AND($AU48&lt;&gt;"",'Outfall 1 Limits'!$AX$92="L"),$AU48,""))</f>
        <v/>
      </c>
      <c r="GA48" s="206" t="str">
        <f>IF(AND($G48&lt;&gt;"",$G48&gt;0,'Outfall 1 Limits'!$AX$96="C1",$AW48&lt;&gt;""),$AW48*$G48*8.34,IF(AND($AW48&lt;&gt;"",'Outfall 1 Limits'!$AX$96="L"),$AW48,""))</f>
        <v/>
      </c>
      <c r="GB48" s="206" t="str">
        <f>IF(AND($G48&lt;&gt;"",$G48&gt;0,'Outfall 1 Limits'!$AX$100="C1",$AY48&lt;&gt;""),$AY48*$G48*8.34,IF(AND($AY48&lt;&gt;"",'Outfall 1 Limits'!$AX$100="L"),$AY48,""))</f>
        <v/>
      </c>
      <c r="GC48" s="206" t="str">
        <f>IF(AND($G48&lt;&gt;"",$G48&gt;0,'Outfall 1 Limits'!$AX$104="C1",$BA48&lt;&gt;""),$BA48*$G48*8.34,IF(AND($BA48&lt;&gt;"",'Outfall 1 Limits'!$AX$104="L"),$BA48,""))</f>
        <v/>
      </c>
      <c r="GD48" s="206" t="str">
        <f>IF(AND($G48&lt;&gt;"",$G48&gt;0,'Outfall 1 Limits'!$AX$108="C1",$BC48&lt;&gt;""),$BC48*$G48*8.34,IF(AND($BC48&lt;&gt;"",'Outfall 1 Limits'!$AX$108="L"),$BC48,""))</f>
        <v/>
      </c>
      <c r="GE48" s="206" t="str">
        <f>IF(AND($G48&lt;&gt;"",$G48&gt;0,'Outfall 1 Limits'!$AX$112="C1",$BE48&lt;&gt;""),$BE48*$G48*8.34,IF(AND($BE48&lt;&gt;"",'Outfall 1 Limits'!$AX$112="L"),$BE48,""))</f>
        <v/>
      </c>
      <c r="GF48" s="206" t="str">
        <f>IF(AND($G48&lt;&gt;"",$G48&gt;0,'Outfall 1 Limits'!$AX$116="C1",$BG48&lt;&gt;""),$BG48*$G48*8.34,IF(AND($BG48&lt;&gt;"",'Outfall 1 Limits'!$AX$116="L"),$BG48,""))</f>
        <v/>
      </c>
      <c r="GG48" s="206" t="str">
        <f>IF(AND($G48&lt;&gt;"",$G48&gt;0,'Outfall 1 Limits'!$AX$120="C1",$BI48&lt;&gt;""),$BI48*$G48*8.34,IF(AND($BI48&lt;&gt;"",'Outfall 1 Limits'!$AX$120="L"),$BI48,""))</f>
        <v/>
      </c>
      <c r="GH48" s="206" t="str">
        <f>IF(AND($G48&lt;&gt;"",$G48&gt;0,'Outfall 1 Limits'!$AX$124="C1",$BK48&lt;&gt;""),$BK48*$G48*8.34,IF(AND($BK48&lt;&gt;"",'Outfall 1 Limits'!$AX$124="L"),$BK48,""))</f>
        <v/>
      </c>
      <c r="GI48" s="223" t="str">
        <f>IF(AND($G48&lt;&gt;"",$G48&gt;0,'Outfall 1 Limits'!$AX$128="C1",$BM48&lt;&gt;""),$BM48*$G48*8.34,IF(AND($BM48&lt;&gt;"",'Outfall 1 Limits'!$AX$128="L"),$BM48,""))</f>
        <v/>
      </c>
      <c r="GJ48" s="177" t="str">
        <f t="shared" si="59"/>
        <v/>
      </c>
      <c r="GK48" s="212" t="str">
        <f>IF(AND($G48&lt;&gt;"",$G48&gt;0,'Outfall 1 Limits'!$AX$16="C1",CY48&lt;&gt;""),CY48*$G48*8.34,IF(AND(CY48&lt;&gt;"",'Outfall 1 Limits'!$AX$16="L"),CY48,""))</f>
        <v/>
      </c>
      <c r="GL48" s="206" t="str">
        <f>IF(AND($G48&lt;&gt;"",$G48&gt;0,'Outfall 1 Limits'!$AX$20="C1",CZ48&lt;&gt;""),CZ48*$G48*8.34,IF(AND(CZ48&lt;&gt;"",'Outfall 1 Limits'!$AX$20="L"),CZ48,""))</f>
        <v/>
      </c>
      <c r="GM48" s="206" t="str">
        <f>IF(AND($G48&lt;&gt;"",$G48&gt;0,'Outfall 1 Limits'!$AX$24="C1",DA48&lt;&gt;""),DA48*$G48*8.34,IF(AND(DA48&lt;&gt;"",'Outfall 1 Limits'!$AX$24="L"),DA48,""))</f>
        <v/>
      </c>
      <c r="GN48" s="206" t="str">
        <f>IF(AND($G48&lt;&gt;"",$G48&gt;0,'Outfall 1 Limits'!$AX$28="C1",DB48&lt;&gt;""),DB48*$G48*8.34,IF(AND(DB48&lt;&gt;"",'Outfall 1 Limits'!$AX$28="L"),DB48,""))</f>
        <v/>
      </c>
      <c r="GO48" s="206" t="str">
        <f>IF(AND($G48&lt;&gt;"",$G48&gt;0,'Outfall 1 Limits'!$AX$32="C1",DC48&lt;&gt;""),DC48*$G48*8.34,IF(AND(DC48&lt;&gt;"",'Outfall 1 Limits'!$AX$32="L"),DC48,""))</f>
        <v/>
      </c>
      <c r="GP48" s="206" t="str">
        <f>IF(AND($G48&lt;&gt;"",$G48&gt;0,'Outfall 1 Limits'!$AX$36="C1",DD48&lt;&gt;""),DD48*$G48*8.34,IF(AND(DD48&lt;&gt;"",'Outfall 1 Limits'!$AX$36="L"),DD48,""))</f>
        <v/>
      </c>
      <c r="GQ48" s="206" t="str">
        <f>IF(AND($G48&lt;&gt;"",$G48&gt;0,'Outfall 1 Limits'!$AX$40="C1",DE48&lt;&gt;""),DE48*$G48*8.34,IF(AND(DE48&lt;&gt;"",'Outfall 1 Limits'!$AX$40="L"),DE48,""))</f>
        <v/>
      </c>
      <c r="GR48" s="206" t="str">
        <f>IF(AND($G48&lt;&gt;"",$G48&gt;0,'Outfall 1 Limits'!$AX$44="C1",DF48&lt;&gt;""),DF48*$G48*8.34,IF(AND(DF48&lt;&gt;"",'Outfall 1 Limits'!$AX$44="L"),DF48,""))</f>
        <v/>
      </c>
      <c r="GS48" s="206" t="str">
        <f>IF(AND($G48&lt;&gt;"",$G48&gt;0,'Outfall 1 Limits'!$AX$48="C1",DG48&lt;&gt;""),DG48*$G48*8.34,IF(AND(DG48&lt;&gt;"",'Outfall 1 Limits'!$AX$48="L"),DG48,""))</f>
        <v/>
      </c>
      <c r="GT48" s="206" t="str">
        <f>IF(AND($G48&lt;&gt;"",$G48&gt;0,'Outfall 1 Limits'!$AX$52="C1",DH48&lt;&gt;""),DH48*$G48*8.34,IF(AND(DH48&lt;&gt;"",'Outfall 1 Limits'!$AX$52="L"),DH48,""))</f>
        <v/>
      </c>
      <c r="GU48" s="206" t="str">
        <f>IF(AND($G48&lt;&gt;"",$G48&gt;0,'Outfall 1 Limits'!$AX$56="C1",DI48&lt;&gt;""),DI48*$G48*8.34,IF(AND(DI48&lt;&gt;"",'Outfall 1 Limits'!$AX$56="L"),DI48,""))</f>
        <v/>
      </c>
      <c r="GV48" s="206" t="str">
        <f>IF(AND($G48&lt;&gt;"",$G48&gt;0,'Outfall 1 Limits'!$AX$60="C1",DJ48&lt;&gt;""),DJ48*$G48*8.34,IF(AND(DJ48&lt;&gt;"",'Outfall 1 Limits'!$AX$60="L"),DJ48,""))</f>
        <v/>
      </c>
      <c r="GW48" s="206" t="str">
        <f>IF(AND($G48&lt;&gt;"",$G48&gt;0,'Outfall 1 Limits'!$AX$64="C1",DK48&lt;&gt;""),DK48*$G48*8.34,IF(AND(DK48&lt;&gt;"",'Outfall 1 Limits'!$AX$64="L"),DK48,""))</f>
        <v/>
      </c>
      <c r="GX48" s="206" t="str">
        <f>IF(AND($G48&lt;&gt;"",$G48&gt;0,'Outfall 1 Limits'!$AX$68="C1",DL48&lt;&gt;""),DL48*$G48*8.34,IF(AND(DL48&lt;&gt;"",'Outfall 1 Limits'!$AX$68="L"),DL48,""))</f>
        <v/>
      </c>
      <c r="GY48" s="206" t="str">
        <f>IF(AND($G48&lt;&gt;"",$G48&gt;0,'Outfall 1 Limits'!$AX$72="C1",DM48&lt;&gt;""),DM48*$G48*8.34,IF(AND(DM48&lt;&gt;"",'Outfall 1 Limits'!$AX$72="L"),DM48,""))</f>
        <v/>
      </c>
      <c r="GZ48" s="206" t="str">
        <f>IF(AND($G48&lt;&gt;"",$G48&gt;0,'Outfall 1 Limits'!$AX$76="C1",DN48&lt;&gt;""),DN48*$G48*8.34,IF(AND(DN48&lt;&gt;"",'Outfall 1 Limits'!$AX$76="L"),DN48,""))</f>
        <v/>
      </c>
      <c r="HA48" s="206" t="str">
        <f>IF(AND($G48&lt;&gt;"",$G48&gt;0,'Outfall 1 Limits'!$AX$80="C1",DO48&lt;&gt;""),DO48*$G48*8.34,IF(AND(DO48&lt;&gt;"",'Outfall 1 Limits'!$AX$80="L"),DO48,""))</f>
        <v/>
      </c>
      <c r="HB48" s="206" t="str">
        <f>IF(AND($G48&lt;&gt;"",$G48&gt;0,'Outfall 1 Limits'!$AX$84="C1",DP48&lt;&gt;""),DP48*$G48*8.34,IF(AND(DP48&lt;&gt;"",'Outfall 1 Limits'!$AX$84="L"),DP48,""))</f>
        <v/>
      </c>
      <c r="HC48" s="206" t="str">
        <f>IF(AND($G48&lt;&gt;"",$G48&gt;0,'Outfall 1 Limits'!$AX$88="C1",DQ48&lt;&gt;""),DQ48*$G48*8.34,IF(AND(DQ48&lt;&gt;"",'Outfall 1 Limits'!$AX$88="L"),DQ48,""))</f>
        <v/>
      </c>
      <c r="HD48" s="206" t="str">
        <f>IF(AND($G48&lt;&gt;"",$G48&gt;0,'Outfall 1 Limits'!$AX$92="C1",DR48&lt;&gt;""),DR48*$G48*8.34,IF(AND(DR48&lt;&gt;"",'Outfall 1 Limits'!$AX$92="L"),DR48,""))</f>
        <v/>
      </c>
      <c r="HE48" s="206" t="str">
        <f>IF(AND($G48&lt;&gt;"",$G48&gt;0,'Outfall 1 Limits'!$AX$96="C1",DS48&lt;&gt;""),DS48*$G48*8.34,IF(AND(DS48&lt;&gt;"",'Outfall 1 Limits'!$AX$96="L"),DS48,""))</f>
        <v/>
      </c>
      <c r="HF48" s="206" t="str">
        <f>IF(AND($G48&lt;&gt;"",$G48&gt;0,'Outfall 1 Limits'!$AX$100="C1",DT48&lt;&gt;""),DT48*$G48*8.34,IF(AND(DT48&lt;&gt;"",'Outfall 1 Limits'!$AX$100="L"),DT48,""))</f>
        <v/>
      </c>
      <c r="HG48" s="206" t="str">
        <f>IF(AND($G48&lt;&gt;"",$G48&gt;0,'Outfall 1 Limits'!$AX$104="C1",DU48&lt;&gt;""),DU48*$G48*8.34,IF(AND(DU48&lt;&gt;"",'Outfall 1 Limits'!$AX$104="L"),DU48,""))</f>
        <v/>
      </c>
      <c r="HH48" s="206" t="str">
        <f>IF(AND($G48&lt;&gt;"",$G48&gt;0,'Outfall 1 Limits'!$AX$108="C1",DV48&lt;&gt;""),DV48*$G48*8.34,IF(AND(DV48&lt;&gt;"",'Outfall 1 Limits'!$AX$108="L"),DV48,""))</f>
        <v/>
      </c>
      <c r="HI48" s="206" t="str">
        <f>IF(AND($G48&lt;&gt;"",$G48&gt;0,'Outfall 1 Limits'!$AX$112="C1",DW48&lt;&gt;""),DW48*$G48*8.34,IF(AND(DW48&lt;&gt;"",'Outfall 1 Limits'!$AX$112="L"),DW48,""))</f>
        <v/>
      </c>
      <c r="HJ48" s="206" t="str">
        <f>IF(AND($G48&lt;&gt;"",$G48&gt;0,'Outfall 1 Limits'!$AX$116="C1",DX48&lt;&gt;""),DX48*$G48*8.34,IF(AND(DX48&lt;&gt;"",'Outfall 1 Limits'!$AX$116="L"),DX48,""))</f>
        <v/>
      </c>
      <c r="HK48" s="206" t="str">
        <f>IF(AND($G48&lt;&gt;"",$G48&gt;0,'Outfall 1 Limits'!$AX$120="C1",DY48&lt;&gt;""),DY48*$G48*8.34,IF(AND(DY48&lt;&gt;"",'Outfall 1 Limits'!$AX$120="L"),DY48,""))</f>
        <v/>
      </c>
      <c r="HL48" s="206" t="str">
        <f>IF(AND($G48&lt;&gt;"",$G48&gt;0,'Outfall 1 Limits'!$AX$124="C1",DZ48&lt;&gt;""),DZ48*$G48*8.34,IF(AND(DZ48&lt;&gt;"",'Outfall 1 Limits'!$AX$124="L"),DZ48,""))</f>
        <v/>
      </c>
      <c r="HM48" s="223" t="str">
        <f>IF(AND($G48&lt;&gt;"",$G48&gt;0,'Outfall 1 Limits'!$AX$128="C1",EA48&lt;&gt;""),EA48*$G48*8.34,IF(AND(EA48&lt;&gt;"",'Outfall 1 Limits'!$AX$128="L"),EA48,""))</f>
        <v/>
      </c>
      <c r="HO48" s="224" t="str">
        <f t="shared" si="60"/>
        <v/>
      </c>
      <c r="HS48" s="202" t="str">
        <f t="shared" si="61"/>
        <v/>
      </c>
      <c r="HT48" s="196" t="str">
        <f t="shared" si="62"/>
        <v/>
      </c>
      <c r="HU48" s="196" t="str">
        <f t="shared" si="63"/>
        <v/>
      </c>
      <c r="HV48" s="196" t="str">
        <f t="shared" si="64"/>
        <v/>
      </c>
      <c r="HW48" s="196" t="str">
        <f t="shared" si="65"/>
        <v/>
      </c>
      <c r="HX48" s="196" t="str">
        <f t="shared" si="66"/>
        <v/>
      </c>
      <c r="HY48" s="196" t="str">
        <f t="shared" si="67"/>
        <v/>
      </c>
      <c r="HZ48" s="196" t="str">
        <f t="shared" si="68"/>
        <v/>
      </c>
      <c r="IA48" s="196" t="str">
        <f t="shared" si="69"/>
        <v/>
      </c>
      <c r="IB48" s="196" t="str">
        <f t="shared" si="70"/>
        <v/>
      </c>
      <c r="IC48" s="196" t="str">
        <f t="shared" si="71"/>
        <v/>
      </c>
      <c r="ID48" s="196" t="str">
        <f t="shared" si="72"/>
        <v/>
      </c>
      <c r="IE48" s="196" t="str">
        <f t="shared" si="73"/>
        <v/>
      </c>
      <c r="IF48" s="196" t="str">
        <f t="shared" si="74"/>
        <v/>
      </c>
      <c r="IG48" s="196" t="str">
        <f t="shared" si="75"/>
        <v/>
      </c>
      <c r="IH48" s="196" t="str">
        <f t="shared" si="76"/>
        <v/>
      </c>
      <c r="II48" s="196" t="str">
        <f t="shared" si="77"/>
        <v/>
      </c>
      <c r="IJ48" s="196" t="str">
        <f t="shared" si="78"/>
        <v/>
      </c>
      <c r="IK48" s="196" t="str">
        <f t="shared" si="79"/>
        <v/>
      </c>
      <c r="IL48" s="196" t="str">
        <f t="shared" si="80"/>
        <v/>
      </c>
      <c r="IM48" s="196" t="str">
        <f t="shared" si="81"/>
        <v/>
      </c>
      <c r="IN48" s="196" t="str">
        <f t="shared" si="82"/>
        <v/>
      </c>
      <c r="IO48" s="196" t="str">
        <f t="shared" si="83"/>
        <v/>
      </c>
      <c r="IP48" s="196" t="str">
        <f t="shared" si="84"/>
        <v/>
      </c>
      <c r="IQ48" s="196" t="str">
        <f t="shared" si="85"/>
        <v/>
      </c>
      <c r="IR48" s="196" t="str">
        <f t="shared" si="86"/>
        <v/>
      </c>
      <c r="IS48" s="196" t="str">
        <f t="shared" si="87"/>
        <v/>
      </c>
      <c r="IT48" s="196" t="str">
        <f t="shared" si="88"/>
        <v/>
      </c>
      <c r="IU48" s="210" t="str">
        <f t="shared" si="89"/>
        <v/>
      </c>
      <c r="IX48" s="202" t="str">
        <f t="shared" si="90"/>
        <v/>
      </c>
      <c r="IY48" s="196" t="str">
        <f t="shared" si="91"/>
        <v/>
      </c>
      <c r="IZ48" s="196" t="str">
        <f t="shared" si="92"/>
        <v/>
      </c>
      <c r="JA48" s="196" t="str">
        <f t="shared" si="93"/>
        <v/>
      </c>
      <c r="JB48" s="196" t="str">
        <f t="shared" si="94"/>
        <v/>
      </c>
      <c r="JC48" s="196" t="str">
        <f t="shared" si="95"/>
        <v/>
      </c>
      <c r="JD48" s="196" t="str">
        <f t="shared" si="96"/>
        <v/>
      </c>
      <c r="JE48" s="196" t="str">
        <f t="shared" si="97"/>
        <v/>
      </c>
      <c r="JF48" s="196" t="str">
        <f t="shared" si="98"/>
        <v/>
      </c>
      <c r="JG48" s="196" t="str">
        <f t="shared" si="99"/>
        <v/>
      </c>
      <c r="JH48" s="196" t="str">
        <f t="shared" si="100"/>
        <v/>
      </c>
      <c r="JI48" s="196" t="str">
        <f t="shared" si="101"/>
        <v/>
      </c>
      <c r="JJ48" s="196" t="str">
        <f t="shared" si="102"/>
        <v/>
      </c>
      <c r="JK48" s="196" t="str">
        <f t="shared" si="103"/>
        <v/>
      </c>
      <c r="JL48" s="196" t="str">
        <f t="shared" si="104"/>
        <v/>
      </c>
      <c r="JM48" s="196" t="str">
        <f t="shared" si="105"/>
        <v/>
      </c>
      <c r="JN48" s="196" t="str">
        <f t="shared" si="106"/>
        <v/>
      </c>
      <c r="JO48" s="196" t="str">
        <f t="shared" si="107"/>
        <v/>
      </c>
      <c r="JP48" s="196" t="str">
        <f t="shared" si="108"/>
        <v/>
      </c>
      <c r="JQ48" s="196" t="str">
        <f t="shared" si="109"/>
        <v/>
      </c>
      <c r="JR48" s="196" t="str">
        <f t="shared" si="110"/>
        <v/>
      </c>
      <c r="JS48" s="196" t="str">
        <f t="shared" si="111"/>
        <v/>
      </c>
      <c r="JT48" s="196" t="str">
        <f t="shared" si="112"/>
        <v/>
      </c>
      <c r="JU48" s="196" t="str">
        <f t="shared" si="113"/>
        <v/>
      </c>
      <c r="JV48" s="196" t="str">
        <f t="shared" si="114"/>
        <v/>
      </c>
      <c r="JW48" s="196" t="str">
        <f t="shared" si="115"/>
        <v/>
      </c>
      <c r="JX48" s="196" t="str">
        <f t="shared" si="116"/>
        <v/>
      </c>
      <c r="JY48" s="196" t="str">
        <f t="shared" si="117"/>
        <v/>
      </c>
      <c r="JZ48" s="210" t="str">
        <f t="shared" si="118"/>
        <v/>
      </c>
      <c r="KA48" s="196"/>
      <c r="KB48" s="176"/>
      <c r="KC48" s="227"/>
      <c r="KD48" s="218" t="str">
        <f t="shared" si="2"/>
        <v/>
      </c>
      <c r="KE48" s="196" t="str">
        <f t="shared" si="3"/>
        <v/>
      </c>
      <c r="KF48" s="196" t="str">
        <f t="shared" si="4"/>
        <v/>
      </c>
      <c r="KG48" s="196" t="str">
        <f t="shared" si="5"/>
        <v/>
      </c>
      <c r="KH48" s="196" t="str">
        <f t="shared" si="6"/>
        <v/>
      </c>
      <c r="KI48" s="196" t="str">
        <f t="shared" si="7"/>
        <v/>
      </c>
      <c r="KJ48" s="196" t="str">
        <f t="shared" si="8"/>
        <v/>
      </c>
      <c r="KK48" s="196" t="str">
        <f t="shared" si="9"/>
        <v/>
      </c>
      <c r="KL48" s="196" t="str">
        <f t="shared" si="10"/>
        <v/>
      </c>
      <c r="KM48" s="196" t="str">
        <f t="shared" si="11"/>
        <v/>
      </c>
      <c r="KN48" s="196" t="str">
        <f t="shared" si="12"/>
        <v/>
      </c>
      <c r="KO48" s="196" t="str">
        <f t="shared" si="13"/>
        <v/>
      </c>
      <c r="KP48" s="196" t="str">
        <f t="shared" si="14"/>
        <v/>
      </c>
      <c r="KQ48" s="196" t="str">
        <f t="shared" si="15"/>
        <v/>
      </c>
      <c r="KR48" s="196" t="str">
        <f t="shared" si="16"/>
        <v/>
      </c>
      <c r="KS48" s="196" t="str">
        <f t="shared" si="17"/>
        <v/>
      </c>
      <c r="KT48" s="196" t="str">
        <f t="shared" si="18"/>
        <v/>
      </c>
      <c r="KU48" s="196" t="str">
        <f t="shared" si="19"/>
        <v/>
      </c>
      <c r="KV48" s="196" t="str">
        <f t="shared" si="20"/>
        <v/>
      </c>
      <c r="KW48" s="196" t="str">
        <f t="shared" si="21"/>
        <v/>
      </c>
      <c r="KX48" s="196" t="str">
        <f t="shared" si="22"/>
        <v/>
      </c>
      <c r="KY48" s="196" t="str">
        <f t="shared" si="23"/>
        <v/>
      </c>
      <c r="KZ48" s="196" t="str">
        <f t="shared" si="24"/>
        <v/>
      </c>
      <c r="LA48" s="196" t="str">
        <f t="shared" si="25"/>
        <v/>
      </c>
      <c r="LB48" s="196" t="str">
        <f t="shared" si="26"/>
        <v/>
      </c>
      <c r="LC48" s="196" t="str">
        <f t="shared" si="27"/>
        <v/>
      </c>
      <c r="LD48" s="196" t="str">
        <f t="shared" si="28"/>
        <v/>
      </c>
      <c r="LE48" s="196" t="str">
        <f t="shared" si="29"/>
        <v/>
      </c>
      <c r="LF48" s="219" t="str">
        <f t="shared" si="30"/>
        <v/>
      </c>
    </row>
    <row r="49" spans="1:318" s="172" customFormat="1" ht="11.45" customHeight="1" x14ac:dyDescent="0.2">
      <c r="A49" s="35"/>
      <c r="B49" s="54"/>
      <c r="C49" s="438">
        <f t="shared" si="0"/>
        <v>45323</v>
      </c>
      <c r="D49" s="438"/>
      <c r="E49" s="430">
        <f t="shared" si="119"/>
        <v>45323</v>
      </c>
      <c r="F49" s="431"/>
      <c r="G49" s="26"/>
      <c r="H49" s="51"/>
      <c r="I49" s="50"/>
      <c r="J49" s="51"/>
      <c r="K49" s="50"/>
      <c r="L49" s="51"/>
      <c r="M49" s="50"/>
      <c r="N49" s="51"/>
      <c r="O49" s="50"/>
      <c r="P49" s="51"/>
      <c r="Q49" s="50"/>
      <c r="R49" s="51"/>
      <c r="S49" s="50"/>
      <c r="T49" s="51"/>
      <c r="U49" s="50"/>
      <c r="V49" s="51"/>
      <c r="W49" s="50"/>
      <c r="X49" s="276"/>
      <c r="Y49" s="50"/>
      <c r="Z49" s="51"/>
      <c r="AA49" s="50"/>
      <c r="AB49" s="51"/>
      <c r="AC49" s="50"/>
      <c r="AD49" s="51"/>
      <c r="AE49" s="50"/>
      <c r="AF49" s="51"/>
      <c r="AG49" s="50"/>
      <c r="AH49" s="51"/>
      <c r="AI49" s="50"/>
      <c r="AJ49" s="51"/>
      <c r="AK49" s="50"/>
      <c r="AL49" s="51"/>
      <c r="AM49" s="50"/>
      <c r="AN49" s="51"/>
      <c r="AO49" s="50"/>
      <c r="AP49" s="51"/>
      <c r="AQ49" s="50"/>
      <c r="AR49" s="51"/>
      <c r="AS49" s="50"/>
      <c r="AT49" s="51"/>
      <c r="AU49" s="50"/>
      <c r="AV49" s="51"/>
      <c r="AW49" s="50"/>
      <c r="AX49" s="51"/>
      <c r="AY49" s="50"/>
      <c r="AZ49" s="51"/>
      <c r="BA49" s="50"/>
      <c r="BB49" s="51"/>
      <c r="BC49" s="50"/>
      <c r="BD49" s="51"/>
      <c r="BE49" s="50"/>
      <c r="BF49" s="51"/>
      <c r="BG49" s="50"/>
      <c r="BH49" s="51"/>
      <c r="BI49" s="50"/>
      <c r="BJ49" s="51"/>
      <c r="BK49" s="50"/>
      <c r="BL49" s="51"/>
      <c r="BM49" s="109"/>
      <c r="BO49" s="174"/>
      <c r="BP49" s="174">
        <v>2068</v>
      </c>
      <c r="BQ49" s="221" t="s">
        <v>66</v>
      </c>
      <c r="BR49" s="222"/>
      <c r="BS49" s="174"/>
      <c r="BU49" s="202" t="str">
        <f t="shared" si="31"/>
        <v/>
      </c>
      <c r="BV49" s="196" t="str">
        <f t="shared" si="32"/>
        <v/>
      </c>
      <c r="BW49" s="196" t="str">
        <f t="shared" si="33"/>
        <v/>
      </c>
      <c r="BX49" s="196" t="str">
        <f t="shared" si="34"/>
        <v/>
      </c>
      <c r="BY49" s="196" t="str">
        <f t="shared" si="35"/>
        <v/>
      </c>
      <c r="BZ49" s="196" t="str">
        <f t="shared" si="36"/>
        <v/>
      </c>
      <c r="CA49" s="196" t="str">
        <f t="shared" si="37"/>
        <v/>
      </c>
      <c r="CB49" s="196" t="str">
        <f t="shared" si="38"/>
        <v/>
      </c>
      <c r="CC49" s="196" t="str">
        <f t="shared" si="39"/>
        <v/>
      </c>
      <c r="CD49" s="196" t="str">
        <f t="shared" si="40"/>
        <v/>
      </c>
      <c r="CE49" s="196" t="str">
        <f t="shared" si="41"/>
        <v/>
      </c>
      <c r="CF49" s="196" t="str">
        <f t="shared" si="42"/>
        <v/>
      </c>
      <c r="CG49" s="196" t="str">
        <f t="shared" si="43"/>
        <v/>
      </c>
      <c r="CH49" s="196" t="str">
        <f t="shared" si="44"/>
        <v/>
      </c>
      <c r="CI49" s="196" t="str">
        <f t="shared" si="45"/>
        <v/>
      </c>
      <c r="CJ49" s="196" t="str">
        <f t="shared" si="46"/>
        <v/>
      </c>
      <c r="CK49" s="196" t="str">
        <f t="shared" si="47"/>
        <v/>
      </c>
      <c r="CL49" s="196" t="str">
        <f t="shared" si="48"/>
        <v/>
      </c>
      <c r="CM49" s="196" t="str">
        <f t="shared" si="120"/>
        <v/>
      </c>
      <c r="CN49" s="196" t="str">
        <f t="shared" si="49"/>
        <v/>
      </c>
      <c r="CO49" s="196" t="str">
        <f t="shared" si="50"/>
        <v/>
      </c>
      <c r="CP49" s="196" t="str">
        <f t="shared" si="51"/>
        <v/>
      </c>
      <c r="CQ49" s="196" t="str">
        <f t="shared" si="52"/>
        <v/>
      </c>
      <c r="CR49" s="196" t="str">
        <f t="shared" si="53"/>
        <v/>
      </c>
      <c r="CS49" s="196" t="str">
        <f t="shared" si="54"/>
        <v/>
      </c>
      <c r="CT49" s="196" t="str">
        <f t="shared" si="55"/>
        <v/>
      </c>
      <c r="CU49" s="196" t="str">
        <f t="shared" si="56"/>
        <v/>
      </c>
      <c r="CV49" s="196" t="str">
        <f t="shared" si="57"/>
        <v/>
      </c>
      <c r="CW49" s="210" t="str">
        <f t="shared" si="58"/>
        <v/>
      </c>
      <c r="CY49" s="212" t="str">
        <f>IF(I49&lt;&gt;"",IF(H49="&lt;",IF(AND('Outfall 1 Limits'!$AM$16="Y",$BU$54&lt;&gt;"Y",I49&lt;='Outfall 1 Limits'!$AL$16),0,(1*I49)),I49),"")</f>
        <v/>
      </c>
      <c r="CZ49" s="206" t="str">
        <f>IF(K49&lt;&gt;"",IF(J49="&lt;",IF(AND('Outfall 1 Limits'!$AM$20="Y",$BV$54&lt;&gt;"Y",K49&lt;='Outfall 1 Limits'!$AL$20),0,(1*K49)),K49),"")</f>
        <v/>
      </c>
      <c r="DA49" s="206" t="str">
        <f>IF(M49&lt;&gt;"",IF(L49="&lt;",IF(AND('Outfall 1 Limits'!$AM$24="Y",$BW$54&lt;&gt;"Y",M49&lt;='Outfall 1 Limits'!$AL$24),0,(1*M49)),M49),"")</f>
        <v/>
      </c>
      <c r="DB49" s="206" t="str">
        <f>IF(O49&lt;&gt;"",IF(N49="&lt;",IF(AND('Outfall 1 Limits'!$AM$28="Y",$BX$54&lt;&gt;"Y",O49&lt;='Outfall 1 Limits'!$AL$28),0,(1*O49)),O49),"")</f>
        <v/>
      </c>
      <c r="DC49" s="206" t="str">
        <f>IF(Q49&lt;&gt;"",IF(P49="&lt;",IF(AND('Outfall 1 Limits'!$AM$32="Y",$BY$54&lt;&gt;"Y",Q49&lt;='Outfall 1 Limits'!$AL$32),0,(1*Q49)),Q49),"")</f>
        <v/>
      </c>
      <c r="DD49" s="206" t="str">
        <f>IF(S49&lt;&gt;"",IF(R49="&lt;",IF(AND('Outfall 1 Limits'!$AM$36="Y",$BZ$54&lt;&gt;"Y",S49&lt;='Outfall 1 Limits'!$AL$36),0,(1*S49)),S49),"")</f>
        <v/>
      </c>
      <c r="DE49" s="206" t="str">
        <f>IF(U49&lt;&gt;"",IF(T49="&lt;",IF(AND('Outfall 1 Limits'!$AM$40="Y",$CA$54&lt;&gt;"Y",U49&lt;='Outfall 1 Limits'!$AL$40),0,(1*U49)),U49),"")</f>
        <v/>
      </c>
      <c r="DF49" s="206" t="str">
        <f>IF(W49&lt;&gt;"",IF(V49="&lt;",IF(AND('Outfall 1 Limits'!$AM$44="Y",$CB$54&lt;&gt;"Y",W49&lt;='Outfall 1 Limits'!$AL$44),0,(1*W49)),W49),"")</f>
        <v/>
      </c>
      <c r="DG49" s="206" t="str">
        <f>IF(Y49&lt;&gt;"",IF(X49="&lt;",IF(AND('Outfall 1 Limits'!$AM$48="Y",$CC$54&lt;&gt;"Y",Y49&lt;='Outfall 1 Limits'!$AL$48),0,(1*Y49)),Y49),"")</f>
        <v/>
      </c>
      <c r="DH49" s="206" t="str">
        <f>IF(AA49&lt;&gt;"",IF(Z49="&lt;",IF(AND('Outfall 1 Limits'!$AM$52="Y",$CD$54&lt;&gt;"Y",AA49&lt;='Outfall 1 Limits'!$AL$52),0,(1*AA49)),AA49),"")</f>
        <v/>
      </c>
      <c r="DI49" s="206" t="str">
        <f>IF(AC49&lt;&gt;"",IF(AB49="&lt;",IF(AND('Outfall 1 Limits'!$AM$56="Y",$CE$54&lt;&gt;"Y",AC49&lt;='Outfall 1 Limits'!$AL$56),0,(1*AC49)),AC49),"")</f>
        <v/>
      </c>
      <c r="DJ49" s="206" t="str">
        <f>IF(AE49&lt;&gt;"",IF(AD49="&lt;",IF(AND('Outfall 1 Limits'!$AM$60="Y",$CF$54&lt;&gt;"Y",AE49&lt;='Outfall 1 Limits'!$AL$60),0,(1*AE49)),AE49),"")</f>
        <v/>
      </c>
      <c r="DK49" s="206" t="str">
        <f>IF(AG49&lt;&gt;"",IF(AF49="&lt;",IF(AND('Outfall 1 Limits'!$AM$64="Y",$CG$54&lt;&gt;"Y",AG49&lt;='Outfall 1 Limits'!$AL$64),0,(1*AG49)),AG49),"")</f>
        <v/>
      </c>
      <c r="DL49" s="206" t="str">
        <f>IF(AI49&lt;&gt;"",IF(AH49="&lt;",IF(AND('Outfall 1 Limits'!$AM$68="Y",$CH$54&lt;&gt;"Y",AI49&lt;='Outfall 1 Limits'!$AL$68),0,(1*AI49)),AI49),"")</f>
        <v/>
      </c>
      <c r="DM49" s="206" t="str">
        <f>IF(AK49&lt;&gt;"",IF(AJ49="&lt;",IF(AND('Outfall 1 Limits'!$AM$72="Y",$CI$54&lt;&gt;"Y",AK49&lt;='Outfall 1 Limits'!$AL$72),0,(1*AK49)),AK49),"")</f>
        <v/>
      </c>
      <c r="DN49" s="206" t="str">
        <f>IF(AM49&lt;&gt;"",IF(AL49="&lt;",IF(AND('Outfall 1 Limits'!$AM$76="Y",$CJ$54&lt;&gt;"Y",AM49&lt;='Outfall 1 Limits'!$AL$76),0,(1*AM49)),AM49),"")</f>
        <v/>
      </c>
      <c r="DO49" s="206" t="str">
        <f>IF(AO49&lt;&gt;"",IF(AN49="&lt;",IF(AND('Outfall 1 Limits'!$AM$80="Y",$CK$54&lt;&gt;"Y",AO49&lt;='Outfall 1 Limits'!$AL$80),0,(1*AO49)),AO49),"")</f>
        <v/>
      </c>
      <c r="DP49" s="206" t="str">
        <f>IF(AQ49&lt;&gt;"",IF(AP49="&lt;",IF(AND('Outfall 1 Limits'!$AM$84="Y",$CL$54&lt;&gt;"Y",AQ49&lt;='Outfall 1 Limits'!$AL$84),0,(1*AQ49)),AQ49),"")</f>
        <v/>
      </c>
      <c r="DQ49" s="206" t="str">
        <f>IF(AS49&lt;&gt;"",IF(AR49="&lt;",IF(AND('Outfall 1 Limits'!$AM$88="Y",$CM$54&lt;&gt;"Y",AS49&lt;='Outfall 1 Limits'!$AL$88),0,(1*AS49)),AS49),"")</f>
        <v/>
      </c>
      <c r="DR49" s="206" t="str">
        <f>IF(AU49&lt;&gt;"",IF(AT49="&lt;",IF(AND('Outfall 1 Limits'!$AM$92="Y",$CN$54&lt;&gt;"Y",AU49&lt;='Outfall 1 Limits'!$AL$92),0,(1*AU49)),AU49),"")</f>
        <v/>
      </c>
      <c r="DS49" s="206" t="str">
        <f>IF(AW49&lt;&gt;"",IF(AV49="&lt;",IF(AND('Outfall 1 Limits'!$AM$96="Y",$CO$54&lt;&gt;"Y",AW49&lt;='Outfall 1 Limits'!$AL$96),0,(1*AW49)),AW49),"")</f>
        <v/>
      </c>
      <c r="DT49" s="206" t="str">
        <f>IF(AY49&lt;&gt;"",IF(AX49="&lt;",IF(AND('Outfall 1 Limits'!$AM$100="Y",$CP$54&lt;&gt;"Y",AY49&lt;='Outfall 1 Limits'!$AL$100),0,(1*AY49)),AY49),"")</f>
        <v/>
      </c>
      <c r="DU49" s="206" t="str">
        <f>IF(BA49&lt;&gt;"",IF(AZ49="&lt;",IF(AND('Outfall 1 Limits'!$AM$104="Y",$CQ$54&lt;&gt;"Y",BA49&lt;='Outfall 1 Limits'!$AL$104),0,(1*BA49)),BA49),"")</f>
        <v/>
      </c>
      <c r="DV49" s="206" t="str">
        <f>IF(BC49&lt;&gt;"",IF(BB49="&lt;",IF(AND('Outfall 1 Limits'!$AM$108="Y",$CR$54&lt;&gt;"Y",BC49&lt;='Outfall 1 Limits'!$AL$108),0,(1*BC49)),BC49),"")</f>
        <v/>
      </c>
      <c r="DW49" s="206" t="str">
        <f>IF(BE49&lt;&gt;"",IF(BD49="&lt;",IF(AND('Outfall 1 Limits'!$AM$112="Y",$CS$54&lt;&gt;"Y",BE49&lt;='Outfall 1 Limits'!$AL$112),0,(1*BE49)),BE49),"")</f>
        <v/>
      </c>
      <c r="DX49" s="206" t="str">
        <f>IF(BG49&lt;&gt;"",IF(BF49="&lt;",IF(AND('Outfall 1 Limits'!$AM$116="Y",$CT$54&lt;&gt;"Y",BG49&lt;='Outfall 1 Limits'!$AL$116),0,(1*BG49)),BG49),"")</f>
        <v/>
      </c>
      <c r="DY49" s="206" t="str">
        <f>IF(BI49&lt;&gt;"",IF(BH49="&lt;",IF(AND('Outfall 1 Limits'!$AM$120="Y",$CU$54&lt;&gt;"Y",BI49&lt;='Outfall 1 Limits'!$AL$120),0,(1*BI49)),BI49),"")</f>
        <v/>
      </c>
      <c r="DZ49" s="206" t="str">
        <f>IF(BK49&lt;&gt;"",IF(BJ49="&lt;",IF(AND('Outfall 1 Limits'!$AM$124="Y",$CV$54&lt;&gt;"Y",BK49&lt;='Outfall 1 Limits'!$AL$124),0,(1*BK49)),BK49),"")</f>
        <v/>
      </c>
      <c r="EA49" s="223" t="str">
        <f>IF(BM49&lt;&gt;"",IF(BL49="&lt;",IF(AND('Outfall 1 Limits'!$AM$128="Y",$CW$54&lt;&gt;"Y",BM49&lt;='Outfall 1 Limits'!$AL$128),0,(1*BM49)),BM49),"")</f>
        <v/>
      </c>
      <c r="EB49" s="176"/>
      <c r="FG49" s="212" t="str">
        <f>IF(AND($G49&lt;&gt;"",$G49&gt;0,'Outfall 1 Limits'!$AX$16="C1",I49&lt;&gt;""),I49*$G49*8.34,IF(AND($I49&lt;&gt;"",'Outfall 1 Limits'!$AX$16="L"),I49,""))</f>
        <v/>
      </c>
      <c r="FH49" s="206" t="str">
        <f>IF(AND($G49&lt;&gt;"",$G49&gt;0,'Outfall 1 Limits'!$AX$20="C1",$K49&lt;&gt;""),$K49*$G49*8.34,IF(AND($K49&lt;&gt;"",'Outfall 1 Limits'!$AX$20="L"),$K49,""))</f>
        <v/>
      </c>
      <c r="FI49" s="206" t="str">
        <f>IF(AND($G49&lt;&gt;"",$G49&gt;0,'Outfall 1 Limits'!$AX$24="C1",$M49&lt;&gt;""),$M49*$G49*8.34,IF(AND($M49&lt;&gt;"",'Outfall 1 Limits'!$AX$24="L"),$M49,""))</f>
        <v/>
      </c>
      <c r="FJ49" s="206" t="str">
        <f>IF(AND($G49&lt;&gt;"",$G49&gt;0,'Outfall 1 Limits'!$AX$28="C1",$O49&lt;&gt;""),$O49*$G49*8.34,IF(AND($O49&lt;&gt;"",'Outfall 1 Limits'!$AX$28="L"),$O49,""))</f>
        <v/>
      </c>
      <c r="FK49" s="206" t="str">
        <f>IF(AND($G49&lt;&gt;"",$G49&gt;0,'Outfall 1 Limits'!$AX$32="C1",$Q49&lt;&gt;""),$Q49*$G49*8.34,IF(AND($Q49&lt;&gt;"",'Outfall 1 Limits'!$AX$32="L"),$Q49,""))</f>
        <v/>
      </c>
      <c r="FL49" s="206" t="str">
        <f>IF(AND($G49&lt;&gt;"",$G49&gt;0,'Outfall 1 Limits'!$AX$36="C1",$S49&lt;&gt;""),$S49*$G49*8.34,IF(AND($S49&lt;&gt;"",'Outfall 1 Limits'!$AX$36="L"),$S49,""))</f>
        <v/>
      </c>
      <c r="FM49" s="206" t="str">
        <f>IF(AND($G49&lt;&gt;"",$G49&gt;0,'Outfall 1 Limits'!$AX$40="C1",$U49&lt;&gt;""),$U49*$G49*8.34,IF(AND($U49&lt;&gt;"",'Outfall 1 Limits'!$AX$40="L"),$U49,""))</f>
        <v/>
      </c>
      <c r="FN49" s="206" t="str">
        <f>IF(AND($G49&lt;&gt;"",$G49&gt;0,'Outfall 1 Limits'!$AX$44="C1",$W49&lt;&gt;""),$W49*$G49*8.34,IF(AND($W49&lt;&gt;"",'Outfall 1 Limits'!$AX$44="L"),$W49,""))</f>
        <v/>
      </c>
      <c r="FO49" s="206" t="str">
        <f>IF(AND($G49&lt;&gt;"",$G49&gt;0,'Outfall 1 Limits'!$AX$48="C1",$Y49&lt;&gt;""),$Y49*$G49*8.34,IF(AND($Y49&lt;&gt;"",'Outfall 1 Limits'!$AX$48="L"),$Y49,""))</f>
        <v/>
      </c>
      <c r="FP49" s="206" t="str">
        <f>IF(AND($G49&lt;&gt;"",$G49&gt;0,'Outfall 1 Limits'!$AX$52="C1",$AA49&lt;&gt;""),$AA49*$G49*8.34,IF(AND($AA49&lt;&gt;"",'Outfall 1 Limits'!$AX$52="L"),$AA49,""))</f>
        <v/>
      </c>
      <c r="FQ49" s="206" t="str">
        <f>IF(AND($G49&lt;&gt;"",$G49&gt;0,'Outfall 1 Limits'!$AX$56="C1",$AC49&lt;&gt;""),$AC49*$G49*8.34,IF(AND($AC49&lt;&gt;"",'Outfall 1 Limits'!$AX$56="L"),$AC49,""))</f>
        <v/>
      </c>
      <c r="FR49" s="206" t="str">
        <f>IF(AND($G49&lt;&gt;"",$G49&gt;0,'Outfall 1 Limits'!$AX$60="C1",$AE49&lt;&gt;""),$AE49*$G49*8.34,IF(AND($AE49&lt;&gt;"",'Outfall 1 Limits'!$AX$60="L"),$AE49,""))</f>
        <v/>
      </c>
      <c r="FS49" s="206" t="str">
        <f>IF(AND($G49&lt;&gt;"",$G49&gt;0,'Outfall 1 Limits'!$AX$64="C1",$AG49&lt;&gt;""),$AG49*$G49*8.34,IF(AND($AG49&lt;&gt;"",'Outfall 1 Limits'!$AX$64="L"),$AG49,""))</f>
        <v/>
      </c>
      <c r="FT49" s="206" t="str">
        <f>IF(AND($G49&lt;&gt;"",$G49&gt;0,'Outfall 1 Limits'!$AX$68="C1",$AI49&lt;&gt;""),$AI49*$G49*8.34,IF(AND($AI49&lt;&gt;"",'Outfall 1 Limits'!$AX$68="L"),$AI49,""))</f>
        <v/>
      </c>
      <c r="FU49" s="206" t="str">
        <f>IF(AND($G49&lt;&gt;"",$G49&gt;0,'Outfall 1 Limits'!$AX$72="C1",$AK49&lt;&gt;""),$AK49*$G49*8.34,IF(AND($AK49&lt;&gt;"",'Outfall 1 Limits'!$AX$72="L"),$AK49,""))</f>
        <v/>
      </c>
      <c r="FV49" s="206" t="str">
        <f>IF(AND($G49&lt;&gt;"",$G49&gt;0,'Outfall 1 Limits'!$AX$76="C1",$AM49&lt;&gt;""),$AM49*$G49*8.34,IF(AND($AM49&lt;&gt;"",'Outfall 1 Limits'!$AX$76="L"),$AM49,""))</f>
        <v/>
      </c>
      <c r="FW49" s="206" t="str">
        <f>IF(AND($G49&lt;&gt;"",$G49&gt;0,'Outfall 1 Limits'!$AX$80="C1",$AO49&lt;&gt;""),$AO49*$G49*8.34,IF(AND($AO49&lt;&gt;"",'Outfall 1 Limits'!$AX$80="L"),$AO49,""))</f>
        <v/>
      </c>
      <c r="FX49" s="206" t="str">
        <f>IF(AND($G49&lt;&gt;"",$G49&gt;0,'Outfall 1 Limits'!$AX$84="C1",$AQ49&lt;&gt;""),$AQ49*$G49*8.34,IF(AND($AQ49&lt;&gt;"",'Outfall 1 Limits'!$AX$84="L"),$AQ49,""))</f>
        <v/>
      </c>
      <c r="FY49" s="206" t="str">
        <f>IF(AND($G49&lt;&gt;"",$G49&gt;0,'Outfall 1 Limits'!$AX$88="C1",$AS49&lt;&gt;""),$AS49*$G49*8.34,IF(AND($AS49&lt;&gt;"",'Outfall 1 Limits'!$AX$88="L"),$AS49,""))</f>
        <v/>
      </c>
      <c r="FZ49" s="206" t="str">
        <f>IF(AND($G49&lt;&gt;"",$G49&gt;0,'Outfall 1 Limits'!$AX$92="C1",$AU49&lt;&gt;""),$AU49*$G49*8.34,IF(AND($AU49&lt;&gt;"",'Outfall 1 Limits'!$AX$92="L"),$AU49,""))</f>
        <v/>
      </c>
      <c r="GA49" s="206" t="str">
        <f>IF(AND($G49&lt;&gt;"",$G49&gt;0,'Outfall 1 Limits'!$AX$96="C1",$AW49&lt;&gt;""),$AW49*$G49*8.34,IF(AND($AW49&lt;&gt;"",'Outfall 1 Limits'!$AX$96="L"),$AW49,""))</f>
        <v/>
      </c>
      <c r="GB49" s="206" t="str">
        <f>IF(AND($G49&lt;&gt;"",$G49&gt;0,'Outfall 1 Limits'!$AX$100="C1",$AY49&lt;&gt;""),$AY49*$G49*8.34,IF(AND($AY49&lt;&gt;"",'Outfall 1 Limits'!$AX$100="L"),$AY49,""))</f>
        <v/>
      </c>
      <c r="GC49" s="206" t="str">
        <f>IF(AND($G49&lt;&gt;"",$G49&gt;0,'Outfall 1 Limits'!$AX$104="C1",$BA49&lt;&gt;""),$BA49*$G49*8.34,IF(AND($BA49&lt;&gt;"",'Outfall 1 Limits'!$AX$104="L"),$BA49,""))</f>
        <v/>
      </c>
      <c r="GD49" s="206" t="str">
        <f>IF(AND($G49&lt;&gt;"",$G49&gt;0,'Outfall 1 Limits'!$AX$108="C1",$BC49&lt;&gt;""),$BC49*$G49*8.34,IF(AND($BC49&lt;&gt;"",'Outfall 1 Limits'!$AX$108="L"),$BC49,""))</f>
        <v/>
      </c>
      <c r="GE49" s="206" t="str">
        <f>IF(AND($G49&lt;&gt;"",$G49&gt;0,'Outfall 1 Limits'!$AX$112="C1",$BE49&lt;&gt;""),$BE49*$G49*8.34,IF(AND($BE49&lt;&gt;"",'Outfall 1 Limits'!$AX$112="L"),$BE49,""))</f>
        <v/>
      </c>
      <c r="GF49" s="206" t="str">
        <f>IF(AND($G49&lt;&gt;"",$G49&gt;0,'Outfall 1 Limits'!$AX$116="C1",$BG49&lt;&gt;""),$BG49*$G49*8.34,IF(AND($BG49&lt;&gt;"",'Outfall 1 Limits'!$AX$116="L"),$BG49,""))</f>
        <v/>
      </c>
      <c r="GG49" s="206" t="str">
        <f>IF(AND($G49&lt;&gt;"",$G49&gt;0,'Outfall 1 Limits'!$AX$120="C1",$BI49&lt;&gt;""),$BI49*$G49*8.34,IF(AND($BI49&lt;&gt;"",'Outfall 1 Limits'!$AX$120="L"),$BI49,""))</f>
        <v/>
      </c>
      <c r="GH49" s="206" t="str">
        <f>IF(AND($G49&lt;&gt;"",$G49&gt;0,'Outfall 1 Limits'!$AX$124="C1",$BK49&lt;&gt;""),$BK49*$G49*8.34,IF(AND($BK49&lt;&gt;"",'Outfall 1 Limits'!$AX$124="L"),$BK49,""))</f>
        <v/>
      </c>
      <c r="GI49" s="223" t="str">
        <f>IF(AND($G49&lt;&gt;"",$G49&gt;0,'Outfall 1 Limits'!$AX$128="C1",$BM49&lt;&gt;""),$BM49*$G49*8.34,IF(AND($BM49&lt;&gt;"",'Outfall 1 Limits'!$AX$128="L"),$BM49,""))</f>
        <v/>
      </c>
      <c r="GJ49" s="177" t="str">
        <f t="shared" si="59"/>
        <v/>
      </c>
      <c r="GK49" s="212" t="str">
        <f>IF(AND($G49&lt;&gt;"",$G49&gt;0,'Outfall 1 Limits'!$AX$16="C1",CY49&lt;&gt;""),CY49*$G49*8.34,IF(AND(CY49&lt;&gt;"",'Outfall 1 Limits'!$AX$16="L"),CY49,""))</f>
        <v/>
      </c>
      <c r="GL49" s="206" t="str">
        <f>IF(AND($G49&lt;&gt;"",$G49&gt;0,'Outfall 1 Limits'!$AX$20="C1",CZ49&lt;&gt;""),CZ49*$G49*8.34,IF(AND(CZ49&lt;&gt;"",'Outfall 1 Limits'!$AX$20="L"),CZ49,""))</f>
        <v/>
      </c>
      <c r="GM49" s="206" t="str">
        <f>IF(AND($G49&lt;&gt;"",$G49&gt;0,'Outfall 1 Limits'!$AX$24="C1",DA49&lt;&gt;""),DA49*$G49*8.34,IF(AND(DA49&lt;&gt;"",'Outfall 1 Limits'!$AX$24="L"),DA49,""))</f>
        <v/>
      </c>
      <c r="GN49" s="206" t="str">
        <f>IF(AND($G49&lt;&gt;"",$G49&gt;0,'Outfall 1 Limits'!$AX$28="C1",DB49&lt;&gt;""),DB49*$G49*8.34,IF(AND(DB49&lt;&gt;"",'Outfall 1 Limits'!$AX$28="L"),DB49,""))</f>
        <v/>
      </c>
      <c r="GO49" s="206" t="str">
        <f>IF(AND($G49&lt;&gt;"",$G49&gt;0,'Outfall 1 Limits'!$AX$32="C1",DC49&lt;&gt;""),DC49*$G49*8.34,IF(AND(DC49&lt;&gt;"",'Outfall 1 Limits'!$AX$32="L"),DC49,""))</f>
        <v/>
      </c>
      <c r="GP49" s="206" t="str">
        <f>IF(AND($G49&lt;&gt;"",$G49&gt;0,'Outfall 1 Limits'!$AX$36="C1",DD49&lt;&gt;""),DD49*$G49*8.34,IF(AND(DD49&lt;&gt;"",'Outfall 1 Limits'!$AX$36="L"),DD49,""))</f>
        <v/>
      </c>
      <c r="GQ49" s="206" t="str">
        <f>IF(AND($G49&lt;&gt;"",$G49&gt;0,'Outfall 1 Limits'!$AX$40="C1",DE49&lt;&gt;""),DE49*$G49*8.34,IF(AND(DE49&lt;&gt;"",'Outfall 1 Limits'!$AX$40="L"),DE49,""))</f>
        <v/>
      </c>
      <c r="GR49" s="206" t="str">
        <f>IF(AND($G49&lt;&gt;"",$G49&gt;0,'Outfall 1 Limits'!$AX$44="C1",DF49&lt;&gt;""),DF49*$G49*8.34,IF(AND(DF49&lt;&gt;"",'Outfall 1 Limits'!$AX$44="L"),DF49,""))</f>
        <v/>
      </c>
      <c r="GS49" s="206" t="str">
        <f>IF(AND($G49&lt;&gt;"",$G49&gt;0,'Outfall 1 Limits'!$AX$48="C1",DG49&lt;&gt;""),DG49*$G49*8.34,IF(AND(DG49&lt;&gt;"",'Outfall 1 Limits'!$AX$48="L"),DG49,""))</f>
        <v/>
      </c>
      <c r="GT49" s="206" t="str">
        <f>IF(AND($G49&lt;&gt;"",$G49&gt;0,'Outfall 1 Limits'!$AX$52="C1",DH49&lt;&gt;""),DH49*$G49*8.34,IF(AND(DH49&lt;&gt;"",'Outfall 1 Limits'!$AX$52="L"),DH49,""))</f>
        <v/>
      </c>
      <c r="GU49" s="206" t="str">
        <f>IF(AND($G49&lt;&gt;"",$G49&gt;0,'Outfall 1 Limits'!$AX$56="C1",DI49&lt;&gt;""),DI49*$G49*8.34,IF(AND(DI49&lt;&gt;"",'Outfall 1 Limits'!$AX$56="L"),DI49,""))</f>
        <v/>
      </c>
      <c r="GV49" s="206" t="str">
        <f>IF(AND($G49&lt;&gt;"",$G49&gt;0,'Outfall 1 Limits'!$AX$60="C1",DJ49&lt;&gt;""),DJ49*$G49*8.34,IF(AND(DJ49&lt;&gt;"",'Outfall 1 Limits'!$AX$60="L"),DJ49,""))</f>
        <v/>
      </c>
      <c r="GW49" s="206" t="str">
        <f>IF(AND($G49&lt;&gt;"",$G49&gt;0,'Outfall 1 Limits'!$AX$64="C1",DK49&lt;&gt;""),DK49*$G49*8.34,IF(AND(DK49&lt;&gt;"",'Outfall 1 Limits'!$AX$64="L"),DK49,""))</f>
        <v/>
      </c>
      <c r="GX49" s="206" t="str">
        <f>IF(AND($G49&lt;&gt;"",$G49&gt;0,'Outfall 1 Limits'!$AX$68="C1",DL49&lt;&gt;""),DL49*$G49*8.34,IF(AND(DL49&lt;&gt;"",'Outfall 1 Limits'!$AX$68="L"),DL49,""))</f>
        <v/>
      </c>
      <c r="GY49" s="206" t="str">
        <f>IF(AND($G49&lt;&gt;"",$G49&gt;0,'Outfall 1 Limits'!$AX$72="C1",DM49&lt;&gt;""),DM49*$G49*8.34,IF(AND(DM49&lt;&gt;"",'Outfall 1 Limits'!$AX$72="L"),DM49,""))</f>
        <v/>
      </c>
      <c r="GZ49" s="206" t="str">
        <f>IF(AND($G49&lt;&gt;"",$G49&gt;0,'Outfall 1 Limits'!$AX$76="C1",DN49&lt;&gt;""),DN49*$G49*8.34,IF(AND(DN49&lt;&gt;"",'Outfall 1 Limits'!$AX$76="L"),DN49,""))</f>
        <v/>
      </c>
      <c r="HA49" s="206" t="str">
        <f>IF(AND($G49&lt;&gt;"",$G49&gt;0,'Outfall 1 Limits'!$AX$80="C1",DO49&lt;&gt;""),DO49*$G49*8.34,IF(AND(DO49&lt;&gt;"",'Outfall 1 Limits'!$AX$80="L"),DO49,""))</f>
        <v/>
      </c>
      <c r="HB49" s="206" t="str">
        <f>IF(AND($G49&lt;&gt;"",$G49&gt;0,'Outfall 1 Limits'!$AX$84="C1",DP49&lt;&gt;""),DP49*$G49*8.34,IF(AND(DP49&lt;&gt;"",'Outfall 1 Limits'!$AX$84="L"),DP49,""))</f>
        <v/>
      </c>
      <c r="HC49" s="206" t="str">
        <f>IF(AND($G49&lt;&gt;"",$G49&gt;0,'Outfall 1 Limits'!$AX$88="C1",DQ49&lt;&gt;""),DQ49*$G49*8.34,IF(AND(DQ49&lt;&gt;"",'Outfall 1 Limits'!$AX$88="L"),DQ49,""))</f>
        <v/>
      </c>
      <c r="HD49" s="206" t="str">
        <f>IF(AND($G49&lt;&gt;"",$G49&gt;0,'Outfall 1 Limits'!$AX$92="C1",DR49&lt;&gt;""),DR49*$G49*8.34,IF(AND(DR49&lt;&gt;"",'Outfall 1 Limits'!$AX$92="L"),DR49,""))</f>
        <v/>
      </c>
      <c r="HE49" s="206" t="str">
        <f>IF(AND($G49&lt;&gt;"",$G49&gt;0,'Outfall 1 Limits'!$AX$96="C1",DS49&lt;&gt;""),DS49*$G49*8.34,IF(AND(DS49&lt;&gt;"",'Outfall 1 Limits'!$AX$96="L"),DS49,""))</f>
        <v/>
      </c>
      <c r="HF49" s="206" t="str">
        <f>IF(AND($G49&lt;&gt;"",$G49&gt;0,'Outfall 1 Limits'!$AX$100="C1",DT49&lt;&gt;""),DT49*$G49*8.34,IF(AND(DT49&lt;&gt;"",'Outfall 1 Limits'!$AX$100="L"),DT49,""))</f>
        <v/>
      </c>
      <c r="HG49" s="206" t="str">
        <f>IF(AND($G49&lt;&gt;"",$G49&gt;0,'Outfall 1 Limits'!$AX$104="C1",DU49&lt;&gt;""),DU49*$G49*8.34,IF(AND(DU49&lt;&gt;"",'Outfall 1 Limits'!$AX$104="L"),DU49,""))</f>
        <v/>
      </c>
      <c r="HH49" s="206" t="str">
        <f>IF(AND($G49&lt;&gt;"",$G49&gt;0,'Outfall 1 Limits'!$AX$108="C1",DV49&lt;&gt;""),DV49*$G49*8.34,IF(AND(DV49&lt;&gt;"",'Outfall 1 Limits'!$AX$108="L"),DV49,""))</f>
        <v/>
      </c>
      <c r="HI49" s="206" t="str">
        <f>IF(AND($G49&lt;&gt;"",$G49&gt;0,'Outfall 1 Limits'!$AX$112="C1",DW49&lt;&gt;""),DW49*$G49*8.34,IF(AND(DW49&lt;&gt;"",'Outfall 1 Limits'!$AX$112="L"),DW49,""))</f>
        <v/>
      </c>
      <c r="HJ49" s="206" t="str">
        <f>IF(AND($G49&lt;&gt;"",$G49&gt;0,'Outfall 1 Limits'!$AX$116="C1",DX49&lt;&gt;""),DX49*$G49*8.34,IF(AND(DX49&lt;&gt;"",'Outfall 1 Limits'!$AX$116="L"),DX49,""))</f>
        <v/>
      </c>
      <c r="HK49" s="206" t="str">
        <f>IF(AND($G49&lt;&gt;"",$G49&gt;0,'Outfall 1 Limits'!$AX$120="C1",DY49&lt;&gt;""),DY49*$G49*8.34,IF(AND(DY49&lt;&gt;"",'Outfall 1 Limits'!$AX$120="L"),DY49,""))</f>
        <v/>
      </c>
      <c r="HL49" s="206" t="str">
        <f>IF(AND($G49&lt;&gt;"",$G49&gt;0,'Outfall 1 Limits'!$AX$124="C1",DZ49&lt;&gt;""),DZ49*$G49*8.34,IF(AND(DZ49&lt;&gt;"",'Outfall 1 Limits'!$AX$124="L"),DZ49,""))</f>
        <v/>
      </c>
      <c r="HM49" s="223" t="str">
        <f>IF(AND($G49&lt;&gt;"",$G49&gt;0,'Outfall 1 Limits'!$AX$128="C1",EA49&lt;&gt;""),EA49*$G49*8.34,IF(AND(EA49&lt;&gt;"",'Outfall 1 Limits'!$AX$128="L"),EA49,""))</f>
        <v/>
      </c>
      <c r="HO49" s="224" t="str">
        <f t="shared" si="60"/>
        <v/>
      </c>
      <c r="HS49" s="202" t="str">
        <f t="shared" si="61"/>
        <v/>
      </c>
      <c r="HT49" s="196" t="str">
        <f t="shared" si="62"/>
        <v/>
      </c>
      <c r="HU49" s="196" t="str">
        <f t="shared" si="63"/>
        <v/>
      </c>
      <c r="HV49" s="196" t="str">
        <f t="shared" si="64"/>
        <v/>
      </c>
      <c r="HW49" s="196" t="str">
        <f t="shared" si="65"/>
        <v/>
      </c>
      <c r="HX49" s="196" t="str">
        <f t="shared" si="66"/>
        <v/>
      </c>
      <c r="HY49" s="196" t="str">
        <f t="shared" si="67"/>
        <v/>
      </c>
      <c r="HZ49" s="196" t="str">
        <f t="shared" si="68"/>
        <v/>
      </c>
      <c r="IA49" s="196" t="str">
        <f t="shared" si="69"/>
        <v/>
      </c>
      <c r="IB49" s="196" t="str">
        <f t="shared" si="70"/>
        <v/>
      </c>
      <c r="IC49" s="196" t="str">
        <f t="shared" si="71"/>
        <v/>
      </c>
      <c r="ID49" s="196" t="str">
        <f t="shared" si="72"/>
        <v/>
      </c>
      <c r="IE49" s="196" t="str">
        <f t="shared" si="73"/>
        <v/>
      </c>
      <c r="IF49" s="196" t="str">
        <f t="shared" si="74"/>
        <v/>
      </c>
      <c r="IG49" s="196" t="str">
        <f t="shared" si="75"/>
        <v/>
      </c>
      <c r="IH49" s="196" t="str">
        <f t="shared" si="76"/>
        <v/>
      </c>
      <c r="II49" s="196" t="str">
        <f t="shared" si="77"/>
        <v/>
      </c>
      <c r="IJ49" s="196" t="str">
        <f t="shared" si="78"/>
        <v/>
      </c>
      <c r="IK49" s="196" t="str">
        <f t="shared" si="79"/>
        <v/>
      </c>
      <c r="IL49" s="196" t="str">
        <f t="shared" si="80"/>
        <v/>
      </c>
      <c r="IM49" s="196" t="str">
        <f t="shared" si="81"/>
        <v/>
      </c>
      <c r="IN49" s="196" t="str">
        <f t="shared" si="82"/>
        <v/>
      </c>
      <c r="IO49" s="196" t="str">
        <f t="shared" si="83"/>
        <v/>
      </c>
      <c r="IP49" s="196" t="str">
        <f t="shared" si="84"/>
        <v/>
      </c>
      <c r="IQ49" s="196" t="str">
        <f t="shared" si="85"/>
        <v/>
      </c>
      <c r="IR49" s="196" t="str">
        <f t="shared" si="86"/>
        <v/>
      </c>
      <c r="IS49" s="196" t="str">
        <f t="shared" si="87"/>
        <v/>
      </c>
      <c r="IT49" s="196" t="str">
        <f t="shared" si="88"/>
        <v/>
      </c>
      <c r="IU49" s="210" t="str">
        <f t="shared" si="89"/>
        <v/>
      </c>
      <c r="IX49" s="202" t="str">
        <f t="shared" si="90"/>
        <v/>
      </c>
      <c r="IY49" s="196" t="str">
        <f t="shared" si="91"/>
        <v/>
      </c>
      <c r="IZ49" s="196" t="str">
        <f t="shared" si="92"/>
        <v/>
      </c>
      <c r="JA49" s="196" t="str">
        <f t="shared" si="93"/>
        <v/>
      </c>
      <c r="JB49" s="196" t="str">
        <f t="shared" si="94"/>
        <v/>
      </c>
      <c r="JC49" s="196" t="str">
        <f t="shared" si="95"/>
        <v/>
      </c>
      <c r="JD49" s="196" t="str">
        <f t="shared" si="96"/>
        <v/>
      </c>
      <c r="JE49" s="196" t="str">
        <f t="shared" si="97"/>
        <v/>
      </c>
      <c r="JF49" s="196" t="str">
        <f t="shared" si="98"/>
        <v/>
      </c>
      <c r="JG49" s="196" t="str">
        <f t="shared" si="99"/>
        <v/>
      </c>
      <c r="JH49" s="196" t="str">
        <f t="shared" si="100"/>
        <v/>
      </c>
      <c r="JI49" s="196" t="str">
        <f t="shared" si="101"/>
        <v/>
      </c>
      <c r="JJ49" s="196" t="str">
        <f t="shared" si="102"/>
        <v/>
      </c>
      <c r="JK49" s="196" t="str">
        <f t="shared" si="103"/>
        <v/>
      </c>
      <c r="JL49" s="196" t="str">
        <f t="shared" si="104"/>
        <v/>
      </c>
      <c r="JM49" s="196" t="str">
        <f t="shared" si="105"/>
        <v/>
      </c>
      <c r="JN49" s="196" t="str">
        <f t="shared" si="106"/>
        <v/>
      </c>
      <c r="JO49" s="196" t="str">
        <f t="shared" si="107"/>
        <v/>
      </c>
      <c r="JP49" s="196" t="str">
        <f t="shared" si="108"/>
        <v/>
      </c>
      <c r="JQ49" s="196" t="str">
        <f t="shared" si="109"/>
        <v/>
      </c>
      <c r="JR49" s="196" t="str">
        <f t="shared" si="110"/>
        <v/>
      </c>
      <c r="JS49" s="196" t="str">
        <f t="shared" si="111"/>
        <v/>
      </c>
      <c r="JT49" s="196" t="str">
        <f t="shared" si="112"/>
        <v/>
      </c>
      <c r="JU49" s="196" t="str">
        <f t="shared" si="113"/>
        <v/>
      </c>
      <c r="JV49" s="196" t="str">
        <f t="shared" si="114"/>
        <v/>
      </c>
      <c r="JW49" s="196" t="str">
        <f t="shared" si="115"/>
        <v/>
      </c>
      <c r="JX49" s="196" t="str">
        <f t="shared" si="116"/>
        <v/>
      </c>
      <c r="JY49" s="196" t="str">
        <f t="shared" si="117"/>
        <v/>
      </c>
      <c r="JZ49" s="210" t="str">
        <f t="shared" si="118"/>
        <v/>
      </c>
      <c r="KA49" s="196"/>
      <c r="KB49" s="176"/>
      <c r="KC49" s="227"/>
      <c r="KD49" s="218" t="str">
        <f t="shared" si="2"/>
        <v/>
      </c>
      <c r="KE49" s="196" t="str">
        <f t="shared" si="3"/>
        <v/>
      </c>
      <c r="KF49" s="196" t="str">
        <f t="shared" si="4"/>
        <v/>
      </c>
      <c r="KG49" s="196" t="str">
        <f t="shared" si="5"/>
        <v/>
      </c>
      <c r="KH49" s="196" t="str">
        <f t="shared" si="6"/>
        <v/>
      </c>
      <c r="KI49" s="196" t="str">
        <f t="shared" si="7"/>
        <v/>
      </c>
      <c r="KJ49" s="196" t="str">
        <f t="shared" si="8"/>
        <v/>
      </c>
      <c r="KK49" s="196" t="str">
        <f t="shared" si="9"/>
        <v/>
      </c>
      <c r="KL49" s="196" t="str">
        <f t="shared" si="10"/>
        <v/>
      </c>
      <c r="KM49" s="196" t="str">
        <f t="shared" si="11"/>
        <v/>
      </c>
      <c r="KN49" s="196" t="str">
        <f t="shared" si="12"/>
        <v/>
      </c>
      <c r="KO49" s="196" t="str">
        <f t="shared" si="13"/>
        <v/>
      </c>
      <c r="KP49" s="196" t="str">
        <f t="shared" si="14"/>
        <v/>
      </c>
      <c r="KQ49" s="196" t="str">
        <f t="shared" si="15"/>
        <v/>
      </c>
      <c r="KR49" s="196" t="str">
        <f t="shared" si="16"/>
        <v/>
      </c>
      <c r="KS49" s="196" t="str">
        <f t="shared" si="17"/>
        <v/>
      </c>
      <c r="KT49" s="196" t="str">
        <f t="shared" si="18"/>
        <v/>
      </c>
      <c r="KU49" s="196" t="str">
        <f t="shared" si="19"/>
        <v/>
      </c>
      <c r="KV49" s="196" t="str">
        <f t="shared" si="20"/>
        <v/>
      </c>
      <c r="KW49" s="196" t="str">
        <f t="shared" si="21"/>
        <v/>
      </c>
      <c r="KX49" s="196" t="str">
        <f t="shared" si="22"/>
        <v/>
      </c>
      <c r="KY49" s="196" t="str">
        <f t="shared" si="23"/>
        <v/>
      </c>
      <c r="KZ49" s="196" t="str">
        <f t="shared" si="24"/>
        <v/>
      </c>
      <c r="LA49" s="196" t="str">
        <f t="shared" si="25"/>
        <v/>
      </c>
      <c r="LB49" s="196" t="str">
        <f t="shared" si="26"/>
        <v/>
      </c>
      <c r="LC49" s="196" t="str">
        <f t="shared" si="27"/>
        <v/>
      </c>
      <c r="LD49" s="196" t="str">
        <f t="shared" si="28"/>
        <v/>
      </c>
      <c r="LE49" s="196" t="str">
        <f t="shared" si="29"/>
        <v/>
      </c>
      <c r="LF49" s="219" t="str">
        <f t="shared" si="30"/>
        <v/>
      </c>
    </row>
    <row r="50" spans="1:318" s="172" customFormat="1" ht="11.45" customHeight="1" x14ac:dyDescent="0.2">
      <c r="A50" s="35"/>
      <c r="B50" s="54"/>
      <c r="C50" s="438">
        <f t="shared" si="0"/>
        <v>45324</v>
      </c>
      <c r="D50" s="438"/>
      <c r="E50" s="430">
        <f t="shared" si="119"/>
        <v>45324</v>
      </c>
      <c r="F50" s="431"/>
      <c r="G50" s="26"/>
      <c r="H50" s="51"/>
      <c r="I50" s="50"/>
      <c r="J50" s="51"/>
      <c r="K50" s="50"/>
      <c r="L50" s="51"/>
      <c r="M50" s="50"/>
      <c r="N50" s="51"/>
      <c r="O50" s="50"/>
      <c r="P50" s="51"/>
      <c r="Q50" s="50"/>
      <c r="R50" s="51"/>
      <c r="S50" s="50"/>
      <c r="T50" s="51"/>
      <c r="U50" s="50"/>
      <c r="V50" s="51"/>
      <c r="W50" s="50"/>
      <c r="X50" s="276"/>
      <c r="Y50" s="50"/>
      <c r="Z50" s="51"/>
      <c r="AA50" s="50"/>
      <c r="AB50" s="51"/>
      <c r="AC50" s="50"/>
      <c r="AD50" s="51"/>
      <c r="AE50" s="50"/>
      <c r="AF50" s="51"/>
      <c r="AG50" s="50"/>
      <c r="AH50" s="51"/>
      <c r="AI50" s="50"/>
      <c r="AJ50" s="51"/>
      <c r="AK50" s="50"/>
      <c r="AL50" s="51"/>
      <c r="AM50" s="50"/>
      <c r="AN50" s="51"/>
      <c r="AO50" s="50"/>
      <c r="AP50" s="51"/>
      <c r="AQ50" s="50"/>
      <c r="AR50" s="51"/>
      <c r="AS50" s="50"/>
      <c r="AT50" s="51"/>
      <c r="AU50" s="50"/>
      <c r="AV50" s="51"/>
      <c r="AW50" s="50"/>
      <c r="AX50" s="51"/>
      <c r="AY50" s="50"/>
      <c r="AZ50" s="51"/>
      <c r="BA50" s="50"/>
      <c r="BB50" s="51"/>
      <c r="BC50" s="50"/>
      <c r="BD50" s="51"/>
      <c r="BE50" s="50"/>
      <c r="BF50" s="51"/>
      <c r="BG50" s="50"/>
      <c r="BH50" s="51"/>
      <c r="BI50" s="50"/>
      <c r="BJ50" s="51"/>
      <c r="BK50" s="50"/>
      <c r="BL50" s="51"/>
      <c r="BM50" s="109"/>
      <c r="BO50" s="174"/>
      <c r="BP50" s="174">
        <v>2069</v>
      </c>
      <c r="BQ50" s="221" t="s">
        <v>67</v>
      </c>
      <c r="BR50" s="222"/>
      <c r="BS50" s="174"/>
      <c r="BU50" s="202" t="str">
        <f t="shared" si="31"/>
        <v/>
      </c>
      <c r="BV50" s="196" t="str">
        <f t="shared" si="32"/>
        <v/>
      </c>
      <c r="BW50" s="196" t="str">
        <f t="shared" si="33"/>
        <v/>
      </c>
      <c r="BX50" s="196" t="str">
        <f t="shared" si="34"/>
        <v/>
      </c>
      <c r="BY50" s="196" t="str">
        <f t="shared" si="35"/>
        <v/>
      </c>
      <c r="BZ50" s="196" t="str">
        <f t="shared" si="36"/>
        <v/>
      </c>
      <c r="CA50" s="196" t="str">
        <f t="shared" si="37"/>
        <v/>
      </c>
      <c r="CB50" s="196" t="str">
        <f t="shared" si="38"/>
        <v/>
      </c>
      <c r="CC50" s="196" t="str">
        <f t="shared" si="39"/>
        <v/>
      </c>
      <c r="CD50" s="196" t="str">
        <f t="shared" si="40"/>
        <v/>
      </c>
      <c r="CE50" s="196" t="str">
        <f t="shared" si="41"/>
        <v/>
      </c>
      <c r="CF50" s="196" t="str">
        <f t="shared" si="42"/>
        <v/>
      </c>
      <c r="CG50" s="196" t="str">
        <f t="shared" si="43"/>
        <v/>
      </c>
      <c r="CH50" s="196" t="str">
        <f t="shared" si="44"/>
        <v/>
      </c>
      <c r="CI50" s="196" t="str">
        <f t="shared" si="45"/>
        <v/>
      </c>
      <c r="CJ50" s="196" t="str">
        <f t="shared" si="46"/>
        <v/>
      </c>
      <c r="CK50" s="196" t="str">
        <f t="shared" si="47"/>
        <v/>
      </c>
      <c r="CL50" s="196" t="str">
        <f t="shared" si="48"/>
        <v/>
      </c>
      <c r="CM50" s="196" t="str">
        <f t="shared" si="120"/>
        <v/>
      </c>
      <c r="CN50" s="196" t="str">
        <f t="shared" si="49"/>
        <v/>
      </c>
      <c r="CO50" s="196" t="str">
        <f t="shared" si="50"/>
        <v/>
      </c>
      <c r="CP50" s="196" t="str">
        <f t="shared" si="51"/>
        <v/>
      </c>
      <c r="CQ50" s="196" t="str">
        <f t="shared" si="52"/>
        <v/>
      </c>
      <c r="CR50" s="196" t="str">
        <f t="shared" si="53"/>
        <v/>
      </c>
      <c r="CS50" s="196" t="str">
        <f t="shared" si="54"/>
        <v/>
      </c>
      <c r="CT50" s="196" t="str">
        <f t="shared" si="55"/>
        <v/>
      </c>
      <c r="CU50" s="196" t="str">
        <f t="shared" si="56"/>
        <v/>
      </c>
      <c r="CV50" s="196" t="str">
        <f t="shared" si="57"/>
        <v/>
      </c>
      <c r="CW50" s="210" t="str">
        <f t="shared" si="58"/>
        <v/>
      </c>
      <c r="CY50" s="212" t="str">
        <f>IF(I50&lt;&gt;"",IF(H50="&lt;",IF(AND('Outfall 1 Limits'!$AM$16="Y",$BU$54&lt;&gt;"Y",I50&lt;='Outfall 1 Limits'!$AL$16),0,(1*I50)),I50),"")</f>
        <v/>
      </c>
      <c r="CZ50" s="206" t="str">
        <f>IF(K50&lt;&gt;"",IF(J50="&lt;",IF(AND('Outfall 1 Limits'!$AM$20="Y",$BV$54&lt;&gt;"Y",K50&lt;='Outfall 1 Limits'!$AL$20),0,(1*K50)),K50),"")</f>
        <v/>
      </c>
      <c r="DA50" s="206" t="str">
        <f>IF(M50&lt;&gt;"",IF(L50="&lt;",IF(AND('Outfall 1 Limits'!$AM$24="Y",$BW$54&lt;&gt;"Y",M50&lt;='Outfall 1 Limits'!$AL$24),0,(1*M50)),M50),"")</f>
        <v/>
      </c>
      <c r="DB50" s="206" t="str">
        <f>IF(O50&lt;&gt;"",IF(N50="&lt;",IF(AND('Outfall 1 Limits'!$AM$28="Y",$BX$54&lt;&gt;"Y",O50&lt;='Outfall 1 Limits'!$AL$28),0,(1*O50)),O50),"")</f>
        <v/>
      </c>
      <c r="DC50" s="206" t="str">
        <f>IF(Q50&lt;&gt;"",IF(P50="&lt;",IF(AND('Outfall 1 Limits'!$AM$32="Y",$BY$54&lt;&gt;"Y",Q50&lt;='Outfall 1 Limits'!$AL$32),0,(1*Q50)),Q50),"")</f>
        <v/>
      </c>
      <c r="DD50" s="206" t="str">
        <f>IF(S50&lt;&gt;"",IF(R50="&lt;",IF(AND('Outfall 1 Limits'!$AM$36="Y",$BZ$54&lt;&gt;"Y",S50&lt;='Outfall 1 Limits'!$AL$36),0,(1*S50)),S50),"")</f>
        <v/>
      </c>
      <c r="DE50" s="206" t="str">
        <f>IF(U50&lt;&gt;"",IF(T50="&lt;",IF(AND('Outfall 1 Limits'!$AM$40="Y",$CA$54&lt;&gt;"Y",U50&lt;='Outfall 1 Limits'!$AL$40),0,(1*U50)),U50),"")</f>
        <v/>
      </c>
      <c r="DF50" s="206" t="str">
        <f>IF(W50&lt;&gt;"",IF(V50="&lt;",IF(AND('Outfall 1 Limits'!$AM$44="Y",$CB$54&lt;&gt;"Y",W50&lt;='Outfall 1 Limits'!$AL$44),0,(1*W50)),W50),"")</f>
        <v/>
      </c>
      <c r="DG50" s="206" t="str">
        <f>IF(Y50&lt;&gt;"",IF(X50="&lt;",IF(AND('Outfall 1 Limits'!$AM$48="Y",$CC$54&lt;&gt;"Y",Y50&lt;='Outfall 1 Limits'!$AL$48),0,(1*Y50)),Y50),"")</f>
        <v/>
      </c>
      <c r="DH50" s="206" t="str">
        <f>IF(AA50&lt;&gt;"",IF(Z50="&lt;",IF(AND('Outfall 1 Limits'!$AM$52="Y",$CD$54&lt;&gt;"Y",AA50&lt;='Outfall 1 Limits'!$AL$52),0,(1*AA50)),AA50),"")</f>
        <v/>
      </c>
      <c r="DI50" s="206" t="str">
        <f>IF(AC50&lt;&gt;"",IF(AB50="&lt;",IF(AND('Outfall 1 Limits'!$AM$56="Y",$CE$54&lt;&gt;"Y",AC50&lt;='Outfall 1 Limits'!$AL$56),0,(1*AC50)),AC50),"")</f>
        <v/>
      </c>
      <c r="DJ50" s="206" t="str">
        <f>IF(AE50&lt;&gt;"",IF(AD50="&lt;",IF(AND('Outfall 1 Limits'!$AM$60="Y",$CF$54&lt;&gt;"Y",AE50&lt;='Outfall 1 Limits'!$AL$60),0,(1*AE50)),AE50),"")</f>
        <v/>
      </c>
      <c r="DK50" s="206" t="str">
        <f>IF(AG50&lt;&gt;"",IF(AF50="&lt;",IF(AND('Outfall 1 Limits'!$AM$64="Y",$CG$54&lt;&gt;"Y",AG50&lt;='Outfall 1 Limits'!$AL$64),0,(1*AG50)),AG50),"")</f>
        <v/>
      </c>
      <c r="DL50" s="206" t="str">
        <f>IF(AI50&lt;&gt;"",IF(AH50="&lt;",IF(AND('Outfall 1 Limits'!$AM$68="Y",$CH$54&lt;&gt;"Y",AI50&lt;='Outfall 1 Limits'!$AL$68),0,(1*AI50)),AI50),"")</f>
        <v/>
      </c>
      <c r="DM50" s="206" t="str">
        <f>IF(AK50&lt;&gt;"",IF(AJ50="&lt;",IF(AND('Outfall 1 Limits'!$AM$72="Y",$CI$54&lt;&gt;"Y",AK50&lt;='Outfall 1 Limits'!$AL$72),0,(1*AK50)),AK50),"")</f>
        <v/>
      </c>
      <c r="DN50" s="206" t="str">
        <f>IF(AM50&lt;&gt;"",IF(AL50="&lt;",IF(AND('Outfall 1 Limits'!$AM$76="Y",$CJ$54&lt;&gt;"Y",AM50&lt;='Outfall 1 Limits'!$AL$76),0,(1*AM50)),AM50),"")</f>
        <v/>
      </c>
      <c r="DO50" s="206" t="str">
        <f>IF(AO50&lt;&gt;"",IF(AN50="&lt;",IF(AND('Outfall 1 Limits'!$AM$80="Y",$CK$54&lt;&gt;"Y",AO50&lt;='Outfall 1 Limits'!$AL$80),0,(1*AO50)),AO50),"")</f>
        <v/>
      </c>
      <c r="DP50" s="206" t="str">
        <f>IF(AQ50&lt;&gt;"",IF(AP50="&lt;",IF(AND('Outfall 1 Limits'!$AM$84="Y",$CL$54&lt;&gt;"Y",AQ50&lt;='Outfall 1 Limits'!$AL$84),0,(1*AQ50)),AQ50),"")</f>
        <v/>
      </c>
      <c r="DQ50" s="206" t="str">
        <f>IF(AS50&lt;&gt;"",IF(AR50="&lt;",IF(AND('Outfall 1 Limits'!$AM$88="Y",$CM$54&lt;&gt;"Y",AS50&lt;='Outfall 1 Limits'!$AL$88),0,(1*AS50)),AS50),"")</f>
        <v/>
      </c>
      <c r="DR50" s="206" t="str">
        <f>IF(AU50&lt;&gt;"",IF(AT50="&lt;",IF(AND('Outfall 1 Limits'!$AM$92="Y",$CN$54&lt;&gt;"Y",AU50&lt;='Outfall 1 Limits'!$AL$92),0,(1*AU50)),AU50),"")</f>
        <v/>
      </c>
      <c r="DS50" s="206" t="str">
        <f>IF(AW50&lt;&gt;"",IF(AV50="&lt;",IF(AND('Outfall 1 Limits'!$AM$96="Y",$CO$54&lt;&gt;"Y",AW50&lt;='Outfall 1 Limits'!$AL$96),0,(1*AW50)),AW50),"")</f>
        <v/>
      </c>
      <c r="DT50" s="206" t="str">
        <f>IF(AY50&lt;&gt;"",IF(AX50="&lt;",IF(AND('Outfall 1 Limits'!$AM$100="Y",$CP$54&lt;&gt;"Y",AY50&lt;='Outfall 1 Limits'!$AL$100),0,(1*AY50)),AY50),"")</f>
        <v/>
      </c>
      <c r="DU50" s="206" t="str">
        <f>IF(BA50&lt;&gt;"",IF(AZ50="&lt;",IF(AND('Outfall 1 Limits'!$AM$104="Y",$CQ$54&lt;&gt;"Y",BA50&lt;='Outfall 1 Limits'!$AL$104),0,(1*BA50)),BA50),"")</f>
        <v/>
      </c>
      <c r="DV50" s="206" t="str">
        <f>IF(BC50&lt;&gt;"",IF(BB50="&lt;",IF(AND('Outfall 1 Limits'!$AM$108="Y",$CR$54&lt;&gt;"Y",BC50&lt;='Outfall 1 Limits'!$AL$108),0,(1*BC50)),BC50),"")</f>
        <v/>
      </c>
      <c r="DW50" s="206" t="str">
        <f>IF(BE50&lt;&gt;"",IF(BD50="&lt;",IF(AND('Outfall 1 Limits'!$AM$112="Y",$CS$54&lt;&gt;"Y",BE50&lt;='Outfall 1 Limits'!$AL$112),0,(1*BE50)),BE50),"")</f>
        <v/>
      </c>
      <c r="DX50" s="206" t="str">
        <f>IF(BG50&lt;&gt;"",IF(BF50="&lt;",IF(AND('Outfall 1 Limits'!$AM$116="Y",$CT$54&lt;&gt;"Y",BG50&lt;='Outfall 1 Limits'!$AL$116),0,(1*BG50)),BG50),"")</f>
        <v/>
      </c>
      <c r="DY50" s="206" t="str">
        <f>IF(BI50&lt;&gt;"",IF(BH50="&lt;",IF(AND('Outfall 1 Limits'!$AM$120="Y",$CU$54&lt;&gt;"Y",BI50&lt;='Outfall 1 Limits'!$AL$120),0,(1*BI50)),BI50),"")</f>
        <v/>
      </c>
      <c r="DZ50" s="206" t="str">
        <f>IF(BK50&lt;&gt;"",IF(BJ50="&lt;",IF(AND('Outfall 1 Limits'!$AM$124="Y",$CV$54&lt;&gt;"Y",BK50&lt;='Outfall 1 Limits'!$AL$124),0,(1*BK50)),BK50),"")</f>
        <v/>
      </c>
      <c r="EA50" s="223" t="str">
        <f>IF(BM50&lt;&gt;"",IF(BL50="&lt;",IF(AND('Outfall 1 Limits'!$AM$128="Y",$CW$54&lt;&gt;"Y",BM50&lt;='Outfall 1 Limits'!$AL$128),0,(1*BM50)),BM50),"")</f>
        <v/>
      </c>
      <c r="EB50" s="176"/>
      <c r="FG50" s="212" t="str">
        <f>IF(AND($G50&lt;&gt;"",$G50&gt;0,'Outfall 1 Limits'!$AX$16="C1",I50&lt;&gt;""),I50*$G50*8.34,IF(AND($I50&lt;&gt;"",'Outfall 1 Limits'!$AX$16="L"),I50,""))</f>
        <v/>
      </c>
      <c r="FH50" s="206" t="str">
        <f>IF(AND($G50&lt;&gt;"",$G50&gt;0,'Outfall 1 Limits'!$AX$20="C1",$K50&lt;&gt;""),$K50*$G50*8.34,IF(AND($K50&lt;&gt;"",'Outfall 1 Limits'!$AX$20="L"),$K50,""))</f>
        <v/>
      </c>
      <c r="FI50" s="206" t="str">
        <f>IF(AND($G50&lt;&gt;"",$G50&gt;0,'Outfall 1 Limits'!$AX$24="C1",$M50&lt;&gt;""),$M50*$G50*8.34,IF(AND($M50&lt;&gt;"",'Outfall 1 Limits'!$AX$24="L"),$M50,""))</f>
        <v/>
      </c>
      <c r="FJ50" s="206" t="str">
        <f>IF(AND($G50&lt;&gt;"",$G50&gt;0,'Outfall 1 Limits'!$AX$28="C1",$O50&lt;&gt;""),$O50*$G50*8.34,IF(AND($O50&lt;&gt;"",'Outfall 1 Limits'!$AX$28="L"),$O50,""))</f>
        <v/>
      </c>
      <c r="FK50" s="206" t="str">
        <f>IF(AND($G50&lt;&gt;"",$G50&gt;0,'Outfall 1 Limits'!$AX$32="C1",$Q50&lt;&gt;""),$Q50*$G50*8.34,IF(AND($Q50&lt;&gt;"",'Outfall 1 Limits'!$AX$32="L"),$Q50,""))</f>
        <v/>
      </c>
      <c r="FL50" s="206" t="str">
        <f>IF(AND($G50&lt;&gt;"",$G50&gt;0,'Outfall 1 Limits'!$AX$36="C1",$S50&lt;&gt;""),$S50*$G50*8.34,IF(AND($S50&lt;&gt;"",'Outfall 1 Limits'!$AX$36="L"),$S50,""))</f>
        <v/>
      </c>
      <c r="FM50" s="206" t="str">
        <f>IF(AND($G50&lt;&gt;"",$G50&gt;0,'Outfall 1 Limits'!$AX$40="C1",$U50&lt;&gt;""),$U50*$G50*8.34,IF(AND($U50&lt;&gt;"",'Outfall 1 Limits'!$AX$40="L"),$U50,""))</f>
        <v/>
      </c>
      <c r="FN50" s="206" t="str">
        <f>IF(AND($G50&lt;&gt;"",$G50&gt;0,'Outfall 1 Limits'!$AX$44="C1",$W50&lt;&gt;""),$W50*$G50*8.34,IF(AND($W50&lt;&gt;"",'Outfall 1 Limits'!$AX$44="L"),$W50,""))</f>
        <v/>
      </c>
      <c r="FO50" s="206" t="str">
        <f>IF(AND($G50&lt;&gt;"",$G50&gt;0,'Outfall 1 Limits'!$AX$48="C1",$Y50&lt;&gt;""),$Y50*$G50*8.34,IF(AND($Y50&lt;&gt;"",'Outfall 1 Limits'!$AX$48="L"),$Y50,""))</f>
        <v/>
      </c>
      <c r="FP50" s="206" t="str">
        <f>IF(AND($G50&lt;&gt;"",$G50&gt;0,'Outfall 1 Limits'!$AX$52="C1",$AA50&lt;&gt;""),$AA50*$G50*8.34,IF(AND($AA50&lt;&gt;"",'Outfall 1 Limits'!$AX$52="L"),$AA50,""))</f>
        <v/>
      </c>
      <c r="FQ50" s="206" t="str">
        <f>IF(AND($G50&lt;&gt;"",$G50&gt;0,'Outfall 1 Limits'!$AX$56="C1",$AC50&lt;&gt;""),$AC50*$G50*8.34,IF(AND($AC50&lt;&gt;"",'Outfall 1 Limits'!$AX$56="L"),$AC50,""))</f>
        <v/>
      </c>
      <c r="FR50" s="206" t="str">
        <f>IF(AND($G50&lt;&gt;"",$G50&gt;0,'Outfall 1 Limits'!$AX$60="C1",$AE50&lt;&gt;""),$AE50*$G50*8.34,IF(AND($AE50&lt;&gt;"",'Outfall 1 Limits'!$AX$60="L"),$AE50,""))</f>
        <v/>
      </c>
      <c r="FS50" s="206" t="str">
        <f>IF(AND($G50&lt;&gt;"",$G50&gt;0,'Outfall 1 Limits'!$AX$64="C1",$AG50&lt;&gt;""),$AG50*$G50*8.34,IF(AND($AG50&lt;&gt;"",'Outfall 1 Limits'!$AX$64="L"),$AG50,""))</f>
        <v/>
      </c>
      <c r="FT50" s="206" t="str">
        <f>IF(AND($G50&lt;&gt;"",$G50&gt;0,'Outfall 1 Limits'!$AX$68="C1",$AI50&lt;&gt;""),$AI50*$G50*8.34,IF(AND($AI50&lt;&gt;"",'Outfall 1 Limits'!$AX$68="L"),$AI50,""))</f>
        <v/>
      </c>
      <c r="FU50" s="206" t="str">
        <f>IF(AND($G50&lt;&gt;"",$G50&gt;0,'Outfall 1 Limits'!$AX$72="C1",$AK50&lt;&gt;""),$AK50*$G50*8.34,IF(AND($AK50&lt;&gt;"",'Outfall 1 Limits'!$AX$72="L"),$AK50,""))</f>
        <v/>
      </c>
      <c r="FV50" s="206" t="str">
        <f>IF(AND($G50&lt;&gt;"",$G50&gt;0,'Outfall 1 Limits'!$AX$76="C1",$AM50&lt;&gt;""),$AM50*$G50*8.34,IF(AND($AM50&lt;&gt;"",'Outfall 1 Limits'!$AX$76="L"),$AM50,""))</f>
        <v/>
      </c>
      <c r="FW50" s="206" t="str">
        <f>IF(AND($G50&lt;&gt;"",$G50&gt;0,'Outfall 1 Limits'!$AX$80="C1",$AO50&lt;&gt;""),$AO50*$G50*8.34,IF(AND($AO50&lt;&gt;"",'Outfall 1 Limits'!$AX$80="L"),$AO50,""))</f>
        <v/>
      </c>
      <c r="FX50" s="206" t="str">
        <f>IF(AND($G50&lt;&gt;"",$G50&gt;0,'Outfall 1 Limits'!$AX$84="C1",$AQ50&lt;&gt;""),$AQ50*$G50*8.34,IF(AND($AQ50&lt;&gt;"",'Outfall 1 Limits'!$AX$84="L"),$AQ50,""))</f>
        <v/>
      </c>
      <c r="FY50" s="206" t="str">
        <f>IF(AND($G50&lt;&gt;"",$G50&gt;0,'Outfall 1 Limits'!$AX$88="C1",$AS50&lt;&gt;""),$AS50*$G50*8.34,IF(AND($AS50&lt;&gt;"",'Outfall 1 Limits'!$AX$88="L"),$AS50,""))</f>
        <v/>
      </c>
      <c r="FZ50" s="206" t="str">
        <f>IF(AND($G50&lt;&gt;"",$G50&gt;0,'Outfall 1 Limits'!$AX$92="C1",$AU50&lt;&gt;""),$AU50*$G50*8.34,IF(AND($AU50&lt;&gt;"",'Outfall 1 Limits'!$AX$92="L"),$AU50,""))</f>
        <v/>
      </c>
      <c r="GA50" s="206" t="str">
        <f>IF(AND($G50&lt;&gt;"",$G50&gt;0,'Outfall 1 Limits'!$AX$96="C1",$AW50&lt;&gt;""),$AW50*$G50*8.34,IF(AND($AW50&lt;&gt;"",'Outfall 1 Limits'!$AX$96="L"),$AW50,""))</f>
        <v/>
      </c>
      <c r="GB50" s="206" t="str">
        <f>IF(AND($G50&lt;&gt;"",$G50&gt;0,'Outfall 1 Limits'!$AX$100="C1",$AY50&lt;&gt;""),$AY50*$G50*8.34,IF(AND($AY50&lt;&gt;"",'Outfall 1 Limits'!$AX$100="L"),$AY50,""))</f>
        <v/>
      </c>
      <c r="GC50" s="206" t="str">
        <f>IF(AND($G50&lt;&gt;"",$G50&gt;0,'Outfall 1 Limits'!$AX$104="C1",$BA50&lt;&gt;""),$BA50*$G50*8.34,IF(AND($BA50&lt;&gt;"",'Outfall 1 Limits'!$AX$104="L"),$BA50,""))</f>
        <v/>
      </c>
      <c r="GD50" s="206" t="str">
        <f>IF(AND($G50&lt;&gt;"",$G50&gt;0,'Outfall 1 Limits'!$AX$108="C1",$BC50&lt;&gt;""),$BC50*$G50*8.34,IF(AND($BC50&lt;&gt;"",'Outfall 1 Limits'!$AX$108="L"),$BC50,""))</f>
        <v/>
      </c>
      <c r="GE50" s="206" t="str">
        <f>IF(AND($G50&lt;&gt;"",$G50&gt;0,'Outfall 1 Limits'!$AX$112="C1",$BE50&lt;&gt;""),$BE50*$G50*8.34,IF(AND($BE50&lt;&gt;"",'Outfall 1 Limits'!$AX$112="L"),$BE50,""))</f>
        <v/>
      </c>
      <c r="GF50" s="206" t="str">
        <f>IF(AND($G50&lt;&gt;"",$G50&gt;0,'Outfall 1 Limits'!$AX$116="C1",$BG50&lt;&gt;""),$BG50*$G50*8.34,IF(AND($BG50&lt;&gt;"",'Outfall 1 Limits'!$AX$116="L"),$BG50,""))</f>
        <v/>
      </c>
      <c r="GG50" s="206" t="str">
        <f>IF(AND($G50&lt;&gt;"",$G50&gt;0,'Outfall 1 Limits'!$AX$120="C1",$BI50&lt;&gt;""),$BI50*$G50*8.34,IF(AND($BI50&lt;&gt;"",'Outfall 1 Limits'!$AX$120="L"),$BI50,""))</f>
        <v/>
      </c>
      <c r="GH50" s="206" t="str">
        <f>IF(AND($G50&lt;&gt;"",$G50&gt;0,'Outfall 1 Limits'!$AX$124="C1",$BK50&lt;&gt;""),$BK50*$G50*8.34,IF(AND($BK50&lt;&gt;"",'Outfall 1 Limits'!$AX$124="L"),$BK50,""))</f>
        <v/>
      </c>
      <c r="GI50" s="223" t="str">
        <f>IF(AND($G50&lt;&gt;"",$G50&gt;0,'Outfall 1 Limits'!$AX$128="C1",$BM50&lt;&gt;""),$BM50*$G50*8.34,IF(AND($BM50&lt;&gt;"",'Outfall 1 Limits'!$AX$128="L"),$BM50,""))</f>
        <v/>
      </c>
      <c r="GJ50" s="177" t="str">
        <f t="shared" si="59"/>
        <v/>
      </c>
      <c r="GK50" s="212" t="str">
        <f>IF(AND($G50&lt;&gt;"",$G50&gt;0,'Outfall 1 Limits'!$AX$16="C1",CY50&lt;&gt;""),CY50*$G50*8.34,IF(AND(CY50&lt;&gt;"",'Outfall 1 Limits'!$AX$16="L"),CY50,""))</f>
        <v/>
      </c>
      <c r="GL50" s="206" t="str">
        <f>IF(AND($G50&lt;&gt;"",$G50&gt;0,'Outfall 1 Limits'!$AX$20="C1",CZ50&lt;&gt;""),CZ50*$G50*8.34,IF(AND(CZ50&lt;&gt;"",'Outfall 1 Limits'!$AX$20="L"),CZ50,""))</f>
        <v/>
      </c>
      <c r="GM50" s="206" t="str">
        <f>IF(AND($G50&lt;&gt;"",$G50&gt;0,'Outfall 1 Limits'!$AX$24="C1",DA50&lt;&gt;""),DA50*$G50*8.34,IF(AND(DA50&lt;&gt;"",'Outfall 1 Limits'!$AX$24="L"),DA50,""))</f>
        <v/>
      </c>
      <c r="GN50" s="206" t="str">
        <f>IF(AND($G50&lt;&gt;"",$G50&gt;0,'Outfall 1 Limits'!$AX$28="C1",DB50&lt;&gt;""),DB50*$G50*8.34,IF(AND(DB50&lt;&gt;"",'Outfall 1 Limits'!$AX$28="L"),DB50,""))</f>
        <v/>
      </c>
      <c r="GO50" s="206" t="str">
        <f>IF(AND($G50&lt;&gt;"",$G50&gt;0,'Outfall 1 Limits'!$AX$32="C1",DC50&lt;&gt;""),DC50*$G50*8.34,IF(AND(DC50&lt;&gt;"",'Outfall 1 Limits'!$AX$32="L"),DC50,""))</f>
        <v/>
      </c>
      <c r="GP50" s="206" t="str">
        <f>IF(AND($G50&lt;&gt;"",$G50&gt;0,'Outfall 1 Limits'!$AX$36="C1",DD50&lt;&gt;""),DD50*$G50*8.34,IF(AND(DD50&lt;&gt;"",'Outfall 1 Limits'!$AX$36="L"),DD50,""))</f>
        <v/>
      </c>
      <c r="GQ50" s="206" t="str">
        <f>IF(AND($G50&lt;&gt;"",$G50&gt;0,'Outfall 1 Limits'!$AX$40="C1",DE50&lt;&gt;""),DE50*$G50*8.34,IF(AND(DE50&lt;&gt;"",'Outfall 1 Limits'!$AX$40="L"),DE50,""))</f>
        <v/>
      </c>
      <c r="GR50" s="206" t="str">
        <f>IF(AND($G50&lt;&gt;"",$G50&gt;0,'Outfall 1 Limits'!$AX$44="C1",DF50&lt;&gt;""),DF50*$G50*8.34,IF(AND(DF50&lt;&gt;"",'Outfall 1 Limits'!$AX$44="L"),DF50,""))</f>
        <v/>
      </c>
      <c r="GS50" s="206" t="str">
        <f>IF(AND($G50&lt;&gt;"",$G50&gt;0,'Outfall 1 Limits'!$AX$48="C1",DG50&lt;&gt;""),DG50*$G50*8.34,IF(AND(DG50&lt;&gt;"",'Outfall 1 Limits'!$AX$48="L"),DG50,""))</f>
        <v/>
      </c>
      <c r="GT50" s="206" t="str">
        <f>IF(AND($G50&lt;&gt;"",$G50&gt;0,'Outfall 1 Limits'!$AX$52="C1",DH50&lt;&gt;""),DH50*$G50*8.34,IF(AND(DH50&lt;&gt;"",'Outfall 1 Limits'!$AX$52="L"),DH50,""))</f>
        <v/>
      </c>
      <c r="GU50" s="206" t="str">
        <f>IF(AND($G50&lt;&gt;"",$G50&gt;0,'Outfall 1 Limits'!$AX$56="C1",DI50&lt;&gt;""),DI50*$G50*8.34,IF(AND(DI50&lt;&gt;"",'Outfall 1 Limits'!$AX$56="L"),DI50,""))</f>
        <v/>
      </c>
      <c r="GV50" s="206" t="str">
        <f>IF(AND($G50&lt;&gt;"",$G50&gt;0,'Outfall 1 Limits'!$AX$60="C1",DJ50&lt;&gt;""),DJ50*$G50*8.34,IF(AND(DJ50&lt;&gt;"",'Outfall 1 Limits'!$AX$60="L"),DJ50,""))</f>
        <v/>
      </c>
      <c r="GW50" s="206" t="str">
        <f>IF(AND($G50&lt;&gt;"",$G50&gt;0,'Outfall 1 Limits'!$AX$64="C1",DK50&lt;&gt;""),DK50*$G50*8.34,IF(AND(DK50&lt;&gt;"",'Outfall 1 Limits'!$AX$64="L"),DK50,""))</f>
        <v/>
      </c>
      <c r="GX50" s="206" t="str">
        <f>IF(AND($G50&lt;&gt;"",$G50&gt;0,'Outfall 1 Limits'!$AX$68="C1",DL50&lt;&gt;""),DL50*$G50*8.34,IF(AND(DL50&lt;&gt;"",'Outfall 1 Limits'!$AX$68="L"),DL50,""))</f>
        <v/>
      </c>
      <c r="GY50" s="206" t="str">
        <f>IF(AND($G50&lt;&gt;"",$G50&gt;0,'Outfall 1 Limits'!$AX$72="C1",DM50&lt;&gt;""),DM50*$G50*8.34,IF(AND(DM50&lt;&gt;"",'Outfall 1 Limits'!$AX$72="L"),DM50,""))</f>
        <v/>
      </c>
      <c r="GZ50" s="206" t="str">
        <f>IF(AND($G50&lt;&gt;"",$G50&gt;0,'Outfall 1 Limits'!$AX$76="C1",DN50&lt;&gt;""),DN50*$G50*8.34,IF(AND(DN50&lt;&gt;"",'Outfall 1 Limits'!$AX$76="L"),DN50,""))</f>
        <v/>
      </c>
      <c r="HA50" s="206" t="str">
        <f>IF(AND($G50&lt;&gt;"",$G50&gt;0,'Outfall 1 Limits'!$AX$80="C1",DO50&lt;&gt;""),DO50*$G50*8.34,IF(AND(DO50&lt;&gt;"",'Outfall 1 Limits'!$AX$80="L"),DO50,""))</f>
        <v/>
      </c>
      <c r="HB50" s="206" t="str">
        <f>IF(AND($G50&lt;&gt;"",$G50&gt;0,'Outfall 1 Limits'!$AX$84="C1",DP50&lt;&gt;""),DP50*$G50*8.34,IF(AND(DP50&lt;&gt;"",'Outfall 1 Limits'!$AX$84="L"),DP50,""))</f>
        <v/>
      </c>
      <c r="HC50" s="206" t="str">
        <f>IF(AND($G50&lt;&gt;"",$G50&gt;0,'Outfall 1 Limits'!$AX$88="C1",DQ50&lt;&gt;""),DQ50*$G50*8.34,IF(AND(DQ50&lt;&gt;"",'Outfall 1 Limits'!$AX$88="L"),DQ50,""))</f>
        <v/>
      </c>
      <c r="HD50" s="206" t="str">
        <f>IF(AND($G50&lt;&gt;"",$G50&gt;0,'Outfall 1 Limits'!$AX$92="C1",DR50&lt;&gt;""),DR50*$G50*8.34,IF(AND(DR50&lt;&gt;"",'Outfall 1 Limits'!$AX$92="L"),DR50,""))</f>
        <v/>
      </c>
      <c r="HE50" s="206" t="str">
        <f>IF(AND($G50&lt;&gt;"",$G50&gt;0,'Outfall 1 Limits'!$AX$96="C1",DS50&lt;&gt;""),DS50*$G50*8.34,IF(AND(DS50&lt;&gt;"",'Outfall 1 Limits'!$AX$96="L"),DS50,""))</f>
        <v/>
      </c>
      <c r="HF50" s="206" t="str">
        <f>IF(AND($G50&lt;&gt;"",$G50&gt;0,'Outfall 1 Limits'!$AX$100="C1",DT50&lt;&gt;""),DT50*$G50*8.34,IF(AND(DT50&lt;&gt;"",'Outfall 1 Limits'!$AX$100="L"),DT50,""))</f>
        <v/>
      </c>
      <c r="HG50" s="206" t="str">
        <f>IF(AND($G50&lt;&gt;"",$G50&gt;0,'Outfall 1 Limits'!$AX$104="C1",DU50&lt;&gt;""),DU50*$G50*8.34,IF(AND(DU50&lt;&gt;"",'Outfall 1 Limits'!$AX$104="L"),DU50,""))</f>
        <v/>
      </c>
      <c r="HH50" s="206" t="str">
        <f>IF(AND($G50&lt;&gt;"",$G50&gt;0,'Outfall 1 Limits'!$AX$108="C1",DV50&lt;&gt;""),DV50*$G50*8.34,IF(AND(DV50&lt;&gt;"",'Outfall 1 Limits'!$AX$108="L"),DV50,""))</f>
        <v/>
      </c>
      <c r="HI50" s="206" t="str">
        <f>IF(AND($G50&lt;&gt;"",$G50&gt;0,'Outfall 1 Limits'!$AX$112="C1",DW50&lt;&gt;""),DW50*$G50*8.34,IF(AND(DW50&lt;&gt;"",'Outfall 1 Limits'!$AX$112="L"),DW50,""))</f>
        <v/>
      </c>
      <c r="HJ50" s="206" t="str">
        <f>IF(AND($G50&lt;&gt;"",$G50&gt;0,'Outfall 1 Limits'!$AX$116="C1",DX50&lt;&gt;""),DX50*$G50*8.34,IF(AND(DX50&lt;&gt;"",'Outfall 1 Limits'!$AX$116="L"),DX50,""))</f>
        <v/>
      </c>
      <c r="HK50" s="206" t="str">
        <f>IF(AND($G50&lt;&gt;"",$G50&gt;0,'Outfall 1 Limits'!$AX$120="C1",DY50&lt;&gt;""),DY50*$G50*8.34,IF(AND(DY50&lt;&gt;"",'Outfall 1 Limits'!$AX$120="L"),DY50,""))</f>
        <v/>
      </c>
      <c r="HL50" s="206" t="str">
        <f>IF(AND($G50&lt;&gt;"",$G50&gt;0,'Outfall 1 Limits'!$AX$124="C1",DZ50&lt;&gt;""),DZ50*$G50*8.34,IF(AND(DZ50&lt;&gt;"",'Outfall 1 Limits'!$AX$124="L"),DZ50,""))</f>
        <v/>
      </c>
      <c r="HM50" s="223" t="str">
        <f>IF(AND($G50&lt;&gt;"",$G50&gt;0,'Outfall 1 Limits'!$AX$128="C1",EA50&lt;&gt;""),EA50*$G50*8.34,IF(AND(EA50&lt;&gt;"",'Outfall 1 Limits'!$AX$128="L"),EA50,""))</f>
        <v/>
      </c>
      <c r="HO50" s="224" t="str">
        <f t="shared" si="60"/>
        <v/>
      </c>
      <c r="HS50" s="202" t="str">
        <f t="shared" si="61"/>
        <v/>
      </c>
      <c r="HT50" s="196" t="str">
        <f t="shared" si="62"/>
        <v/>
      </c>
      <c r="HU50" s="196" t="str">
        <f t="shared" si="63"/>
        <v/>
      </c>
      <c r="HV50" s="196" t="str">
        <f t="shared" si="64"/>
        <v/>
      </c>
      <c r="HW50" s="196" t="str">
        <f t="shared" si="65"/>
        <v/>
      </c>
      <c r="HX50" s="196" t="str">
        <f t="shared" si="66"/>
        <v/>
      </c>
      <c r="HY50" s="196" t="str">
        <f t="shared" si="67"/>
        <v/>
      </c>
      <c r="HZ50" s="196" t="str">
        <f t="shared" si="68"/>
        <v/>
      </c>
      <c r="IA50" s="196" t="str">
        <f t="shared" si="69"/>
        <v/>
      </c>
      <c r="IB50" s="196" t="str">
        <f t="shared" si="70"/>
        <v/>
      </c>
      <c r="IC50" s="196" t="str">
        <f t="shared" si="71"/>
        <v/>
      </c>
      <c r="ID50" s="196" t="str">
        <f t="shared" si="72"/>
        <v/>
      </c>
      <c r="IE50" s="196" t="str">
        <f t="shared" si="73"/>
        <v/>
      </c>
      <c r="IF50" s="196" t="str">
        <f t="shared" si="74"/>
        <v/>
      </c>
      <c r="IG50" s="196" t="str">
        <f t="shared" si="75"/>
        <v/>
      </c>
      <c r="IH50" s="196" t="str">
        <f t="shared" si="76"/>
        <v/>
      </c>
      <c r="II50" s="196" t="str">
        <f t="shared" si="77"/>
        <v/>
      </c>
      <c r="IJ50" s="196" t="str">
        <f t="shared" si="78"/>
        <v/>
      </c>
      <c r="IK50" s="196" t="str">
        <f t="shared" si="79"/>
        <v/>
      </c>
      <c r="IL50" s="196" t="str">
        <f t="shared" si="80"/>
        <v/>
      </c>
      <c r="IM50" s="196" t="str">
        <f t="shared" si="81"/>
        <v/>
      </c>
      <c r="IN50" s="196" t="str">
        <f t="shared" si="82"/>
        <v/>
      </c>
      <c r="IO50" s="196" t="str">
        <f t="shared" si="83"/>
        <v/>
      </c>
      <c r="IP50" s="196" t="str">
        <f t="shared" si="84"/>
        <v/>
      </c>
      <c r="IQ50" s="196" t="str">
        <f t="shared" si="85"/>
        <v/>
      </c>
      <c r="IR50" s="196" t="str">
        <f t="shared" si="86"/>
        <v/>
      </c>
      <c r="IS50" s="196" t="str">
        <f t="shared" si="87"/>
        <v/>
      </c>
      <c r="IT50" s="196" t="str">
        <f t="shared" si="88"/>
        <v/>
      </c>
      <c r="IU50" s="210" t="str">
        <f t="shared" si="89"/>
        <v/>
      </c>
      <c r="IX50" s="202" t="str">
        <f t="shared" si="90"/>
        <v/>
      </c>
      <c r="IY50" s="196" t="str">
        <f t="shared" si="91"/>
        <v/>
      </c>
      <c r="IZ50" s="196" t="str">
        <f t="shared" si="92"/>
        <v/>
      </c>
      <c r="JA50" s="196" t="str">
        <f t="shared" si="93"/>
        <v/>
      </c>
      <c r="JB50" s="196" t="str">
        <f t="shared" si="94"/>
        <v/>
      </c>
      <c r="JC50" s="196" t="str">
        <f t="shared" si="95"/>
        <v/>
      </c>
      <c r="JD50" s="196" t="str">
        <f t="shared" si="96"/>
        <v/>
      </c>
      <c r="JE50" s="196" t="str">
        <f t="shared" si="97"/>
        <v/>
      </c>
      <c r="JF50" s="196" t="str">
        <f t="shared" si="98"/>
        <v/>
      </c>
      <c r="JG50" s="196" t="str">
        <f t="shared" si="99"/>
        <v/>
      </c>
      <c r="JH50" s="196" t="str">
        <f t="shared" si="100"/>
        <v/>
      </c>
      <c r="JI50" s="196" t="str">
        <f t="shared" si="101"/>
        <v/>
      </c>
      <c r="JJ50" s="196" t="str">
        <f t="shared" si="102"/>
        <v/>
      </c>
      <c r="JK50" s="196" t="str">
        <f t="shared" si="103"/>
        <v/>
      </c>
      <c r="JL50" s="196" t="str">
        <f t="shared" si="104"/>
        <v/>
      </c>
      <c r="JM50" s="196" t="str">
        <f t="shared" si="105"/>
        <v/>
      </c>
      <c r="JN50" s="196" t="str">
        <f t="shared" si="106"/>
        <v/>
      </c>
      <c r="JO50" s="196" t="str">
        <f t="shared" si="107"/>
        <v/>
      </c>
      <c r="JP50" s="196" t="str">
        <f t="shared" si="108"/>
        <v/>
      </c>
      <c r="JQ50" s="196" t="str">
        <f t="shared" si="109"/>
        <v/>
      </c>
      <c r="JR50" s="196" t="str">
        <f t="shared" si="110"/>
        <v/>
      </c>
      <c r="JS50" s="196" t="str">
        <f t="shared" si="111"/>
        <v/>
      </c>
      <c r="JT50" s="196" t="str">
        <f t="shared" si="112"/>
        <v/>
      </c>
      <c r="JU50" s="196" t="str">
        <f t="shared" si="113"/>
        <v/>
      </c>
      <c r="JV50" s="196" t="str">
        <f t="shared" si="114"/>
        <v/>
      </c>
      <c r="JW50" s="196" t="str">
        <f t="shared" si="115"/>
        <v/>
      </c>
      <c r="JX50" s="196" t="str">
        <f t="shared" si="116"/>
        <v/>
      </c>
      <c r="JY50" s="196" t="str">
        <f t="shared" si="117"/>
        <v/>
      </c>
      <c r="JZ50" s="210" t="str">
        <f t="shared" si="118"/>
        <v/>
      </c>
      <c r="KA50" s="196"/>
      <c r="KB50" s="176"/>
      <c r="KC50" s="227"/>
      <c r="KD50" s="218" t="str">
        <f t="shared" si="2"/>
        <v/>
      </c>
      <c r="KE50" s="196" t="str">
        <f t="shared" si="3"/>
        <v/>
      </c>
      <c r="KF50" s="196" t="str">
        <f t="shared" si="4"/>
        <v/>
      </c>
      <c r="KG50" s="196" t="str">
        <f t="shared" si="5"/>
        <v/>
      </c>
      <c r="KH50" s="196" t="str">
        <f t="shared" si="6"/>
        <v/>
      </c>
      <c r="KI50" s="196" t="str">
        <f t="shared" si="7"/>
        <v/>
      </c>
      <c r="KJ50" s="196" t="str">
        <f t="shared" si="8"/>
        <v/>
      </c>
      <c r="KK50" s="196" t="str">
        <f t="shared" si="9"/>
        <v/>
      </c>
      <c r="KL50" s="196" t="str">
        <f t="shared" si="10"/>
        <v/>
      </c>
      <c r="KM50" s="196" t="str">
        <f t="shared" si="11"/>
        <v/>
      </c>
      <c r="KN50" s="196" t="str">
        <f t="shared" si="12"/>
        <v/>
      </c>
      <c r="KO50" s="196" t="str">
        <f t="shared" si="13"/>
        <v/>
      </c>
      <c r="KP50" s="196" t="str">
        <f t="shared" si="14"/>
        <v/>
      </c>
      <c r="KQ50" s="196" t="str">
        <f t="shared" si="15"/>
        <v/>
      </c>
      <c r="KR50" s="196" t="str">
        <f t="shared" si="16"/>
        <v/>
      </c>
      <c r="KS50" s="196" t="str">
        <f t="shared" si="17"/>
        <v/>
      </c>
      <c r="KT50" s="196" t="str">
        <f t="shared" si="18"/>
        <v/>
      </c>
      <c r="KU50" s="196" t="str">
        <f t="shared" si="19"/>
        <v/>
      </c>
      <c r="KV50" s="196" t="str">
        <f t="shared" si="20"/>
        <v/>
      </c>
      <c r="KW50" s="196" t="str">
        <f t="shared" si="21"/>
        <v/>
      </c>
      <c r="KX50" s="196" t="str">
        <f t="shared" si="22"/>
        <v/>
      </c>
      <c r="KY50" s="196" t="str">
        <f t="shared" si="23"/>
        <v/>
      </c>
      <c r="KZ50" s="196" t="str">
        <f t="shared" si="24"/>
        <v/>
      </c>
      <c r="LA50" s="196" t="str">
        <f t="shared" si="25"/>
        <v/>
      </c>
      <c r="LB50" s="196" t="str">
        <f t="shared" si="26"/>
        <v/>
      </c>
      <c r="LC50" s="196" t="str">
        <f t="shared" si="27"/>
        <v/>
      </c>
      <c r="LD50" s="196" t="str">
        <f t="shared" si="28"/>
        <v/>
      </c>
      <c r="LE50" s="196" t="str">
        <f t="shared" si="29"/>
        <v/>
      </c>
      <c r="LF50" s="219" t="str">
        <f t="shared" si="30"/>
        <v/>
      </c>
    </row>
    <row r="51" spans="1:318" s="172" customFormat="1" ht="11.45" customHeight="1" thickBot="1" x14ac:dyDescent="0.25">
      <c r="A51" s="35"/>
      <c r="B51" s="55"/>
      <c r="C51" s="442">
        <f t="shared" si="0"/>
        <v>45325</v>
      </c>
      <c r="D51" s="442"/>
      <c r="E51" s="436">
        <f t="shared" si="119"/>
        <v>45325</v>
      </c>
      <c r="F51" s="437"/>
      <c r="G51" s="27"/>
      <c r="H51" s="52"/>
      <c r="I51" s="53"/>
      <c r="J51" s="52"/>
      <c r="K51" s="53"/>
      <c r="L51" s="52"/>
      <c r="M51" s="53"/>
      <c r="N51" s="52"/>
      <c r="O51" s="53"/>
      <c r="P51" s="52"/>
      <c r="Q51" s="53"/>
      <c r="R51" s="52"/>
      <c r="S51" s="53"/>
      <c r="T51" s="52"/>
      <c r="U51" s="53"/>
      <c r="V51" s="52"/>
      <c r="W51" s="53"/>
      <c r="X51" s="277"/>
      <c r="Y51" s="53"/>
      <c r="Z51" s="52"/>
      <c r="AA51" s="53"/>
      <c r="AB51" s="52"/>
      <c r="AC51" s="53"/>
      <c r="AD51" s="52"/>
      <c r="AE51" s="53"/>
      <c r="AF51" s="52"/>
      <c r="AG51" s="53"/>
      <c r="AH51" s="52"/>
      <c r="AI51" s="53"/>
      <c r="AJ51" s="52"/>
      <c r="AK51" s="53"/>
      <c r="AL51" s="52"/>
      <c r="AM51" s="53"/>
      <c r="AN51" s="52"/>
      <c r="AO51" s="53"/>
      <c r="AP51" s="52"/>
      <c r="AQ51" s="53"/>
      <c r="AR51" s="52"/>
      <c r="AS51" s="53"/>
      <c r="AT51" s="52"/>
      <c r="AU51" s="53"/>
      <c r="AV51" s="52"/>
      <c r="AW51" s="53"/>
      <c r="AX51" s="52"/>
      <c r="AY51" s="53"/>
      <c r="AZ51" s="52"/>
      <c r="BA51" s="53"/>
      <c r="BB51" s="52"/>
      <c r="BC51" s="53"/>
      <c r="BD51" s="52"/>
      <c r="BE51" s="53"/>
      <c r="BF51" s="52"/>
      <c r="BG51" s="53"/>
      <c r="BH51" s="52"/>
      <c r="BI51" s="53"/>
      <c r="BJ51" s="52"/>
      <c r="BK51" s="53"/>
      <c r="BL51" s="52"/>
      <c r="BM51" s="110"/>
      <c r="BO51" s="174"/>
      <c r="BP51" s="174">
        <v>2070</v>
      </c>
      <c r="BQ51" s="221" t="s">
        <v>68</v>
      </c>
      <c r="BR51" s="222"/>
      <c r="BS51" s="174"/>
      <c r="BU51" s="202" t="str">
        <f t="shared" si="31"/>
        <v/>
      </c>
      <c r="BV51" s="196" t="str">
        <f t="shared" si="32"/>
        <v/>
      </c>
      <c r="BW51" s="196" t="str">
        <f t="shared" si="33"/>
        <v/>
      </c>
      <c r="BX51" s="196" t="str">
        <f t="shared" si="34"/>
        <v/>
      </c>
      <c r="BY51" s="196" t="str">
        <f t="shared" si="35"/>
        <v/>
      </c>
      <c r="BZ51" s="196" t="str">
        <f t="shared" si="36"/>
        <v/>
      </c>
      <c r="CA51" s="196" t="str">
        <f t="shared" si="37"/>
        <v/>
      </c>
      <c r="CB51" s="196" t="str">
        <f t="shared" si="38"/>
        <v/>
      </c>
      <c r="CC51" s="196" t="str">
        <f t="shared" si="39"/>
        <v/>
      </c>
      <c r="CD51" s="196" t="str">
        <f t="shared" si="40"/>
        <v/>
      </c>
      <c r="CE51" s="196" t="str">
        <f t="shared" si="41"/>
        <v/>
      </c>
      <c r="CF51" s="196" t="str">
        <f t="shared" si="42"/>
        <v/>
      </c>
      <c r="CG51" s="196" t="str">
        <f t="shared" si="43"/>
        <v/>
      </c>
      <c r="CH51" s="196" t="str">
        <f t="shared" si="44"/>
        <v/>
      </c>
      <c r="CI51" s="196" t="str">
        <f t="shared" si="45"/>
        <v/>
      </c>
      <c r="CJ51" s="196" t="str">
        <f t="shared" si="46"/>
        <v/>
      </c>
      <c r="CK51" s="196" t="str">
        <f t="shared" si="47"/>
        <v/>
      </c>
      <c r="CL51" s="196" t="str">
        <f t="shared" si="48"/>
        <v/>
      </c>
      <c r="CM51" s="196" t="str">
        <f t="shared" si="120"/>
        <v/>
      </c>
      <c r="CN51" s="196" t="str">
        <f t="shared" si="49"/>
        <v/>
      </c>
      <c r="CO51" s="196" t="str">
        <f t="shared" si="50"/>
        <v/>
      </c>
      <c r="CP51" s="196" t="str">
        <f t="shared" si="51"/>
        <v/>
      </c>
      <c r="CQ51" s="196" t="str">
        <f t="shared" si="52"/>
        <v/>
      </c>
      <c r="CR51" s="196" t="str">
        <f t="shared" si="53"/>
        <v/>
      </c>
      <c r="CS51" s="196" t="str">
        <f t="shared" si="54"/>
        <v/>
      </c>
      <c r="CT51" s="196" t="str">
        <f t="shared" si="55"/>
        <v/>
      </c>
      <c r="CU51" s="196" t="str">
        <f t="shared" si="56"/>
        <v/>
      </c>
      <c r="CV51" s="196" t="str">
        <f t="shared" si="57"/>
        <v/>
      </c>
      <c r="CW51" s="210" t="str">
        <f t="shared" si="58"/>
        <v/>
      </c>
      <c r="CY51" s="212" t="str">
        <f>IF(I51&lt;&gt;"",IF(H51="&lt;",IF(AND('Outfall 1 Limits'!$AM$16="Y",$BU$54&lt;&gt;"Y",I51&lt;='Outfall 1 Limits'!$AL$16),0,(1*I51)),I51),"")</f>
        <v/>
      </c>
      <c r="CZ51" s="206" t="str">
        <f>IF(K51&lt;&gt;"",IF(J51="&lt;",IF(AND('Outfall 1 Limits'!$AM$20="Y",$BV$54&lt;&gt;"Y",K51&lt;='Outfall 1 Limits'!$AL$20),0,(1*K51)),K51),"")</f>
        <v/>
      </c>
      <c r="DA51" s="206" t="str">
        <f>IF(M51&lt;&gt;"",IF(L51="&lt;",IF(AND('Outfall 1 Limits'!$AM$24="Y",$BW$54&lt;&gt;"Y",M51&lt;='Outfall 1 Limits'!$AL$24),0,(1*M51)),M51),"")</f>
        <v/>
      </c>
      <c r="DB51" s="206" t="str">
        <f>IF(O51&lt;&gt;"",IF(N51="&lt;",IF(AND('Outfall 1 Limits'!$AM$28="Y",$BX$54&lt;&gt;"Y",O51&lt;='Outfall 1 Limits'!$AL$28),0,(1*O51)),O51),"")</f>
        <v/>
      </c>
      <c r="DC51" s="206" t="str">
        <f>IF(Q51&lt;&gt;"",IF(P51="&lt;",IF(AND('Outfall 1 Limits'!$AM$32="Y",$BY$54&lt;&gt;"Y",Q51&lt;='Outfall 1 Limits'!$AL$32),0,(1*Q51)),Q51),"")</f>
        <v/>
      </c>
      <c r="DD51" s="206" t="str">
        <f>IF(S51&lt;&gt;"",IF(R51="&lt;",IF(AND('Outfall 1 Limits'!$AM$36="Y",$BZ$54&lt;&gt;"Y",S51&lt;='Outfall 1 Limits'!$AL$36),0,(1*S51)),S51),"")</f>
        <v/>
      </c>
      <c r="DE51" s="206" t="str">
        <f>IF(U51&lt;&gt;"",IF(T51="&lt;",IF(AND('Outfall 1 Limits'!$AM$40="Y",$CA$54&lt;&gt;"Y",U51&lt;='Outfall 1 Limits'!$AL$40),0,(1*U51)),U51),"")</f>
        <v/>
      </c>
      <c r="DF51" s="206" t="str">
        <f>IF(W51&lt;&gt;"",IF(V51="&lt;",IF(AND('Outfall 1 Limits'!$AM$44="Y",$CB$54&lt;&gt;"Y",W51&lt;='Outfall 1 Limits'!$AL$44),0,(1*W51)),W51),"")</f>
        <v/>
      </c>
      <c r="DG51" s="206" t="str">
        <f>IF(Y51&lt;&gt;"",IF(X51="&lt;",IF(AND('Outfall 1 Limits'!$AM$48="Y",$CC$54&lt;&gt;"Y",Y51&lt;='Outfall 1 Limits'!$AL$48),0,(1*Y51)),Y51),"")</f>
        <v/>
      </c>
      <c r="DH51" s="206" t="str">
        <f>IF(AA51&lt;&gt;"",IF(Z51="&lt;",IF(AND('Outfall 1 Limits'!$AM$52="Y",$CD$54&lt;&gt;"Y",AA51&lt;='Outfall 1 Limits'!$AL$52),0,(1*AA51)),AA51),"")</f>
        <v/>
      </c>
      <c r="DI51" s="206" t="str">
        <f>IF(AC51&lt;&gt;"",IF(AB51="&lt;",IF(AND('Outfall 1 Limits'!$AM$56="Y",$CE$54&lt;&gt;"Y",AC51&lt;='Outfall 1 Limits'!$AL$56),0,(1*AC51)),AC51),"")</f>
        <v/>
      </c>
      <c r="DJ51" s="206" t="str">
        <f>IF(AE51&lt;&gt;"",IF(AD51="&lt;",IF(AND('Outfall 1 Limits'!$AM$60="Y",$CF$54&lt;&gt;"Y",AE51&lt;='Outfall 1 Limits'!$AL$60),0,(1*AE51)),AE51),"")</f>
        <v/>
      </c>
      <c r="DK51" s="206" t="str">
        <f>IF(AG51&lt;&gt;"",IF(AF51="&lt;",IF(AND('Outfall 1 Limits'!$AM$64="Y",$CG$54&lt;&gt;"Y",AG51&lt;='Outfall 1 Limits'!$AL$64),0,(1*AG51)),AG51),"")</f>
        <v/>
      </c>
      <c r="DL51" s="206" t="str">
        <f>IF(AI51&lt;&gt;"",IF(AH51="&lt;",IF(AND('Outfall 1 Limits'!$AM$68="Y",$CH$54&lt;&gt;"Y",AI51&lt;='Outfall 1 Limits'!$AL$68),0,(1*AI51)),AI51),"")</f>
        <v/>
      </c>
      <c r="DM51" s="206" t="str">
        <f>IF(AK51&lt;&gt;"",IF(AJ51="&lt;",IF(AND('Outfall 1 Limits'!$AM$72="Y",$CI$54&lt;&gt;"Y",AK51&lt;='Outfall 1 Limits'!$AL$72),0,(1*AK51)),AK51),"")</f>
        <v/>
      </c>
      <c r="DN51" s="206" t="str">
        <f>IF(AM51&lt;&gt;"",IF(AL51="&lt;",IF(AND('Outfall 1 Limits'!$AM$76="Y",$CJ$54&lt;&gt;"Y",AM51&lt;='Outfall 1 Limits'!$AL$76),0,(1*AM51)),AM51),"")</f>
        <v/>
      </c>
      <c r="DO51" s="206" t="str">
        <f>IF(AO51&lt;&gt;"",IF(AN51="&lt;",IF(AND('Outfall 1 Limits'!$AM$80="Y",$CK$54&lt;&gt;"Y",AO51&lt;='Outfall 1 Limits'!$AL$80),0,(1*AO51)),AO51),"")</f>
        <v/>
      </c>
      <c r="DP51" s="206" t="str">
        <f>IF(AQ51&lt;&gt;"",IF(AP51="&lt;",IF(AND('Outfall 1 Limits'!$AM$84="Y",$CL$54&lt;&gt;"Y",AQ51&lt;='Outfall 1 Limits'!$AL$84),0,(1*AQ51)),AQ51),"")</f>
        <v/>
      </c>
      <c r="DQ51" s="206" t="str">
        <f>IF(AS51&lt;&gt;"",IF(AR51="&lt;",IF(AND('Outfall 1 Limits'!$AM$88="Y",$CM$54&lt;&gt;"Y",AS51&lt;='Outfall 1 Limits'!$AL$88),0,(1*AS51)),AS51),"")</f>
        <v/>
      </c>
      <c r="DR51" s="206" t="str">
        <f>IF(AU51&lt;&gt;"",IF(AT51="&lt;",IF(AND('Outfall 1 Limits'!$AM$92="Y",$CN$54&lt;&gt;"Y",AU51&lt;='Outfall 1 Limits'!$AL$92),0,(1*AU51)),AU51),"")</f>
        <v/>
      </c>
      <c r="DS51" s="206" t="str">
        <f>IF(AW51&lt;&gt;"",IF(AV51="&lt;",IF(AND('Outfall 1 Limits'!$AM$96="Y",$CO$54&lt;&gt;"Y",AW51&lt;='Outfall 1 Limits'!$AL$96),0,(1*AW51)),AW51),"")</f>
        <v/>
      </c>
      <c r="DT51" s="206" t="str">
        <f>IF(AY51&lt;&gt;"",IF(AX51="&lt;",IF(AND('Outfall 1 Limits'!$AM$100="Y",$CP$54&lt;&gt;"Y",AY51&lt;='Outfall 1 Limits'!$AL$100),0,(1*AY51)),AY51),"")</f>
        <v/>
      </c>
      <c r="DU51" s="206" t="str">
        <f>IF(BA51&lt;&gt;"",IF(AZ51="&lt;",IF(AND('Outfall 1 Limits'!$AM$104="Y",$CQ$54&lt;&gt;"Y",BA51&lt;='Outfall 1 Limits'!$AL$104),0,(1*BA51)),BA51),"")</f>
        <v/>
      </c>
      <c r="DV51" s="206" t="str">
        <f>IF(BC51&lt;&gt;"",IF(BB51="&lt;",IF(AND('Outfall 1 Limits'!$AM$108="Y",$CR$54&lt;&gt;"Y",BC51&lt;='Outfall 1 Limits'!$AL$108),0,(1*BC51)),BC51),"")</f>
        <v/>
      </c>
      <c r="DW51" s="206" t="str">
        <f>IF(BE51&lt;&gt;"",IF(BD51="&lt;",IF(AND('Outfall 1 Limits'!$AM$112="Y",$CS$54&lt;&gt;"Y",BE51&lt;='Outfall 1 Limits'!$AL$112),0,(1*BE51)),BE51),"")</f>
        <v/>
      </c>
      <c r="DX51" s="206" t="str">
        <f>IF(BG51&lt;&gt;"",IF(BF51="&lt;",IF(AND('Outfall 1 Limits'!$AM$116="Y",$CT$54&lt;&gt;"Y",BG51&lt;='Outfall 1 Limits'!$AL$116),0,(1*BG51)),BG51),"")</f>
        <v/>
      </c>
      <c r="DY51" s="206" t="str">
        <f>IF(BI51&lt;&gt;"",IF(BH51="&lt;",IF(AND('Outfall 1 Limits'!$AM$120="Y",$CU$54&lt;&gt;"Y",BI51&lt;='Outfall 1 Limits'!$AL$120),0,(1*BI51)),BI51),"")</f>
        <v/>
      </c>
      <c r="DZ51" s="206" t="str">
        <f>IF(BK51&lt;&gt;"",IF(BJ51="&lt;",IF(AND('Outfall 1 Limits'!$AM$124="Y",$CV$54&lt;&gt;"Y",BK51&lt;='Outfall 1 Limits'!$AL$124),0,(1*BK51)),BK51),"")</f>
        <v/>
      </c>
      <c r="EA51" s="223" t="str">
        <f>IF(BM51&lt;&gt;"",IF(BL51="&lt;",IF(AND('Outfall 1 Limits'!$AM$128="Y",$CW$54&lt;&gt;"Y",BM51&lt;='Outfall 1 Limits'!$AL$128),0,(1*BM51)),BM51),"")</f>
        <v/>
      </c>
      <c r="EB51" s="176"/>
      <c r="FG51" s="212" t="str">
        <f>IF(AND($G51&lt;&gt;"",$G51&gt;0,'Outfall 1 Limits'!$AX$16="C1",I51&lt;&gt;""),I51*$G51*8.34,IF(AND($I51&lt;&gt;"",'Outfall 1 Limits'!$AX$16="L"),I51,""))</f>
        <v/>
      </c>
      <c r="FH51" s="206" t="str">
        <f>IF(AND($G51&lt;&gt;"",$G51&gt;0,'Outfall 1 Limits'!$AX$20="C1",$K51&lt;&gt;""),$K51*$G51*8.34,IF(AND($K51&lt;&gt;"",'Outfall 1 Limits'!$AX$20="L"),$K51,""))</f>
        <v/>
      </c>
      <c r="FI51" s="206" t="str">
        <f>IF(AND($G51&lt;&gt;"",$G51&gt;0,'Outfall 1 Limits'!$AX$24="C1",$M51&lt;&gt;""),$M51*$G51*8.34,IF(AND($M51&lt;&gt;"",'Outfall 1 Limits'!$AX$24="L"),$M51,""))</f>
        <v/>
      </c>
      <c r="FJ51" s="206" t="str">
        <f>IF(AND($G51&lt;&gt;"",$G51&gt;0,'Outfall 1 Limits'!$AX$28="C1",$O51&lt;&gt;""),$O51*$G51*8.34,IF(AND($O51&lt;&gt;"",'Outfall 1 Limits'!$AX$28="L"),$O51,""))</f>
        <v/>
      </c>
      <c r="FK51" s="206" t="str">
        <f>IF(AND($G51&lt;&gt;"",$G51&gt;0,'Outfall 1 Limits'!$AX$32="C1",$Q51&lt;&gt;""),$Q51*$G51*8.34,IF(AND($Q51&lt;&gt;"",'Outfall 1 Limits'!$AX$32="L"),$Q51,""))</f>
        <v/>
      </c>
      <c r="FL51" s="206" t="str">
        <f>IF(AND($G51&lt;&gt;"",$G51&gt;0,'Outfall 1 Limits'!$AX$36="C1",$S51&lt;&gt;""),$S51*$G51*8.34,IF(AND($S51&lt;&gt;"",'Outfall 1 Limits'!$AX$36="L"),$S51,""))</f>
        <v/>
      </c>
      <c r="FM51" s="206" t="str">
        <f>IF(AND($G51&lt;&gt;"",$G51&gt;0,'Outfall 1 Limits'!$AX$40="C1",$U51&lt;&gt;""),$U51*$G51*8.34,IF(AND($U51&lt;&gt;"",'Outfall 1 Limits'!$AX$40="L"),$U51,""))</f>
        <v/>
      </c>
      <c r="FN51" s="206" t="str">
        <f>IF(AND($G51&lt;&gt;"",$G51&gt;0,'Outfall 1 Limits'!$AX$44="C1",$W51&lt;&gt;""),$W51*$G51*8.34,IF(AND($W51&lt;&gt;"",'Outfall 1 Limits'!$AX$44="L"),$W51,""))</f>
        <v/>
      </c>
      <c r="FO51" s="206" t="str">
        <f>IF(AND($G51&lt;&gt;"",$G51&gt;0,'Outfall 1 Limits'!$AX$48="C1",$Y51&lt;&gt;""),$Y51*$G51*8.34,IF(AND($Y51&lt;&gt;"",'Outfall 1 Limits'!$AX$48="L"),$Y51,""))</f>
        <v/>
      </c>
      <c r="FP51" s="206" t="str">
        <f>IF(AND($G51&lt;&gt;"",$G51&gt;0,'Outfall 1 Limits'!$AX$52="C1",$AA51&lt;&gt;""),$AA51*$G51*8.34,IF(AND($AA51&lt;&gt;"",'Outfall 1 Limits'!$AX$52="L"),$AA51,""))</f>
        <v/>
      </c>
      <c r="FQ51" s="206" t="str">
        <f>IF(AND($G51&lt;&gt;"",$G51&gt;0,'Outfall 1 Limits'!$AX$56="C1",$AC51&lt;&gt;""),$AC51*$G51*8.34,IF(AND($AC51&lt;&gt;"",'Outfall 1 Limits'!$AX$56="L"),$AC51,""))</f>
        <v/>
      </c>
      <c r="FR51" s="206" t="str">
        <f>IF(AND($G51&lt;&gt;"",$G51&gt;0,'Outfall 1 Limits'!$AX$60="C1",$AE51&lt;&gt;""),$AE51*$G51*8.34,IF(AND($AE51&lt;&gt;"",'Outfall 1 Limits'!$AX$60="L"),$AE51,""))</f>
        <v/>
      </c>
      <c r="FS51" s="206" t="str">
        <f>IF(AND($G51&lt;&gt;"",$G51&gt;0,'Outfall 1 Limits'!$AX$64="C1",$AG51&lt;&gt;""),$AG51*$G51*8.34,IF(AND($AG51&lt;&gt;"",'Outfall 1 Limits'!$AX$64="L"),$AG51,""))</f>
        <v/>
      </c>
      <c r="FT51" s="206" t="str">
        <f>IF(AND($G51&lt;&gt;"",$G51&gt;0,'Outfall 1 Limits'!$AX$68="C1",$AI51&lt;&gt;""),$AI51*$G51*8.34,IF(AND($AI51&lt;&gt;"",'Outfall 1 Limits'!$AX$68="L"),$AI51,""))</f>
        <v/>
      </c>
      <c r="FU51" s="206" t="str">
        <f>IF(AND($G51&lt;&gt;"",$G51&gt;0,'Outfall 1 Limits'!$AX$72="C1",$AK51&lt;&gt;""),$AK51*$G51*8.34,IF(AND($AK51&lt;&gt;"",'Outfall 1 Limits'!$AX$72="L"),$AK51,""))</f>
        <v/>
      </c>
      <c r="FV51" s="206" t="str">
        <f>IF(AND($G51&lt;&gt;"",$G51&gt;0,'Outfall 1 Limits'!$AX$76="C1",$AM51&lt;&gt;""),$AM51*$G51*8.34,IF(AND($AM51&lt;&gt;"",'Outfall 1 Limits'!$AX$76="L"),$AM51,""))</f>
        <v/>
      </c>
      <c r="FW51" s="206" t="str">
        <f>IF(AND($G51&lt;&gt;"",$G51&gt;0,'Outfall 1 Limits'!$AX$80="C1",$AO51&lt;&gt;""),$AO51*$G51*8.34,IF(AND($AO51&lt;&gt;"",'Outfall 1 Limits'!$AX$80="L"),$AO51,""))</f>
        <v/>
      </c>
      <c r="FX51" s="206" t="str">
        <f>IF(AND($G51&lt;&gt;"",$G51&gt;0,'Outfall 1 Limits'!$AX$84="C1",$AQ51&lt;&gt;""),$AQ51*$G51*8.34,IF(AND($AQ51&lt;&gt;"",'Outfall 1 Limits'!$AX$84="L"),$AQ51,""))</f>
        <v/>
      </c>
      <c r="FY51" s="206" t="str">
        <f>IF(AND($G51&lt;&gt;"",$G51&gt;0,'Outfall 1 Limits'!$AX$88="C1",$AS51&lt;&gt;""),$AS51*$G51*8.34,IF(AND($AS51&lt;&gt;"",'Outfall 1 Limits'!$AX$88="L"),$AS51,""))</f>
        <v/>
      </c>
      <c r="FZ51" s="206" t="str">
        <f>IF(AND($G51&lt;&gt;"",$G51&gt;0,'Outfall 1 Limits'!$AX$92="C1",$AU51&lt;&gt;""),$AU51*$G51*8.34,IF(AND($AU51&lt;&gt;"",'Outfall 1 Limits'!$AX$92="L"),$AU51,""))</f>
        <v/>
      </c>
      <c r="GA51" s="206" t="str">
        <f>IF(AND($G51&lt;&gt;"",$G51&gt;0,'Outfall 1 Limits'!$AX$96="C1",$AW51&lt;&gt;""),$AW51*$G51*8.34,IF(AND($AW51&lt;&gt;"",'Outfall 1 Limits'!$AX$96="L"),$AW51,""))</f>
        <v/>
      </c>
      <c r="GB51" s="206" t="str">
        <f>IF(AND($G51&lt;&gt;"",$G51&gt;0,'Outfall 1 Limits'!$AX$100="C1",$AY51&lt;&gt;""),$AY51*$G51*8.34,IF(AND($AY51&lt;&gt;"",'Outfall 1 Limits'!$AX$100="L"),$AY51,""))</f>
        <v/>
      </c>
      <c r="GC51" s="206" t="str">
        <f>IF(AND($G51&lt;&gt;"",$G51&gt;0,'Outfall 1 Limits'!$AX$104="C1",$BA51&lt;&gt;""),$BA51*$G51*8.34,IF(AND($BA51&lt;&gt;"",'Outfall 1 Limits'!$AX$104="L"),$BA51,""))</f>
        <v/>
      </c>
      <c r="GD51" s="206" t="str">
        <f>IF(AND($G51&lt;&gt;"",$G51&gt;0,'Outfall 1 Limits'!$AX$108="C1",$BC51&lt;&gt;""),$BC51*$G51*8.34,IF(AND($BC51&lt;&gt;"",'Outfall 1 Limits'!$AX$108="L"),$BC51,""))</f>
        <v/>
      </c>
      <c r="GE51" s="206" t="str">
        <f>IF(AND($G51&lt;&gt;"",$G51&gt;0,'Outfall 1 Limits'!$AX$112="C1",$BE51&lt;&gt;""),$BE51*$G51*8.34,IF(AND($BE51&lt;&gt;"",'Outfall 1 Limits'!$AX$112="L"),$BE51,""))</f>
        <v/>
      </c>
      <c r="GF51" s="206" t="str">
        <f>IF(AND($G51&lt;&gt;"",$G51&gt;0,'Outfall 1 Limits'!$AX$116="C1",$BG51&lt;&gt;""),$BG51*$G51*8.34,IF(AND($BG51&lt;&gt;"",'Outfall 1 Limits'!$AX$116="L"),$BG51,""))</f>
        <v/>
      </c>
      <c r="GG51" s="206" t="str">
        <f>IF(AND($G51&lt;&gt;"",$G51&gt;0,'Outfall 1 Limits'!$AX$120="C1",$BI51&lt;&gt;""),$BI51*$G51*8.34,IF(AND($BI51&lt;&gt;"",'Outfall 1 Limits'!$AX$120="L"),$BI51,""))</f>
        <v/>
      </c>
      <c r="GH51" s="206" t="str">
        <f>IF(AND($G51&lt;&gt;"",$G51&gt;0,'Outfall 1 Limits'!$AX$124="C1",$BK51&lt;&gt;""),$BK51*$G51*8.34,IF(AND($BK51&lt;&gt;"",'Outfall 1 Limits'!$AX$124="L"),$BK51,""))</f>
        <v/>
      </c>
      <c r="GI51" s="223" t="str">
        <f>IF(AND($G51&lt;&gt;"",$G51&gt;0,'Outfall 1 Limits'!$AX$128="C1",$BM51&lt;&gt;""),$BM51*$G51*8.34,IF(AND($BM51&lt;&gt;"",'Outfall 1 Limits'!$AX$128="L"),$BM51,""))</f>
        <v/>
      </c>
      <c r="GJ51" s="177" t="str">
        <f t="shared" si="59"/>
        <v/>
      </c>
      <c r="GK51" s="212" t="str">
        <f>IF(AND($G51&lt;&gt;"",$G51&gt;0,'Outfall 1 Limits'!$AX$16="C1",CY51&lt;&gt;""),CY51*$G51*8.34,IF(AND(CY51&lt;&gt;"",'Outfall 1 Limits'!$AX$16="L"),CY51,""))</f>
        <v/>
      </c>
      <c r="GL51" s="206" t="str">
        <f>IF(AND($G51&lt;&gt;"",$G51&gt;0,'Outfall 1 Limits'!$AX$20="C1",CZ51&lt;&gt;""),CZ51*$G51*8.34,IF(AND(CZ51&lt;&gt;"",'Outfall 1 Limits'!$AX$20="L"),CZ51,""))</f>
        <v/>
      </c>
      <c r="GM51" s="206" t="str">
        <f>IF(AND($G51&lt;&gt;"",$G51&gt;0,'Outfall 1 Limits'!$AX$24="C1",DA51&lt;&gt;""),DA51*$G51*8.34,IF(AND(DA51&lt;&gt;"",'Outfall 1 Limits'!$AX$24="L"),DA51,""))</f>
        <v/>
      </c>
      <c r="GN51" s="206" t="str">
        <f>IF(AND($G51&lt;&gt;"",$G51&gt;0,'Outfall 1 Limits'!$AX$28="C1",DB51&lt;&gt;""),DB51*$G51*8.34,IF(AND(DB51&lt;&gt;"",'Outfall 1 Limits'!$AX$28="L"),DB51,""))</f>
        <v/>
      </c>
      <c r="GO51" s="206" t="str">
        <f>IF(AND($G51&lt;&gt;"",$G51&gt;0,'Outfall 1 Limits'!$AX$32="C1",DC51&lt;&gt;""),DC51*$G51*8.34,IF(AND(DC51&lt;&gt;"",'Outfall 1 Limits'!$AX$32="L"),DC51,""))</f>
        <v/>
      </c>
      <c r="GP51" s="206" t="str">
        <f>IF(AND($G51&lt;&gt;"",$G51&gt;0,'Outfall 1 Limits'!$AX$36="C1",DD51&lt;&gt;""),DD51*$G51*8.34,IF(AND(DD51&lt;&gt;"",'Outfall 1 Limits'!$AX$36="L"),DD51,""))</f>
        <v/>
      </c>
      <c r="GQ51" s="206" t="str">
        <f>IF(AND($G51&lt;&gt;"",$G51&gt;0,'Outfall 1 Limits'!$AX$40="C1",DE51&lt;&gt;""),DE51*$G51*8.34,IF(AND(DE51&lt;&gt;"",'Outfall 1 Limits'!$AX$40="L"),DE51,""))</f>
        <v/>
      </c>
      <c r="GR51" s="206" t="str">
        <f>IF(AND($G51&lt;&gt;"",$G51&gt;0,'Outfall 1 Limits'!$AX$44="C1",DF51&lt;&gt;""),DF51*$G51*8.34,IF(AND(DF51&lt;&gt;"",'Outfall 1 Limits'!$AX$44="L"),DF51,""))</f>
        <v/>
      </c>
      <c r="GS51" s="206" t="str">
        <f>IF(AND($G51&lt;&gt;"",$G51&gt;0,'Outfall 1 Limits'!$AX$48="C1",DG51&lt;&gt;""),DG51*$G51*8.34,IF(AND(DG51&lt;&gt;"",'Outfall 1 Limits'!$AX$48="L"),DG51,""))</f>
        <v/>
      </c>
      <c r="GT51" s="206" t="str">
        <f>IF(AND($G51&lt;&gt;"",$G51&gt;0,'Outfall 1 Limits'!$AX$52="C1",DH51&lt;&gt;""),DH51*$G51*8.34,IF(AND(DH51&lt;&gt;"",'Outfall 1 Limits'!$AX$52="L"),DH51,""))</f>
        <v/>
      </c>
      <c r="GU51" s="206" t="str">
        <f>IF(AND($G51&lt;&gt;"",$G51&gt;0,'Outfall 1 Limits'!$AX$56="C1",DI51&lt;&gt;""),DI51*$G51*8.34,IF(AND(DI51&lt;&gt;"",'Outfall 1 Limits'!$AX$56="L"),DI51,""))</f>
        <v/>
      </c>
      <c r="GV51" s="206" t="str">
        <f>IF(AND($G51&lt;&gt;"",$G51&gt;0,'Outfall 1 Limits'!$AX$60="C1",DJ51&lt;&gt;""),DJ51*$G51*8.34,IF(AND(DJ51&lt;&gt;"",'Outfall 1 Limits'!$AX$60="L"),DJ51,""))</f>
        <v/>
      </c>
      <c r="GW51" s="206" t="str">
        <f>IF(AND($G51&lt;&gt;"",$G51&gt;0,'Outfall 1 Limits'!$AX$64="C1",DK51&lt;&gt;""),DK51*$G51*8.34,IF(AND(DK51&lt;&gt;"",'Outfall 1 Limits'!$AX$64="L"),DK51,""))</f>
        <v/>
      </c>
      <c r="GX51" s="206" t="str">
        <f>IF(AND($G51&lt;&gt;"",$G51&gt;0,'Outfall 1 Limits'!$AX$68="C1",DL51&lt;&gt;""),DL51*$G51*8.34,IF(AND(DL51&lt;&gt;"",'Outfall 1 Limits'!$AX$68="L"),DL51,""))</f>
        <v/>
      </c>
      <c r="GY51" s="206" t="str">
        <f>IF(AND($G51&lt;&gt;"",$G51&gt;0,'Outfall 1 Limits'!$AX$72="C1",DM51&lt;&gt;""),DM51*$G51*8.34,IF(AND(DM51&lt;&gt;"",'Outfall 1 Limits'!$AX$72="L"),DM51,""))</f>
        <v/>
      </c>
      <c r="GZ51" s="206" t="str">
        <f>IF(AND($G51&lt;&gt;"",$G51&gt;0,'Outfall 1 Limits'!$AX$76="C1",DN51&lt;&gt;""),DN51*$G51*8.34,IF(AND(DN51&lt;&gt;"",'Outfall 1 Limits'!$AX$76="L"),DN51,""))</f>
        <v/>
      </c>
      <c r="HA51" s="206" t="str">
        <f>IF(AND($G51&lt;&gt;"",$G51&gt;0,'Outfall 1 Limits'!$AX$80="C1",DO51&lt;&gt;""),DO51*$G51*8.34,IF(AND(DO51&lt;&gt;"",'Outfall 1 Limits'!$AX$80="L"),DO51,""))</f>
        <v/>
      </c>
      <c r="HB51" s="206" t="str">
        <f>IF(AND($G51&lt;&gt;"",$G51&gt;0,'Outfall 1 Limits'!$AX$84="C1",DP51&lt;&gt;""),DP51*$G51*8.34,IF(AND(DP51&lt;&gt;"",'Outfall 1 Limits'!$AX$84="L"),DP51,""))</f>
        <v/>
      </c>
      <c r="HC51" s="206" t="str">
        <f>IF(AND($G51&lt;&gt;"",$G51&gt;0,'Outfall 1 Limits'!$AX$88="C1",DQ51&lt;&gt;""),DQ51*$G51*8.34,IF(AND(DQ51&lt;&gt;"",'Outfall 1 Limits'!$AX$88="L"),DQ51,""))</f>
        <v/>
      </c>
      <c r="HD51" s="206" t="str">
        <f>IF(AND($G51&lt;&gt;"",$G51&gt;0,'Outfall 1 Limits'!$AX$92="C1",DR51&lt;&gt;""),DR51*$G51*8.34,IF(AND(DR51&lt;&gt;"",'Outfall 1 Limits'!$AX$92="L"),DR51,""))</f>
        <v/>
      </c>
      <c r="HE51" s="206" t="str">
        <f>IF(AND($G51&lt;&gt;"",$G51&gt;0,'Outfall 1 Limits'!$AX$96="C1",DS51&lt;&gt;""),DS51*$G51*8.34,IF(AND(DS51&lt;&gt;"",'Outfall 1 Limits'!$AX$96="L"),DS51,""))</f>
        <v/>
      </c>
      <c r="HF51" s="206" t="str">
        <f>IF(AND($G51&lt;&gt;"",$G51&gt;0,'Outfall 1 Limits'!$AX$100="C1",DT51&lt;&gt;""),DT51*$G51*8.34,IF(AND(DT51&lt;&gt;"",'Outfall 1 Limits'!$AX$100="L"),DT51,""))</f>
        <v/>
      </c>
      <c r="HG51" s="206" t="str">
        <f>IF(AND($G51&lt;&gt;"",$G51&gt;0,'Outfall 1 Limits'!$AX$104="C1",DU51&lt;&gt;""),DU51*$G51*8.34,IF(AND(DU51&lt;&gt;"",'Outfall 1 Limits'!$AX$104="L"),DU51,""))</f>
        <v/>
      </c>
      <c r="HH51" s="206" t="str">
        <f>IF(AND($G51&lt;&gt;"",$G51&gt;0,'Outfall 1 Limits'!$AX$108="C1",DV51&lt;&gt;""),DV51*$G51*8.34,IF(AND(DV51&lt;&gt;"",'Outfall 1 Limits'!$AX$108="L"),DV51,""))</f>
        <v/>
      </c>
      <c r="HI51" s="206" t="str">
        <f>IF(AND($G51&lt;&gt;"",$G51&gt;0,'Outfall 1 Limits'!$AX$112="C1",DW51&lt;&gt;""),DW51*$G51*8.34,IF(AND(DW51&lt;&gt;"",'Outfall 1 Limits'!$AX$112="L"),DW51,""))</f>
        <v/>
      </c>
      <c r="HJ51" s="206" t="str">
        <f>IF(AND($G51&lt;&gt;"",$G51&gt;0,'Outfall 1 Limits'!$AX$116="C1",DX51&lt;&gt;""),DX51*$G51*8.34,IF(AND(DX51&lt;&gt;"",'Outfall 1 Limits'!$AX$116="L"),DX51,""))</f>
        <v/>
      </c>
      <c r="HK51" s="206" t="str">
        <f>IF(AND($G51&lt;&gt;"",$G51&gt;0,'Outfall 1 Limits'!$AX$120="C1",DY51&lt;&gt;""),DY51*$G51*8.34,IF(AND(DY51&lt;&gt;"",'Outfall 1 Limits'!$AX$120="L"),DY51,""))</f>
        <v/>
      </c>
      <c r="HL51" s="206" t="str">
        <f>IF(AND($G51&lt;&gt;"",$G51&gt;0,'Outfall 1 Limits'!$AX$124="C1",DZ51&lt;&gt;""),DZ51*$G51*8.34,IF(AND(DZ51&lt;&gt;"",'Outfall 1 Limits'!$AX$124="L"),DZ51,""))</f>
        <v/>
      </c>
      <c r="HM51" s="223" t="str">
        <f>IF(AND($G51&lt;&gt;"",$G51&gt;0,'Outfall 1 Limits'!$AX$128="C1",EA51&lt;&gt;""),EA51*$G51*8.34,IF(AND(EA51&lt;&gt;"",'Outfall 1 Limits'!$AX$128="L"),EA51,""))</f>
        <v/>
      </c>
      <c r="HO51" s="224" t="str">
        <f t="shared" si="60"/>
        <v/>
      </c>
      <c r="HS51" s="202" t="str">
        <f t="shared" si="61"/>
        <v/>
      </c>
      <c r="HT51" s="196" t="str">
        <f t="shared" si="62"/>
        <v/>
      </c>
      <c r="HU51" s="196" t="str">
        <f t="shared" si="63"/>
        <v/>
      </c>
      <c r="HV51" s="196" t="str">
        <f t="shared" si="64"/>
        <v/>
      </c>
      <c r="HW51" s="196" t="str">
        <f t="shared" si="65"/>
        <v/>
      </c>
      <c r="HX51" s="196" t="str">
        <f t="shared" si="66"/>
        <v/>
      </c>
      <c r="HY51" s="196" t="str">
        <f t="shared" si="67"/>
        <v/>
      </c>
      <c r="HZ51" s="196" t="str">
        <f t="shared" si="68"/>
        <v/>
      </c>
      <c r="IA51" s="196" t="str">
        <f t="shared" si="69"/>
        <v/>
      </c>
      <c r="IB51" s="196" t="str">
        <f t="shared" si="70"/>
        <v/>
      </c>
      <c r="IC51" s="196" t="str">
        <f t="shared" si="71"/>
        <v/>
      </c>
      <c r="ID51" s="196" t="str">
        <f t="shared" si="72"/>
        <v/>
      </c>
      <c r="IE51" s="196" t="str">
        <f t="shared" si="73"/>
        <v/>
      </c>
      <c r="IF51" s="196" t="str">
        <f t="shared" si="74"/>
        <v/>
      </c>
      <c r="IG51" s="196" t="str">
        <f t="shared" si="75"/>
        <v/>
      </c>
      <c r="IH51" s="196" t="str">
        <f t="shared" si="76"/>
        <v/>
      </c>
      <c r="II51" s="196" t="str">
        <f t="shared" si="77"/>
        <v/>
      </c>
      <c r="IJ51" s="196" t="str">
        <f t="shared" si="78"/>
        <v/>
      </c>
      <c r="IK51" s="196" t="str">
        <f t="shared" si="79"/>
        <v/>
      </c>
      <c r="IL51" s="196" t="str">
        <f t="shared" si="80"/>
        <v/>
      </c>
      <c r="IM51" s="196" t="str">
        <f t="shared" si="81"/>
        <v/>
      </c>
      <c r="IN51" s="196" t="str">
        <f t="shared" si="82"/>
        <v/>
      </c>
      <c r="IO51" s="196" t="str">
        <f t="shared" si="83"/>
        <v/>
      </c>
      <c r="IP51" s="196" t="str">
        <f t="shared" si="84"/>
        <v/>
      </c>
      <c r="IQ51" s="196" t="str">
        <f t="shared" si="85"/>
        <v/>
      </c>
      <c r="IR51" s="196" t="str">
        <f t="shared" si="86"/>
        <v/>
      </c>
      <c r="IS51" s="196" t="str">
        <f t="shared" si="87"/>
        <v/>
      </c>
      <c r="IT51" s="196" t="str">
        <f t="shared" si="88"/>
        <v/>
      </c>
      <c r="IU51" s="210" t="str">
        <f t="shared" si="89"/>
        <v/>
      </c>
      <c r="IX51" s="202" t="str">
        <f t="shared" si="90"/>
        <v/>
      </c>
      <c r="IY51" s="196" t="str">
        <f t="shared" si="91"/>
        <v/>
      </c>
      <c r="IZ51" s="196" t="str">
        <f t="shared" si="92"/>
        <v/>
      </c>
      <c r="JA51" s="196" t="str">
        <f t="shared" si="93"/>
        <v/>
      </c>
      <c r="JB51" s="196" t="str">
        <f t="shared" si="94"/>
        <v/>
      </c>
      <c r="JC51" s="196" t="str">
        <f t="shared" si="95"/>
        <v/>
      </c>
      <c r="JD51" s="196" t="str">
        <f t="shared" si="96"/>
        <v/>
      </c>
      <c r="JE51" s="196" t="str">
        <f t="shared" si="97"/>
        <v/>
      </c>
      <c r="JF51" s="196" t="str">
        <f t="shared" si="98"/>
        <v/>
      </c>
      <c r="JG51" s="196" t="str">
        <f t="shared" si="99"/>
        <v/>
      </c>
      <c r="JH51" s="196" t="str">
        <f t="shared" si="100"/>
        <v/>
      </c>
      <c r="JI51" s="196" t="str">
        <f t="shared" si="101"/>
        <v/>
      </c>
      <c r="JJ51" s="196" t="str">
        <f t="shared" si="102"/>
        <v/>
      </c>
      <c r="JK51" s="196" t="str">
        <f t="shared" si="103"/>
        <v/>
      </c>
      <c r="JL51" s="196" t="str">
        <f t="shared" si="104"/>
        <v/>
      </c>
      <c r="JM51" s="196" t="str">
        <f t="shared" si="105"/>
        <v/>
      </c>
      <c r="JN51" s="196" t="str">
        <f t="shared" si="106"/>
        <v/>
      </c>
      <c r="JO51" s="196" t="str">
        <f t="shared" si="107"/>
        <v/>
      </c>
      <c r="JP51" s="196" t="str">
        <f t="shared" si="108"/>
        <v/>
      </c>
      <c r="JQ51" s="196" t="str">
        <f t="shared" si="109"/>
        <v/>
      </c>
      <c r="JR51" s="196" t="str">
        <f t="shared" si="110"/>
        <v/>
      </c>
      <c r="JS51" s="196" t="str">
        <f t="shared" si="111"/>
        <v/>
      </c>
      <c r="JT51" s="196" t="str">
        <f t="shared" si="112"/>
        <v/>
      </c>
      <c r="JU51" s="196" t="str">
        <f t="shared" si="113"/>
        <v/>
      </c>
      <c r="JV51" s="196" t="str">
        <f t="shared" si="114"/>
        <v/>
      </c>
      <c r="JW51" s="196" t="str">
        <f t="shared" si="115"/>
        <v/>
      </c>
      <c r="JX51" s="196" t="str">
        <f t="shared" si="116"/>
        <v/>
      </c>
      <c r="JY51" s="196" t="str">
        <f t="shared" si="117"/>
        <v/>
      </c>
      <c r="JZ51" s="210" t="str">
        <f t="shared" si="118"/>
        <v/>
      </c>
      <c r="KA51" s="196"/>
      <c r="KB51" s="176"/>
      <c r="KC51" s="227"/>
      <c r="KD51" s="218" t="str">
        <f t="shared" si="2"/>
        <v/>
      </c>
      <c r="KE51" s="196" t="str">
        <f t="shared" si="3"/>
        <v/>
      </c>
      <c r="KF51" s="196" t="str">
        <f t="shared" si="4"/>
        <v/>
      </c>
      <c r="KG51" s="196" t="str">
        <f t="shared" si="5"/>
        <v/>
      </c>
      <c r="KH51" s="196" t="str">
        <f t="shared" si="6"/>
        <v/>
      </c>
      <c r="KI51" s="196" t="str">
        <f t="shared" si="7"/>
        <v/>
      </c>
      <c r="KJ51" s="196" t="str">
        <f t="shared" si="8"/>
        <v/>
      </c>
      <c r="KK51" s="196" t="str">
        <f t="shared" si="9"/>
        <v/>
      </c>
      <c r="KL51" s="196" t="str">
        <f t="shared" si="10"/>
        <v/>
      </c>
      <c r="KM51" s="196" t="str">
        <f t="shared" si="11"/>
        <v/>
      </c>
      <c r="KN51" s="196" t="str">
        <f t="shared" si="12"/>
        <v/>
      </c>
      <c r="KO51" s="196" t="str">
        <f t="shared" si="13"/>
        <v/>
      </c>
      <c r="KP51" s="196" t="str">
        <f t="shared" si="14"/>
        <v/>
      </c>
      <c r="KQ51" s="196" t="str">
        <f t="shared" si="15"/>
        <v/>
      </c>
      <c r="KR51" s="196" t="str">
        <f t="shared" si="16"/>
        <v/>
      </c>
      <c r="KS51" s="196" t="str">
        <f t="shared" si="17"/>
        <v/>
      </c>
      <c r="KT51" s="196" t="str">
        <f t="shared" si="18"/>
        <v/>
      </c>
      <c r="KU51" s="196" t="str">
        <f t="shared" si="19"/>
        <v/>
      </c>
      <c r="KV51" s="196" t="str">
        <f t="shared" si="20"/>
        <v/>
      </c>
      <c r="KW51" s="196" t="str">
        <f t="shared" si="21"/>
        <v/>
      </c>
      <c r="KX51" s="196" t="str">
        <f t="shared" si="22"/>
        <v/>
      </c>
      <c r="KY51" s="196" t="str">
        <f t="shared" si="23"/>
        <v/>
      </c>
      <c r="KZ51" s="196" t="str">
        <f t="shared" si="24"/>
        <v/>
      </c>
      <c r="LA51" s="196" t="str">
        <f t="shared" si="25"/>
        <v/>
      </c>
      <c r="LB51" s="196" t="str">
        <f t="shared" si="26"/>
        <v/>
      </c>
      <c r="LC51" s="196" t="str">
        <f t="shared" si="27"/>
        <v/>
      </c>
      <c r="LD51" s="196" t="str">
        <f t="shared" si="28"/>
        <v/>
      </c>
      <c r="LE51" s="196" t="str">
        <f t="shared" si="29"/>
        <v/>
      </c>
      <c r="LF51" s="219" t="str">
        <f t="shared" si="30"/>
        <v/>
      </c>
    </row>
    <row r="52" spans="1:318" s="172" customFormat="1" ht="11.45" customHeight="1" thickTop="1" thickBot="1" x14ac:dyDescent="0.25">
      <c r="A52" s="35"/>
      <c r="B52" s="57" t="s">
        <v>366</v>
      </c>
      <c r="C52" s="58"/>
      <c r="D52" s="58"/>
      <c r="E52" s="57"/>
      <c r="F52" s="57"/>
      <c r="G52" s="67"/>
      <c r="H52" s="68"/>
      <c r="I52" s="68"/>
      <c r="J52" s="68"/>
      <c r="K52" s="68"/>
      <c r="L52" s="68"/>
      <c r="M52" s="68"/>
      <c r="N52" s="68"/>
      <c r="O52" s="68"/>
      <c r="P52" s="68"/>
      <c r="Q52" s="69"/>
      <c r="R52" s="68"/>
      <c r="S52" s="68"/>
      <c r="T52" s="68"/>
      <c r="U52" s="70"/>
      <c r="V52" s="68"/>
      <c r="W52" s="68"/>
      <c r="X52" s="286"/>
      <c r="Y52" s="68"/>
      <c r="Z52" s="68"/>
      <c r="AA52" s="68"/>
      <c r="AB52" s="68"/>
      <c r="AC52" s="68"/>
      <c r="AD52" s="68"/>
      <c r="AE52" s="68"/>
      <c r="AF52" s="68"/>
      <c r="AG52" s="68"/>
      <c r="AH52" s="68"/>
      <c r="AI52" s="68"/>
      <c r="AJ52" s="68"/>
      <c r="AK52" s="68"/>
      <c r="AL52" s="68"/>
      <c r="AM52" s="68"/>
      <c r="AN52" s="71"/>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111"/>
      <c r="BO52" s="174"/>
      <c r="BP52" s="174">
        <v>2071</v>
      </c>
      <c r="BQ52" s="179" t="s">
        <v>69</v>
      </c>
      <c r="BR52" s="174"/>
      <c r="BS52" s="240"/>
      <c r="BU52" s="202"/>
      <c r="BV52" s="196" t="str">
        <f>IF(K51&lt;&gt;"",IF(J51="&lt;",1,0.99),"")</f>
        <v/>
      </c>
      <c r="BW52" s="203"/>
      <c r="BX52" s="203"/>
      <c r="BY52" s="203"/>
      <c r="BZ52" s="203"/>
      <c r="CA52" s="203"/>
      <c r="CB52" s="203"/>
      <c r="CC52" s="203"/>
      <c r="CD52" s="203"/>
      <c r="CE52" s="203"/>
      <c r="CF52" s="203"/>
      <c r="CG52" s="203"/>
      <c r="CH52" s="203"/>
      <c r="CI52" s="203"/>
      <c r="CJ52" s="203"/>
      <c r="CK52" s="203"/>
      <c r="CL52" s="203"/>
      <c r="CM52" s="203"/>
      <c r="CN52" s="203"/>
      <c r="CO52" s="203"/>
      <c r="CP52" s="203"/>
      <c r="CQ52" s="203"/>
      <c r="CR52" s="203"/>
      <c r="CS52" s="203"/>
      <c r="CT52" s="203"/>
      <c r="CU52" s="203"/>
      <c r="CV52" s="203"/>
      <c r="CW52" s="204"/>
      <c r="CY52" s="205"/>
      <c r="CZ52" s="207"/>
      <c r="DA52" s="207"/>
      <c r="DB52" s="207"/>
      <c r="DC52" s="206" t="str">
        <f>IF(S51&lt;&gt;"",IF(R51="&lt;",1,0.99),"")</f>
        <v/>
      </c>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8"/>
      <c r="EB52" s="176"/>
      <c r="FG52" s="211"/>
      <c r="FH52" s="203"/>
      <c r="FI52" s="203"/>
      <c r="FJ52" s="203"/>
      <c r="FK52" s="203"/>
      <c r="FL52" s="203"/>
      <c r="FM52" s="203"/>
      <c r="FN52" s="203"/>
      <c r="FO52" s="203"/>
      <c r="FP52" s="203"/>
      <c r="FQ52" s="203"/>
      <c r="FR52" s="203"/>
      <c r="FS52" s="203"/>
      <c r="FT52" s="203"/>
      <c r="FU52" s="203"/>
      <c r="FV52" s="203"/>
      <c r="FW52" s="203"/>
      <c r="FX52" s="203"/>
      <c r="FY52" s="203"/>
      <c r="FZ52" s="203"/>
      <c r="GA52" s="203"/>
      <c r="GB52" s="203"/>
      <c r="GC52" s="203"/>
      <c r="GD52" s="203"/>
      <c r="GE52" s="203"/>
      <c r="GF52" s="203"/>
      <c r="GG52" s="203"/>
      <c r="GH52" s="206"/>
      <c r="GI52" s="204"/>
      <c r="GJ52" s="177" t="str">
        <f t="shared" si="59"/>
        <v/>
      </c>
      <c r="GK52" s="212"/>
      <c r="GL52" s="206"/>
      <c r="GM52" s="206"/>
      <c r="GN52" s="206"/>
      <c r="GO52" s="206"/>
      <c r="GP52" s="206"/>
      <c r="GQ52" s="206"/>
      <c r="GR52" s="206"/>
      <c r="GS52" s="206"/>
      <c r="GT52" s="206"/>
      <c r="GU52" s="206"/>
      <c r="GV52" s="206"/>
      <c r="GW52" s="206"/>
      <c r="GX52" s="206"/>
      <c r="GY52" s="206"/>
      <c r="GZ52" s="206"/>
      <c r="HA52" s="206"/>
      <c r="HB52" s="206"/>
      <c r="HC52" s="206"/>
      <c r="HD52" s="206"/>
      <c r="HE52" s="206"/>
      <c r="HF52" s="206"/>
      <c r="HG52" s="206"/>
      <c r="HH52" s="206"/>
      <c r="HI52" s="206"/>
      <c r="HJ52" s="206"/>
      <c r="HK52" s="206"/>
      <c r="HL52" s="206"/>
      <c r="HM52" s="223"/>
      <c r="HO52" s="216"/>
      <c r="HS52" s="202"/>
      <c r="HT52" s="196"/>
      <c r="HU52" s="196"/>
      <c r="HV52" s="196"/>
      <c r="HW52" s="196"/>
      <c r="HX52" s="196"/>
      <c r="HY52" s="196"/>
      <c r="HZ52" s="196"/>
      <c r="IA52" s="196"/>
      <c r="IB52" s="196"/>
      <c r="IC52" s="196"/>
      <c r="ID52" s="196"/>
      <c r="IE52" s="196"/>
      <c r="IF52" s="196"/>
      <c r="IG52" s="196"/>
      <c r="IH52" s="196"/>
      <c r="II52" s="196"/>
      <c r="IJ52" s="196"/>
      <c r="IK52" s="196"/>
      <c r="IL52" s="196"/>
      <c r="IM52" s="196"/>
      <c r="IN52" s="196"/>
      <c r="IO52" s="196"/>
      <c r="IP52" s="196"/>
      <c r="IQ52" s="196"/>
      <c r="IR52" s="196"/>
      <c r="IS52" s="196"/>
      <c r="IT52" s="196"/>
      <c r="IU52" s="210"/>
      <c r="IX52" s="202"/>
      <c r="IY52" s="196"/>
      <c r="IZ52" s="196"/>
      <c r="JA52" s="196"/>
      <c r="JB52" s="196"/>
      <c r="JC52" s="196"/>
      <c r="JD52" s="196"/>
      <c r="JE52" s="196"/>
      <c r="JF52" s="196"/>
      <c r="JG52" s="196"/>
      <c r="JH52" s="196"/>
      <c r="JI52" s="196"/>
      <c r="JJ52" s="196"/>
      <c r="JK52" s="196"/>
      <c r="JL52" s="196"/>
      <c r="JM52" s="196"/>
      <c r="JN52" s="196"/>
      <c r="JO52" s="196"/>
      <c r="JP52" s="196"/>
      <c r="JQ52" s="196"/>
      <c r="JR52" s="196"/>
      <c r="JS52" s="196"/>
      <c r="JT52" s="196"/>
      <c r="JU52" s="196"/>
      <c r="JV52" s="196"/>
      <c r="JW52" s="196"/>
      <c r="JX52" s="196"/>
      <c r="JY52" s="196"/>
      <c r="JZ52" s="210"/>
      <c r="KA52" s="196"/>
      <c r="KB52" s="176"/>
      <c r="KC52" s="227"/>
      <c r="KD52" s="218" t="str">
        <f>IF(I51&lt;&gt;"",IF(H51="&lt;",IF(AND($KD$53="Y",I51&lt;=$KD$54),1,0.99),""),"")</f>
        <v/>
      </c>
      <c r="KE52" s="196"/>
      <c r="KF52" s="196"/>
      <c r="KG52" s="196"/>
      <c r="KH52" s="196"/>
      <c r="KI52" s="196"/>
      <c r="KJ52" s="196"/>
      <c r="KK52" s="196"/>
      <c r="KL52" s="196"/>
      <c r="KM52" s="196"/>
      <c r="KN52" s="196"/>
      <c r="KO52" s="196"/>
      <c r="KP52" s="196"/>
      <c r="KQ52" s="196"/>
      <c r="KR52" s="196"/>
      <c r="KS52" s="196"/>
      <c r="KT52" s="196"/>
      <c r="KU52" s="196"/>
      <c r="KV52" s="196"/>
      <c r="KW52" s="196"/>
      <c r="KX52" s="196"/>
      <c r="KY52" s="196"/>
      <c r="KZ52" s="196"/>
      <c r="LA52" s="196"/>
      <c r="LB52" s="196"/>
      <c r="LC52" s="196"/>
      <c r="LD52" s="196"/>
      <c r="LE52" s="196"/>
      <c r="LF52" s="219"/>
    </row>
    <row r="53" spans="1:318" s="172" customFormat="1" ht="11.45" customHeight="1" thickTop="1" x14ac:dyDescent="0.2">
      <c r="A53" s="35"/>
      <c r="B53" s="439" t="s">
        <v>1132</v>
      </c>
      <c r="C53" s="439"/>
      <c r="D53" s="439"/>
      <c r="E53" s="439"/>
      <c r="F53" s="440"/>
      <c r="G53" s="61"/>
      <c r="H53" s="62" t="str">
        <f ca="1">IF(BU55&lt;&gt;"",IF(OR('Outfall 1 Limits'!AX16="C1",'Outfall 1 Limits'!AX16="C2",'Outfall 1 Limits'!AX16="C3",'Outfall 1 Limits'!AX16="C4"),IF(HO58="Y","&gt;",IF(HS58="Y","&lt;","")),""),"")</f>
        <v/>
      </c>
      <c r="I53" s="62" t="str">
        <f ca="1">IF(BU55&lt;&gt;"",IF(OR('Outfall 1 Limits'!AX16="C1",'Outfall 1 Limits'!AX16="C2",'Outfall 1 Limits'!AX16="C3",'Outfall 1 Limits'!AX16="C4"),HS56,""),"")</f>
        <v/>
      </c>
      <c r="J53" s="112" t="str">
        <f ca="1">IF(BV55&lt;&gt;"",IF(OR('Outfall 1 Limits'!$AX$20="C1",'Outfall 1 Limits'!$AX$20="C2",'Outfall 1 Limits'!$AX$20="C3",'Outfall 1 Limits'!$AX$20="C4"),IF(HT58="Y","&lt;",""),""),"")</f>
        <v/>
      </c>
      <c r="K53" s="62" t="str">
        <f ca="1">IF(BV55&lt;&gt;"",IF(OR('Outfall 1 Limits'!$AX$20="C1",'Outfall 1 Limits'!$AX$20="C2",'Outfall 1 Limits'!$AX$20="C3",'Outfall 1 Limits'!$AX$20="C4"),HT56,""),"")</f>
        <v/>
      </c>
      <c r="L53" s="62" t="str">
        <f ca="1">IF(BW55&lt;&gt;"",IF(OR('Outfall 1 Limits'!$AX$24="C1",'Outfall 1 Limits'!$AX$24="C2",'Outfall 1 Limits'!$AX$24="C3",'Outfall 1 Limits'!$AX$24="C4"),IF(HU58="Y","&lt;",""),""),"")</f>
        <v/>
      </c>
      <c r="M53" s="62" t="str">
        <f ca="1">IF(BW55&lt;&gt;"",IF(OR('Outfall 1 Limits'!$AX$24="C1",'Outfall 1 Limits'!$AX$24="C2",'Outfall 1 Limits'!$AX$24="C3",'Outfall 1 Limits'!$AX$24="C4"),HU56,""),"")</f>
        <v/>
      </c>
      <c r="N53" s="62" t="str">
        <f ca="1">IF(BX55&lt;&gt;"",IF(OR('Outfall 1 Limits'!$AX$28="C1",'Outfall 1 Limits'!$AX$28="C2",'Outfall 1 Limits'!$AX$28="C3",'Outfall 1 Limits'!$AX$28="C4"),IF(HV58="Y","&lt;",""),""),"")</f>
        <v/>
      </c>
      <c r="O53" s="62" t="str">
        <f ca="1">IF(BX55&lt;&gt;"",IF(OR('Outfall 1 Limits'!$AX$28="C1",'Outfall 1 Limits'!$AX$28="C2",'Outfall 1 Limits'!$AX$28="C3",'Outfall 1 Limits'!$AX$28="C4"),HV56,""),"")</f>
        <v/>
      </c>
      <c r="P53" s="62" t="str">
        <f ca="1">IF(BY55&lt;&gt;"",IF(OR('Outfall 1 Limits'!$AX$32="C1",'Outfall 1 Limits'!$AX$32="C2",'Outfall 1 Limits'!$AX$32="C3",'Outfall 1 Limits'!$AX$32="C4"),IF(HW58="Y","&lt;",""),""),"")</f>
        <v/>
      </c>
      <c r="Q53" s="62" t="str">
        <f ca="1">IF(BY55&lt;&gt;"",IF(OR('Outfall 1 Limits'!$AX$32="C1",'Outfall 1 Limits'!$AX$32="C2",'Outfall 1 Limits'!$AX$32="C3",'Outfall 1 Limits'!$AX$32="C4"),HW56,""),"")</f>
        <v/>
      </c>
      <c r="R53" s="62" t="str">
        <f ca="1">IF(BZ55&lt;&gt;"",IF(OR('Outfall 1 Limits'!$AX$36="C1",'Outfall 1 Limits'!$AX$36="C2",'Outfall 1 Limits'!$AX$36="C3",'Outfall 1 Limits'!$AX$36="C4"),IF(HX58="Y","&lt;",""),""),"")</f>
        <v/>
      </c>
      <c r="S53" s="62" t="str">
        <f ca="1">IF(BZ55&lt;&gt;"",IF(OR('Outfall 1 Limits'!$AX$36="C1",'Outfall 1 Limits'!$AX$36="C2",'Outfall 1 Limits'!$AX$36="C3",'Outfall 1 Limits'!$AX$36="C4"),HX56,""),"")</f>
        <v/>
      </c>
      <c r="T53" s="62" t="str">
        <f ca="1">IF(CA55&lt;&gt;"",IF(OR('Outfall 1 Limits'!$AX$40="C1",'Outfall 1 Limits'!$AX$40="C2",'Outfall 1 Limits'!$AX$40="C3",'Outfall 1 Limits'!$AX$40="C4"),IF(HY58="Y","&lt;",""),""),"")</f>
        <v/>
      </c>
      <c r="U53" s="62" t="str">
        <f ca="1">IF(CA55&lt;&gt;"",IF(OR('Outfall 1 Limits'!$AX$40="C1",'Outfall 1 Limits'!$AX$40="C2",'Outfall 1 Limits'!$AX$40="C3",'Outfall 1 Limits'!$AX$40="C4"),HY56,""),"")</f>
        <v/>
      </c>
      <c r="V53" s="62" t="str">
        <f ca="1">IF(CB55&lt;&gt;"",IF(OR('Outfall 1 Limits'!$AX$44="C1",'Outfall 1 Limits'!$AX$44="C2",'Outfall 1 Limits'!$AX$44="C3",'Outfall 1 Limits'!$AX$44="C4"),IF(HZ58="Y","&lt;",""),""),"")</f>
        <v/>
      </c>
      <c r="W53" s="62" t="str">
        <f ca="1">IF(CB55&lt;&gt;"",IF(OR('Outfall 1 Limits'!$AX$44="C1",'Outfall 1 Limits'!$AX$44="C2",'Outfall 1 Limits'!$AX$44="C3",'Outfall 1 Limits'!$AX$44="C4"),HZ56,""),"")</f>
        <v/>
      </c>
      <c r="X53" s="278" t="str">
        <f ca="1">IF(CC55&lt;&gt;"",IF(OR('Outfall 1 Limits'!$AX$48="C1",'Outfall 1 Limits'!$AX$48="C2",'Outfall 1 Limits'!$AX$48="C3",'Outfall 1 Limits'!$AX$48="C4"),IF(IA58="Y","&lt;",""),""),"")</f>
        <v/>
      </c>
      <c r="Y53" s="62" t="str">
        <f ca="1">IF(CC55&lt;&gt;"",IF(OR('Outfall 1 Limits'!$AX$48="C1",'Outfall 1 Limits'!$AX$48="C2",'Outfall 1 Limits'!$AX$48="C3",'Outfall 1 Limits'!$AX$48="C4"),IA56,""),"")</f>
        <v/>
      </c>
      <c r="Z53" s="62" t="str">
        <f ca="1">IF(CD55&lt;&gt;"",IF(OR('Outfall 1 Limits'!$AX$52="C1",'Outfall 1 Limits'!$AX$52="C2",'Outfall 1 Limits'!$AX$52="C3",'Outfall 1 Limits'!$AX$52="C4"),IF(IB58="Y","&lt;",""),""),"")</f>
        <v/>
      </c>
      <c r="AA53" s="62" t="str">
        <f ca="1">IF(CD55&lt;&gt;"",IF(OR('Outfall 1 Limits'!$AX$52="C1",'Outfall 1 Limits'!$AX$52="C2",'Outfall 1 Limits'!$AX$52="C3",'Outfall 1 Limits'!$AX$52="C4"),IB56,""),"")</f>
        <v/>
      </c>
      <c r="AB53" s="62" t="str">
        <f ca="1">IF(CE55&lt;&gt;"",IF(OR('Outfall 1 Limits'!$AX$56="C1",'Outfall 1 Limits'!$AX$56="C2",'Outfall 1 Limits'!$AX$56="C3",'Outfall 1 Limits'!$AX$56="C4"),IF(IC58="Y","&lt;",""),""),"")</f>
        <v/>
      </c>
      <c r="AC53" s="62" t="str">
        <f ca="1">IF(CE55&lt;&gt;"",IF(OR('Outfall 1 Limits'!$AX$56="C1",'Outfall 1 Limits'!$AX$56="C2",'Outfall 1 Limits'!$AX$56="C3",'Outfall 1 Limits'!$AX$56="C4"),IC56,""),"")</f>
        <v/>
      </c>
      <c r="AD53" s="62" t="str">
        <f ca="1">IF(CF55&lt;&gt;"",IF(OR('Outfall 1 Limits'!$AX$60="C1",'Outfall 1 Limits'!$AX$60="C2",'Outfall 1 Limits'!$AX$60="C3",'Outfall 1 Limits'!$AX$60="C4"),IF(ID58="Y","&lt;",""),""),"")</f>
        <v/>
      </c>
      <c r="AE53" s="62" t="str">
        <f ca="1">IF(CF55&lt;&gt;"",IF(OR('Outfall 1 Limits'!$AX$60="C1",'Outfall 1 Limits'!$AX$60="C2",'Outfall 1 Limits'!$AX$60="C3",'Outfall 1 Limits'!$AX$60="C4"),ID56,""),"")</f>
        <v/>
      </c>
      <c r="AF53" s="62" t="str">
        <f ca="1">IF(CG55&lt;&gt;"",IF(OR('Outfall 1 Limits'!$AX$64="C1",'Outfall 1 Limits'!$AX$64="C2",'Outfall 1 Limits'!$AX$64="C3",'Outfall 1 Limits'!$AX$64="C4"),IF(IE58="Y","&lt;",""),""),"")</f>
        <v/>
      </c>
      <c r="AG53" s="62" t="str">
        <f ca="1">IF(CG55&lt;&gt;"",IF(OR('Outfall 1 Limits'!$AX$64="C1",'Outfall 1 Limits'!$AX$64="C2",'Outfall 1 Limits'!$AX$64="C3",'Outfall 1 Limits'!$AX$64="C4"),IE56,""),"")</f>
        <v/>
      </c>
      <c r="AH53" s="62" t="str">
        <f ca="1">IF(CH55&lt;&gt;"",IF(OR('Outfall 1 Limits'!$AX$68="C1",'Outfall 1 Limits'!$AX$68="C2",'Outfall 1 Limits'!$AX$68="C3",'Outfall 1 Limits'!$AX$68="C4"),IF(IF58="Y","&lt;",""),""),"")</f>
        <v/>
      </c>
      <c r="AI53" s="62" t="str">
        <f ca="1">IF(CH55&lt;&gt;"",IF(OR('Outfall 1 Limits'!$AX$68="C1",'Outfall 1 Limits'!$AX$68="C2",'Outfall 1 Limits'!$AX$68="C3",'Outfall 1 Limits'!$AX$68="C4"),IF56,""),"")</f>
        <v/>
      </c>
      <c r="AJ53" s="62" t="str">
        <f ca="1">IF(CI55&lt;&gt;"",IF(OR('Outfall 1 Limits'!$AX$72="C1",'Outfall 1 Limits'!$AX$72="C2",'Outfall 1 Limits'!$AX$72="C3",'Outfall 1 Limits'!$AX$72="C4"),IF(IG58="Y","&lt;",""),""),"")</f>
        <v/>
      </c>
      <c r="AK53" s="62" t="str">
        <f ca="1">IF(CI55&lt;&gt;"",IF(OR('Outfall 1 Limits'!$AX$72="C1",'Outfall 1 Limits'!$AX$72="C2",'Outfall 1 Limits'!$AX$72="C3",'Outfall 1 Limits'!$AX$72="C4"),IG56,""),"")</f>
        <v/>
      </c>
      <c r="AL53" s="62" t="str">
        <f ca="1">IF(CJ55&lt;&gt;"",IF(OR('Outfall 1 Limits'!$AX$76="C1",'Outfall 1 Limits'!$AX$76="C2",'Outfall 1 Limits'!$AX$76="C3",'Outfall 1 Limits'!$AX$76="C4"),IF(IH58="Y","&lt;",""),""),"")</f>
        <v/>
      </c>
      <c r="AM53" s="62" t="str">
        <f ca="1">IF(CJ55&lt;&gt;"",IF(OR('Outfall 1 Limits'!$AX$76="C1",'Outfall 1 Limits'!$AX$76="C2",'Outfall 1 Limits'!$AX$76="C3",'Outfall 1 Limits'!$AX$76="C4"),IH56,""),"")</f>
        <v/>
      </c>
      <c r="AN53" s="145" t="str">
        <f ca="1">IF(CK55&lt;&gt;"",IF(OR('Outfall 1 Limits'!$AX$80="C1",'Outfall 1 Limits'!$AX$80="C2",'Outfall 1 Limits'!$AX$80="C3",'Outfall 1 Limits'!$AX$80="C4"),IF(II58="Y","&lt;",""),""),"")</f>
        <v/>
      </c>
      <c r="AO53" s="62" t="str">
        <f ca="1">IF(CK55&lt;&gt;"",IF(OR('Outfall 1 Limits'!$AX$80="C1",'Outfall 1 Limits'!$AX$80="C2",'Outfall 1 Limits'!$AX$80="C3",'Outfall 1 Limits'!$AX$80="C4"),II56,""),"")</f>
        <v/>
      </c>
      <c r="AP53" s="145" t="str">
        <f ca="1">IF(CL55&lt;&gt;"",IF(OR('Outfall 1 Limits'!$AX$84="C1",'Outfall 1 Limits'!$AX$84="C2",'Outfall 1 Limits'!$AX$84="C3",'Outfall 1 Limits'!$AX$84="C4"),IF(IJ58="Y","&lt;",""),""),"")</f>
        <v/>
      </c>
      <c r="AQ53" s="62" t="str">
        <f ca="1">IF(CL55&lt;&gt;"",IF(OR('Outfall 1 Limits'!$AX$84="C1",'Outfall 1 Limits'!$AX$84="C2",'Outfall 1 Limits'!$AX$84="C3",'Outfall 1 Limits'!$AX$84="C4"),IJ56,""),"")</f>
        <v/>
      </c>
      <c r="AR53" s="145" t="str">
        <f ca="1">IF(CM55&lt;&gt;"",IF(OR('Outfall 1 Limits'!$AX$88="C1",'Outfall 1 Limits'!$AX$88="C2",'Outfall 1 Limits'!$AX$88="C3",'Outfall 1 Limits'!$AX$88="C4"),IF(IK58="Y","&lt;",""),""),"")</f>
        <v/>
      </c>
      <c r="AS53" s="62" t="str">
        <f ca="1">IF(CM55&lt;&gt;"",IF(OR('Outfall 1 Limits'!$AX$88="C1",'Outfall 1 Limits'!$AX$88="C2",'Outfall 1 Limits'!$AX$88="C3",'Outfall 1 Limits'!$AX$88="C4"),IK56,""),"")</f>
        <v/>
      </c>
      <c r="AT53" s="145" t="str">
        <f ca="1">IF(CN55&lt;&gt;"",IF(OR('Outfall 1 Limits'!$AX$92="C1",'Outfall 1 Limits'!$AX$92="C2",'Outfall 1 Limits'!$AX$92="C3",'Outfall 1 Limits'!$AX$92="C4"),IF(IL58="Y","&lt;",""),""),"")</f>
        <v/>
      </c>
      <c r="AU53" s="62" t="str">
        <f ca="1">IF(CN55&lt;&gt;"",IF(OR('Outfall 1 Limits'!$AX$92="C1",'Outfall 1 Limits'!$AX$92="C2",'Outfall 1 Limits'!$AX$92="C3",'Outfall 1 Limits'!$AX$92="C4"),IL56,""),"")</f>
        <v/>
      </c>
      <c r="AV53" s="145" t="str">
        <f ca="1">IF(CO55&lt;&gt;"",IF(OR('Outfall 1 Limits'!$AX$96="C1",'Outfall 1 Limits'!$AX$96="C2",'Outfall 1 Limits'!$AX$96="C3",'Outfall 1 Limits'!$AX$96="C4"),IF(IM58="Y","&lt;",""),""),"")</f>
        <v/>
      </c>
      <c r="AW53" s="62" t="str">
        <f ca="1">IF(CO55&lt;&gt;"",IF(OR('Outfall 1 Limits'!$AX$96="C1",'Outfall 1 Limits'!$AX$96="C2",'Outfall 1 Limits'!$AX$96="C3",'Outfall 1 Limits'!$AX$96="C4"),IM56,""),"")</f>
        <v/>
      </c>
      <c r="AX53" s="145" t="str">
        <f ca="1">IF(CP55&lt;&gt;"",IF(OR('Outfall 1 Limits'!$AX$100="C1",'Outfall 1 Limits'!$AX$100="C2",'Outfall 1 Limits'!$AX$100="C3",'Outfall 1 Limits'!$AX$100="C4"),IF(IN58="Y","&lt;",""),""),"")</f>
        <v/>
      </c>
      <c r="AY53" s="62" t="str">
        <f ca="1">IF(CP55&lt;&gt;"",IF(OR('Outfall 1 Limits'!$AX$100="C1",'Outfall 1 Limits'!$AX$100="C2",'Outfall 1 Limits'!$AX$100="C3",'Outfall 1 Limits'!$AX$100="C4"),IN56,""),"")</f>
        <v/>
      </c>
      <c r="AZ53" s="145" t="str">
        <f ca="1">IF(CQ55&lt;&gt;"",IF(OR('Outfall 1 Limits'!$AX$104="C1",'Outfall 1 Limits'!$AX$104="C2",'Outfall 1 Limits'!$AX$104="C3",'Outfall 1 Limits'!$AX$104="C4"),IF(IO58="Y","&lt;",""),""),"")</f>
        <v/>
      </c>
      <c r="BA53" s="62" t="str">
        <f ca="1">IF(CQ55&lt;&gt;"",IF(OR('Outfall 1 Limits'!$AX$104="C1",'Outfall 1 Limits'!$AX$104="C2",'Outfall 1 Limits'!$AX$104="C3",'Outfall 1 Limits'!$AX$104="C4"),IO56,""),"")</f>
        <v/>
      </c>
      <c r="BB53" s="145" t="str">
        <f ca="1">IF(CR55&lt;&gt;"",IF(OR('Outfall 1 Limits'!$AX$108="C1",'Outfall 1 Limits'!$AX$108="C2",'Outfall 1 Limits'!$AX$108="C3",'Outfall 1 Limits'!$AX$108="C4"),IF(IP58="Y","&lt;",""),""),"")</f>
        <v/>
      </c>
      <c r="BC53" s="62" t="str">
        <f ca="1">IF(CR55&lt;&gt;"",IF(OR('Outfall 1 Limits'!$AX$108="C1",'Outfall 1 Limits'!$AX$108="C2",'Outfall 1 Limits'!$AX$108="C3",'Outfall 1 Limits'!$AX$108="C4"),IP56,""),"")</f>
        <v/>
      </c>
      <c r="BD53" s="145" t="str">
        <f ca="1">IF(CS55&lt;&gt;"",IF(OR('Outfall 1 Limits'!$AX$112="C1",'Outfall 1 Limits'!$AX$112="C2",'Outfall 1 Limits'!$AX$112="C3",'Outfall 1 Limits'!$AX$112="C4"),IF(IQ58="Y","&lt;",""),""),"")</f>
        <v/>
      </c>
      <c r="BE53" s="62" t="str">
        <f ca="1">IF(CS55&lt;&gt;"",IF(OR('Outfall 1 Limits'!$AX$112="C1",'Outfall 1 Limits'!$AX$112="C2",'Outfall 1 Limits'!$AX$112="C3",'Outfall 1 Limits'!$AX$112="C4"),IQ56,""),"")</f>
        <v/>
      </c>
      <c r="BF53" s="145" t="str">
        <f ca="1">IF(CT55&lt;&gt;"",IF(OR('Outfall 1 Limits'!$AX$116="C1",'Outfall 1 Limits'!$AX$116="C2",'Outfall 1 Limits'!$AX$116="C3",'Outfall 1 Limits'!$AX$116="C4"),IF(IR58="Y","&lt;",""),""),"")</f>
        <v/>
      </c>
      <c r="BG53" s="62" t="str">
        <f ca="1">IF(CT55&lt;&gt;"",IF(OR('Outfall 1 Limits'!$AX$116="C1",'Outfall 1 Limits'!$AX$116="C2",'Outfall 1 Limits'!$AX$116="C3",'Outfall 1 Limits'!$AX$116="C4"),IR56,""),"")</f>
        <v/>
      </c>
      <c r="BH53" s="145" t="str">
        <f ca="1">IF(CU55&lt;&gt;"",IF(OR('Outfall 1 Limits'!$AX$120="C1",'Outfall 1 Limits'!$AX$120="C2",'Outfall 1 Limits'!$AX$120="C3",'Outfall 1 Limits'!$AX$120="C4"),IF(IS58="Y","&lt;",""),""),"")</f>
        <v/>
      </c>
      <c r="BI53" s="62" t="str">
        <f ca="1">IF(CU55&lt;&gt;"",IF(OR('Outfall 1 Limits'!$AX$120="C1",'Outfall 1 Limits'!$AX$120="C2",'Outfall 1 Limits'!$AX$120="C3",'Outfall 1 Limits'!$AX$120="C4"),IS56,""),"")</f>
        <v/>
      </c>
      <c r="BJ53" s="145" t="str">
        <f ca="1">IF(CV55&lt;&gt;"",IF(OR('Outfall 1 Limits'!$AX$124="C1",'Outfall 1 Limits'!$AX$124="C2",'Outfall 1 Limits'!$AX$124="C3",'Outfall 1 Limits'!$AX$124="C4"),IF(IT58="Y","&lt;",""),""),"")</f>
        <v/>
      </c>
      <c r="BK53" s="62" t="str">
        <f ca="1">IF(CV55&lt;&gt;"",IF(OR('Outfall 1 Limits'!$AX$124="C1",'Outfall 1 Limits'!$AX$124="C2",'Outfall 1 Limits'!$AX$124="C3",'Outfall 1 Limits'!$AX$124="C4"),IT56,""),"")</f>
        <v/>
      </c>
      <c r="BL53" s="145" t="str">
        <f ca="1">IF(CW55&lt;&gt;"",IF(OR('Outfall 1 Limits'!$AX$128="C1",'Outfall 1 Limits'!$AX$128="C2",'Outfall 1 Limits'!$AX$128="C3",'Outfall 1 Limits'!$AX$128="C4"),IF(IU58="Y","&lt;",""),""),"")</f>
        <v/>
      </c>
      <c r="BM53" s="117" t="str">
        <f ca="1">IF(CW55&lt;&gt;"",IF(OR('Outfall 1 Limits'!$AX$128="C1",'Outfall 1 Limits'!$AX$128="C2",'Outfall 1 Limits'!$AX$128="C3",'Outfall 1 Limits'!$AX$128="C4"),IU56,""),"")</f>
        <v/>
      </c>
      <c r="BO53" s="174"/>
      <c r="BP53" s="174">
        <v>2072</v>
      </c>
      <c r="BQ53" s="179" t="s">
        <v>70</v>
      </c>
      <c r="BR53" s="241"/>
      <c r="BS53" s="174"/>
      <c r="BT53" s="242" t="s">
        <v>832</v>
      </c>
      <c r="BU53" s="202" t="str">
        <f ca="1">IF(ROWS(INDIRECT("BU"&amp;$D$10):INDIRECT("BU"&amp;$B$10))-COUNTIF(INDIRECT("BU"&amp;$D$10):INDIRECT("BU"&amp;$B$10),"")&gt;0,SUM(INDIRECT("BU"&amp;$D$10):INDIRECT("BU"&amp;$B$10)),"")</f>
        <v/>
      </c>
      <c r="BV53" s="196" t="str">
        <f ca="1">IF(ROWS(INDIRECT("BV"&amp;$D$10):INDIRECT("BV"&amp;$B$10))-COUNTIF(INDIRECT("BV"&amp;$D$10):INDIRECT("BV"&amp;$B$10),"")&gt;0,SUM(INDIRECT("BV"&amp;$D$10):INDIRECT("BV"&amp;$B$10)),"")</f>
        <v/>
      </c>
      <c r="BW53" s="196" t="str">
        <f ca="1">IF(ROWS(INDIRECT("BW"&amp;$D$10):INDIRECT("BW"&amp;$B$10))-COUNTIF(INDIRECT("BW"&amp;$D$10):INDIRECT("BW"&amp;$B$10),"")&gt;0,SUM(INDIRECT("BW"&amp;$D$10):INDIRECT("BW"&amp;$B$10)),"")</f>
        <v/>
      </c>
      <c r="BX53" s="196" t="str">
        <f ca="1">IF(ROWS(INDIRECT("BX"&amp;$D$10):INDIRECT("BX"&amp;$B$10))-COUNTIF(INDIRECT("BX"&amp;$D$10):INDIRECT("BX"&amp;$B$10),"")&gt;0,SUM(INDIRECT("BX"&amp;$D$10):INDIRECT("BX"&amp;$B$10)),"")</f>
        <v/>
      </c>
      <c r="BY53" s="196" t="str">
        <f ca="1">IF(ROWS(INDIRECT("BY"&amp;$D$10):INDIRECT("BY"&amp;$B$10))-COUNTIF(INDIRECT("BY"&amp;$D$10):INDIRECT("BY"&amp;$B$10),"")&gt;0,SUM(INDIRECT("BY"&amp;$D$10):INDIRECT("BY"&amp;$B$10)),"")</f>
        <v/>
      </c>
      <c r="BZ53" s="196" t="str">
        <f ca="1">IF(ROWS(INDIRECT("BZ"&amp;$D$10):INDIRECT("BZ"&amp;$B$10))-COUNTIF(INDIRECT("BZ"&amp;$D$10):INDIRECT("BZ"&amp;$B$10),"")&gt;0,SUM(INDIRECT("BZ"&amp;$D$10):INDIRECT("BZ"&amp;$B$10)),"")</f>
        <v/>
      </c>
      <c r="CA53" s="196" t="str">
        <f ca="1">IF(ROWS(INDIRECT("CA"&amp;$D$10):INDIRECT("CA"&amp;$B$10))-COUNTIF(INDIRECT("CA"&amp;$D$10):INDIRECT("CA"&amp;$B$10),"")&gt;0,SUM(INDIRECT("CA"&amp;$D$10):INDIRECT("CA"&amp;$B$10)),"")</f>
        <v/>
      </c>
      <c r="CB53" s="196" t="str">
        <f ca="1">IF(ROWS(INDIRECT("CB"&amp;$D$10):INDIRECT("CB"&amp;$B$10))-COUNTIF(INDIRECT("CB"&amp;$D$10):INDIRECT("CB"&amp;$B$10),"")&gt;0,SUM(INDIRECT("CB"&amp;$D$10):INDIRECT("CB"&amp;$B$10)),"")</f>
        <v/>
      </c>
      <c r="CC53" s="196" t="str">
        <f ca="1">IF(ROWS(INDIRECT("CC"&amp;$D$10):INDIRECT("CC"&amp;$B$10))-COUNTIF(INDIRECT("CC"&amp;$D$10):INDIRECT("CC"&amp;$B$10),"")&gt;0,SUM(INDIRECT("CC"&amp;$D$10):INDIRECT("CC"&amp;$B$10)),"")</f>
        <v/>
      </c>
      <c r="CD53" s="196" t="str">
        <f ca="1">IF(ROWS(INDIRECT("CD"&amp;$D$10):INDIRECT("CD"&amp;$B$10))-COUNTIF(INDIRECT("CD"&amp;$D$10):INDIRECT("CD"&amp;$B$10),"")&gt;0,SUM(INDIRECT("CD"&amp;$D$10):INDIRECT("CD"&amp;$B$10)),"")</f>
        <v/>
      </c>
      <c r="CE53" s="196" t="str">
        <f ca="1">IF(ROWS(INDIRECT("CE"&amp;$D$10):INDIRECT("CE"&amp;$B$10))-COUNTIF(INDIRECT("CE"&amp;$D$10):INDIRECT("CE"&amp;$B$10),"")&gt;0,SUM(INDIRECT("CE"&amp;$D$10):INDIRECT("CE"&amp;$B$10)),"")</f>
        <v/>
      </c>
      <c r="CF53" s="196" t="str">
        <f ca="1">IF(ROWS(INDIRECT("CF"&amp;$D$10):INDIRECT("CF"&amp;$B$10))-COUNTIF(INDIRECT("CF"&amp;$D$10):INDIRECT("CF"&amp;$B$10),"")&gt;0,SUM(INDIRECT("CF"&amp;$D$10):INDIRECT("CF"&amp;$B$10)),"")</f>
        <v/>
      </c>
      <c r="CG53" s="196" t="str">
        <f ca="1">IF(ROWS(INDIRECT("CG"&amp;$D$10):INDIRECT("CG"&amp;$B$10))-COUNTIF(INDIRECT("CG"&amp;$D$10):INDIRECT("CG"&amp;$B$10),"")&gt;0,SUM(INDIRECT("CG"&amp;$D$10):INDIRECT("CG"&amp;$B$10)),"")</f>
        <v/>
      </c>
      <c r="CH53" s="196" t="str">
        <f ca="1">IF(ROWS(INDIRECT("CH"&amp;$D$10):INDIRECT("CH"&amp;$B$10))-COUNTIF(INDIRECT("CH"&amp;$D$10):INDIRECT("CH"&amp;$B$10),"")&gt;0,SUM(INDIRECT("CH"&amp;$D$10):INDIRECT("CH"&amp;$B$10)),"")</f>
        <v/>
      </c>
      <c r="CI53" s="196" t="str">
        <f ca="1">IF(ROWS(INDIRECT("CI"&amp;$D$10):INDIRECT("CI"&amp;$B$10))-COUNTIF(INDIRECT("CI"&amp;$D$10):INDIRECT("CI"&amp;$B$10),"")&gt;0,SUM(INDIRECT("CI"&amp;$D$10):INDIRECT("CI"&amp;$B$10)),"")</f>
        <v/>
      </c>
      <c r="CJ53" s="196" t="str">
        <f ca="1">IF(ROWS(INDIRECT("CJ"&amp;$D$10):INDIRECT("CJ"&amp;$B$10))-COUNTIF(INDIRECT("CJ"&amp;$D$10):INDIRECT("CJ"&amp;$B$10),"")&gt;0,SUM(INDIRECT("CJ"&amp;$D$10):INDIRECT("CJ"&amp;$B$10)),"")</f>
        <v/>
      </c>
      <c r="CK53" s="196" t="str">
        <f ca="1">IF(ROWS(INDIRECT("CK"&amp;$D$10):INDIRECT("CK"&amp;$B$10))-COUNTIF(INDIRECT("CK"&amp;$D$10):INDIRECT("CK"&amp;$B$10),"")&gt;0,SUM(INDIRECT("CK"&amp;$D$10):INDIRECT("CK"&amp;$B$10)),"")</f>
        <v/>
      </c>
      <c r="CL53" s="196" t="str">
        <f ca="1">IF(ROWS(INDIRECT("CL"&amp;$D$10):INDIRECT("CL"&amp;$B$10))-COUNTIF(INDIRECT("CL"&amp;$D$10):INDIRECT("CL"&amp;$B$10),"")&gt;0,SUM(INDIRECT("CL"&amp;$D$10):INDIRECT("CL"&amp;$B$10)),"")</f>
        <v/>
      </c>
      <c r="CM53" s="196" t="str">
        <f ca="1">IF(ROWS(INDIRECT("CM"&amp;$D$10):INDIRECT("CM"&amp;$B$10))-COUNTIF(INDIRECT("CM"&amp;$D$10):INDIRECT("CM"&amp;$B$10),"")&gt;0,SUM(INDIRECT("CM"&amp;$D$10):INDIRECT("CM"&amp;$B$10)),"")</f>
        <v/>
      </c>
      <c r="CN53" s="196" t="str">
        <f ca="1">IF(ROWS(INDIRECT("CN"&amp;$D$10):INDIRECT("CN"&amp;$B$10))-COUNTIF(INDIRECT("CN"&amp;$D$10):INDIRECT("CN"&amp;$B$10),"")&gt;0,SUM(INDIRECT("CN"&amp;$D$10):INDIRECT("CN"&amp;$B$10)),"")</f>
        <v/>
      </c>
      <c r="CO53" s="196" t="str">
        <f ca="1">IF(ROWS(INDIRECT("CO"&amp;$D$10):INDIRECT("CO"&amp;$B$10))-COUNTIF(INDIRECT("CO"&amp;$D$10):INDIRECT("CO"&amp;$B$10),"")&gt;0,SUM(INDIRECT("CO"&amp;$D$10):INDIRECT("CO"&amp;$B$10)),"")</f>
        <v/>
      </c>
      <c r="CP53" s="196" t="str">
        <f ca="1">IF(ROWS(INDIRECT("CP"&amp;$D$10):INDIRECT("CP"&amp;$B$10))-COUNTIF(INDIRECT("CP"&amp;$D$10):INDIRECT("CP"&amp;$B$10),"")&gt;0,SUM(INDIRECT("CP"&amp;$D$10):INDIRECT("CP"&amp;$B$10)),"")</f>
        <v/>
      </c>
      <c r="CQ53" s="196" t="str">
        <f ca="1">IF(ROWS(INDIRECT("CQ"&amp;$D$10):INDIRECT("CQ"&amp;$B$10))-COUNTIF(INDIRECT("CQ"&amp;$D$10):INDIRECT("CQ"&amp;$B$10),"")&gt;0,SUM(INDIRECT("CQ"&amp;$D$10):INDIRECT("CQ"&amp;$B$10)),"")</f>
        <v/>
      </c>
      <c r="CR53" s="196" t="str">
        <f ca="1">IF(ROWS(INDIRECT("CR"&amp;$D$10):INDIRECT("CR"&amp;$B$10))-COUNTIF(INDIRECT("CR"&amp;$D$10):INDIRECT("CR"&amp;$B$10),"")&gt;0,SUM(INDIRECT("CR"&amp;$D$10):INDIRECT("CR"&amp;$B$10)),"")</f>
        <v/>
      </c>
      <c r="CS53" s="196" t="str">
        <f ca="1">IF(ROWS(INDIRECT("CS"&amp;$D$10):INDIRECT("CS"&amp;$B$10))-COUNTIF(INDIRECT("CS"&amp;$D$10):INDIRECT("CS"&amp;$B$10),"")&gt;0,SUM(INDIRECT("CS"&amp;$D$10):INDIRECT("CS"&amp;$B$10)),"")</f>
        <v/>
      </c>
      <c r="CT53" s="196" t="str">
        <f ca="1">IF(ROWS(INDIRECT("CT"&amp;$D$10):INDIRECT("CT"&amp;$B$10))-COUNTIF(INDIRECT("CT"&amp;$D$10):INDIRECT("CT"&amp;$B$10),"")&gt;0,SUM(INDIRECT("CT"&amp;$D$10):INDIRECT("CT"&amp;$B$10)),"")</f>
        <v/>
      </c>
      <c r="CU53" s="196" t="str">
        <f ca="1">IF(ROWS(INDIRECT("CU"&amp;$D$10):INDIRECT("CU"&amp;$B$10))-COUNTIF(INDIRECT("CU"&amp;$D$10):INDIRECT("CU"&amp;$B$10),"")&gt;0,SUM(INDIRECT("CU"&amp;$D$10):INDIRECT("CU"&amp;$B$10)),"")</f>
        <v/>
      </c>
      <c r="CV53" s="196" t="str">
        <f ca="1">IF(ROWS(INDIRECT("CV"&amp;$D$10):INDIRECT("CV"&amp;$B$10))-COUNTIF(INDIRECT("CV"&amp;$D$10):INDIRECT("CV"&amp;$B$10),"")&gt;0,SUM(INDIRECT("CV"&amp;$D$10):INDIRECT("CV"&amp;$B$10)),"")</f>
        <v/>
      </c>
      <c r="CW53" s="210" t="str">
        <f ca="1">IF(ROWS(INDIRECT("CW"&amp;$D$10):INDIRECT("CW"&amp;$B$10))-COUNTIF(INDIRECT("CW"&amp;$D$10):INDIRECT("CW"&amp;$B$10),"")&gt;0,SUM(INDIRECT("CW"&amp;$D$10):INDIRECT("CW"&amp;$B$10)),"")</f>
        <v/>
      </c>
      <c r="CX53" s="243"/>
      <c r="CY53" s="212"/>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8"/>
      <c r="EB53" s="176"/>
      <c r="FG53" s="211"/>
      <c r="FH53" s="203"/>
      <c r="FI53" s="203"/>
      <c r="FJ53" s="203"/>
      <c r="FK53" s="203"/>
      <c r="FL53" s="203"/>
      <c r="FM53" s="203"/>
      <c r="FN53" s="203"/>
      <c r="FO53" s="203"/>
      <c r="FP53" s="203"/>
      <c r="FQ53" s="203"/>
      <c r="FR53" s="203"/>
      <c r="FS53" s="203"/>
      <c r="FT53" s="203"/>
      <c r="FU53" s="203"/>
      <c r="FV53" s="203"/>
      <c r="FW53" s="203"/>
      <c r="FX53" s="203"/>
      <c r="FY53" s="203"/>
      <c r="FZ53" s="203"/>
      <c r="GA53" s="203"/>
      <c r="GB53" s="203"/>
      <c r="GC53" s="203"/>
      <c r="GD53" s="203"/>
      <c r="GE53" s="203"/>
      <c r="GF53" s="203"/>
      <c r="GG53" s="203"/>
      <c r="GH53" s="203"/>
      <c r="GI53" s="204"/>
      <c r="GK53" s="212"/>
      <c r="GL53" s="206"/>
      <c r="GM53" s="206"/>
      <c r="GN53" s="206"/>
      <c r="GO53" s="206"/>
      <c r="GP53" s="206"/>
      <c r="GQ53" s="206"/>
      <c r="GR53" s="206"/>
      <c r="GS53" s="206"/>
      <c r="GT53" s="206"/>
      <c r="GU53" s="206"/>
      <c r="GV53" s="206"/>
      <c r="GW53" s="206"/>
      <c r="GX53" s="206"/>
      <c r="GY53" s="206"/>
      <c r="GZ53" s="206"/>
      <c r="HA53" s="206"/>
      <c r="HB53" s="206"/>
      <c r="HC53" s="206"/>
      <c r="HD53" s="206"/>
      <c r="HE53" s="206"/>
      <c r="HF53" s="206"/>
      <c r="HG53" s="206"/>
      <c r="HH53" s="206"/>
      <c r="HI53" s="206"/>
      <c r="HJ53" s="206"/>
      <c r="HK53" s="206"/>
      <c r="HL53" s="206"/>
      <c r="HM53" s="244"/>
      <c r="HN53" s="245" t="s">
        <v>374</v>
      </c>
      <c r="HO53" s="246" t="str">
        <f ca="1">HS53</f>
        <v/>
      </c>
      <c r="HR53" s="242" t="s">
        <v>374</v>
      </c>
      <c r="HS53" s="247" t="str">
        <f ca="1">IF(ROWS(INDIRECT("I"&amp;$D$10):INDIRECT("I"&amp;$B$10))-COUNTIF(INDIRECT("I"&amp;$D$10):INDIRECT("I"&amp;$B$10),"")&gt;0,MAX(INDIRECT("I"&amp;$D$10):INDIRECT("I"&amp;$B$10)),"")</f>
        <v/>
      </c>
      <c r="HT53" s="196" t="str">
        <f ca="1">IF(ROWS(INDIRECT("K"&amp;$D$10):INDIRECT("K"&amp;$B$10))-COUNTIF(INDIRECT("K"&amp;$D$10):INDIRECT("K"&amp;$B$10),"")&gt;0,MAX(INDIRECT("K"&amp;$D$10):INDIRECT("K"&amp;$B$10)),"")</f>
        <v/>
      </c>
      <c r="HU53" s="196" t="str">
        <f ca="1">IF(ROWS(INDIRECT("M"&amp;$D$10):INDIRECT("M"&amp;$B$10))-COUNTIF(INDIRECT("M"&amp;$D$10):INDIRECT("M"&amp;$B$10),"")&gt;0,MAX(INDIRECT("M"&amp;$D$10):INDIRECT("M"&amp;$B$10)),"")</f>
        <v/>
      </c>
      <c r="HV53" s="196" t="str">
        <f ca="1">IF(ROWS(INDIRECT("O"&amp;$D$10):INDIRECT("O"&amp;$B$10))-COUNTIF(INDIRECT("O"&amp;$D$10):INDIRECT("O"&amp;$B$10),"")&gt;0,MAX(INDIRECT("O"&amp;$D$10):INDIRECT("O"&amp;$B$10)),"")</f>
        <v/>
      </c>
      <c r="HW53" s="196" t="str">
        <f ca="1">IF(ROWS(INDIRECT("Q"&amp;$D$10):INDIRECT("Q"&amp;$B$10))-COUNTIF(INDIRECT("Q"&amp;$D$10):INDIRECT("Q"&amp;$B$10),"")&gt;0,MAX(INDIRECT("Q"&amp;$D$10):INDIRECT("Q"&amp;$B$10)),"")</f>
        <v/>
      </c>
      <c r="HX53" s="196" t="str">
        <f ca="1">IF(ROWS(INDIRECT("S"&amp;$D$10):INDIRECT("S"&amp;$B$10))-COUNTIF(INDIRECT("S"&amp;$D$10):INDIRECT("S"&amp;$B$10),"")&gt;0,MAX(INDIRECT("S"&amp;$D$10):INDIRECT("S"&amp;$B$10)),"")</f>
        <v/>
      </c>
      <c r="HY53" s="196" t="str">
        <f ca="1">IF(ROWS(INDIRECT("U"&amp;$D$10):INDIRECT("U"&amp;$B$10))-COUNTIF(INDIRECT("U"&amp;$D$10):INDIRECT("U"&amp;$B$10),"")&gt;0,MAX(INDIRECT("U"&amp;$D$10):INDIRECT("U"&amp;$B$10)),"")</f>
        <v/>
      </c>
      <c r="HZ53" s="196" t="str">
        <f ca="1">IF(ROWS(INDIRECT("W"&amp;$D$10):INDIRECT("W"&amp;$B$10))-COUNTIF(INDIRECT("W"&amp;$D$10):INDIRECT("W"&amp;$B$10),"")&gt;0,MAX(INDIRECT("W"&amp;$D$10):INDIRECT("W"&amp;$B$10)),"")</f>
        <v/>
      </c>
      <c r="IA53" s="196" t="str">
        <f ca="1">IF(ROWS(INDIRECT("Y"&amp;$D$10):INDIRECT("Y"&amp;$B$10))-COUNTIF(INDIRECT("Y"&amp;$D$10):INDIRECT("Y"&amp;$B$10),"")&gt;0,MAX(INDIRECT("Y"&amp;$D$10):INDIRECT("Y"&amp;$B$10)),"")</f>
        <v/>
      </c>
      <c r="IB53" s="196" t="str">
        <f ca="1">IF(ROWS(INDIRECT("AA"&amp;$D$10):INDIRECT("AA"&amp;$B$10))-COUNTIF(INDIRECT("AA"&amp;$D$10):INDIRECT("AA"&amp;$B$10),"")&gt;0,MAX(INDIRECT("AA"&amp;$D$10):INDIRECT("AA"&amp;$B$10)),"")</f>
        <v/>
      </c>
      <c r="IC53" s="196" t="str">
        <f ca="1">IF(ROWS(INDIRECT("AC"&amp;$D$10):INDIRECT("AC"&amp;$B$10))-COUNTIF(INDIRECT("AC"&amp;$D$10):INDIRECT("AC"&amp;$B$10),"")&gt;0,MAX(INDIRECT("AC"&amp;$D$10):INDIRECT("AC"&amp;$B$10)),"")</f>
        <v/>
      </c>
      <c r="ID53" s="196" t="str">
        <f ca="1">IF(ROWS(INDIRECT("AE"&amp;$D$10):INDIRECT("AE"&amp;$B$10))-COUNTIF(INDIRECT("AE"&amp;$D$10):INDIRECT("AE"&amp;$B$10),"")&gt;0,MAX(INDIRECT("AE"&amp;$D$10):INDIRECT("AE"&amp;$B$10)),"")</f>
        <v/>
      </c>
      <c r="IE53" s="196" t="str">
        <f ca="1">IF(ROWS(INDIRECT("AG"&amp;$D$10):INDIRECT("AG"&amp;$B$10))-COUNTIF(INDIRECT("AG"&amp;$D$10):INDIRECT("AG"&amp;$B$10),"")&gt;0,MAX(INDIRECT("AG"&amp;$D$10):INDIRECT("AG"&amp;$B$10)),"")</f>
        <v/>
      </c>
      <c r="IF53" s="196" t="str">
        <f ca="1">IF(ROWS(INDIRECT("AI"&amp;$D$10):INDIRECT("AI"&amp;$B$10))-COUNTIF(INDIRECT("AI"&amp;$D$10):INDIRECT("AI"&amp;$B$10),"")&gt;0,MAX(INDIRECT("AI"&amp;$D$10):INDIRECT("AI"&amp;$B$10)),"")</f>
        <v/>
      </c>
      <c r="IG53" s="196" t="str">
        <f ca="1">IF(ROWS(INDIRECT("AK"&amp;$D$10):INDIRECT("AK"&amp;$B$10))-COUNTIF(INDIRECT("AK"&amp;$D$10):INDIRECT("AK"&amp;$B$10),"")&gt;0,MAX(INDIRECT("AK"&amp;$D$10):INDIRECT("AK"&amp;$B$10)),"")</f>
        <v/>
      </c>
      <c r="IH53" s="196" t="str">
        <f ca="1">IF(ROWS(INDIRECT("AM"&amp;$D$10):INDIRECT("AM"&amp;$B$10))-COUNTIF(INDIRECT("AM"&amp;$D$10):INDIRECT("AM"&amp;$B$10),"")&gt;0,MAX(INDIRECT("AM"&amp;$D$10):INDIRECT("AM"&amp;$B$10)),"")</f>
        <v/>
      </c>
      <c r="II53" s="196" t="str">
        <f ca="1">IF(ROWS(INDIRECT("AO"&amp;$D$10):INDIRECT("AO"&amp;$B$10))-COUNTIF(INDIRECT("AO"&amp;$D$10):INDIRECT("AO"&amp;$B$10),"")&gt;0,MAX(INDIRECT("AO"&amp;$D$10):INDIRECT("AO"&amp;$B$10)),"")</f>
        <v/>
      </c>
      <c r="IJ53" s="196" t="str">
        <f ca="1">IF(ROWS(INDIRECT("AQ"&amp;$D$10):INDIRECT("AQ"&amp;$B$10))-COUNTIF(INDIRECT("AQ"&amp;$D$10):INDIRECT("AQ"&amp;$B$10),"")&gt;0,MAX(INDIRECT("AQ"&amp;$D$10):INDIRECT("AQ"&amp;$B$10)),"")</f>
        <v/>
      </c>
      <c r="IK53" s="196" t="str">
        <f ca="1">IF(ROWS(INDIRECT("AS"&amp;$D$10):INDIRECT("AS"&amp;$B$10))-COUNTIF(INDIRECT("AS"&amp;$D$10):INDIRECT("AS"&amp;$B$10),"")&gt;0,MAX(INDIRECT("AS"&amp;$D$10):INDIRECT("AS"&amp;$B$10)),"")</f>
        <v/>
      </c>
      <c r="IL53" s="196" t="str">
        <f ca="1">IF(ROWS(INDIRECT("AU"&amp;$D$10):INDIRECT("AU"&amp;$B$10))-COUNTIF(INDIRECT("AU"&amp;$D$10):INDIRECT("AU"&amp;$B$10),"")&gt;0,MAX(INDIRECT("AU"&amp;$D$10):INDIRECT("AU"&amp;$B$10)),"")</f>
        <v/>
      </c>
      <c r="IM53" s="196" t="str">
        <f ca="1">IF(ROWS(INDIRECT("AW"&amp;$D$10):INDIRECT("AW"&amp;$B$10))-COUNTIF(INDIRECT("AW"&amp;$D$10):INDIRECT("AW"&amp;$B$10),"")&gt;0,MAX(INDIRECT("AW"&amp;$D$10):INDIRECT("AW"&amp;$B$10)),"")</f>
        <v/>
      </c>
      <c r="IN53" s="196" t="str">
        <f ca="1">IF(ROWS(INDIRECT("AY"&amp;$D$10):INDIRECT("AY"&amp;$B$10))-COUNTIF(INDIRECT("AY"&amp;$D$10):INDIRECT("AY"&amp;$B$10),"")&gt;0,MAX(INDIRECT("AY"&amp;$D$10):INDIRECT("AY"&amp;$B$10)),"")</f>
        <v/>
      </c>
      <c r="IO53" s="196" t="str">
        <f ca="1">IF(ROWS(INDIRECT("BA"&amp;$D$10):INDIRECT("BA"&amp;$B$10))-COUNTIF(INDIRECT("BA"&amp;$D$10):INDIRECT("BA"&amp;$B$10),"")&gt;0,MAX(INDIRECT("BA"&amp;$D$10):INDIRECT("BA"&amp;$B$10)),"")</f>
        <v/>
      </c>
      <c r="IP53" s="196" t="str">
        <f ca="1">IF(ROWS(INDIRECT("BC"&amp;$D$10):INDIRECT("BC"&amp;$B$10))-COUNTIF(INDIRECT("BC"&amp;$D$10):INDIRECT("BC"&amp;$B$10),"")&gt;0,MAX(INDIRECT("BC"&amp;$D$10):INDIRECT("BC"&amp;$B$10)),"")</f>
        <v/>
      </c>
      <c r="IQ53" s="196" t="str">
        <f ca="1">IF(ROWS(INDIRECT("BE"&amp;$D$10):INDIRECT("BE"&amp;$B$10))-COUNTIF(INDIRECT("BE"&amp;$D$10):INDIRECT("BE"&amp;$B$10),"")&gt;0,MAX(INDIRECT("BE"&amp;$D$10):INDIRECT("BE"&amp;$B$10)),"")</f>
        <v/>
      </c>
      <c r="IR53" s="196" t="str">
        <f ca="1">IF(ROWS(INDIRECT("BG"&amp;$D$10):INDIRECT("BG"&amp;$B$10))-COUNTIF(INDIRECT("BG"&amp;$D$10):INDIRECT("BG"&amp;$B$10),"")&gt;0,MAX(INDIRECT("BG"&amp;$D$10):INDIRECT("BG"&amp;$B$10)),"")</f>
        <v/>
      </c>
      <c r="IS53" s="196" t="str">
        <f ca="1">IF(ROWS(INDIRECT("BI"&amp;$D$10):INDIRECT("BI"&amp;$B$10))-COUNTIF(INDIRECT("BI"&amp;$D$10):INDIRECT("BI"&amp;$B$10),"")&gt;0,MAX(INDIRECT("BI"&amp;$D$10):INDIRECT("BI"&amp;$B$10)),"")</f>
        <v/>
      </c>
      <c r="IT53" s="196" t="str">
        <f ca="1">IF(ROWS(INDIRECT("BK"&amp;$D$10):INDIRECT("BK"&amp;$B$10))-COUNTIF(INDIRECT("BK"&amp;$D$10):INDIRECT("BK"&amp;$B$10),"")&gt;0,MAX(INDIRECT("BK"&amp;$D$10):INDIRECT("BK"&amp;$B$10)),"")</f>
        <v/>
      </c>
      <c r="IU53" s="210" t="str">
        <f ca="1">IF(ROWS(INDIRECT("BM"&amp;$D$10):INDIRECT("BM"&amp;$B$10))-COUNTIF(INDIRECT("BM"&amp;$D$10):INDIRECT("BM"&amp;$B$10),"")&gt;0,MAX(INDIRECT("BM"&amp;$D$10):INDIRECT("BM"&amp;$B$10)),"")</f>
        <v/>
      </c>
      <c r="IW53" s="242" t="s">
        <v>374</v>
      </c>
      <c r="IX53" s="247" t="str">
        <f ca="1">IF(ROWS(INDIRECT("FG"&amp;$D$10):INDIRECT("FG"&amp;$B$10))-COUNTIF(INDIRECT("FG"&amp;$D$10):INDIRECT("FG"&amp;$B$10),"")&gt;0,MAX(INDIRECT("FG"&amp;$D$10):INDIRECT("FG"&amp;$B$10)),"")</f>
        <v/>
      </c>
      <c r="IY53" s="196" t="str">
        <f ca="1">IF(ROWS(INDIRECT("FH"&amp;$D$10):INDIRECT("FH"&amp;$B$10))-COUNTIF(INDIRECT("FH"&amp;$D$10):INDIRECT("FH"&amp;$B$10),"")&gt;0,MAX(INDIRECT("FH"&amp;$D$10):INDIRECT("FH"&amp;$B$10)),"")</f>
        <v/>
      </c>
      <c r="IZ53" s="196" t="str">
        <f ca="1">IF(ROWS(INDIRECT("FI"&amp;$D$10):INDIRECT("FI"&amp;$B$10))-COUNTIF(INDIRECT("FI"&amp;$D$10):INDIRECT("FI"&amp;$B$10),"")&gt;0,MAX(INDIRECT("FI"&amp;$D$10):INDIRECT("FI"&amp;$B$10)),"")</f>
        <v/>
      </c>
      <c r="JA53" s="196" t="str">
        <f ca="1">IF(ROWS(INDIRECT("FJ"&amp;$D$10):INDIRECT("FJ"&amp;$B$10))-COUNTIF(INDIRECT("FJ"&amp;$D$10):INDIRECT("FJ"&amp;$B$10),"")&gt;0,MAX(INDIRECT("FJ"&amp;$D$10):INDIRECT("FJ"&amp;$B$10)),"")</f>
        <v/>
      </c>
      <c r="JB53" s="196" t="str">
        <f ca="1">IF(ROWS(INDIRECT("FK"&amp;$D$10):INDIRECT("FK"&amp;$B$10))-COUNTIF(INDIRECT("FK"&amp;$D$10):INDIRECT("FK"&amp;$B$10),"")&gt;0,MAX(INDIRECT("FK"&amp;$D$10):INDIRECT("FK"&amp;$B$10)),"")</f>
        <v/>
      </c>
      <c r="JC53" s="196" t="str">
        <f ca="1">IF(ROWS(INDIRECT("FL"&amp;$D$10):INDIRECT("FL"&amp;$B$10))-COUNTIF(INDIRECT("FL"&amp;$D$10):INDIRECT("FL"&amp;$B$10),"")&gt;0,MAX(INDIRECT("FL"&amp;$D$10):INDIRECT("FL"&amp;$B$10)),"")</f>
        <v/>
      </c>
      <c r="JD53" s="196" t="str">
        <f ca="1">IF(ROWS(INDIRECT("FM"&amp;$D$10):INDIRECT("FM"&amp;$B$10))-COUNTIF(INDIRECT("FM"&amp;$D$10):INDIRECT("FM"&amp;$B$10),"")&gt;0,MAX(INDIRECT("FM"&amp;$D$10):INDIRECT("FM"&amp;$B$10)),"")</f>
        <v/>
      </c>
      <c r="JE53" s="196" t="str">
        <f ca="1">IF(ROWS(INDIRECT("FN"&amp;$D$10):INDIRECT("FN"&amp;$B$10))-COUNTIF(INDIRECT("FN"&amp;$D$10):INDIRECT("FN"&amp;$B$10),"")&gt;0,MAX(INDIRECT("FN"&amp;$D$10):INDIRECT("FN"&amp;$B$10)),"")</f>
        <v/>
      </c>
      <c r="JF53" s="196" t="str">
        <f ca="1">IF(ROWS(INDIRECT("FO"&amp;$D$10):INDIRECT("FO"&amp;$B$10))-COUNTIF(INDIRECT("FO"&amp;$D$10):INDIRECT("FO"&amp;$B$10),"")&gt;0,MAX(INDIRECT("FO"&amp;$D$10):INDIRECT("FO"&amp;$B$10)),"")</f>
        <v/>
      </c>
      <c r="JG53" s="196" t="str">
        <f ca="1">IF(ROWS(INDIRECT("FP"&amp;$D$10):INDIRECT("FP"&amp;$B$10))-COUNTIF(INDIRECT("FP"&amp;$D$10):INDIRECT("FP"&amp;$B$10),"")&gt;0,MAX(INDIRECT("FP"&amp;$D$10):INDIRECT("FP"&amp;$B$10)),"")</f>
        <v/>
      </c>
      <c r="JH53" s="196" t="str">
        <f ca="1">IF(ROWS(INDIRECT("FQ"&amp;$D$10):INDIRECT("FQ"&amp;$B$10))-COUNTIF(INDIRECT("FQ"&amp;$D$10):INDIRECT("FQ"&amp;$B$10),"")&gt;0,MAX(INDIRECT("FQ"&amp;$D$10):INDIRECT("FQ"&amp;$B$10)),"")</f>
        <v/>
      </c>
      <c r="JI53" s="196" t="str">
        <f ca="1">IF(ROWS(INDIRECT("FR"&amp;$D$10):INDIRECT("FR"&amp;$B$10))-COUNTIF(INDIRECT("FR"&amp;$D$10):INDIRECT("FR"&amp;$B$10),"")&gt;0,MAX(INDIRECT("FR"&amp;$D$10):INDIRECT("FR"&amp;$B$10)),"")</f>
        <v/>
      </c>
      <c r="JJ53" s="196" t="str">
        <f ca="1">IF(ROWS(INDIRECT("FS"&amp;$D$10):INDIRECT("FS"&amp;$B$10))-COUNTIF(INDIRECT("FS"&amp;$D$10):INDIRECT("FS"&amp;$B$10),"")&gt;0,MAX(INDIRECT("FS"&amp;$D$10):INDIRECT("FS"&amp;$B$10)),"")</f>
        <v/>
      </c>
      <c r="JK53" s="196" t="str">
        <f ca="1">IF(ROWS(INDIRECT("FT"&amp;$D$10):INDIRECT("FT"&amp;$B$10))-COUNTIF(INDIRECT("FT"&amp;$D$10):INDIRECT("FT"&amp;$B$10),"")&gt;0,MAX(INDIRECT("FT"&amp;$D$10):INDIRECT("FT"&amp;$B$10)),"")</f>
        <v/>
      </c>
      <c r="JL53" s="196" t="str">
        <f ca="1">IF(ROWS(INDIRECT("FU"&amp;$D$10):INDIRECT("FU"&amp;$B$10))-COUNTIF(INDIRECT("FU"&amp;$D$10):INDIRECT("FU"&amp;$B$10),"")&gt;0,MAX(INDIRECT("FU"&amp;$D$10):INDIRECT("FU"&amp;$B$10)),"")</f>
        <v/>
      </c>
      <c r="JM53" s="196" t="str">
        <f ca="1">IF(ROWS(INDIRECT("FV"&amp;$D$10):INDIRECT("FV"&amp;$B$10))-COUNTIF(INDIRECT("FV"&amp;$D$10):INDIRECT("FV"&amp;$B$10),"")&gt;0,MAX(INDIRECT("FV"&amp;$D$10):INDIRECT("FV"&amp;$B$10)),"")</f>
        <v/>
      </c>
      <c r="JN53" s="196" t="str">
        <f ca="1">IF(ROWS(INDIRECT("FW"&amp;$D$10):INDIRECT("FW"&amp;$B$10))-COUNTIF(INDIRECT("FW"&amp;$D$10):INDIRECT("FW"&amp;$B$10),"")&gt;0,MAX(INDIRECT("FW"&amp;$D$10):INDIRECT("FW"&amp;$B$10)),"")</f>
        <v/>
      </c>
      <c r="JO53" s="196" t="str">
        <f ca="1">IF(ROWS(INDIRECT("FX"&amp;$D$10):INDIRECT("FX"&amp;$B$10))-COUNTIF(INDIRECT("FX"&amp;$D$10):INDIRECT("FX"&amp;$B$10),"")&gt;0,MAX(INDIRECT("FX"&amp;$D$10):INDIRECT("FX"&amp;$B$10)),"")</f>
        <v/>
      </c>
      <c r="JP53" s="196" t="str">
        <f ca="1">IF(ROWS(INDIRECT("FY"&amp;$D$10):INDIRECT("FY"&amp;$B$10))-COUNTIF(INDIRECT("FY"&amp;$D$10):INDIRECT("FY"&amp;$B$10),"")&gt;0,MAX(INDIRECT("FY"&amp;$D$10):INDIRECT("FY"&amp;$B$10)),"")</f>
        <v/>
      </c>
      <c r="JQ53" s="196" t="str">
        <f ca="1">IF(ROWS(INDIRECT("FZ"&amp;$D$10):INDIRECT("FZ"&amp;$B$10))-COUNTIF(INDIRECT("FZ"&amp;$D$10):INDIRECT("FZ"&amp;$B$10),"")&gt;0,MAX(INDIRECT("FZ"&amp;$D$10):INDIRECT("FZ"&amp;$B$10)),"")</f>
        <v/>
      </c>
      <c r="JR53" s="196" t="str">
        <f ca="1">IF(ROWS(INDIRECT("GA"&amp;$D$10):INDIRECT("GA"&amp;$B$10))-COUNTIF(INDIRECT("GA"&amp;$D$10):INDIRECT("GA"&amp;$B$10),"")&gt;0,MAX(INDIRECT("GA"&amp;$D$10):INDIRECT("GA"&amp;$B$10)),"")</f>
        <v/>
      </c>
      <c r="JS53" s="196" t="str">
        <f ca="1">IF(ROWS(INDIRECT("GB"&amp;$D$10):INDIRECT("GB"&amp;$B$10))-COUNTIF(INDIRECT("GB"&amp;$D$10):INDIRECT("GB"&amp;$B$10),"")&gt;0,MAX(INDIRECT("GB"&amp;$D$10):INDIRECT("GB"&amp;$B$10)),"")</f>
        <v/>
      </c>
      <c r="JT53" s="196" t="str">
        <f ca="1">IF(ROWS(INDIRECT("GC"&amp;$D$10):INDIRECT("GC"&amp;$B$10))-COUNTIF(INDIRECT("GC"&amp;$D$10):INDIRECT("GC"&amp;$B$10),"")&gt;0,MAX(INDIRECT("GC"&amp;$D$10):INDIRECT("GC"&amp;$B$10)),"")</f>
        <v/>
      </c>
      <c r="JU53" s="196" t="str">
        <f ca="1">IF(ROWS(INDIRECT("GD"&amp;$D$10):INDIRECT("GD"&amp;$B$10))-COUNTIF(INDIRECT("GD"&amp;$D$10):INDIRECT("GD"&amp;$B$10),"")&gt;0,MAX(INDIRECT("GD"&amp;$D$10):INDIRECT("GD"&amp;$B$10)),"")</f>
        <v/>
      </c>
      <c r="JV53" s="196" t="str">
        <f ca="1">IF(ROWS(INDIRECT("GE"&amp;$D$10):INDIRECT("GE"&amp;$B$10))-COUNTIF(INDIRECT("GE"&amp;$D$10):INDIRECT("GE"&amp;$B$10),"")&gt;0,MAX(INDIRECT("GE"&amp;$D$10):INDIRECT("GE"&amp;$B$10)),"")</f>
        <v/>
      </c>
      <c r="JW53" s="196" t="str">
        <f ca="1">IF(ROWS(INDIRECT("GF"&amp;$D$10):INDIRECT("GF"&amp;$B$10))-COUNTIF(INDIRECT("GF"&amp;$D$10):INDIRECT("GF"&amp;$B$10),"")&gt;0,MAX(INDIRECT("GF"&amp;$D$10):INDIRECT("GF"&amp;$B$10)),"")</f>
        <v/>
      </c>
      <c r="JX53" s="196" t="str">
        <f ca="1">IF(ROWS(INDIRECT("GG"&amp;$D$10):INDIRECT("GG"&amp;$B$10))-COUNTIF(INDIRECT("GG"&amp;$D$10):INDIRECT("GG"&amp;$B$10),"")&gt;0,MAX(INDIRECT("GG"&amp;$D$10):INDIRECT("GG"&amp;$B$10)),"")</f>
        <v/>
      </c>
      <c r="JY53" s="196" t="str">
        <f ca="1">IF(ROWS(INDIRECT("GH"&amp;$D$10):INDIRECT("GH"&amp;$B$10))-COUNTIF(INDIRECT("GH"&amp;$D$10):INDIRECT("GH"&amp;$B$10),"")&gt;0,MAX(INDIRECT("GH"&amp;$D$10):INDIRECT("GH"&amp;$B$10)),"")</f>
        <v/>
      </c>
      <c r="JZ53" s="210" t="str">
        <f ca="1">IF(ROWS(INDIRECT("GI"&amp;$D$10):INDIRECT("GI"&amp;$B$10))-COUNTIF(INDIRECT("GI"&amp;$D$10):INDIRECT("GI"&amp;$B$10),"")&gt;0,MAX(INDIRECT("GI"&amp;$D$10):INDIRECT("GI"&amp;$B$10)),"")</f>
        <v/>
      </c>
      <c r="KA53" s="196"/>
      <c r="KB53" s="176"/>
      <c r="KC53" s="248" t="s">
        <v>1167</v>
      </c>
      <c r="KD53" s="174" t="str">
        <f>'Outfall 1 Limits'!$AM$16</f>
        <v/>
      </c>
      <c r="KE53" s="174" t="str">
        <f>'Outfall 1 Limits'!$AM$20</f>
        <v/>
      </c>
      <c r="KF53" s="174" t="str">
        <f>'Outfall 1 Limits'!$AM$24</f>
        <v/>
      </c>
      <c r="KG53" s="174" t="str">
        <f>'Outfall 1 Limits'!$AM$28</f>
        <v/>
      </c>
      <c r="KH53" s="174" t="str">
        <f>'Outfall 1 Limits'!$AM$32</f>
        <v/>
      </c>
      <c r="KI53" s="174" t="str">
        <f>'Outfall 1 Limits'!$AM$36</f>
        <v/>
      </c>
      <c r="KJ53" s="174" t="str">
        <f>'Outfall 1 Limits'!$AM$40</f>
        <v/>
      </c>
      <c r="KK53" s="174" t="str">
        <f>'Outfall 1 Limits'!$AM$44</f>
        <v/>
      </c>
      <c r="KL53" s="174" t="str">
        <f>'Outfall 1 Limits'!$AM$48</f>
        <v/>
      </c>
      <c r="KM53" s="174" t="str">
        <f>'Outfall 1 Limits'!$AM$52</f>
        <v/>
      </c>
      <c r="KN53" s="174" t="str">
        <f>'Outfall 1 Limits'!$AM$56</f>
        <v/>
      </c>
      <c r="KO53" s="174" t="str">
        <f>'Outfall 1 Limits'!$AM$60</f>
        <v/>
      </c>
      <c r="KP53" s="174" t="str">
        <f>'Outfall 1 Limits'!$AM$64</f>
        <v/>
      </c>
      <c r="KQ53" s="174" t="str">
        <f>'Outfall 1 Limits'!$AM$68</f>
        <v/>
      </c>
      <c r="KR53" s="174" t="str">
        <f>'Outfall 1 Limits'!$AM$72</f>
        <v/>
      </c>
      <c r="KS53" s="174" t="str">
        <f>'Outfall 1 Limits'!$AM$76</f>
        <v/>
      </c>
      <c r="KT53" s="174" t="str">
        <f>'Outfall 1 Limits'!$AM$80</f>
        <v/>
      </c>
      <c r="KU53" s="174" t="str">
        <f>'Outfall 1 Limits'!$AM$84</f>
        <v/>
      </c>
      <c r="KV53" s="174" t="str">
        <f>'Outfall 1 Limits'!$AM$88</f>
        <v/>
      </c>
      <c r="KW53" s="174" t="str">
        <f>'Outfall 1 Limits'!$AM$92</f>
        <v/>
      </c>
      <c r="KX53" s="174" t="str">
        <f>'Outfall 1 Limits'!$AM$96</f>
        <v/>
      </c>
      <c r="KY53" s="174" t="str">
        <f>'Outfall 1 Limits'!$AM$100</f>
        <v/>
      </c>
      <c r="KZ53" s="174" t="str">
        <f>'Outfall 1 Limits'!$AM$104</f>
        <v/>
      </c>
      <c r="LA53" s="174" t="str">
        <f>'Outfall 1 Limits'!$AM$108</f>
        <v/>
      </c>
      <c r="LB53" s="174" t="str">
        <f>'Outfall 1 Limits'!$AM$112</f>
        <v/>
      </c>
      <c r="LC53" s="174" t="str">
        <f>'Outfall 1 Limits'!$AM$116</f>
        <v/>
      </c>
      <c r="LD53" s="174" t="str">
        <f>'Outfall 1 Limits'!$AM$120</f>
        <v/>
      </c>
      <c r="LE53" s="174" t="str">
        <f>'Outfall 1 Limits'!$AM$124</f>
        <v/>
      </c>
      <c r="LF53" s="174" t="str">
        <f>'Outfall 1 Limits'!$AM$128</f>
        <v/>
      </c>
    </row>
    <row r="54" spans="1:318" s="172" customFormat="1" ht="11.45" customHeight="1" x14ac:dyDescent="0.2">
      <c r="A54" s="35"/>
      <c r="B54" s="439" t="s">
        <v>1130</v>
      </c>
      <c r="C54" s="439"/>
      <c r="D54" s="439"/>
      <c r="E54" s="439"/>
      <c r="F54" s="440"/>
      <c r="G54" s="63"/>
      <c r="H54" s="64" t="str">
        <f ca="1">IF(BU55&lt;&gt;"",IF(OR('Outfall 1 Limits'!AX16="C1",'Outfall 1 Limits'!AX16="C2",'Outfall 1 Limits'!AX16="C3",'Outfall 1 Limits'!AX16="C4"),IF(HO55="Y","&gt;",IF(HS55="Y","&lt;","")),""),"")</f>
        <v/>
      </c>
      <c r="I54" s="64" t="str">
        <f ca="1">IF(BU55&lt;&gt;"",IF(OR('Outfall 1 Limits'!AX16="C1",'Outfall 1 Limits'!AX16="C2",'Outfall 1 Limits'!AX16="C3",'Outfall 1 Limits'!AX16="C4"),HS53,""),"")</f>
        <v/>
      </c>
      <c r="J54" s="113" t="str">
        <f ca="1">IF(BV55&lt;&gt;"",IF(OR('Outfall 1 Limits'!$AX$20="C1",'Outfall 1 Limits'!$AX$20="C2",'Outfall 1 Limits'!$AX$20="C3",'Outfall 1 Limits'!$AX$20="C4"),IF(HT55="Y","&lt;",""),""),"")</f>
        <v/>
      </c>
      <c r="K54" s="64" t="str">
        <f ca="1">IF(BV55&lt;&gt;"",IF(OR('Outfall 1 Limits'!$AX$20="C1",'Outfall 1 Limits'!$AX$20="C2",'Outfall 1 Limits'!$AX$20="C3",'Outfall 1 Limits'!$AX$20="C4"),HT53,""),"")</f>
        <v/>
      </c>
      <c r="L54" s="64" t="str">
        <f ca="1">IF(BW55&lt;&gt;"",IF(OR('Outfall 1 Limits'!$AX$24="C1",'Outfall 1 Limits'!$AX$24="C2",'Outfall 1 Limits'!$AX$24="C3",'Outfall 1 Limits'!$AX$24="C4"),IF(HU55="Y","&lt;",""),""),"")</f>
        <v/>
      </c>
      <c r="M54" s="64" t="str">
        <f ca="1">IF(BW55&lt;&gt;"",IF(OR('Outfall 1 Limits'!$AX$24="C1",'Outfall 1 Limits'!$AX$24="C2",'Outfall 1 Limits'!$AX$24="C3",'Outfall 1 Limits'!$AX$24="C4"),HU53,""),"")</f>
        <v/>
      </c>
      <c r="N54" s="64" t="str">
        <f ca="1">IF(BX55&lt;&gt;"",IF(OR('Outfall 1 Limits'!$AX$28="C1",'Outfall 1 Limits'!$AX$28="C2",'Outfall 1 Limits'!$AX$28="C3",'Outfall 1 Limits'!$AX$28="C4"),IF(HV55="Y","&lt;",""),""),"")</f>
        <v/>
      </c>
      <c r="O54" s="64" t="str">
        <f ca="1">IF(BX55&lt;&gt;"",IF(OR('Outfall 1 Limits'!$AX$28="C1",'Outfall 1 Limits'!$AX$28="C2",'Outfall 1 Limits'!$AX$28="C3",'Outfall 1 Limits'!$AX$28="C4"),HV53,""),"")</f>
        <v/>
      </c>
      <c r="P54" s="64" t="str">
        <f ca="1">IF(BY55&lt;&gt;"",IF(OR('Outfall 1 Limits'!$AX$32="C1",'Outfall 1 Limits'!$AX$32="C2",'Outfall 1 Limits'!$AX$32="C3",'Outfall 1 Limits'!$AX$32="C4"),IF(HW55="Y","&lt;",""),""),"")</f>
        <v/>
      </c>
      <c r="Q54" s="64" t="str">
        <f ca="1">IF(BY55&lt;&gt;"",IF(OR('Outfall 1 Limits'!$AX$32="C1",'Outfall 1 Limits'!$AX$32="C2",'Outfall 1 Limits'!$AX$32="C3",'Outfall 1 Limits'!$AX$32="C4"),HW53,""),"")</f>
        <v/>
      </c>
      <c r="R54" s="64" t="str">
        <f ca="1">IF(BZ55&lt;&gt;"",IF(OR('Outfall 1 Limits'!$AX$36="C1",'Outfall 1 Limits'!$AX$36="C2",'Outfall 1 Limits'!$AX$36="C3",'Outfall 1 Limits'!$AX$36="C4"),IF(HX55="Y","&lt;",""),""),"")</f>
        <v/>
      </c>
      <c r="S54" s="64" t="str">
        <f ca="1">IF(BZ55&lt;&gt;"",IF(OR('Outfall 1 Limits'!$AX$36="C1",'Outfall 1 Limits'!$AX$36="C2",'Outfall 1 Limits'!$AX$36="C3",'Outfall 1 Limits'!$AX$36="C4"),HX53,""),"")</f>
        <v/>
      </c>
      <c r="T54" s="64" t="str">
        <f ca="1">IF(CA55&lt;&gt;"",IF(OR('Outfall 1 Limits'!$AX$40="C1",'Outfall 1 Limits'!$AX$40="C2",'Outfall 1 Limits'!$AX$40="C3",'Outfall 1 Limits'!$AX$40="C4"),IF(HY55="Y","&lt;",""),""),"")</f>
        <v/>
      </c>
      <c r="U54" s="64" t="str">
        <f ca="1">IF(CA55&lt;&gt;"",IF(OR('Outfall 1 Limits'!$AX$40="C1",'Outfall 1 Limits'!$AX$40="C2",'Outfall 1 Limits'!$AX$40="C3",'Outfall 1 Limits'!$AX$40="C4"),HY53,""),"")</f>
        <v/>
      </c>
      <c r="V54" s="64" t="str">
        <f ca="1">IF(CB55&lt;&gt;"",IF(OR('Outfall 1 Limits'!$AX$44="C1",'Outfall 1 Limits'!$AX$44="C2",'Outfall 1 Limits'!$AX$44="C3",'Outfall 1 Limits'!$AX$44="C4"),IF(HZ55="Y","&lt;",""),""),"")</f>
        <v/>
      </c>
      <c r="W54" s="64" t="str">
        <f ca="1">IF(CB55&lt;&gt;"",IF(OR('Outfall 1 Limits'!$AX$44="C1",'Outfall 1 Limits'!$AX$44="C2",'Outfall 1 Limits'!$AX$44="C3",'Outfall 1 Limits'!$AX$44="C4"),HZ53,""),"")</f>
        <v/>
      </c>
      <c r="X54" s="279" t="str">
        <f ca="1">IF(CC55&lt;&gt;"",IF(OR('Outfall 1 Limits'!$AX$48="C1",'Outfall 1 Limits'!$AX$48="C2",'Outfall 1 Limits'!$AX$48="C3",'Outfall 1 Limits'!$AX$48="C4"),IF(IA55="Y","&lt;",""),""),"")</f>
        <v/>
      </c>
      <c r="Y54" s="64" t="str">
        <f ca="1">IF(CC55&lt;&gt;"",IF(OR('Outfall 1 Limits'!$AX$48="C1",'Outfall 1 Limits'!$AX$48="C2",'Outfall 1 Limits'!$AX$48="C3",'Outfall 1 Limits'!$AX$48="C4"),IA53,""),"")</f>
        <v/>
      </c>
      <c r="Z54" s="64" t="str">
        <f ca="1">IF(CD55&lt;&gt;"",IF(OR('Outfall 1 Limits'!$AX$52="C1",'Outfall 1 Limits'!$AX$52="C2",'Outfall 1 Limits'!$AX$52="C3",'Outfall 1 Limits'!$AX$52="C4"),IF(IB55="Y","&lt;",""),""),"")</f>
        <v/>
      </c>
      <c r="AA54" s="64" t="str">
        <f ca="1">IF(CD55&lt;&gt;"",IF(OR('Outfall 1 Limits'!$AX$52="C1",'Outfall 1 Limits'!$AX$52="C2",'Outfall 1 Limits'!$AX$52="C3",'Outfall 1 Limits'!$AX$52="C4"),IB53,""),"")</f>
        <v/>
      </c>
      <c r="AB54" s="64" t="str">
        <f ca="1">IF(CE55&lt;&gt;"",IF(OR('Outfall 1 Limits'!$AX$56="C1",'Outfall 1 Limits'!$AX$56="C2",'Outfall 1 Limits'!$AX$56="C3",'Outfall 1 Limits'!$AX$56="C4"),IF(IC55="Y","&lt;",""),""),"")</f>
        <v/>
      </c>
      <c r="AC54" s="64" t="str">
        <f ca="1">IF(CE55&lt;&gt;"",IF(OR('Outfall 1 Limits'!$AX$56="C1",'Outfall 1 Limits'!$AX$56="C2",'Outfall 1 Limits'!$AX$56="C3",'Outfall 1 Limits'!$AX$56="C4"),IC53,""),"")</f>
        <v/>
      </c>
      <c r="AD54" s="64" t="str">
        <f ca="1">IF(CF55&lt;&gt;"",IF(OR('Outfall 1 Limits'!$AX$60="C1",'Outfall 1 Limits'!$AX$60="C2",'Outfall 1 Limits'!$AX$60="C3",'Outfall 1 Limits'!$AX$60="C4"),IF(ID55="Y","&lt;",""),""),"")</f>
        <v/>
      </c>
      <c r="AE54" s="64" t="str">
        <f ca="1">IF(CF55&lt;&gt;"",IF(OR('Outfall 1 Limits'!$AX$60="C1",'Outfall 1 Limits'!$AX$60="C2",'Outfall 1 Limits'!$AX$60="C3",'Outfall 1 Limits'!$AX$60="C4"),ID53,""),"")</f>
        <v/>
      </c>
      <c r="AF54" s="64" t="str">
        <f ca="1">IF(CG55&lt;&gt;"",IF(OR('Outfall 1 Limits'!$AX$64="C1",'Outfall 1 Limits'!$AX$64="C2",'Outfall 1 Limits'!$AX$64="C3",'Outfall 1 Limits'!$AX$64="C4"),IF(IE55="Y","&lt;",""),""),"")</f>
        <v/>
      </c>
      <c r="AG54" s="64" t="str">
        <f ca="1">IF(CG55&lt;&gt;"",IF(OR('Outfall 1 Limits'!$AX$64="C1",'Outfall 1 Limits'!$AX$64="C2",'Outfall 1 Limits'!$AX$64="C3",'Outfall 1 Limits'!$AX$64="C4"),IE53,""),"")</f>
        <v/>
      </c>
      <c r="AH54" s="64" t="str">
        <f ca="1">IF(CH55&lt;&gt;"",IF(OR('Outfall 1 Limits'!$AX$68="C1",'Outfall 1 Limits'!$AX$68="C2",'Outfall 1 Limits'!$AX$68="C3",'Outfall 1 Limits'!$AX$68="C4"),IF(IF55="Y","&lt;",""),""),"")</f>
        <v/>
      </c>
      <c r="AI54" s="64" t="str">
        <f ca="1">IF(CH55&lt;&gt;"",IF(OR('Outfall 1 Limits'!$AX$68="C1",'Outfall 1 Limits'!$AX$68="C2",'Outfall 1 Limits'!$AX$68="C3",'Outfall 1 Limits'!$AX$68="C4"),IF53,""),"")</f>
        <v/>
      </c>
      <c r="AJ54" s="64" t="str">
        <f ca="1">IF(CI55&lt;&gt;"",IF(OR('Outfall 1 Limits'!$AX$72="C1",'Outfall 1 Limits'!$AX$72="C2",'Outfall 1 Limits'!$AX$72="C3",'Outfall 1 Limits'!$AX$72="C4"),IF(IG55="Y","&lt;",""),""),"")</f>
        <v/>
      </c>
      <c r="AK54" s="64" t="str">
        <f ca="1">IF(CI55&lt;&gt;"",IF(OR('Outfall 1 Limits'!$AX$72="C1",'Outfall 1 Limits'!$AX$72="C2",'Outfall 1 Limits'!$AX$72="C3",'Outfall 1 Limits'!$AX$72="C4"),IG53,""),"")</f>
        <v/>
      </c>
      <c r="AL54" s="64" t="str">
        <f ca="1">IF(CJ55&lt;&gt;"",IF(OR('Outfall 1 Limits'!$AX$76="C1",'Outfall 1 Limits'!$AX$76="C2",'Outfall 1 Limits'!$AX$76="C3",'Outfall 1 Limits'!$AX$76="C4"),IF(IH55="Y","&lt;",""),""),"")</f>
        <v/>
      </c>
      <c r="AM54" s="64" t="str">
        <f ca="1">IF(CJ55&lt;&gt;"",IF(OR('Outfall 1 Limits'!$AX$76="C1",'Outfall 1 Limits'!$AX$76="C2",'Outfall 1 Limits'!$AX$76="C3",'Outfall 1 Limits'!$AX$76="C4"),IH53,""),"")</f>
        <v/>
      </c>
      <c r="AN54" s="144" t="str">
        <f ca="1">IF(CK55&lt;&gt;"",IF(OR('Outfall 1 Limits'!$AX$80="C1",'Outfall 1 Limits'!$AX$80="C2",'Outfall 1 Limits'!$AX$80="C3",'Outfall 1 Limits'!$AX$80="C4"),IF(II55="Y","&lt;",""),""),"")</f>
        <v/>
      </c>
      <c r="AO54" s="64" t="str">
        <f ca="1">IF(CK55&lt;&gt;"",IF(OR('Outfall 1 Limits'!$AX$80="C1",'Outfall 1 Limits'!$AX$80="C2",'Outfall 1 Limits'!$AX$80="C3",'Outfall 1 Limits'!$AX$80="C4"),II53,""),"")</f>
        <v/>
      </c>
      <c r="AP54" s="144" t="str">
        <f ca="1">IF(CL55&lt;&gt;"",IF(OR('Outfall 1 Limits'!$AX$84="C1",'Outfall 1 Limits'!$AX$84="C2",'Outfall 1 Limits'!$AX$84="C3",'Outfall 1 Limits'!$AX$84="C4"),IF(IJ55="Y","&lt;",""),""),"")</f>
        <v/>
      </c>
      <c r="AQ54" s="64" t="str">
        <f ca="1">IF(CL55&lt;&gt;"",IF(OR('Outfall 1 Limits'!$AX$84="C1",'Outfall 1 Limits'!$AX$84="C2",'Outfall 1 Limits'!$AX$84="C3",'Outfall 1 Limits'!$AX$84="C4"),IJ53,""),"")</f>
        <v/>
      </c>
      <c r="AR54" s="144" t="str">
        <f ca="1">IF(CM55&lt;&gt;"",IF(OR('Outfall 1 Limits'!$AX$88="C1",'Outfall 1 Limits'!$AX$88="C2",'Outfall 1 Limits'!$AX$88="C3",'Outfall 1 Limits'!$AX$88="C4"),IF(IK55="Y","&lt;",""),""),"")</f>
        <v/>
      </c>
      <c r="AS54" s="64" t="str">
        <f ca="1">IF(CM55&lt;&gt;"",IF(OR('Outfall 1 Limits'!$AX$88="C1",'Outfall 1 Limits'!$AX$88="C2",'Outfall 1 Limits'!$AX$88="C3",'Outfall 1 Limits'!$AX$88="C4"),IK53,""),"")</f>
        <v/>
      </c>
      <c r="AT54" s="144" t="str">
        <f ca="1">IF(CN55&lt;&gt;"",IF(OR('Outfall 1 Limits'!$AX$92="C1",'Outfall 1 Limits'!$AX$92="C2",'Outfall 1 Limits'!$AX$92="C3",'Outfall 1 Limits'!$AX$92="C4"),IF(IL55="Y","&lt;",""),""),"")</f>
        <v/>
      </c>
      <c r="AU54" s="64" t="str">
        <f ca="1">IF(CN55&lt;&gt;"",IF(OR('Outfall 1 Limits'!$AX$92="C1",'Outfall 1 Limits'!$AX$92="C2",'Outfall 1 Limits'!$AX$92="C3",'Outfall 1 Limits'!$AX$92="C4"),IL53,""),"")</f>
        <v/>
      </c>
      <c r="AV54" s="144" t="str">
        <f ca="1">IF(CO55&lt;&gt;"",IF(OR('Outfall 1 Limits'!$AX$96="C1",'Outfall 1 Limits'!$AX$96="C2",'Outfall 1 Limits'!$AX$96="C3",'Outfall 1 Limits'!$AX$96="C4"),IF(IM55="Y","&lt;",""),""),"")</f>
        <v/>
      </c>
      <c r="AW54" s="64" t="str">
        <f ca="1">IF(CO55&lt;&gt;"",IF(OR('Outfall 1 Limits'!$AX$96="C1",'Outfall 1 Limits'!$AX$96="C2",'Outfall 1 Limits'!$AX$96="C3",'Outfall 1 Limits'!$AX$96="C4"),IM53,""),"")</f>
        <v/>
      </c>
      <c r="AX54" s="144" t="str">
        <f ca="1">IF(CP55&lt;&gt;"",IF(OR('Outfall 1 Limits'!$AX$100="C1",'Outfall 1 Limits'!$AX$100="C2",'Outfall 1 Limits'!$AX$100="C3",'Outfall 1 Limits'!$AX$100="C4"),IF(IN55="Y","&lt;",""),""),"")</f>
        <v/>
      </c>
      <c r="AY54" s="64" t="str">
        <f ca="1">IF(CP55&lt;&gt;"",IF(OR('Outfall 1 Limits'!$AX$100="C1",'Outfall 1 Limits'!$AX$100="C2",'Outfall 1 Limits'!$AX$100="C3",'Outfall 1 Limits'!$AX$100="C4"),IN53,""),"")</f>
        <v/>
      </c>
      <c r="AZ54" s="144" t="str">
        <f ca="1">IF(CQ55&lt;&gt;"",IF(OR('Outfall 1 Limits'!$AX$104="C1",'Outfall 1 Limits'!$AX$104="C2",'Outfall 1 Limits'!$AX$104="C3",'Outfall 1 Limits'!$AX$104="C4"),IF(IO55="Y","&lt;",""),""),"")</f>
        <v/>
      </c>
      <c r="BA54" s="64" t="str">
        <f ca="1">IF(CQ55&lt;&gt;"",IF(OR('Outfall 1 Limits'!$AX$104="C1",'Outfall 1 Limits'!$AX$104="C2",'Outfall 1 Limits'!$AX$104="C3",'Outfall 1 Limits'!$AX$104="C4"),IO53,""),"")</f>
        <v/>
      </c>
      <c r="BB54" s="144" t="str">
        <f ca="1">IF(CR55&lt;&gt;"",IF(OR('Outfall 1 Limits'!$AX$108="C1",'Outfall 1 Limits'!$AX$108="C2",'Outfall 1 Limits'!$AX$108="C3",'Outfall 1 Limits'!$AX$108="C4"),IF(IP55="Y","&lt;",""),""),"")</f>
        <v/>
      </c>
      <c r="BC54" s="64" t="str">
        <f ca="1">IF(CR55&lt;&gt;"",IF(OR('Outfall 1 Limits'!$AX$108="C1",'Outfall 1 Limits'!$AX$108="C2",'Outfall 1 Limits'!$AX$108="C3",'Outfall 1 Limits'!$AX$108="C4"),IP53,""),"")</f>
        <v/>
      </c>
      <c r="BD54" s="144" t="str">
        <f ca="1">IF(CS55&lt;&gt;"",IF(OR('Outfall 1 Limits'!$AX$112="C1",'Outfall 1 Limits'!$AX$112="C2",'Outfall 1 Limits'!$AX$112="C3",'Outfall 1 Limits'!$AX$112="C4"),IF(IQ55="Y","&lt;",""),""),"")</f>
        <v/>
      </c>
      <c r="BE54" s="64" t="str">
        <f ca="1">IF(CS55&lt;&gt;"",IF(OR('Outfall 1 Limits'!$AX$112="C1",'Outfall 1 Limits'!$AX$112="C2",'Outfall 1 Limits'!$AX$112="C3",'Outfall 1 Limits'!$AX$112="C4"),IQ53,""),"")</f>
        <v/>
      </c>
      <c r="BF54" s="144" t="str">
        <f ca="1">IF(CT55&lt;&gt;"",IF(OR('Outfall 1 Limits'!$AX$116="C1",'Outfall 1 Limits'!$AX$116="C2",'Outfall 1 Limits'!$AX$116="C3",'Outfall 1 Limits'!$AX$116="C4"),IF(IR55="Y","&lt;",""),""),"")</f>
        <v/>
      </c>
      <c r="BG54" s="64" t="str">
        <f ca="1">IF(CT55&lt;&gt;"",IF(OR('Outfall 1 Limits'!$AX$116="C1",'Outfall 1 Limits'!$AX$116="C2",'Outfall 1 Limits'!$AX$116="C3",'Outfall 1 Limits'!$AX$116="C4"),IR53,""),"")</f>
        <v/>
      </c>
      <c r="BH54" s="144" t="str">
        <f ca="1">IF(CU55&lt;&gt;"",IF(OR('Outfall 1 Limits'!$AX$120="C1",'Outfall 1 Limits'!$AX$120="C2",'Outfall 1 Limits'!$AX$120="C3",'Outfall 1 Limits'!$AX$120="C4"),IF(IS55="Y","&lt;",""),""),"")</f>
        <v/>
      </c>
      <c r="BI54" s="64" t="str">
        <f ca="1">IF(CU55&lt;&gt;"",IF(OR('Outfall 1 Limits'!$AX$120="C1",'Outfall 1 Limits'!$AX$120="C2",'Outfall 1 Limits'!$AX$120="C3",'Outfall 1 Limits'!$AX$120="C4"),IS53,""),"")</f>
        <v/>
      </c>
      <c r="BJ54" s="144" t="str">
        <f ca="1">IF(CV55&lt;&gt;"",IF(OR('Outfall 1 Limits'!$AX$124="C1",'Outfall 1 Limits'!$AX$124="C2",'Outfall 1 Limits'!$AX$124="C3",'Outfall 1 Limits'!$AX$124="C4"),IF(IT55="Y","&lt;",""),""),"")</f>
        <v/>
      </c>
      <c r="BK54" s="64" t="str">
        <f ca="1">IF(CV55&lt;&gt;"",IF(OR('Outfall 1 Limits'!$AX$124="C1",'Outfall 1 Limits'!$AX$124="C2",'Outfall 1 Limits'!$AX$124="C3",'Outfall 1 Limits'!$AX$124="C4"),IT53,""),"")</f>
        <v/>
      </c>
      <c r="BL54" s="144" t="str">
        <f ca="1">IF(CW55&lt;&gt;"",IF(OR('Outfall 1 Limits'!$AX$128="C1",'Outfall 1 Limits'!$AX$128="C2",'Outfall 1 Limits'!$AX$128="C3",'Outfall 1 Limits'!$AX$128="C4"),IF(IU55="Y","&lt;",""),""),"")</f>
        <v/>
      </c>
      <c r="BM54" s="118" t="str">
        <f ca="1">IF(CW55&lt;&gt;"",IF(OR('Outfall 1 Limits'!$AX$128="C1",'Outfall 1 Limits'!$AX$128="C2",'Outfall 1 Limits'!$AX$128="C3",'Outfall 1 Limits'!$AX$128="C4"),IU53,""),"")</f>
        <v/>
      </c>
      <c r="BO54" s="174"/>
      <c r="BP54" s="174">
        <v>2073</v>
      </c>
      <c r="BQ54" s="179" t="s">
        <v>71</v>
      </c>
      <c r="BR54" s="174"/>
      <c r="BS54" s="174"/>
      <c r="BT54" s="242" t="s">
        <v>833</v>
      </c>
      <c r="BU54" s="202" t="e">
        <f ca="1">IF(BU55=(BU53+(BU55*0.01)),"Y","N")</f>
        <v>#VALUE!</v>
      </c>
      <c r="BV54" s="196" t="e">
        <f t="shared" ref="BV54:CW54" ca="1" si="169">IF(BV55=(BV53+(BV55*0.01)),"Y","N")</f>
        <v>#VALUE!</v>
      </c>
      <c r="BW54" s="196" t="e">
        <f t="shared" ca="1" si="169"/>
        <v>#VALUE!</v>
      </c>
      <c r="BX54" s="196" t="e">
        <f t="shared" ca="1" si="169"/>
        <v>#VALUE!</v>
      </c>
      <c r="BY54" s="196" t="e">
        <f t="shared" ca="1" si="169"/>
        <v>#VALUE!</v>
      </c>
      <c r="BZ54" s="196" t="e">
        <f t="shared" ca="1" si="169"/>
        <v>#VALUE!</v>
      </c>
      <c r="CA54" s="196" t="e">
        <f t="shared" ca="1" si="169"/>
        <v>#VALUE!</v>
      </c>
      <c r="CB54" s="196" t="e">
        <f t="shared" ca="1" si="169"/>
        <v>#VALUE!</v>
      </c>
      <c r="CC54" s="196" t="e">
        <f t="shared" ca="1" si="169"/>
        <v>#VALUE!</v>
      </c>
      <c r="CD54" s="196" t="e">
        <f t="shared" ca="1" si="169"/>
        <v>#VALUE!</v>
      </c>
      <c r="CE54" s="196" t="e">
        <f t="shared" ca="1" si="169"/>
        <v>#VALUE!</v>
      </c>
      <c r="CF54" s="196" t="e">
        <f t="shared" ca="1" si="169"/>
        <v>#VALUE!</v>
      </c>
      <c r="CG54" s="196" t="e">
        <f t="shared" ca="1" si="169"/>
        <v>#VALUE!</v>
      </c>
      <c r="CH54" s="196" t="e">
        <f t="shared" ca="1" si="169"/>
        <v>#VALUE!</v>
      </c>
      <c r="CI54" s="196" t="e">
        <f t="shared" ca="1" si="169"/>
        <v>#VALUE!</v>
      </c>
      <c r="CJ54" s="196" t="e">
        <f t="shared" ca="1" si="169"/>
        <v>#VALUE!</v>
      </c>
      <c r="CK54" s="196" t="e">
        <f t="shared" ca="1" si="169"/>
        <v>#VALUE!</v>
      </c>
      <c r="CL54" s="196" t="e">
        <f t="shared" ca="1" si="169"/>
        <v>#VALUE!</v>
      </c>
      <c r="CM54" s="196" t="e">
        <f t="shared" ca="1" si="169"/>
        <v>#VALUE!</v>
      </c>
      <c r="CN54" s="196" t="e">
        <f t="shared" ca="1" si="169"/>
        <v>#VALUE!</v>
      </c>
      <c r="CO54" s="196" t="e">
        <f t="shared" ca="1" si="169"/>
        <v>#VALUE!</v>
      </c>
      <c r="CP54" s="196" t="e">
        <f t="shared" ca="1" si="169"/>
        <v>#VALUE!</v>
      </c>
      <c r="CQ54" s="196" t="e">
        <f t="shared" ca="1" si="169"/>
        <v>#VALUE!</v>
      </c>
      <c r="CR54" s="196" t="e">
        <f t="shared" ca="1" si="169"/>
        <v>#VALUE!</v>
      </c>
      <c r="CS54" s="196" t="e">
        <f t="shared" ca="1" si="169"/>
        <v>#VALUE!</v>
      </c>
      <c r="CT54" s="196" t="e">
        <f t="shared" ca="1" si="169"/>
        <v>#VALUE!</v>
      </c>
      <c r="CU54" s="196" t="e">
        <f t="shared" ca="1" si="169"/>
        <v>#VALUE!</v>
      </c>
      <c r="CV54" s="196" t="e">
        <f t="shared" ca="1" si="169"/>
        <v>#VALUE!</v>
      </c>
      <c r="CW54" s="210" t="e">
        <f t="shared" ca="1" si="169"/>
        <v>#VALUE!</v>
      </c>
      <c r="CX54" s="242" t="s">
        <v>401</v>
      </c>
      <c r="CY54" s="212" t="str">
        <f ca="1">IF(ROWS(INDIRECT("CY"&amp;$D$10):INDIRECT("CY"&amp;$B$10))-COUNTIF(INDIRECT("CY"&amp;$D$10):INDIRECT("CY"&amp;$B$10),"")&gt;0,AVERAGE(INDIRECT("CY"&amp;$D$10):INDIRECT("CY"&amp;$B$10)),"")</f>
        <v/>
      </c>
      <c r="CZ54" s="207" t="str">
        <f ca="1">IF(ROWS(INDIRECT("CZ"&amp;$D$10):INDIRECT("CZ"&amp;$B$10))-COUNTIF(INDIRECT("CZ"&amp;$D$10):INDIRECT("CZ"&amp;$B$10),"")&gt;0,AVERAGE(INDIRECT("CZ"&amp;$D$10):INDIRECT("CZ"&amp;$B$10)),"")</f>
        <v/>
      </c>
      <c r="DA54" s="207" t="str">
        <f ca="1">IF(ROWS(INDIRECT("DA"&amp;$D$10):INDIRECT("DA"&amp;$B$10))-COUNTIF(INDIRECT("DA"&amp;$D$10):INDIRECT("DA"&amp;$B$10),"")&gt;0,AVERAGE(INDIRECT("DA"&amp;$D$10):INDIRECT("DA"&amp;$B$10)),"")</f>
        <v/>
      </c>
      <c r="DB54" s="207" t="str">
        <f ca="1">IF(ROWS(INDIRECT("DB"&amp;$D$10):INDIRECT("DB"&amp;$B$10))-COUNTIF(INDIRECT("DB"&amp;$D$10):INDIRECT("DB"&amp;$B$10),"")&gt;0,AVERAGE(INDIRECT("DB"&amp;$D$10):INDIRECT("DB"&amp;$B$10)),"")</f>
        <v/>
      </c>
      <c r="DC54" s="207" t="str">
        <f ca="1">IF(ROWS(INDIRECT("DC"&amp;$D$10):INDIRECT("DC"&amp;$B$10))-COUNTIF(INDIRECT("DC"&amp;$D$10):INDIRECT("DC"&amp;$B$10),"")&gt;0,AVERAGE(INDIRECT("DC"&amp;$D$10):INDIRECT("DC"&amp;$B$10)),"")</f>
        <v/>
      </c>
      <c r="DD54" s="207" t="str">
        <f ca="1">IF(ROWS(INDIRECT("DD"&amp;$D$10):INDIRECT("DD"&amp;$B$10))-COUNTIF(INDIRECT("DD"&amp;$D$10):INDIRECT("DD"&amp;$B$10),"")&gt;0,AVERAGE(INDIRECT("DD"&amp;$D$10):INDIRECT("DD"&amp;$B$10)),"")</f>
        <v/>
      </c>
      <c r="DE54" s="207" t="str">
        <f ca="1">IF(ROWS(INDIRECT("DE"&amp;$D$10):INDIRECT("DE"&amp;$B$10))-COUNTIF(INDIRECT("DE"&amp;$D$10):INDIRECT("DE"&amp;$B$10),"")&gt;0,AVERAGE(INDIRECT("DE"&amp;$D$10):INDIRECT("DE"&amp;$B$10)),"")</f>
        <v/>
      </c>
      <c r="DF54" s="207" t="str">
        <f ca="1">IF(ROWS(INDIRECT("DF"&amp;$D$10):INDIRECT("DF"&amp;$B$10))-COUNTIF(INDIRECT("DF"&amp;$D$10):INDIRECT("DF"&amp;$B$10),"")&gt;0,AVERAGE(INDIRECT("DF"&amp;$D$10):INDIRECT("DF"&amp;$B$10)),"")</f>
        <v/>
      </c>
      <c r="DG54" s="207" t="str">
        <f ca="1">IF(ROWS(INDIRECT("DG"&amp;$D$10):INDIRECT("DG"&amp;$B$10))-COUNTIF(INDIRECT("DG"&amp;$D$10):INDIRECT("DG"&amp;$B$10),"")&gt;0,AVERAGE(INDIRECT("DG"&amp;$D$10):INDIRECT("DG"&amp;$B$10)),"")</f>
        <v/>
      </c>
      <c r="DH54" s="207" t="str">
        <f ca="1">IF(ROWS(INDIRECT("DH"&amp;$D$10):INDIRECT("DH"&amp;$B$10))-COUNTIF(INDIRECT("DH"&amp;$D$10):INDIRECT("DH"&amp;$B$10),"")&gt;0,AVERAGE(INDIRECT("DH"&amp;$D$10):INDIRECT("DH"&amp;$B$10)),"")</f>
        <v/>
      </c>
      <c r="DI54" s="207" t="str">
        <f ca="1">IF(ROWS(INDIRECT("DI"&amp;$D$10):INDIRECT("DI"&amp;$B$10))-COUNTIF(INDIRECT("DI"&amp;$D$10):INDIRECT("DI"&amp;$B$10),"")&gt;0,AVERAGE(INDIRECT("DI"&amp;$D$10):INDIRECT("DI"&amp;$B$10)),"")</f>
        <v/>
      </c>
      <c r="DJ54" s="207" t="str">
        <f ca="1">IF(ROWS(INDIRECT("DJ"&amp;$D$10):INDIRECT("DJ"&amp;$B$10))-COUNTIF(INDIRECT("DJ"&amp;$D$10):INDIRECT("DJ"&amp;$B$10),"")&gt;0,AVERAGE(INDIRECT("DJ"&amp;$D$10):INDIRECT("DJ"&amp;$B$10)),"")</f>
        <v/>
      </c>
      <c r="DK54" s="207" t="str">
        <f ca="1">IF(ROWS(INDIRECT("DK"&amp;$D$10):INDIRECT("DK"&amp;$B$10))-COUNTIF(INDIRECT("DK"&amp;$D$10):INDIRECT("DK"&amp;$B$10),"")&gt;0,AVERAGE(INDIRECT("DK"&amp;$D$10):INDIRECT("DK"&amp;$B$10)),"")</f>
        <v/>
      </c>
      <c r="DL54" s="207" t="str">
        <f ca="1">IF(ROWS(INDIRECT("DL"&amp;$D$10):INDIRECT("DL"&amp;$B$10))-COUNTIF(INDIRECT("DL"&amp;$D$10):INDIRECT("DL"&amp;$B$10),"")&gt;0,AVERAGE(INDIRECT("DL"&amp;$D$10):INDIRECT("DL"&amp;$B$10)),"")</f>
        <v/>
      </c>
      <c r="DM54" s="207" t="str">
        <f ca="1">IF(ROWS(INDIRECT("DM"&amp;$D$10):INDIRECT("DM"&amp;$B$10))-COUNTIF(INDIRECT("DM"&amp;$D$10):INDIRECT("DM"&amp;$B$10),"")&gt;0,AVERAGE(INDIRECT("DM"&amp;$D$10):INDIRECT("DM"&amp;$B$10)),"")</f>
        <v/>
      </c>
      <c r="DN54" s="207" t="str">
        <f ca="1">IF(ROWS(INDIRECT("DN"&amp;$D$10):INDIRECT("DN"&amp;$B$10))-COUNTIF(INDIRECT("DN"&amp;$D$10):INDIRECT("DN"&amp;$B$10),"")&gt;0,AVERAGE(INDIRECT("DN"&amp;$D$10):INDIRECT("DN"&amp;$B$10)),"")</f>
        <v/>
      </c>
      <c r="DO54" s="207" t="str">
        <f ca="1">IF(ROWS(INDIRECT("DO"&amp;$D$10):INDIRECT("DO"&amp;$B$10))-COUNTIF(INDIRECT("DO"&amp;$D$10):INDIRECT("DO"&amp;$B$10),"")&gt;0,AVERAGE(INDIRECT("DO"&amp;$D$10):INDIRECT("DO"&amp;$B$10)),"")</f>
        <v/>
      </c>
      <c r="DP54" s="207" t="str">
        <f ca="1">IF(ROWS(INDIRECT("DP"&amp;$D$10):INDIRECT("DP"&amp;$B$10))-COUNTIF(INDIRECT("DP"&amp;$D$10):INDIRECT("DP"&amp;$B$10),"")&gt;0,AVERAGE(INDIRECT("DP"&amp;$D$10):INDIRECT("DP"&amp;$B$10)),"")</f>
        <v/>
      </c>
      <c r="DQ54" s="207" t="str">
        <f ca="1">IF(ROWS(INDIRECT("DQ"&amp;$D$10):INDIRECT("DQ"&amp;$B$10))-COUNTIF(INDIRECT("DQ"&amp;$D$10):INDIRECT("DQ"&amp;$B$10),"")&gt;0,AVERAGE(INDIRECT("DQ"&amp;$D$10):INDIRECT("DQ"&amp;$B$10)),"")</f>
        <v/>
      </c>
      <c r="DR54" s="207" t="str">
        <f ca="1">IF(ROWS(INDIRECT("DR"&amp;$D$10):INDIRECT("DR"&amp;$B$10))-COUNTIF(INDIRECT("DR"&amp;$D$10):INDIRECT("DR"&amp;$B$10),"")&gt;0,AVERAGE(INDIRECT("DR"&amp;$D$10):INDIRECT("DR"&amp;$B$10)),"")</f>
        <v/>
      </c>
      <c r="DS54" s="207" t="str">
        <f ca="1">IF(ROWS(INDIRECT("DS"&amp;$D$10):INDIRECT("DS"&amp;$B$10))-COUNTIF(INDIRECT("DS"&amp;$D$10):INDIRECT("DS"&amp;$B$10),"")&gt;0,AVERAGE(INDIRECT("DS"&amp;$D$10):INDIRECT("DS"&amp;$B$10)),"")</f>
        <v/>
      </c>
      <c r="DT54" s="207" t="str">
        <f ca="1">IF(ROWS(INDIRECT("DT"&amp;$D$10):INDIRECT("DT"&amp;$B$10))-COUNTIF(INDIRECT("DT"&amp;$D$10):INDIRECT("DT"&amp;$B$10),"")&gt;0,AVERAGE(INDIRECT("DT"&amp;$D$10):INDIRECT("DT"&amp;$B$10)),"")</f>
        <v/>
      </c>
      <c r="DU54" s="207" t="str">
        <f ca="1">IF(ROWS(INDIRECT("DU"&amp;$D$10):INDIRECT("DU"&amp;$B$10))-COUNTIF(INDIRECT("DU"&amp;$D$10):INDIRECT("DU"&amp;$B$10),"")&gt;0,AVERAGE(INDIRECT("DU"&amp;$D$10):INDIRECT("DU"&amp;$B$10)),"")</f>
        <v/>
      </c>
      <c r="DV54" s="207" t="str">
        <f ca="1">IF(ROWS(INDIRECT("DV"&amp;$D$10):INDIRECT("DV"&amp;$B$10))-COUNTIF(INDIRECT("DV"&amp;$D$10):INDIRECT("DV"&amp;$B$10),"")&gt;0,AVERAGE(INDIRECT("DV"&amp;$D$10):INDIRECT("DV"&amp;$B$10)),"")</f>
        <v/>
      </c>
      <c r="DW54" s="207" t="str">
        <f ca="1">IF(ROWS(INDIRECT("DW"&amp;$D$10):INDIRECT("DW"&amp;$B$10))-COUNTIF(INDIRECT("DW"&amp;$D$10):INDIRECT("DW"&amp;$B$10),"")&gt;0,AVERAGE(INDIRECT("DW"&amp;$D$10):INDIRECT("DW"&amp;$B$10)),"")</f>
        <v/>
      </c>
      <c r="DX54" s="207" t="str">
        <f ca="1">IF(ROWS(INDIRECT("DX"&amp;$D$10):INDIRECT("DX"&amp;$B$10))-COUNTIF(INDIRECT("DX"&amp;$D$10):INDIRECT("DX"&amp;$B$10),"")&gt;0,AVERAGE(INDIRECT("DX"&amp;$D$10):INDIRECT("DX"&amp;$B$10)),"")</f>
        <v/>
      </c>
      <c r="DY54" s="207" t="str">
        <f ca="1">IF(ROWS(INDIRECT("DY"&amp;$D$10):INDIRECT("DY"&amp;$B$10))-COUNTIF(INDIRECT("DY"&amp;$D$10):INDIRECT("DY"&amp;$B$10),"")&gt;0,AVERAGE(INDIRECT("DY"&amp;$D$10):INDIRECT("DY"&amp;$B$10)),"")</f>
        <v/>
      </c>
      <c r="DZ54" s="207" t="str">
        <f ca="1">IF(ROWS(INDIRECT("DZ"&amp;$D$10):INDIRECT("DZ"&amp;$B$10))-COUNTIF(INDIRECT("DZ"&amp;$D$10):INDIRECT("DZ"&amp;$B$10),"")&gt;0,AVERAGE(INDIRECT("DZ"&amp;$D$10):INDIRECT("DZ"&amp;$B$10)),"")</f>
        <v/>
      </c>
      <c r="EA54" s="208" t="str">
        <f ca="1">IF(ROWS(INDIRECT("EA"&amp;$D$10):INDIRECT("EA"&amp;$B$10))-COUNTIF(INDIRECT("EA"&amp;$D$10):INDIRECT("EA"&amp;$B$10),"")&gt;0,AVERAGE(INDIRECT("EA"&amp;$D$10):INDIRECT("EA"&amp;$B$10)),"")</f>
        <v/>
      </c>
      <c r="EB54" s="176"/>
      <c r="FF54" s="245" t="s">
        <v>402</v>
      </c>
      <c r="FG54" s="202" t="str">
        <f ca="1">IF(ROWS(INDIRECT("FG"&amp;$D$10):INDIRECT("FG"&amp;$B$10))-COUNTIF(INDIRECT("FG"&amp;$D$10):INDIRECT("FG"&amp;$B$10),"")&gt;0,AVERAGE(INDIRECT("FG"&amp;$D$10):INDIRECT("FG"&amp;$B$10)),"")</f>
        <v/>
      </c>
      <c r="FH54" s="196" t="str">
        <f ca="1">IF(ROWS(INDIRECT("FH"&amp;$D$10):INDIRECT("FH"&amp;$B$10))-COUNTIF(INDIRECT("FH"&amp;$D$10):INDIRECT("FH"&amp;$B$10),"")&gt;0,AVERAGE(INDIRECT("FH"&amp;$D$10):INDIRECT("FH"&amp;$B$10)),"")</f>
        <v/>
      </c>
      <c r="FI54" s="196" t="str">
        <f ca="1">IF(ROWS(INDIRECT("FI"&amp;$D$10):INDIRECT("FI"&amp;$B$10))-COUNTIF(INDIRECT("FI"&amp;$D$10):INDIRECT("FI"&amp;$B$10),"")&gt;0,AVERAGE(INDIRECT("FI"&amp;$D$10):INDIRECT("FI"&amp;$B$10)),"")</f>
        <v/>
      </c>
      <c r="FJ54" s="196" t="str">
        <f ca="1">IF(ROWS(INDIRECT("FJ"&amp;$D$10):INDIRECT("FJ"&amp;$B$10))-COUNTIF(INDIRECT("FJ"&amp;$D$10):INDIRECT("FJ"&amp;$B$10),"")&gt;0,AVERAGE(INDIRECT("FJ"&amp;$D$10):INDIRECT("FJ"&amp;$B$10)),"")</f>
        <v/>
      </c>
      <c r="FK54" s="196" t="str">
        <f ca="1">IF(ROWS(INDIRECT("FK"&amp;$D$10):INDIRECT("FK"&amp;$B$10))-COUNTIF(INDIRECT("FK"&amp;$D$10):INDIRECT("FK"&amp;$B$10),"")&gt;0,AVERAGE(INDIRECT("FK"&amp;$D$10):INDIRECT("FK"&amp;$B$10)),"")</f>
        <v/>
      </c>
      <c r="FL54" s="196" t="str">
        <f ca="1">IF(ROWS(INDIRECT("FL"&amp;$D$10):INDIRECT("FL"&amp;$B$10))-COUNTIF(INDIRECT("FL"&amp;$D$10):INDIRECT("FL"&amp;$B$10),"")&gt;0,AVERAGE(INDIRECT("FL"&amp;$D$10):INDIRECT("FL"&amp;$B$10)),"")</f>
        <v/>
      </c>
      <c r="FM54" s="196" t="str">
        <f ca="1">IF(ROWS(INDIRECT("FM"&amp;$D$10):INDIRECT("FM"&amp;$B$10))-COUNTIF(INDIRECT("FM"&amp;$D$10):INDIRECT("FM"&amp;$B$10),"")&gt;0,AVERAGE(INDIRECT("FM"&amp;$D$10):INDIRECT("FM"&amp;$B$10)),"")</f>
        <v/>
      </c>
      <c r="FN54" s="196" t="str">
        <f ca="1">IF(ROWS(INDIRECT("FN"&amp;$D$10):INDIRECT("FN"&amp;$B$10))-COUNTIF(INDIRECT("FN"&amp;$D$10):INDIRECT("FN"&amp;$B$10),"")&gt;0,AVERAGE(INDIRECT("FN"&amp;$D$10):INDIRECT("FN"&amp;$B$10)),"")</f>
        <v/>
      </c>
      <c r="FO54" s="196" t="str">
        <f ca="1">IF(ROWS(INDIRECT("FO"&amp;$D$10):INDIRECT("FO"&amp;$B$10))-COUNTIF(INDIRECT("FO"&amp;$D$10):INDIRECT("FO"&amp;$B$10),"")&gt;0,AVERAGE(INDIRECT("FO"&amp;$D$10):INDIRECT("FO"&amp;$B$10)),"")</f>
        <v/>
      </c>
      <c r="FP54" s="196" t="str">
        <f ca="1">IF(ROWS(INDIRECT("FP"&amp;$D$10):INDIRECT("FP"&amp;$B$10))-COUNTIF(INDIRECT("FP"&amp;$D$10):INDIRECT("FP"&amp;$B$10),"")&gt;0,AVERAGE(INDIRECT("FP"&amp;$D$10):INDIRECT("FP"&amp;$B$10)),"")</f>
        <v/>
      </c>
      <c r="FQ54" s="196" t="str">
        <f ca="1">IF(ROWS(INDIRECT("FQ"&amp;$D$10):INDIRECT("FQ"&amp;$B$10))-COUNTIF(INDIRECT("FQ"&amp;$D$10):INDIRECT("FQ"&amp;$B$10),"")&gt;0,AVERAGE(INDIRECT("FQ"&amp;$D$10):INDIRECT("FQ"&amp;$B$10)),"")</f>
        <v/>
      </c>
      <c r="FR54" s="196" t="str">
        <f ca="1">IF(ROWS(INDIRECT("FR"&amp;$D$10):INDIRECT("FR"&amp;$B$10))-COUNTIF(INDIRECT("FR"&amp;$D$10):INDIRECT("FR"&amp;$B$10),"")&gt;0,AVERAGE(INDIRECT("FR"&amp;$D$10):INDIRECT("FR"&amp;$B$10)),"")</f>
        <v/>
      </c>
      <c r="FS54" s="196" t="str">
        <f ca="1">IF(ROWS(INDIRECT("FS"&amp;$D$10):INDIRECT("FS"&amp;$B$10))-COUNTIF(INDIRECT("FS"&amp;$D$10):INDIRECT("FS"&amp;$B$10),"")&gt;0,AVERAGE(INDIRECT("FS"&amp;$D$10):INDIRECT("FS"&amp;$B$10)),"")</f>
        <v/>
      </c>
      <c r="FT54" s="196" t="str">
        <f ca="1">IF(ROWS(INDIRECT("FT"&amp;$D$10):INDIRECT("FT"&amp;$B$10))-COUNTIF(INDIRECT("FT"&amp;$D$10):INDIRECT("FT"&amp;$B$10),"")&gt;0,AVERAGE(INDIRECT("FT"&amp;$D$10):INDIRECT("FT"&amp;$B$10)),"")</f>
        <v/>
      </c>
      <c r="FU54" s="196" t="str">
        <f ca="1">IF(ROWS(INDIRECT("FU"&amp;$D$10):INDIRECT("FU"&amp;$B$10))-COUNTIF(INDIRECT("FU"&amp;$D$10):INDIRECT("FU"&amp;$B$10),"")&gt;0,AVERAGE(INDIRECT("FU"&amp;$D$10):INDIRECT("FU"&amp;$B$10)),"")</f>
        <v/>
      </c>
      <c r="FV54" s="196" t="str">
        <f ca="1">IF(ROWS(INDIRECT("FV"&amp;$D$10):INDIRECT("FV"&amp;$B$10))-COUNTIF(INDIRECT("FV"&amp;$D$10):INDIRECT("FV"&amp;$B$10),"")&gt;0,AVERAGE(INDIRECT("FV"&amp;$D$10):INDIRECT("FV"&amp;$B$10)),"")</f>
        <v/>
      </c>
      <c r="FW54" s="196" t="str">
        <f ca="1">IF(ROWS(INDIRECT("FW"&amp;$D$10):INDIRECT("FW"&amp;$B$10))-COUNTIF(INDIRECT("FW"&amp;$D$10):INDIRECT("FW"&amp;$B$10),"")&gt;0,AVERAGE(INDIRECT("FW"&amp;$D$10):INDIRECT("FW"&amp;$B$10)),"")</f>
        <v/>
      </c>
      <c r="FX54" s="196" t="str">
        <f ca="1">IF(ROWS(INDIRECT("FX"&amp;$D$10):INDIRECT("FX"&amp;$B$10))-COUNTIF(INDIRECT("FX"&amp;$D$10):INDIRECT("FX"&amp;$B$10),"")&gt;0,AVERAGE(INDIRECT("FX"&amp;$D$10):INDIRECT("FX"&amp;$B$10)),"")</f>
        <v/>
      </c>
      <c r="FY54" s="196" t="str">
        <f ca="1">IF(ROWS(INDIRECT("FY"&amp;$D$10):INDIRECT("FY"&amp;$B$10))-COUNTIF(INDIRECT("FY"&amp;$D$10):INDIRECT("FY"&amp;$B$10),"")&gt;0,AVERAGE(INDIRECT("FY"&amp;$D$10):INDIRECT("FY"&amp;$B$10)),"")</f>
        <v/>
      </c>
      <c r="FZ54" s="196" t="str">
        <f ca="1">IF(ROWS(INDIRECT("FZ"&amp;$D$10):INDIRECT("FZ"&amp;$B$10))-COUNTIF(INDIRECT("FZ"&amp;$D$10):INDIRECT("FZ"&amp;$B$10),"")&gt;0,AVERAGE(INDIRECT("FZ"&amp;$D$10):INDIRECT("FZ"&amp;$B$10)),"")</f>
        <v/>
      </c>
      <c r="GA54" s="196" t="str">
        <f ca="1">IF(ROWS(INDIRECT("GA"&amp;$D$10):INDIRECT("GA"&amp;$B$10))-COUNTIF(INDIRECT("GA"&amp;$D$10):INDIRECT("GA"&amp;$B$10),"")&gt;0,AVERAGE(INDIRECT("GA"&amp;$D$10):INDIRECT("GA"&amp;$B$10)),"")</f>
        <v/>
      </c>
      <c r="GB54" s="196" t="str">
        <f ca="1">IF(ROWS(INDIRECT("GB"&amp;$D$10):INDIRECT("GB"&amp;$B$10))-COUNTIF(INDIRECT("GB"&amp;$D$10):INDIRECT("GB"&amp;$B$10),"")&gt;0,AVERAGE(INDIRECT("GB"&amp;$D$10):INDIRECT("GB"&amp;$B$10)),"")</f>
        <v/>
      </c>
      <c r="GC54" s="196" t="str">
        <f ca="1">IF(ROWS(INDIRECT("GC"&amp;$D$10):INDIRECT("GC"&amp;$B$10))-COUNTIF(INDIRECT("GC"&amp;$D$10):INDIRECT("GC"&amp;$B$10),"")&gt;0,AVERAGE(INDIRECT("GC"&amp;$D$10):INDIRECT("GC"&amp;$B$10)),"")</f>
        <v/>
      </c>
      <c r="GD54" s="196" t="str">
        <f ca="1">IF(ROWS(INDIRECT("GD"&amp;$D$10):INDIRECT("GD"&amp;$B$10))-COUNTIF(INDIRECT("GD"&amp;$D$10):INDIRECT("GD"&amp;$B$10),"")&gt;0,AVERAGE(INDIRECT("GD"&amp;$D$10):INDIRECT("GD"&amp;$B$10)),"")</f>
        <v/>
      </c>
      <c r="GE54" s="196" t="str">
        <f ca="1">IF(ROWS(INDIRECT("GE"&amp;$D$10):INDIRECT("GE"&amp;$B$10))-COUNTIF(INDIRECT("GE"&amp;$D$10):INDIRECT("GE"&amp;$B$10),"")&gt;0,AVERAGE(INDIRECT("GE"&amp;$D$10):INDIRECT("GE"&amp;$B$10)),"")</f>
        <v/>
      </c>
      <c r="GF54" s="196" t="str">
        <f ca="1">IF(ROWS(INDIRECT("GF"&amp;$D$10):INDIRECT("GF"&amp;$B$10))-COUNTIF(INDIRECT("GF"&amp;$D$10):INDIRECT("GF"&amp;$B$10),"")&gt;0,AVERAGE(INDIRECT("GF"&amp;$D$10):INDIRECT("GF"&amp;$B$10)),"")</f>
        <v/>
      </c>
      <c r="GG54" s="196" t="str">
        <f ca="1">IF(ROWS(INDIRECT("GG"&amp;$D$10):INDIRECT("GG"&amp;$B$10))-COUNTIF(INDIRECT("GG"&amp;$D$10):INDIRECT("GG"&amp;$B$10),"")&gt;0,AVERAGE(INDIRECT("GG"&amp;$D$10):INDIRECT("GG"&amp;$B$10)),"")</f>
        <v/>
      </c>
      <c r="GH54" s="196" t="str">
        <f ca="1">IF(ROWS(INDIRECT("GH"&amp;$D$10):INDIRECT("GH"&amp;$B$10))-COUNTIF(INDIRECT("GH"&amp;$D$10):INDIRECT("GH"&amp;$B$10),"")&gt;0,AVERAGE(INDIRECT("GH"&amp;$D$10):INDIRECT("GH"&amp;$B$10)),"")</f>
        <v/>
      </c>
      <c r="GI54" s="210" t="str">
        <f ca="1">IF(ROWS(INDIRECT("GI"&amp;$D$10):INDIRECT("GI"&amp;$B$10))-COUNTIF(INDIRECT("GI"&amp;$D$10):INDIRECT("GI"&amp;$B$10),"")&gt;0,AVERAGE(INDIRECT("GI"&amp;$D$10):INDIRECT("GI"&amp;$B$10)),"")</f>
        <v/>
      </c>
      <c r="GJ54" s="245" t="s">
        <v>402</v>
      </c>
      <c r="GK54" s="212" t="str">
        <f ca="1">IF(ROWS(INDIRECT("GK"&amp;$D$10):INDIRECT("GK"&amp;$B$10))-COUNTIF(INDIRECT("GK"&amp;$D$10):INDIRECT("GK"&amp;$B$10),"")&gt;0,AVERAGE(INDIRECT("GK"&amp;$D$10):INDIRECT("GK"&amp;$B$10)),"")</f>
        <v/>
      </c>
      <c r="GL54" s="206" t="str">
        <f ca="1">IF(ROWS(INDIRECT("GL"&amp;$D$10):INDIRECT("GL"&amp;$B$10))-COUNTIF(INDIRECT("GL"&amp;$D$10):INDIRECT("GL"&amp;$B$10),"")&gt;0,AVERAGE(INDIRECT("GL"&amp;$D$10):INDIRECT("GL"&amp;$B$10)),"")</f>
        <v/>
      </c>
      <c r="GM54" s="206" t="str">
        <f ca="1">IF(ROWS(INDIRECT("GM"&amp;$D$10):INDIRECT("GM"&amp;$B$10))-COUNTIF(INDIRECT("GM"&amp;$D$10):INDIRECT("GM"&amp;$B$10),"")&gt;0,AVERAGE(INDIRECT("GM"&amp;$D$10):INDIRECT("GM"&amp;$B$10)),"")</f>
        <v/>
      </c>
      <c r="GN54" s="206" t="str">
        <f ca="1">IF(ROWS(INDIRECT("GN"&amp;$D$10):INDIRECT("GN"&amp;$B$10))-COUNTIF(INDIRECT("GN"&amp;$D$10):INDIRECT("GN"&amp;$B$10),"")&gt;0,AVERAGE(INDIRECT("GN"&amp;$D$10):INDIRECT("GN"&amp;$B$10)),"")</f>
        <v/>
      </c>
      <c r="GO54" s="206" t="str">
        <f ca="1">IF(ROWS(INDIRECT("GO"&amp;$D$10):INDIRECT("GO"&amp;$B$10))-COUNTIF(INDIRECT("GO"&amp;$D$10):INDIRECT("GO"&amp;$B$10),"")&gt;0,AVERAGE(INDIRECT("GO"&amp;$D$10):INDIRECT("GO"&amp;$B$10)),"")</f>
        <v/>
      </c>
      <c r="GP54" s="206" t="str">
        <f ca="1">IF(ROWS(INDIRECT("GP"&amp;$D$10):INDIRECT("GP"&amp;$B$10))-COUNTIF(INDIRECT("GP"&amp;$D$10):INDIRECT("GP"&amp;$B$10),"")&gt;0,AVERAGE(INDIRECT("GP"&amp;$D$10):INDIRECT("GP"&amp;$B$10)),"")</f>
        <v/>
      </c>
      <c r="GQ54" s="206" t="str">
        <f ca="1">IF(ROWS(INDIRECT("GQ"&amp;$D$10):INDIRECT("GQ"&amp;$B$10))-COUNTIF(INDIRECT("GQ"&amp;$D$10):INDIRECT("GQ"&amp;$B$10),"")&gt;0,AVERAGE(INDIRECT("GQ"&amp;$D$10):INDIRECT("GQ"&amp;$B$10)),"")</f>
        <v/>
      </c>
      <c r="GR54" s="206" t="str">
        <f ca="1">IF(ROWS(INDIRECT("GR"&amp;$D$10):INDIRECT("GR"&amp;$B$10))-COUNTIF(INDIRECT("GR"&amp;$D$10):INDIRECT("GR"&amp;$B$10),"")&gt;0,AVERAGE(INDIRECT("GR"&amp;$D$10):INDIRECT("GR"&amp;$B$10)),"")</f>
        <v/>
      </c>
      <c r="GS54" s="206" t="str">
        <f ca="1">IF(ROWS(INDIRECT("GS"&amp;$D$10):INDIRECT("GS"&amp;$B$10))-COUNTIF(INDIRECT("GS"&amp;$D$10):INDIRECT("GS"&amp;$B$10),"")&gt;0,AVERAGE(INDIRECT("GS"&amp;$D$10):INDIRECT("GS"&amp;$B$10)),"")</f>
        <v/>
      </c>
      <c r="GT54" s="206" t="str">
        <f ca="1">IF(ROWS(INDIRECT("GT"&amp;$D$10):INDIRECT("GT"&amp;$B$10))-COUNTIF(INDIRECT("GT"&amp;$D$10):INDIRECT("GT"&amp;$B$10),"")&gt;0,AVERAGE(INDIRECT("GT"&amp;$D$10):INDIRECT("GT"&amp;$B$10)),"")</f>
        <v/>
      </c>
      <c r="GU54" s="206" t="str">
        <f ca="1">IF(ROWS(INDIRECT("GU"&amp;$D$10):INDIRECT("GU"&amp;$B$10))-COUNTIF(INDIRECT("GU"&amp;$D$10):INDIRECT("GU"&amp;$B$10),"")&gt;0,AVERAGE(INDIRECT("GU"&amp;$D$10):INDIRECT("GU"&amp;$B$10)),"")</f>
        <v/>
      </c>
      <c r="GV54" s="206" t="str">
        <f ca="1">IF(ROWS(INDIRECT("GV"&amp;$D$10):INDIRECT("GV"&amp;$B$10))-COUNTIF(INDIRECT("GV"&amp;$D$10):INDIRECT("GV"&amp;$B$10),"")&gt;0,AVERAGE(INDIRECT("GV"&amp;$D$10):INDIRECT("GV"&amp;$B$10)),"")</f>
        <v/>
      </c>
      <c r="GW54" s="206" t="str">
        <f ca="1">IF(ROWS(INDIRECT("GW"&amp;$D$10):INDIRECT("GW"&amp;$B$10))-COUNTIF(INDIRECT("GW"&amp;$D$10):INDIRECT("GW"&amp;$B$10),"")&gt;0,AVERAGE(INDIRECT("GW"&amp;$D$10):INDIRECT("GW"&amp;$B$10)),"")</f>
        <v/>
      </c>
      <c r="GX54" s="206" t="str">
        <f ca="1">IF(ROWS(INDIRECT("GX"&amp;$D$10):INDIRECT("GX"&amp;$B$10))-COUNTIF(INDIRECT("GX"&amp;$D$10):INDIRECT("GX"&amp;$B$10),"")&gt;0,AVERAGE(INDIRECT("GX"&amp;$D$10):INDIRECT("GX"&amp;$B$10)),"")</f>
        <v/>
      </c>
      <c r="GY54" s="206" t="str">
        <f ca="1">IF(ROWS(INDIRECT("GY"&amp;$D$10):INDIRECT("GY"&amp;$B$10))-COUNTIF(INDIRECT("GY"&amp;$D$10):INDIRECT("GY"&amp;$B$10),"")&gt;0,AVERAGE(INDIRECT("GY"&amp;$D$10):INDIRECT("GY"&amp;$B$10)),"")</f>
        <v/>
      </c>
      <c r="GZ54" s="206" t="str">
        <f ca="1">IF(ROWS(INDIRECT("GZ"&amp;$D$10):INDIRECT("GZ"&amp;$B$10))-COUNTIF(INDIRECT("GZ"&amp;$D$10):INDIRECT("GZ"&amp;$B$10),"")&gt;0,AVERAGE(INDIRECT("GZ"&amp;$D$10):INDIRECT("GZ"&amp;$B$10)),"")</f>
        <v/>
      </c>
      <c r="HA54" s="206" t="str">
        <f ca="1">IF(ROWS(INDIRECT("HA"&amp;$D$10):INDIRECT("HA"&amp;$B$10))-COUNTIF(INDIRECT("HA"&amp;$D$10):INDIRECT("HA"&amp;$B$10),"")&gt;0,AVERAGE(INDIRECT("HA"&amp;$D$10):INDIRECT("HA"&amp;$B$10)),"")</f>
        <v/>
      </c>
      <c r="HB54" s="206" t="str">
        <f ca="1">IF(ROWS(INDIRECT("HB"&amp;$D$10):INDIRECT("HB"&amp;$B$10))-COUNTIF(INDIRECT("HB"&amp;$D$10):INDIRECT("HB"&amp;$B$10),"")&gt;0,AVERAGE(INDIRECT("HB"&amp;$D$10):INDIRECT("HB"&amp;$B$10)),"")</f>
        <v/>
      </c>
      <c r="HC54" s="206" t="str">
        <f ca="1">IF(ROWS(INDIRECT("HC"&amp;$D$10):INDIRECT("HC"&amp;$B$10))-COUNTIF(INDIRECT("HC"&amp;$D$10):INDIRECT("HC"&amp;$B$10),"")&gt;0,AVERAGE(INDIRECT("HC"&amp;$D$10):INDIRECT("HC"&amp;$B$10)),"")</f>
        <v/>
      </c>
      <c r="HD54" s="206" t="str">
        <f ca="1">IF(ROWS(INDIRECT("HD"&amp;$D$10):INDIRECT("HD"&amp;$B$10))-COUNTIF(INDIRECT("HD"&amp;$D$10):INDIRECT("HD"&amp;$B$10),"")&gt;0,AVERAGE(INDIRECT("HD"&amp;$D$10):INDIRECT("HD"&amp;$B$10)),"")</f>
        <v/>
      </c>
      <c r="HE54" s="206" t="str">
        <f ca="1">IF(ROWS(INDIRECT("HE"&amp;$D$10):INDIRECT("HE"&amp;$B$10))-COUNTIF(INDIRECT("HE"&amp;$D$10):INDIRECT("HE"&amp;$B$10),"")&gt;0,AVERAGE(INDIRECT("HE"&amp;$D$10):INDIRECT("HE"&amp;$B$10)),"")</f>
        <v/>
      </c>
      <c r="HF54" s="206" t="str">
        <f ca="1">IF(ROWS(INDIRECT("HF"&amp;$D$10):INDIRECT("HF"&amp;$B$10))-COUNTIF(INDIRECT("HF"&amp;$D$10):INDIRECT("HF"&amp;$B$10),"")&gt;0,AVERAGE(INDIRECT("HF"&amp;$D$10):INDIRECT("HF"&amp;$B$10)),"")</f>
        <v/>
      </c>
      <c r="HG54" s="206" t="str">
        <f ca="1">IF(ROWS(INDIRECT("HG"&amp;$D$10):INDIRECT("HG"&amp;$B$10))-COUNTIF(INDIRECT("HG"&amp;$D$10):INDIRECT("HG"&amp;$B$10),"")&gt;0,AVERAGE(INDIRECT("HG"&amp;$D$10):INDIRECT("HG"&amp;$B$10)),"")</f>
        <v/>
      </c>
      <c r="HH54" s="206" t="str">
        <f ca="1">IF(ROWS(INDIRECT("HH"&amp;$D$10):INDIRECT("HH"&amp;$B$10))-COUNTIF(INDIRECT("HH"&amp;$D$10):INDIRECT("HH"&amp;$B$10),"")&gt;0,AVERAGE(INDIRECT("HH"&amp;$D$10):INDIRECT("HH"&amp;$B$10)),"")</f>
        <v/>
      </c>
      <c r="HI54" s="206" t="str">
        <f ca="1">IF(ROWS(INDIRECT("HI"&amp;$D$10):INDIRECT("HI"&amp;$B$10))-COUNTIF(INDIRECT("HI"&amp;$D$10):INDIRECT("HI"&amp;$B$10),"")&gt;0,AVERAGE(INDIRECT("HI"&amp;$D$10):INDIRECT("HI"&amp;$B$10)),"")</f>
        <v/>
      </c>
      <c r="HJ54" s="206" t="str">
        <f ca="1">IF(ROWS(INDIRECT("HJ"&amp;$D$10):INDIRECT("HJ"&amp;$B$10))-COUNTIF(INDIRECT("HJ"&amp;$D$10):INDIRECT("HJ"&amp;$B$10),"")&gt;0,AVERAGE(INDIRECT("HJ"&amp;$D$10):INDIRECT("HJ"&amp;$B$10)),"")</f>
        <v/>
      </c>
      <c r="HK54" s="206" t="str">
        <f ca="1">IF(ROWS(INDIRECT("HK"&amp;$D$10):INDIRECT("HK"&amp;$B$10))-COUNTIF(INDIRECT("HK"&amp;$D$10):INDIRECT("HK"&amp;$B$10),"")&gt;0,AVERAGE(INDIRECT("HK"&amp;$D$10):INDIRECT("HK"&amp;$B$10)),"")</f>
        <v/>
      </c>
      <c r="HL54" s="206" t="str">
        <f ca="1">IF(ROWS(INDIRECT("HL"&amp;$D$10):INDIRECT("HL"&amp;$B$10))-COUNTIF(INDIRECT("HL"&amp;$D$10):INDIRECT("HL"&amp;$B$10),"")&gt;0,AVERAGE(INDIRECT("HL"&amp;$D$10):INDIRECT("HL"&amp;$B$10)),"")</f>
        <v/>
      </c>
      <c r="HM54" s="210" t="str">
        <f ca="1">IF(ROWS(INDIRECT("HM"&amp;$D$10):INDIRECT("HM"&amp;$B$10))-COUNTIF(INDIRECT("HM"&amp;$D$10):INDIRECT("HM"&amp;$B$10),"")&gt;0,AVERAGE(INDIRECT("HM"&amp;$D$10):INDIRECT("HM"&amp;$B$10)),"")</f>
        <v/>
      </c>
      <c r="HN54" s="245" t="s">
        <v>375</v>
      </c>
      <c r="HO54" s="224" t="str">
        <f ca="1">IF(ROWS(INDIRECT("HO"&amp;$D$10):INDIRECT("HO"&amp;$B$10))-COUNTIF(INDIRECT("HO"&amp;$D$10):INDIRECT("HO"&amp;$B$10),"")&gt;0,MAX(INDIRECT("HO"&amp;$D$10):INDIRECT("HO"&amp;$B$10)),"")</f>
        <v/>
      </c>
      <c r="HR54" s="242" t="s">
        <v>375</v>
      </c>
      <c r="HS54" s="202" t="str">
        <f ca="1">IF(ROWS(INDIRECT("HS"&amp;$D$10):INDIRECT("HS"&amp;$B$10))-COUNTIF(INDIRECT("HS"&amp;$D$10):INDIRECT("HS"&amp;$B$10),"")&gt;0,MAX(INDIRECT("HS"&amp;$D$10):INDIRECT("HS"&amp;$B$10)),"")</f>
        <v/>
      </c>
      <c r="HT54" s="196" t="str">
        <f ca="1">IF(ROWS(INDIRECT("HT"&amp;$D$10):INDIRECT("HT"&amp;$B$10))-COUNTIF(INDIRECT("HT"&amp;$D$10):INDIRECT("HT"&amp;$B$10),"")&gt;0,MAX(INDIRECT("HT"&amp;$D$10):INDIRECT("HT"&amp;$B$10)),"")</f>
        <v/>
      </c>
      <c r="HU54" s="196" t="str">
        <f ca="1">IF(ROWS(INDIRECT("HU"&amp;$D$10):INDIRECT("HU"&amp;$B$10))-COUNTIF(INDIRECT("HU"&amp;$D$10):INDIRECT("HU"&amp;$B$10),"")&gt;0,MAX(INDIRECT("HU"&amp;$D$10):INDIRECT("HU"&amp;$B$10)),"")</f>
        <v/>
      </c>
      <c r="HV54" s="196" t="str">
        <f ca="1">IF(ROWS(INDIRECT("HV"&amp;$D$10):INDIRECT("HV"&amp;$B$10))-COUNTIF(INDIRECT("HV"&amp;$D$10):INDIRECT("HV"&amp;$B$10),"")&gt;0,MAX(INDIRECT("HV"&amp;$D$10):INDIRECT("HV"&amp;$B$10)),"")</f>
        <v/>
      </c>
      <c r="HW54" s="196" t="str">
        <f ca="1">IF(ROWS(INDIRECT("HW"&amp;$D$10):INDIRECT("HW"&amp;$B$10))-COUNTIF(INDIRECT("HW"&amp;$D$10):INDIRECT("HW"&amp;$B$10),"")&gt;0,MAX(INDIRECT("HW"&amp;$D$10):INDIRECT("HW"&amp;$B$10)),"")</f>
        <v/>
      </c>
      <c r="HX54" s="196" t="str">
        <f ca="1">IF(ROWS(INDIRECT("HX"&amp;$D$10):INDIRECT("HX"&amp;$B$10))-COUNTIF(INDIRECT("HX"&amp;$D$10):INDIRECT("HX"&amp;$B$10),"")&gt;0,MAX(INDIRECT("HX"&amp;$D$10):INDIRECT("HX"&amp;$B$10)),"")</f>
        <v/>
      </c>
      <c r="HY54" s="196" t="str">
        <f ca="1">IF(ROWS(INDIRECT("HY"&amp;$D$10):INDIRECT("HY"&amp;$B$10))-COUNTIF(INDIRECT("HY"&amp;$D$10):INDIRECT("HY"&amp;$B$10),"")&gt;0,MAX(INDIRECT("HY"&amp;$D$10):INDIRECT("HY"&amp;$B$10)),"")</f>
        <v/>
      </c>
      <c r="HZ54" s="196" t="str">
        <f ca="1">IF(ROWS(INDIRECT("HZ"&amp;$D$10):INDIRECT("HZ"&amp;$B$10))-COUNTIF(INDIRECT("HZ"&amp;$D$10):INDIRECT("HZ"&amp;$B$10),"")&gt;0,MAX(INDIRECT("HZ"&amp;$D$10):INDIRECT("HZ"&amp;$B$10)),"")</f>
        <v/>
      </c>
      <c r="IA54" s="196" t="str">
        <f ca="1">IF(ROWS(INDIRECT("IA"&amp;$D$10):INDIRECT("IA"&amp;$B$10))-COUNTIF(INDIRECT("IA"&amp;$D$10):INDIRECT("IA"&amp;$B$10),"")&gt;0,MAX(INDIRECT("IA"&amp;$D$10):INDIRECT("IA"&amp;$B$10)),"")</f>
        <v/>
      </c>
      <c r="IB54" s="196" t="str">
        <f ca="1">IF(ROWS(INDIRECT("IB"&amp;$D$10):INDIRECT("IB"&amp;$B$10))-COUNTIF(INDIRECT("IB"&amp;$D$10):INDIRECT("IB"&amp;$B$10),"")&gt;0,MAX(INDIRECT("IB"&amp;$D$10):INDIRECT("IB"&amp;$B$10)),"")</f>
        <v/>
      </c>
      <c r="IC54" s="196" t="str">
        <f ca="1">IF(ROWS(INDIRECT("IC"&amp;$D$10):INDIRECT("IC"&amp;$B$10))-COUNTIF(INDIRECT("IC"&amp;$D$10):INDIRECT("IC"&amp;$B$10),"")&gt;0,MAX(INDIRECT("IC"&amp;$D$10):INDIRECT("IC"&amp;$B$10)),"")</f>
        <v/>
      </c>
      <c r="ID54" s="196" t="str">
        <f ca="1">IF(ROWS(INDIRECT("ID"&amp;$D$10):INDIRECT("ID"&amp;$B$10))-COUNTIF(INDIRECT("ID"&amp;$D$10):INDIRECT("ID"&amp;$B$10),"")&gt;0,MAX(INDIRECT("ID"&amp;$D$10):INDIRECT("ID"&amp;$B$10)),"")</f>
        <v/>
      </c>
      <c r="IE54" s="196" t="str">
        <f ca="1">IF(ROWS(INDIRECT("IE"&amp;$D$10):INDIRECT("IE"&amp;$B$10))-COUNTIF(INDIRECT("IE"&amp;$D$10):INDIRECT("IE"&amp;$B$10),"")&gt;0,MAX(INDIRECT("IE"&amp;$D$10):INDIRECT("IE"&amp;$B$10)),"")</f>
        <v/>
      </c>
      <c r="IF54" s="196" t="str">
        <f ca="1">IF(ROWS(INDIRECT("IF"&amp;$D$10):INDIRECT("IF"&amp;$B$10))-COUNTIF(INDIRECT("IF"&amp;$D$10):INDIRECT("IF"&amp;$B$10),"")&gt;0,MAX(INDIRECT("IF"&amp;$D$10):INDIRECT("IF"&amp;$B$10)),"")</f>
        <v/>
      </c>
      <c r="IG54" s="196" t="str">
        <f ca="1">IF(ROWS(INDIRECT("IG"&amp;$D$10):INDIRECT("IG"&amp;$B$10))-COUNTIF(INDIRECT("IG"&amp;$D$10):INDIRECT("IG"&amp;$B$10),"")&gt;0,MAX(INDIRECT("IG"&amp;$D$10):INDIRECT("IG"&amp;$B$10)),"")</f>
        <v/>
      </c>
      <c r="IH54" s="196" t="str">
        <f ca="1">IF(ROWS(INDIRECT("IH"&amp;$D$10):INDIRECT("IH"&amp;$B$10))-COUNTIF(INDIRECT("IH"&amp;$D$10):INDIRECT("IH"&amp;$B$10),"")&gt;0,MAX(INDIRECT("IH"&amp;$D$10):INDIRECT("IH"&amp;$B$10)),"")</f>
        <v/>
      </c>
      <c r="II54" s="196" t="str">
        <f ca="1">IF(ROWS(INDIRECT("II"&amp;$D$10):INDIRECT("II"&amp;$B$10))-COUNTIF(INDIRECT("II"&amp;$D$10):INDIRECT("II"&amp;$B$10),"")&gt;0,MAX(INDIRECT("II"&amp;$D$10):INDIRECT("II"&amp;$B$10)),"")</f>
        <v/>
      </c>
      <c r="IJ54" s="196" t="str">
        <f ca="1">IF(ROWS(INDIRECT("IJ"&amp;$D$10):INDIRECT("IJ"&amp;$B$10))-COUNTIF(INDIRECT("IJ"&amp;$D$10):INDIRECT("IJ"&amp;$B$10),"")&gt;0,MAX(INDIRECT("IJ"&amp;$D$10):INDIRECT("IJ"&amp;$B$10)),"")</f>
        <v/>
      </c>
      <c r="IK54" s="196" t="str">
        <f ca="1">IF(ROWS(INDIRECT("IK"&amp;$D$10):INDIRECT("IK"&amp;$B$10))-COUNTIF(INDIRECT("IK"&amp;$D$10):INDIRECT("IK"&amp;$B$10),"")&gt;0,MAX(INDIRECT("IK"&amp;$D$10):INDIRECT("IK"&amp;$B$10)),"")</f>
        <v/>
      </c>
      <c r="IL54" s="196" t="str">
        <f ca="1">IF(ROWS(INDIRECT("IL"&amp;$D$10):INDIRECT("IL"&amp;$B$10))-COUNTIF(INDIRECT("IL"&amp;$D$10):INDIRECT("IL"&amp;$B$10),"")&gt;0,MAX(INDIRECT("IL"&amp;$D$10):INDIRECT("IL"&amp;$B$10)),"")</f>
        <v/>
      </c>
      <c r="IM54" s="196" t="str">
        <f ca="1">IF(ROWS(INDIRECT("IM"&amp;$D$10):INDIRECT("IM"&amp;$B$10))-COUNTIF(INDIRECT("IM"&amp;$D$10):INDIRECT("IM"&amp;$B$10),"")&gt;0,MAX(INDIRECT("IM"&amp;$D$10):INDIRECT("IM"&amp;$B$10)),"")</f>
        <v/>
      </c>
      <c r="IN54" s="196" t="str">
        <f ca="1">IF(ROWS(INDIRECT("IN"&amp;$D$10):INDIRECT("IN"&amp;$B$10))-COUNTIF(INDIRECT("IN"&amp;$D$10):INDIRECT("IN"&amp;$B$10),"")&gt;0,MAX(INDIRECT("IN"&amp;$D$10):INDIRECT("IN"&amp;$B$10)),"")</f>
        <v/>
      </c>
      <c r="IO54" s="196" t="str">
        <f ca="1">IF(ROWS(INDIRECT("IO"&amp;$D$10):INDIRECT("IO"&amp;$B$10))-COUNTIF(INDIRECT("IO"&amp;$D$10):INDIRECT("IO"&amp;$B$10),"")&gt;0,MAX(INDIRECT("IO"&amp;$D$10):INDIRECT("IO"&amp;$B$10)),"")</f>
        <v/>
      </c>
      <c r="IP54" s="196" t="str">
        <f ca="1">IF(ROWS(INDIRECT("IP"&amp;$D$10):INDIRECT("IP"&amp;$B$10))-COUNTIF(INDIRECT("IP"&amp;$D$10):INDIRECT("IP"&amp;$B$10),"")&gt;0,MAX(INDIRECT("IP"&amp;$D$10):INDIRECT("IP"&amp;$B$10)),"")</f>
        <v/>
      </c>
      <c r="IQ54" s="196" t="str">
        <f ca="1">IF(ROWS(INDIRECT("IQ"&amp;$D$10):INDIRECT("IQ"&amp;$B$10))-COUNTIF(INDIRECT("IQ"&amp;$D$10):INDIRECT("IQ"&amp;$B$10),"")&gt;0,MAX(INDIRECT("IQ"&amp;$D$10):INDIRECT("IQ"&amp;$B$10)),"")</f>
        <v/>
      </c>
      <c r="IR54" s="196" t="str">
        <f ca="1">IF(ROWS(INDIRECT("IR"&amp;$D$10):INDIRECT("IR"&amp;$B$10))-COUNTIF(INDIRECT("IR"&amp;$D$10):INDIRECT("IR"&amp;$B$10),"")&gt;0,MAX(INDIRECT("IR"&amp;$D$10):INDIRECT("IR"&amp;$B$10)),"")</f>
        <v/>
      </c>
      <c r="IS54" s="196" t="str">
        <f ca="1">IF(ROWS(INDIRECT("IS"&amp;$D$10):INDIRECT("IS"&amp;$B$10))-COUNTIF(INDIRECT("IS"&amp;$D$10):INDIRECT("IS"&amp;$B$10),"")&gt;0,MAX(INDIRECT("IS"&amp;$D$10):INDIRECT("IS"&amp;$B$10)),"")</f>
        <v/>
      </c>
      <c r="IT54" s="196" t="str">
        <f ca="1">IF(ROWS(INDIRECT("IT"&amp;$D$10):INDIRECT("IT"&amp;$B$10))-COUNTIF(INDIRECT("IT"&amp;$D$10):INDIRECT("IT"&amp;$B$10),"")&gt;0,MAX(INDIRECT("IT"&amp;$D$10):INDIRECT("IT"&amp;$B$10)),"")</f>
        <v/>
      </c>
      <c r="IU54" s="210" t="str">
        <f ca="1">IF(ROWS(INDIRECT("IU"&amp;$D$10):INDIRECT("IU"&amp;$B$10))-COUNTIF(INDIRECT("IU"&amp;$D$10):INDIRECT("IU"&amp;$B$10),"")&gt;0,MAX(INDIRECT("IU"&amp;$D$10):INDIRECT("IU"&amp;$B$10)),"")</f>
        <v/>
      </c>
      <c r="IW54" s="242" t="s">
        <v>375</v>
      </c>
      <c r="IX54" s="202" t="str">
        <f ca="1">IF(ROWS(INDIRECT("IX"&amp;$D$10):INDIRECT("IX"&amp;$B$10))-COUNTIF(INDIRECT("IX"&amp;$D$10):INDIRECT("IX"&amp;$B$10),"")&gt;0,MAX(INDIRECT("IX"&amp;$D$10):INDIRECT("IX"&amp;$B$10)),"")</f>
        <v/>
      </c>
      <c r="IY54" s="196" t="str">
        <f ca="1">IF(ROWS(INDIRECT("IY"&amp;$D$10):INDIRECT("IY"&amp;$B$10))-COUNTIF(INDIRECT("IY"&amp;$D$10):INDIRECT("IY"&amp;$B$10),"")&gt;0,MAX(INDIRECT("IY"&amp;$D$10):INDIRECT("IY"&amp;$B$10)),"")</f>
        <v/>
      </c>
      <c r="IZ54" s="196" t="str">
        <f ca="1">IF(ROWS(INDIRECT("IZ"&amp;$D$10):INDIRECT("IZ"&amp;$B$10))-COUNTIF(INDIRECT("IZ"&amp;$D$10):INDIRECT("IZ"&amp;$B$10),"")&gt;0,MAX(INDIRECT("IZ"&amp;$D$10):INDIRECT("IZ"&amp;$B$10)),"")</f>
        <v/>
      </c>
      <c r="JA54" s="196" t="str">
        <f ca="1">IF(ROWS(INDIRECT("JA"&amp;$D$10):INDIRECT("JA"&amp;$B$10))-COUNTIF(INDIRECT("JA"&amp;$D$10):INDIRECT("JA"&amp;$B$10),"")&gt;0,MAX(INDIRECT("JA"&amp;$D$10):INDIRECT("JA"&amp;$B$10)),"")</f>
        <v/>
      </c>
      <c r="JB54" s="196" t="str">
        <f ca="1">IF(ROWS(INDIRECT("JB"&amp;$D$10):INDIRECT("JB"&amp;$B$10))-COUNTIF(INDIRECT("JB"&amp;$D$10):INDIRECT("JB"&amp;$B$10),"")&gt;0,MAX(INDIRECT("JB"&amp;$D$10):INDIRECT("JB"&amp;$B$10)),"")</f>
        <v/>
      </c>
      <c r="JC54" s="196" t="str">
        <f ca="1">IF(ROWS(INDIRECT("JC"&amp;$D$10):INDIRECT("JC"&amp;$B$10))-COUNTIF(INDIRECT("JC"&amp;$D$10):INDIRECT("JC"&amp;$B$10),"")&gt;0,MAX(INDIRECT("JC"&amp;$D$10):INDIRECT("JC"&amp;$B$10)),"")</f>
        <v/>
      </c>
      <c r="JD54" s="196" t="str">
        <f ca="1">IF(ROWS(INDIRECT("JD"&amp;$D$10):INDIRECT("JD"&amp;$B$10))-COUNTIF(INDIRECT("JD"&amp;$D$10):INDIRECT("JD"&amp;$B$10),"")&gt;0,MAX(INDIRECT("JD"&amp;$D$10):INDIRECT("JD"&amp;$B$10)),"")</f>
        <v/>
      </c>
      <c r="JE54" s="196" t="str">
        <f ca="1">IF(ROWS(INDIRECT("JE"&amp;$D$10):INDIRECT("JE"&amp;$B$10))-COUNTIF(INDIRECT("JE"&amp;$D$10):INDIRECT("JE"&amp;$B$10),"")&gt;0,MAX(INDIRECT("JE"&amp;$D$10):INDIRECT("JE"&amp;$B$10)),"")</f>
        <v/>
      </c>
      <c r="JF54" s="196" t="str">
        <f ca="1">IF(ROWS(INDIRECT("JF"&amp;$D$10):INDIRECT("JF"&amp;$B$10))-COUNTIF(INDIRECT("JF"&amp;$D$10):INDIRECT("JF"&amp;$B$10),"")&gt;0,MAX(INDIRECT("JF"&amp;$D$10):INDIRECT("JF"&amp;$B$10)),"")</f>
        <v/>
      </c>
      <c r="JG54" s="196" t="str">
        <f ca="1">IF(ROWS(INDIRECT("JG"&amp;$D$10):INDIRECT("JG"&amp;$B$10))-COUNTIF(INDIRECT("JG"&amp;$D$10):INDIRECT("JG"&amp;$B$10),"")&gt;0,MAX(INDIRECT("JG"&amp;$D$10):INDIRECT("JG"&amp;$B$10)),"")</f>
        <v/>
      </c>
      <c r="JH54" s="196" t="str">
        <f ca="1">IF(ROWS(INDIRECT("JH"&amp;$D$10):INDIRECT("JH"&amp;$B$10))-COUNTIF(INDIRECT("JH"&amp;$D$10):INDIRECT("JH"&amp;$B$10),"")&gt;0,MAX(INDIRECT("JH"&amp;$D$10):INDIRECT("JH"&amp;$B$10)),"")</f>
        <v/>
      </c>
      <c r="JI54" s="196" t="str">
        <f ca="1">IF(ROWS(INDIRECT("JI"&amp;$D$10):INDIRECT("JI"&amp;$B$10))-COUNTIF(INDIRECT("JI"&amp;$D$10):INDIRECT("JI"&amp;$B$10),"")&gt;0,MAX(INDIRECT("JI"&amp;$D$10):INDIRECT("JI"&amp;$B$10)),"")</f>
        <v/>
      </c>
      <c r="JJ54" s="196" t="str">
        <f ca="1">IF(ROWS(INDIRECT("JJ"&amp;$D$10):INDIRECT("JJ"&amp;$B$10))-COUNTIF(INDIRECT("JJ"&amp;$D$10):INDIRECT("JJ"&amp;$B$10),"")&gt;0,MAX(INDIRECT("JJ"&amp;$D$10):INDIRECT("JJ"&amp;$B$10)),"")</f>
        <v/>
      </c>
      <c r="JK54" s="196" t="str">
        <f ca="1">IF(ROWS(INDIRECT("JK"&amp;$D$10):INDIRECT("JK"&amp;$B$10))-COUNTIF(INDIRECT("JK"&amp;$D$10):INDIRECT("JK"&amp;$B$10),"")&gt;0,MAX(INDIRECT("JK"&amp;$D$10):INDIRECT("JK"&amp;$B$10)),"")</f>
        <v/>
      </c>
      <c r="JL54" s="196" t="str">
        <f ca="1">IF(ROWS(INDIRECT("JL"&amp;$D$10):INDIRECT("JL"&amp;$B$10))-COUNTIF(INDIRECT("JL"&amp;$D$10):INDIRECT("JL"&amp;$B$10),"")&gt;0,MAX(INDIRECT("JL"&amp;$D$10):INDIRECT("JL"&amp;$B$10)),"")</f>
        <v/>
      </c>
      <c r="JM54" s="196" t="str">
        <f ca="1">IF(ROWS(INDIRECT("JM"&amp;$D$10):INDIRECT("JM"&amp;$B$10))-COUNTIF(INDIRECT("JM"&amp;$D$10):INDIRECT("JM"&amp;$B$10),"")&gt;0,MAX(INDIRECT("JM"&amp;$D$10):INDIRECT("JM"&amp;$B$10)),"")</f>
        <v/>
      </c>
      <c r="JN54" s="196" t="str">
        <f ca="1">IF(ROWS(INDIRECT("JN"&amp;$D$10):INDIRECT("JN"&amp;$B$10))-COUNTIF(INDIRECT("JN"&amp;$D$10):INDIRECT("JN"&amp;$B$10),"")&gt;0,MAX(INDIRECT("JN"&amp;$D$10):INDIRECT("JN"&amp;$B$10)),"")</f>
        <v/>
      </c>
      <c r="JO54" s="196" t="str">
        <f ca="1">IF(ROWS(INDIRECT("JO"&amp;$D$10):INDIRECT("JO"&amp;$B$10))-COUNTIF(INDIRECT("JO"&amp;$D$10):INDIRECT("JO"&amp;$B$10),"")&gt;0,MAX(INDIRECT("JO"&amp;$D$10):INDIRECT("JO"&amp;$B$10)),"")</f>
        <v/>
      </c>
      <c r="JP54" s="196" t="str">
        <f ca="1">IF(ROWS(INDIRECT("JP"&amp;$D$10):INDIRECT("JP"&amp;$B$10))-COUNTIF(INDIRECT("JP"&amp;$D$10):INDIRECT("JP"&amp;$B$10),"")&gt;0,MAX(INDIRECT("JP"&amp;$D$10):INDIRECT("JP"&amp;$B$10)),"")</f>
        <v/>
      </c>
      <c r="JQ54" s="196" t="str">
        <f ca="1">IF(ROWS(INDIRECT("JQ"&amp;$D$10):INDIRECT("JQ"&amp;$B$10))-COUNTIF(INDIRECT("JQ"&amp;$D$10):INDIRECT("JQ"&amp;$B$10),"")&gt;0,MAX(INDIRECT("JQ"&amp;$D$10):INDIRECT("JQ"&amp;$B$10)),"")</f>
        <v/>
      </c>
      <c r="JR54" s="196" t="str">
        <f ca="1">IF(ROWS(INDIRECT("JR"&amp;$D$10):INDIRECT("JR"&amp;$B$10))-COUNTIF(INDIRECT("JR"&amp;$D$10):INDIRECT("JR"&amp;$B$10),"")&gt;0,MAX(INDIRECT("JR"&amp;$D$10):INDIRECT("JR"&amp;$B$10)),"")</f>
        <v/>
      </c>
      <c r="JS54" s="196" t="str">
        <f ca="1">IF(ROWS(INDIRECT("JS"&amp;$D$10):INDIRECT("JS"&amp;$B$10))-COUNTIF(INDIRECT("JS"&amp;$D$10):INDIRECT("JS"&amp;$B$10),"")&gt;0,MAX(INDIRECT("JS"&amp;$D$10):INDIRECT("JS"&amp;$B$10)),"")</f>
        <v/>
      </c>
      <c r="JT54" s="196" t="str">
        <f ca="1">IF(ROWS(INDIRECT("JT"&amp;$D$10):INDIRECT("JT"&amp;$B$10))-COUNTIF(INDIRECT("JT"&amp;$D$10):INDIRECT("JT"&amp;$B$10),"")&gt;0,MAX(INDIRECT("JT"&amp;$D$10):INDIRECT("JT"&amp;$B$10)),"")</f>
        <v/>
      </c>
      <c r="JU54" s="196" t="str">
        <f ca="1">IF(ROWS(INDIRECT("JU"&amp;$D$10):INDIRECT("JU"&amp;$B$10))-COUNTIF(INDIRECT("JU"&amp;$D$10):INDIRECT("JU"&amp;$B$10),"")&gt;0,MAX(INDIRECT("JU"&amp;$D$10):INDIRECT("JU"&amp;$B$10)),"")</f>
        <v/>
      </c>
      <c r="JV54" s="196" t="str">
        <f ca="1">IF(ROWS(INDIRECT("JV"&amp;$D$10):INDIRECT("JV"&amp;$B$10))-COUNTIF(INDIRECT("JV"&amp;$D$10):INDIRECT("JV"&amp;$B$10),"")&gt;0,MAX(INDIRECT("JV"&amp;$D$10):INDIRECT("JV"&amp;$B$10)),"")</f>
        <v/>
      </c>
      <c r="JW54" s="196" t="str">
        <f ca="1">IF(ROWS(INDIRECT("JW"&amp;$D$10):INDIRECT("JW"&amp;$B$10))-COUNTIF(INDIRECT("JW"&amp;$D$10):INDIRECT("JW"&amp;$B$10),"")&gt;0,MAX(INDIRECT("JW"&amp;$D$10):INDIRECT("JW"&amp;$B$10)),"")</f>
        <v/>
      </c>
      <c r="JX54" s="196" t="str">
        <f ca="1">IF(ROWS(INDIRECT("JX"&amp;$D$10):INDIRECT("JX"&amp;$B$10))-COUNTIF(INDIRECT("JX"&amp;$D$10):INDIRECT("JX"&amp;$B$10),"")&gt;0,MAX(INDIRECT("JX"&amp;$D$10):INDIRECT("JX"&amp;$B$10)),"")</f>
        <v/>
      </c>
      <c r="JY54" s="196" t="str">
        <f ca="1">IF(ROWS(INDIRECT("JY"&amp;$D$10):INDIRECT("JY"&amp;$B$10))-COUNTIF(INDIRECT("JY"&amp;$D$10):INDIRECT("JY"&amp;$B$10),"")&gt;0,MAX(INDIRECT("JY"&amp;$D$10):INDIRECT("JY"&amp;$B$10)),"")</f>
        <v/>
      </c>
      <c r="JZ54" s="210" t="str">
        <f ca="1">IF(ROWS(INDIRECT("JZ"&amp;$D$10):INDIRECT("JZ"&amp;$B$10))-COUNTIF(INDIRECT("JZ"&amp;$D$10):INDIRECT("JZ"&amp;$B$10),"")&gt;0,MAX(INDIRECT("JZ"&amp;$D$10):INDIRECT("JZ"&amp;$B$10)),"")</f>
        <v/>
      </c>
      <c r="KA54" s="196"/>
      <c r="KB54" s="176"/>
      <c r="KC54" s="248" t="s">
        <v>1168</v>
      </c>
      <c r="KD54" s="174" t="str">
        <f>'Outfall 1 Limits'!$AL$16</f>
        <v/>
      </c>
      <c r="KE54" s="174" t="str">
        <f>'Outfall 1 Limits'!$AL$20</f>
        <v/>
      </c>
      <c r="KF54" s="174" t="str">
        <f>'Outfall 1 Limits'!$AL$24</f>
        <v/>
      </c>
      <c r="KG54" s="174" t="str">
        <f>'Outfall 1 Limits'!$AL$28</f>
        <v/>
      </c>
      <c r="KH54" s="174" t="str">
        <f>'Outfall 1 Limits'!$AL$32</f>
        <v/>
      </c>
      <c r="KI54" s="174" t="str">
        <f>'Outfall 1 Limits'!$AL$36</f>
        <v/>
      </c>
      <c r="KJ54" s="174" t="str">
        <f>'Outfall 1 Limits'!$AL$40</f>
        <v/>
      </c>
      <c r="KK54" s="174" t="str">
        <f>'Outfall 1 Limits'!$AL$44</f>
        <v/>
      </c>
      <c r="KL54" s="174" t="str">
        <f>'Outfall 1 Limits'!$AL$48</f>
        <v/>
      </c>
      <c r="KM54" s="174" t="str">
        <f>'Outfall 1 Limits'!$AL$52</f>
        <v/>
      </c>
      <c r="KN54" s="174" t="str">
        <f>'Outfall 1 Limits'!$AL$56</f>
        <v/>
      </c>
      <c r="KO54" s="174" t="str">
        <f>'Outfall 1 Limits'!$AL$60</f>
        <v/>
      </c>
      <c r="KP54" s="174" t="str">
        <f>'Outfall 1 Limits'!$AL$64</f>
        <v/>
      </c>
      <c r="KQ54" s="174" t="str">
        <f>'Outfall 1 Limits'!$AL$68</f>
        <v/>
      </c>
      <c r="KR54" s="174" t="str">
        <f>'Outfall 1 Limits'!$AL$72</f>
        <v/>
      </c>
      <c r="KS54" s="174" t="str">
        <f>'Outfall 1 Limits'!$AL$76</f>
        <v/>
      </c>
      <c r="KT54" s="174" t="str">
        <f>'Outfall 1 Limits'!$AL$80</f>
        <v/>
      </c>
      <c r="KU54" s="174" t="str">
        <f>'Outfall 1 Limits'!$AL$84</f>
        <v/>
      </c>
      <c r="KV54" s="174" t="str">
        <f>'Outfall 1 Limits'!$AL$88</f>
        <v/>
      </c>
      <c r="KW54" s="174" t="str">
        <f>'Outfall 1 Limits'!$AL$92</f>
        <v/>
      </c>
      <c r="KX54" s="174" t="str">
        <f>'Outfall 1 Limits'!$AL$96</f>
        <v/>
      </c>
      <c r="KY54" s="174" t="str">
        <f>'Outfall 1 Limits'!$AL$100</f>
        <v/>
      </c>
      <c r="KZ54" s="174" t="str">
        <f>'Outfall 1 Limits'!$AL$104</f>
        <v/>
      </c>
      <c r="LA54" s="174" t="str">
        <f>'Outfall 1 Limits'!$AL$108</f>
        <v/>
      </c>
      <c r="LB54" s="174" t="str">
        <f>'Outfall 1 Limits'!$AL$112</f>
        <v/>
      </c>
      <c r="LC54" s="174" t="str">
        <f>'Outfall 1 Limits'!$AL$116</f>
        <v/>
      </c>
      <c r="LD54" s="174" t="str">
        <f>'Outfall 1 Limits'!$AL$120</f>
        <v/>
      </c>
      <c r="LE54" s="174" t="str">
        <f>'Outfall 1 Limits'!$AL$124</f>
        <v/>
      </c>
      <c r="LF54" s="174" t="str">
        <f>'Outfall 1 Limits'!$AL$128</f>
        <v/>
      </c>
    </row>
    <row r="55" spans="1:318" s="172" customFormat="1" ht="11.45" customHeight="1" thickBot="1" x14ac:dyDescent="0.25">
      <c r="A55" s="35"/>
      <c r="B55" s="439" t="s">
        <v>0</v>
      </c>
      <c r="C55" s="439"/>
      <c r="D55" s="439"/>
      <c r="E55" s="439"/>
      <c r="F55" s="440"/>
      <c r="G55" s="63"/>
      <c r="H55" s="64" t="str">
        <f ca="1">IF(BU55&lt;&gt;"",IF(OR('Outfall 1 Limits'!AX16="C1",'Outfall 1 Limits'!AX16="C3"),IF(KD67="Y","&lt;",""),""),"")</f>
        <v/>
      </c>
      <c r="I55" s="64" t="str">
        <f ca="1">IF(BU55&lt;&gt;"",IF(OR('Outfall 1 Limits'!$AX$16="C1",'Outfall 1 Limits'!$AX$16="C3"),IF('Outfall 1 Limits'!$AW$16="E",ROUND(EC18,I126),IF('Outfall 1 Limits'!$AR$16&lt;&gt;0,IF(EC18&gt;=0.05,TEXT(EC18,"0."&amp;REPT("0",LEN('Outfall 1 Limits'!$AD$16)-FIND(".",'Outfall 1 Limits'!$AD$16))),ROUND(EC18,1-(1+INT(LOG10(ABS(EC18)))))),ROUND(EC18,'Outfall 1 Limits'!$AR$16))),""),"")</f>
        <v/>
      </c>
      <c r="J55" s="113" t="str">
        <f ca="1">IF(BV55&lt;&gt;"",IF(OR('Outfall 1 Limits'!$AX$20="C1",'Outfall 1 Limits'!$AX$20="C3"),IF(KE67="Y","&lt;",""),""),"")</f>
        <v/>
      </c>
      <c r="K55" s="64" t="str">
        <f ca="1">IF(BV55&lt;&gt;"",IF(OR('Outfall 1 Limits'!$AX$20="C1",'Outfall 1 Limits'!$AX$20="C3"),IF('Outfall 1 Limits'!$AW$20="E",ROUND(ED18,K126),IF('Outfall 1 Limits'!$AR$20&lt;&gt;0,IF(ED18&gt;=0.05,TEXT(ED18,"0."&amp;REPT("0",LEN('Outfall 1 Limits'!$AD$20)-FIND(".",'Outfall 1 Limits'!$AD$20))),ROUND(ED18,1-(1+INT(LOG10(ABS(ED18)))))),ROUND(ED18,'Outfall 1 Limits'!$AR$20))),""),"")</f>
        <v/>
      </c>
      <c r="L55" s="64" t="str">
        <f ca="1">IF(BW55&lt;&gt;"",IF(OR('Outfall 1 Limits'!$AX$24="C1",'Outfall 1 Limits'!$AX$24="C3"),IF(KF67="Y","&lt;",""),""),"")</f>
        <v/>
      </c>
      <c r="M55" s="64" t="str">
        <f ca="1">IF(BW55&lt;&gt;"",IF(OR('Outfall 1 Limits'!$AX$24="C1",'Outfall 1 Limits'!$AX$24="C3"),IF('Outfall 1 Limits'!$AW$24="E",ROUND(EE18,M126),IF('Outfall 1 Limits'!$AR$24&lt;&gt;0,IF(EE18&gt;=0.05,TEXT(EE18,"0."&amp;REPT("0",LEN('Outfall 1 Limits'!$AD$24)-FIND(".",'Outfall 1 Limits'!$AD$24))),ROUND(EE18,1-(1+INT(LOG10(ABS(EE18)))))),ROUND(EE18,'Outfall 1 Limits'!$AR$24))),""),"")</f>
        <v/>
      </c>
      <c r="N55" s="64" t="str">
        <f ca="1">IF(BX55&lt;&gt;"",IF(OR('Outfall 1 Limits'!$AX$28="C1",'Outfall 1 Limits'!$AX$28="C3"),IF(KG67="Y","&lt;",""),""),"")</f>
        <v/>
      </c>
      <c r="O55" s="64" t="str">
        <f ca="1">IF(BX55&lt;&gt;"",IF(OR('Outfall 1 Limits'!$AX$28="C1",'Outfall 1 Limits'!$AX$28="C3"),IF('Outfall 1 Limits'!$AW$28="E",ROUND(EF18,O126),IF('Outfall 1 Limits'!$AR$28&lt;&gt;0,IF(EF18&gt;=0.05,TEXT(EF18,"0."&amp;REPT("0",LEN('Outfall 1 Limits'!$AD$28)-FIND(".",'Outfall 1 Limits'!$AD$28))),ROUND(EF18,1-(1+INT(LOG10(ABS(EF18)))))),ROUND(EF18,'Outfall 1 Limits'!$AR$28))),""),"")</f>
        <v/>
      </c>
      <c r="P55" s="64" t="str">
        <f ca="1">IF(BY55&lt;&gt;"",IF(OR('Outfall 1 Limits'!$AX$32="C1",'Outfall 1 Limits'!$AX$32="C3"),IF(KH67="Y","&lt;",""),""),"")</f>
        <v/>
      </c>
      <c r="Q55" s="64" t="str">
        <f ca="1">IF(BY55&lt;&gt;"",IF(OR('Outfall 1 Limits'!$AX$32="C1",'Outfall 1 Limits'!$AX$32="C3"),IF('Outfall 1 Limits'!$AW$32="E",ROUND(EG18,Q126),IF('Outfall 1 Limits'!$AR$32&lt;&gt;0,IF(EG18&gt;=0.05,TEXT(EG18,"0."&amp;REPT("0",LEN('Outfall 1 Limits'!$AD$32)-FIND(".",'Outfall 1 Limits'!$AD$32))),ROUND(EG18,1-(1+INT(LOG10(ABS(EG18)))))),ROUND(EG18,'Outfall 1 Limits'!$AR$32))),""),"")</f>
        <v/>
      </c>
      <c r="R55" s="64" t="str">
        <f ca="1">IF(BZ55&lt;&gt;"",IF(OR('Outfall 1 Limits'!$AX$36="C1",'Outfall 1 Limits'!$AX$36="C3"),IF(KI67="Y","&lt;",""),""),"")</f>
        <v/>
      </c>
      <c r="S55" s="64" t="str">
        <f ca="1">IF(BZ55&lt;&gt;"",IF(OR('Outfall 1 Limits'!$AX$36="C1",'Outfall 1 Limits'!$AX$36="C3"),IF('Outfall 1 Limits'!$AW$36="E",ROUND(EH18,S126),IF('Outfall 1 Limits'!$AR$36&lt;&gt;0,IF(EH18&gt;=0.05,TEXT(EH18,"0."&amp;REPT("0",LEN('Outfall 1 Limits'!$AD$36)-FIND(".",'Outfall 1 Limits'!$AD$36))),ROUND(EH18,1-(1+INT(LOG10(ABS(EH18)))))),ROUND(EH18,'Outfall 1 Limits'!$AR$36))),""),"")</f>
        <v/>
      </c>
      <c r="T55" s="64" t="str">
        <f ca="1">IF(CA55&lt;&gt;"",IF(OR('Outfall 1 Limits'!$AX$40="C1",'Outfall 1 Limits'!$AX$40="C3"),IF(KJ67="Y","&lt;",""),""),"")</f>
        <v/>
      </c>
      <c r="U55" s="64" t="str">
        <f ca="1">IF(CA55&lt;&gt;"",IF(OR('Outfall 1 Limits'!$AX$40="C1",'Outfall 1 Limits'!$AX$40="C3"),IF('Outfall 1 Limits'!$AW$40="E",ROUND(EI18,U126),IF('Outfall 1 Limits'!$AR$40&lt;&gt;0,IF(EI18&gt;=0.05,TEXT(EI18,"0."&amp;REPT("0",LEN('Outfall 1 Limits'!$AD$40)-FIND(".",'Outfall 1 Limits'!$AD$40))),ROUND(EI18,1-(1+INT(LOG10(ABS(EI18)))))),ROUND(EI18,'Outfall 1 Limits'!$AR$40))),""),"")</f>
        <v/>
      </c>
      <c r="V55" s="64" t="str">
        <f ca="1">IF(CB55&lt;&gt;"",IF(OR('Outfall 1 Limits'!$AX$44="C1",'Outfall 1 Limits'!$AX$44="C3"),IF(KK67="Y","&lt;",""),""),"")</f>
        <v/>
      </c>
      <c r="W55" s="64" t="str">
        <f ca="1">IF(CB55&lt;&gt;"",IF(OR('Outfall 1 Limits'!$AX$44="C1",'Outfall 1 Limits'!$AX$44="C3"),IF('Outfall 1 Limits'!$AW$44="E",ROUND(EJ18,W126),IF('Outfall 1 Limits'!$AR$44&lt;&gt;0,IF(EJ18&gt;=0.05,TEXT(EJ18,"0."&amp;REPT("0",LEN('Outfall 1 Limits'!$AD$44)-FIND(".",'Outfall 1 Limits'!$AD$44))),ROUND(EJ18,1-(1+INT(LOG10(ABS(EJ18)))))),ROUND(EJ18,'Outfall 1 Limits'!$AR$44))),""),"")</f>
        <v/>
      </c>
      <c r="X55" s="279" t="str">
        <f ca="1">IF(CC55&lt;&gt;"",IF(OR('Outfall 1 Limits'!$AX$48="C1",'Outfall 1 Limits'!$AX$48="C3"),IF(KL67="Y","&lt;",""),""),"")</f>
        <v/>
      </c>
      <c r="Y55" s="64" t="str">
        <f ca="1">IF(CC55&lt;&gt;"",IF(OR('Outfall 1 Limits'!$AX$48="C1",'Outfall 1 Limits'!$AX$48="C3"),IF('Outfall 1 Limits'!$AW$48="E",ROUND(EK18,Y126),IF('Outfall 1 Limits'!$AR$48&lt;&gt;0,IF(EK18&gt;=0.05,TEXT(EK18,"0."&amp;REPT("0",LEN('Outfall 1 Limits'!$AD$48)-FIND(".",'Outfall 1 Limits'!$AD$48))),ROUND(EK18,1-(1+INT(LOG10(ABS(EK18)))))),ROUND(EK18,'Outfall 1 Limits'!$AR$48))),""),"")</f>
        <v/>
      </c>
      <c r="Z55" s="64" t="str">
        <f ca="1">IF(CD55&lt;&gt;"",IF(OR('Outfall 1 Limits'!$AX$52="C1",'Outfall 1 Limits'!$AX$52="C3"),IF(KM67="Y","&lt;",""),""),"")</f>
        <v/>
      </c>
      <c r="AA55" s="64" t="str">
        <f ca="1">IF(CD55&lt;&gt;"",IF(OR('Outfall 1 Limits'!$AX$52="C1",'Outfall 1 Limits'!$AX$52="C3"),IF('Outfall 1 Limits'!$AW$52="E",ROUND(EL18,AA126),IF('Outfall 1 Limits'!$AR$52&lt;&gt;0,IF(EL18&gt;=0.05,TEXT(EL18,"0."&amp;REPT("0",LEN('Outfall 1 Limits'!$AD$52)-FIND(".",'Outfall 1 Limits'!$AD$52))),ROUND(EL18,1-(1+INT(LOG10(ABS(EL18)))))),ROUND(EL18,'Outfall 1 Limits'!$AR$52))),""),"")</f>
        <v/>
      </c>
      <c r="AB55" s="64" t="str">
        <f ca="1">IF(CE55&lt;&gt;"",IF(OR('Outfall 1 Limits'!$AX$56="C1",'Outfall 1 Limits'!$AX$56="C3"),IF(KN67="Y","&lt;",""),""),"")</f>
        <v/>
      </c>
      <c r="AC55" s="64" t="str">
        <f ca="1">IF(CE55&lt;&gt;"",IF(OR('Outfall 1 Limits'!$AX$56="C1",'Outfall 1 Limits'!$AX$56="C3"),IF('Outfall 1 Limits'!$AW$56="E",ROUND(EM18,AC126),IF('Outfall 1 Limits'!$AR$56&lt;&gt;0,IF(EM18&gt;=0.05,TEXT(EM18,"0."&amp;REPT("0",LEN('Outfall 1 Limits'!$AD$56)-FIND(".",'Outfall 1 Limits'!$AD$56))),ROUND(EM18,1-(1+INT(LOG10(ABS(EM18)))))),ROUND(EM18,'Outfall 1 Limits'!$AR$56))),""),"")</f>
        <v/>
      </c>
      <c r="AD55" s="64" t="str">
        <f ca="1">IF(CF55&lt;&gt;"",IF(OR('Outfall 1 Limits'!$AX$60="C1",'Outfall 1 Limits'!$AX$60="C3"),IF(KO67="Y","&lt;",""),""),"")</f>
        <v/>
      </c>
      <c r="AE55" s="64" t="str">
        <f ca="1">IF(CF55&lt;&gt;"",IF(OR('Outfall 1 Limits'!$AX$60="C1",'Outfall 1 Limits'!$AX$60="C3"),IF('Outfall 1 Limits'!$AW$60="E",ROUND(EN18,AE126),IF('Outfall 1 Limits'!$AR$60&lt;&gt;0,IF(EN18&gt;=0.05,TEXT(EN18,"0."&amp;REPT("0",LEN('Outfall 1 Limits'!$AD$60)-FIND(".",'Outfall 1 Limits'!$AD$60))),ROUND(EN18,1-(1+INT(LOG10(ABS(EN18)))))),ROUND(EN18,'Outfall 1 Limits'!$AR$60))),""),"")</f>
        <v/>
      </c>
      <c r="AF55" s="64" t="str">
        <f ca="1">IF(CG55&lt;&gt;"",IF(OR('Outfall 1 Limits'!$AX$64="C1",'Outfall 1 Limits'!$AX$64="C3"),IF(KP67="Y","&lt;",""),""),"")</f>
        <v/>
      </c>
      <c r="AG55" s="64" t="str">
        <f ca="1">IF(CG55&lt;&gt;"",IF(OR('Outfall 1 Limits'!$AX$64="C1",'Outfall 1 Limits'!$AX$64="C3"),IF('Outfall 1 Limits'!$AW$64="E",ROUND(EO18,AG126),IF('Outfall 1 Limits'!$AR$64&lt;&gt;0,IF(EO18&gt;=0.05,TEXT(EO18,"0."&amp;REPT("0",LEN('Outfall 1 Limits'!$AD$64)-FIND(".",'Outfall 1 Limits'!$AD$64))),ROUND(EO18,1-(1+INT(LOG10(ABS(EO18)))))),ROUND(EO18,'Outfall 1 Limits'!$AR$64))),""),"")</f>
        <v/>
      </c>
      <c r="AH55" s="64" t="str">
        <f ca="1">IF(CH55&lt;&gt;"",IF(OR('Outfall 1 Limits'!$AX$68="C1",'Outfall 1 Limits'!$AX$68="C3"),IF(KQ67="Y","&lt;",""),""),"")</f>
        <v/>
      </c>
      <c r="AI55" s="64" t="str">
        <f ca="1">IF(CH55&lt;&gt;"",IF(OR('Outfall 1 Limits'!$AX$68="C1",'Outfall 1 Limits'!$AX$68="C3"),IF('Outfall 1 Limits'!$AW$68="E",ROUND(EP18,AI126),IF('Outfall 1 Limits'!$AR$68&lt;&gt;0,IF(EP18&gt;=0.05,TEXT(EP18,"0."&amp;REPT("0",LEN('Outfall 1 Limits'!$AD$68)-FIND(".",'Outfall 1 Limits'!$AD$68))),ROUND(EP18,1-(1+INT(LOG10(ABS(EP18)))))),ROUND(EP18,'Outfall 1 Limits'!$AR$68))),""),"")</f>
        <v/>
      </c>
      <c r="AJ55" s="64" t="str">
        <f ca="1">IF(CI55&lt;&gt;"",IF(OR('Outfall 1 Limits'!$AX$72="C1",'Outfall 1 Limits'!$AX$72="C3"),IF(KR67="Y","&lt;",""),""),"")</f>
        <v/>
      </c>
      <c r="AK55" s="64" t="str">
        <f ca="1">IF(CI55&lt;&gt;"",IF(OR('Outfall 1 Limits'!$AX$72="C1",'Outfall 1 Limits'!$AX$72="C3"),IF('Outfall 1 Limits'!$AW$72="E",ROUND(EQ18,AK126),IF('Outfall 1 Limits'!$AR$72&lt;&gt;0,IF(EQ18&gt;=0.05,TEXT(EQ18,"0."&amp;REPT("0",LEN('Outfall 1 Limits'!$AD$72)-FIND(".",'Outfall 1 Limits'!$AD$72))),ROUND(EQ18,1-(1+INT(LOG10(ABS(EQ18)))))),ROUND(EQ18,'Outfall 1 Limits'!$AR$72))),""),"")</f>
        <v/>
      </c>
      <c r="AL55" s="64" t="str">
        <f ca="1">IF(CJ55&lt;&gt;"",IF(OR('Outfall 1 Limits'!$AX$76="C1",'Outfall 1 Limits'!$AX$76="C3"),IF(KS67="Y","&lt;",""),""),"")</f>
        <v/>
      </c>
      <c r="AM55" s="64" t="str">
        <f ca="1">IF(CJ55&lt;&gt;"",IF(OR('Outfall 1 Limits'!$AX$76="C1",'Outfall 1 Limits'!$AX$76="C3"),IF('Outfall 1 Limits'!$AW$76="E",ROUND(ER18,AM126),IF('Outfall 1 Limits'!$AR$76&lt;&gt;0,IF(ER18&gt;=0.05,TEXT(ER18,"0."&amp;REPT("0",LEN('Outfall 1 Limits'!$AD$76)-FIND(".",'Outfall 1 Limits'!$AD$76))),ROUND(ER18,1-(1+INT(LOG10(ABS(ER18)))))),ROUND(ER18,'Outfall 1 Limits'!$AR$76))),""),"")</f>
        <v/>
      </c>
      <c r="AN55" s="144" t="str">
        <f ca="1">IF(CK55&lt;&gt;"",IF(OR('Outfall 1 Limits'!$AX$80="C1",'Outfall 1 Limits'!$AX$80="C3"),IF(KT67="Y","&lt;",""),""),"")</f>
        <v/>
      </c>
      <c r="AO55" s="64" t="str">
        <f ca="1">IF(CK55&lt;&gt;"",IF(OR('Outfall 1 Limits'!$AX$80="C1",'Outfall 1 Limits'!$AX$80="C3"),IF('Outfall 1 Limits'!$AW$80="E",ROUND(ES18,AO126),IF('Outfall 1 Limits'!$AR$80&lt;&gt;0,IF(ES18&gt;=0.05,TEXT(ES18,"0."&amp;REPT("0",LEN('Outfall 1 Limits'!$AD$80)-FIND(".",'Outfall 1 Limits'!$AD$80))),ROUND(ES18,1-(1+INT(LOG10(ABS(ES18)))))),ROUND(ES18,'Outfall 1 Limits'!$AR$80))),""),"")</f>
        <v/>
      </c>
      <c r="AP55" s="144" t="str">
        <f ca="1">IF(CL55&lt;&gt;"",IF(OR('Outfall 1 Limits'!$AX$84="C1",'Outfall 1 Limits'!$AX$84="C3"),IF(KU67="Y","&lt;",""),""),"")</f>
        <v/>
      </c>
      <c r="AQ55" s="64" t="str">
        <f ca="1">IF(CL55&lt;&gt;"",IF(OR('Outfall 1 Limits'!$AX$84="C1",'Outfall 1 Limits'!$AX$84="C3"),IF('Outfall 1 Limits'!$AW$84="E",ROUND(ET18,AQ126),IF('Outfall 1 Limits'!$AR$84&lt;&gt;0,IF(ET18&gt;=0.05,TEXT(ET18,"0."&amp;REPT("0",LEN('Outfall 1 Limits'!$AD$84)-FIND(".",'Outfall 1 Limits'!$AD$84))),ROUND(ET18,1-(1+INT(LOG10(ABS(ET18)))))),ROUND(ET18,'Outfall 1 Limits'!$AR$84))),""),"")</f>
        <v/>
      </c>
      <c r="AR55" s="144" t="str">
        <f ca="1">IF(CM55&lt;&gt;"",IF(OR('Outfall 1 Limits'!$AX$88="C1",'Outfall 1 Limits'!$AX$88="C3"),IF(KV67="Y","&lt;",""),""),"")</f>
        <v/>
      </c>
      <c r="AS55" s="64" t="str">
        <f ca="1">IF(CM55&lt;&gt;"",IF(OR('Outfall 1 Limits'!$AX$88="C1",'Outfall 1 Limits'!$AX$88="C3"),IF('Outfall 1 Limits'!$AW$88="E",ROUND(EU18,AS126),IF('Outfall 1 Limits'!$AR$88&lt;&gt;0,IF(EU18&gt;=0.05,TEXT(EU18,"0."&amp;REPT("0",LEN('Outfall 1 Limits'!$AD$88)-FIND(".",'Outfall 1 Limits'!$AD$88))),ROUND(EU18,1-(1+INT(LOG10(ABS(EU18)))))),ROUND(EU18,'Outfall 1 Limits'!$AR$88))),""),"")</f>
        <v/>
      </c>
      <c r="AT55" s="144" t="str">
        <f ca="1">IF(CN55&lt;&gt;"",IF(OR('Outfall 1 Limits'!$AX$92="C1",'Outfall 1 Limits'!$AX$92="C3"),IF(KW67="Y","&lt;",""),""),"")</f>
        <v/>
      </c>
      <c r="AU55" s="64" t="str">
        <f ca="1">IF(CN55&lt;&gt;"",IF(OR('Outfall 1 Limits'!$AX$92="C1",'Outfall 1 Limits'!$AX$92="C3"),IF('Outfall 1 Limits'!$AW$92="E",ROUND(EV18,AU126),IF('Outfall 1 Limits'!$AR$92&lt;&gt;0,IF(EV18&gt;=0.05,TEXT(EV18,"0."&amp;REPT("0",LEN('Outfall 1 Limits'!$AD$92)-FIND(".",'Outfall 1 Limits'!$AD$92))),ROUND(EV18,1-(1+INT(LOG10(ABS(EV18)))))),ROUND(EV18,'Outfall 1 Limits'!$AR$92))),""),"")</f>
        <v/>
      </c>
      <c r="AV55" s="144" t="str">
        <f ca="1">IF(CO55&lt;&gt;"",IF(OR('Outfall 1 Limits'!$AX$96="C1",'Outfall 1 Limits'!$AX$96="C3"),IF(KX67="Y","&lt;",""),""),"")</f>
        <v/>
      </c>
      <c r="AW55" s="64" t="str">
        <f ca="1">IF(CO55&lt;&gt;"",IF(OR('Outfall 1 Limits'!$AX$96="C1",'Outfall 1 Limits'!$AX$96="C3"),IF('Outfall 1 Limits'!$AW$96="E",ROUND(EW18,AW126),IF('Outfall 1 Limits'!$AR$96&lt;&gt;0,IF(EW18&gt;=0.05,TEXT(EW18,"0."&amp;REPT("0",LEN('Outfall 1 Limits'!$AD$96)-FIND(".",'Outfall 1 Limits'!$AD$96))),ROUND(EW18,1-(1+INT(LOG10(ABS(EW18)))))),ROUND(EW18,'Outfall 1 Limits'!$AR$96))),""),"")</f>
        <v/>
      </c>
      <c r="AX55" s="144" t="str">
        <f ca="1">IF(CP55&lt;&gt;"",IF(OR('Outfall 1 Limits'!$AX$100="C1",'Outfall 1 Limits'!$AX$100="C3"),IF(KY67="Y","&lt;",""),""),"")</f>
        <v/>
      </c>
      <c r="AY55" s="64" t="str">
        <f ca="1">IF(CP55&lt;&gt;"",IF(OR('Outfall 1 Limits'!$AX$100="C1",'Outfall 1 Limits'!$AX$100="C3"),IF('Outfall 1 Limits'!$AW$100="E",ROUND(EX18,AY126),IF('Outfall 1 Limits'!$AR$100&lt;&gt;0,IF(EX18&gt;=0.05,TEXT(EX18,"0."&amp;REPT("0",LEN('Outfall 1 Limits'!$AD$100)-FIND(".",'Outfall 1 Limits'!$AD$100))),ROUND(EX18,1-(1+INT(LOG10(ABS(EX18)))))),ROUND(EX18,'Outfall 1 Limits'!$AR$100))),""),"")</f>
        <v/>
      </c>
      <c r="AZ55" s="144" t="str">
        <f ca="1">IF(CQ55&lt;&gt;"",IF(OR('Outfall 1 Limits'!$AX$104="C1",'Outfall 1 Limits'!$AX$104="C3"),IF(KZ67="Y","&lt;",""),""),"")</f>
        <v/>
      </c>
      <c r="BA55" s="64" t="str">
        <f ca="1">IF(CQ55&lt;&gt;"",IF(OR('Outfall 1 Limits'!$AX$104="C1",'Outfall 1 Limits'!$AX$104="C3"),IF('Outfall 1 Limits'!$AW$104="E",ROUND(EY18,BA126),IF('Outfall 1 Limits'!$AR$104&lt;&gt;0,IF(EY18&gt;=0.05,TEXT(EY18,"0."&amp;REPT("0",LEN('Outfall 1 Limits'!$AD$104)-FIND(".",'Outfall 1 Limits'!$AD$104))),ROUND(EY18,1-(1+INT(LOG10(ABS(EY18)))))),ROUND(EY18,'Outfall 1 Limits'!$AR$104))),""),"")</f>
        <v/>
      </c>
      <c r="BB55" s="144" t="str">
        <f ca="1">IF(CR55&lt;&gt;"",IF(OR('Outfall 1 Limits'!$AX$108="C1",'Outfall 1 Limits'!$AX$108="C3"),IF(LA67="Y","&lt;",""),""),"")</f>
        <v/>
      </c>
      <c r="BC55" s="64" t="str">
        <f ca="1">IF(CR55&lt;&gt;"",IF(OR('Outfall 1 Limits'!$AX$108="C1",'Outfall 1 Limits'!$AX$108="C3"),IF('Outfall 1 Limits'!$AW$108="E",ROUND(EZ18,BC126),IF('Outfall 1 Limits'!$AR$108&lt;&gt;0,IF(EZ18&gt;=0.05,TEXT(EZ18,"0."&amp;REPT("0",LEN('Outfall 1 Limits'!$AD$108)-FIND(".",'Outfall 1 Limits'!$AD$108))),ROUND(EZ18,1-(1+INT(LOG10(ABS(EZ18)))))),ROUND(EZ18,'Outfall 1 Limits'!$AR$108))),""),"")</f>
        <v/>
      </c>
      <c r="BD55" s="144" t="str">
        <f ca="1">IF(CS55&lt;&gt;"",IF(OR('Outfall 1 Limits'!$AX$112="C1",'Outfall 1 Limits'!$AX$112="C3"),IF(LB67="Y","&lt;",""),""),"")</f>
        <v/>
      </c>
      <c r="BE55" s="64" t="str">
        <f ca="1">IF(CS55&lt;&gt;"",IF(OR('Outfall 1 Limits'!$AX$112="C1",'Outfall 1 Limits'!$AX$112="C3"),IF('Outfall 1 Limits'!$AW$112="E",ROUND(FA18,BE126),IF('Outfall 1 Limits'!$AR$112&lt;&gt;0,IF(FA18&gt;=0.05,TEXT(FA18,"0."&amp;REPT("0",LEN('Outfall 1 Limits'!$AD$112)-FIND(".",'Outfall 1 Limits'!$AD$112))),ROUND(FA18,1-(1+INT(LOG10(ABS(FA18)))))),ROUND(FA18,'Outfall 1 Limits'!$AR$112))),""),"")</f>
        <v/>
      </c>
      <c r="BF55" s="144" t="str">
        <f ca="1">IF(CT55&lt;&gt;"",IF(OR('Outfall 1 Limits'!$AX$116="C1",'Outfall 1 Limits'!$AX$116="C3"),IF(LC67="Y","&lt;",""),""),"")</f>
        <v/>
      </c>
      <c r="BG55" s="64" t="str">
        <f ca="1">IF(CT55&lt;&gt;"",IF(OR('Outfall 1 Limits'!$AX$116="C1",'Outfall 1 Limits'!$AX$116="C3"),IF('Outfall 1 Limits'!$AW$116="E",ROUND(FB18,BG126),IF('Outfall 1 Limits'!$AR$116&lt;&gt;0,IF(FB18&gt;=0.05,TEXT(FB18,"0."&amp;REPT("0",LEN('Outfall 1 Limits'!$AD$116)-FIND(".",'Outfall 1 Limits'!$AD$116))),ROUND(FB18,1-(1+INT(LOG10(ABS(FB18)))))),ROUND(FB18,'Outfall 1 Limits'!$AR$116))),""),"")</f>
        <v/>
      </c>
      <c r="BH55" s="144" t="str">
        <f ca="1">IF(CU55&lt;&gt;"",IF(OR('Outfall 1 Limits'!$AX$120="C1",'Outfall 1 Limits'!$AX$120="C3"),IF(LD67="Y","&lt;",""),""),"")</f>
        <v/>
      </c>
      <c r="BI55" s="64" t="str">
        <f ca="1">IF(CU55&lt;&gt;"",IF(OR('Outfall 1 Limits'!$AX$120="C1",'Outfall 1 Limits'!$AX$120="C3"),IF('Outfall 1 Limits'!$AW$120="E",ROUND(FC18,BI126),IF('Outfall 1 Limits'!$AR$120&lt;&gt;0,IF(FC18&gt;=0.05,TEXT(FC18,"0."&amp;REPT("0",LEN('Outfall 1 Limits'!$AD$120)-FIND(".",'Outfall 1 Limits'!$AD$120))),ROUND(FC18,1-(1+INT(LOG10(ABS(FC18)))))),ROUND(FC18,'Outfall 1 Limits'!$AR$120))),""),"")</f>
        <v/>
      </c>
      <c r="BJ55" s="144" t="str">
        <f ca="1">IF(CV55&lt;&gt;"",IF(OR('Outfall 1 Limits'!$AX$124="C1",'Outfall 1 Limits'!$AX$124="C3"),IF(LE67="Y","&lt;",""),""),"")</f>
        <v/>
      </c>
      <c r="BK55" s="64" t="str">
        <f ca="1">IF(CV55&lt;&gt;"",IF(OR('Outfall 1 Limits'!$AX$124="C1",'Outfall 1 Limits'!$AX$124="C3"),IF('Outfall 1 Limits'!$AW$124="E",ROUND(FD18,BK126),IF('Outfall 1 Limits'!$AR$124&lt;&gt;0,IF(FD18&gt;=0.05,TEXT(FD18,"0."&amp;REPT("0",LEN('Outfall 1 Limits'!$AD$124)-FIND(".",'Outfall 1 Limits'!$AD$124))),ROUND(FD18,1-(1+INT(LOG10(ABS(FD18)))))),ROUND(FD18,'Outfall 1 Limits'!$AR$124))),""),"")</f>
        <v/>
      </c>
      <c r="BL55" s="144" t="str">
        <f ca="1">IF(CW55&lt;&gt;"",IF(OR('Outfall 1 Limits'!$AX$128="C1",'Outfall 1 Limits'!$AX$128="C3"),IF(LF67="Y","&lt;",""),""),"")</f>
        <v/>
      </c>
      <c r="BM55" s="118" t="str">
        <f ca="1">IF(CW55&lt;&gt;"",IF(OR('Outfall 1 Limits'!$AX$128="C1",'Outfall 1 Limits'!$AX$128="C3"),IF('Outfall 1 Limits'!$AW$128="E",ROUND(FE18,BM126),IF('Outfall 1 Limits'!$AR$128&lt;&gt;0,IF(FE18&gt;=0.05,TEXT(FE18,"0."&amp;REPT("0",LEN('Outfall 1 Limits'!$AD$128)-FIND(".",'Outfall 1 Limits'!$AD$128))),ROUND(FE18,1-(1+INT(LOG10(ABS(FE18)))))),ROUND(FE18,'Outfall 1 Limits'!$AR$128))),""),"")</f>
        <v/>
      </c>
      <c r="BO55" s="174"/>
      <c r="BP55" s="174">
        <v>2074</v>
      </c>
      <c r="BQ55" s="179" t="s">
        <v>72</v>
      </c>
      <c r="BR55" s="174"/>
      <c r="BS55" s="174"/>
      <c r="BT55" s="242" t="s">
        <v>830</v>
      </c>
      <c r="BU55" s="202" t="str">
        <f ca="1">IF(ROWS(INDIRECT("BU"&amp;$D$10):INDIRECT("BU"&amp;$B$10))-COUNTIF(INDIRECT("BU"&amp;$D$10):INDIRECT("BU"&amp;$B$10),"")&gt;0,COUNT(INDIRECT("BU"&amp;$D$10):INDIRECT("BU"&amp;$B$10)),"")</f>
        <v/>
      </c>
      <c r="BV55" s="196" t="str">
        <f ca="1">IF(ROWS(INDIRECT("BV"&amp;$D$10):INDIRECT("BV"&amp;$B$10))-COUNTIF(INDIRECT("BV"&amp;$D$10):INDIRECT("BV"&amp;$B$10),"")&gt;0,COUNT(INDIRECT("BV"&amp;$D$10):INDIRECT("BV"&amp;$B$10)),"")</f>
        <v/>
      </c>
      <c r="BW55" s="196" t="str">
        <f ca="1">IF(ROWS(INDIRECT("BW"&amp;$D$10):INDIRECT("BW"&amp;$B$10))-COUNTIF(INDIRECT("BW"&amp;$D$10):INDIRECT("BW"&amp;$B$10),"")&gt;0,COUNT(INDIRECT("BW"&amp;$D$10):INDIRECT("BW"&amp;$B$10)),"")</f>
        <v/>
      </c>
      <c r="BX55" s="196" t="str">
        <f ca="1">IF(ROWS(INDIRECT("BX"&amp;$D$10):INDIRECT("BX"&amp;$B$10))-COUNTIF(INDIRECT("BX"&amp;$D$10):INDIRECT("BX"&amp;$B$10),"")&gt;0,COUNT(INDIRECT("BX"&amp;$D$10):INDIRECT("BX"&amp;$B$10)),"")</f>
        <v/>
      </c>
      <c r="BY55" s="196" t="str">
        <f ca="1">IF(ROWS(INDIRECT("BY"&amp;$D$10):INDIRECT("BY"&amp;$B$10))-COUNTIF(INDIRECT("BY"&amp;$D$10):INDIRECT("BY"&amp;$B$10),"")&gt;0,COUNT(INDIRECT("BY"&amp;$D$10):INDIRECT("BY"&amp;$B$10)),"")</f>
        <v/>
      </c>
      <c r="BZ55" s="196" t="str">
        <f ca="1">IF(ROWS(INDIRECT("BZ"&amp;$D$10):INDIRECT("BZ"&amp;$B$10))-COUNTIF(INDIRECT("BZ"&amp;$D$10):INDIRECT("BZ"&amp;$B$10),"")&gt;0,COUNT(INDIRECT("BZ"&amp;$D$10):INDIRECT("BZ"&amp;$B$10)),"")</f>
        <v/>
      </c>
      <c r="CA55" s="196" t="str">
        <f ca="1">IF(ROWS(INDIRECT("CA"&amp;$D$10):INDIRECT("CA"&amp;$B$10))-COUNTIF(INDIRECT("CA"&amp;$D$10):INDIRECT("CA"&amp;$B$10),"")&gt;0,COUNT(INDIRECT("CA"&amp;$D$10):INDIRECT("CA"&amp;$B$10)),"")</f>
        <v/>
      </c>
      <c r="CB55" s="196" t="str">
        <f ca="1">IF(ROWS(INDIRECT("CB"&amp;$D$10):INDIRECT("CB"&amp;$B$10))-COUNTIF(INDIRECT("CB"&amp;$D$10):INDIRECT("CB"&amp;$B$10),"")&gt;0,COUNT(INDIRECT("CB"&amp;$D$10):INDIRECT("CB"&amp;$B$10)),"")</f>
        <v/>
      </c>
      <c r="CC55" s="196" t="str">
        <f ca="1">IF(ROWS(INDIRECT("CC"&amp;$D$10):INDIRECT("CC"&amp;$B$10))-COUNTIF(INDIRECT("CC"&amp;$D$10):INDIRECT("CC"&amp;$B$10),"")&gt;0,COUNT(INDIRECT("CC"&amp;$D$10):INDIRECT("CC"&amp;$B$10)),"")</f>
        <v/>
      </c>
      <c r="CD55" s="196" t="str">
        <f ca="1">IF(ROWS(INDIRECT("CD"&amp;$D$10):INDIRECT("CD"&amp;$B$10))-COUNTIF(INDIRECT("CD"&amp;$D$10):INDIRECT("CD"&amp;$B$10),"")&gt;0,COUNT(INDIRECT("CD"&amp;$D$10):INDIRECT("CD"&amp;$B$10)),"")</f>
        <v/>
      </c>
      <c r="CE55" s="196" t="str">
        <f ca="1">IF(ROWS(INDIRECT("CE"&amp;$D$10):INDIRECT("CE"&amp;$B$10))-COUNTIF(INDIRECT("CE"&amp;$D$10):INDIRECT("CE"&amp;$B$10),"")&gt;0,COUNT(INDIRECT("CE"&amp;$D$10):INDIRECT("CE"&amp;$B$10)),"")</f>
        <v/>
      </c>
      <c r="CF55" s="196" t="str">
        <f ca="1">IF(ROWS(INDIRECT("CF"&amp;$D$10):INDIRECT("CF"&amp;$B$10))-COUNTIF(INDIRECT("CF"&amp;$D$10):INDIRECT("CF"&amp;$B$10),"")&gt;0,COUNT(INDIRECT("CF"&amp;$D$10):INDIRECT("CF"&amp;$B$10)),"")</f>
        <v/>
      </c>
      <c r="CG55" s="196" t="str">
        <f ca="1">IF(ROWS(INDIRECT("CG"&amp;$D$10):INDIRECT("CG"&amp;$B$10))-COUNTIF(INDIRECT("CG"&amp;$D$10):INDIRECT("CG"&amp;$B$10),"")&gt;0,COUNT(INDIRECT("CG"&amp;$D$10):INDIRECT("CG"&amp;$B$10)),"")</f>
        <v/>
      </c>
      <c r="CH55" s="196" t="str">
        <f ca="1">IF(ROWS(INDIRECT("CH"&amp;$D$10):INDIRECT("CH"&amp;$B$10))-COUNTIF(INDIRECT("CH"&amp;$D$10):INDIRECT("CH"&amp;$B$10),"")&gt;0,COUNT(INDIRECT("CH"&amp;$D$10):INDIRECT("CH"&amp;$B$10)),"")</f>
        <v/>
      </c>
      <c r="CI55" s="196" t="str">
        <f ca="1">IF(ROWS(INDIRECT("CI"&amp;$D$10):INDIRECT("CI"&amp;$B$10))-COUNTIF(INDIRECT("CI"&amp;$D$10):INDIRECT("CI"&amp;$B$10),"")&gt;0,COUNT(INDIRECT("CI"&amp;$D$10):INDIRECT("CI"&amp;$B$10)),"")</f>
        <v/>
      </c>
      <c r="CJ55" s="196" t="str">
        <f ca="1">IF(ROWS(INDIRECT("CJ"&amp;$D$10):INDIRECT("CJ"&amp;$B$10))-COUNTIF(INDIRECT("CJ"&amp;$D$10):INDIRECT("CJ"&amp;$B$10),"")&gt;0,COUNT(INDIRECT("CJ"&amp;$D$10):INDIRECT("CJ"&amp;$B$10)),"")</f>
        <v/>
      </c>
      <c r="CK55" s="196" t="str">
        <f ca="1">IF(ROWS(INDIRECT("CK"&amp;$D$10):INDIRECT("CK"&amp;$B$10))-COUNTIF(INDIRECT("CK"&amp;$D$10):INDIRECT("CK"&amp;$B$10),"")&gt;0,COUNT(INDIRECT("CK"&amp;$D$10):INDIRECT("CK"&amp;$B$10)),"")</f>
        <v/>
      </c>
      <c r="CL55" s="196" t="str">
        <f ca="1">IF(ROWS(INDIRECT("CL"&amp;$D$10):INDIRECT("CL"&amp;$B$10))-COUNTIF(INDIRECT("CL"&amp;$D$10):INDIRECT("CL"&amp;$B$10),"")&gt;0,COUNT(INDIRECT("CL"&amp;$D$10):INDIRECT("CL"&amp;$B$10)),"")</f>
        <v/>
      </c>
      <c r="CM55" s="196" t="str">
        <f ca="1">IF(ROWS(INDIRECT("CM"&amp;$D$10):INDIRECT("CM"&amp;$B$10))-COUNTIF(INDIRECT("CM"&amp;$D$10):INDIRECT("CM"&amp;$B$10),"")&gt;0,COUNT(INDIRECT("CM"&amp;$D$10):INDIRECT("CM"&amp;$B$10)),"")</f>
        <v/>
      </c>
      <c r="CN55" s="196" t="str">
        <f ca="1">IF(ROWS(INDIRECT("CN"&amp;$D$10):INDIRECT("CN"&amp;$B$10))-COUNTIF(INDIRECT("CN"&amp;$D$10):INDIRECT("CN"&amp;$B$10),"")&gt;0,COUNT(INDIRECT("CN"&amp;$D$10):INDIRECT("CN"&amp;$B$10)),"")</f>
        <v/>
      </c>
      <c r="CO55" s="196" t="str">
        <f ca="1">IF(ROWS(INDIRECT("CO"&amp;$D$10):INDIRECT("CO"&amp;$B$10))-COUNTIF(INDIRECT("CO"&amp;$D$10):INDIRECT("CO"&amp;$B$10),"")&gt;0,COUNT(INDIRECT("CO"&amp;$D$10):INDIRECT("CO"&amp;$B$10)),"")</f>
        <v/>
      </c>
      <c r="CP55" s="196" t="str">
        <f ca="1">IF(ROWS(INDIRECT("CP"&amp;$D$10):INDIRECT("CP"&amp;$B$10))-COUNTIF(INDIRECT("CP"&amp;$D$10):INDIRECT("CP"&amp;$B$10),"")&gt;0,COUNT(INDIRECT("CP"&amp;$D$10):INDIRECT("CP"&amp;$B$10)),"")</f>
        <v/>
      </c>
      <c r="CQ55" s="196" t="str">
        <f ca="1">IF(ROWS(INDIRECT("CQ"&amp;$D$10):INDIRECT("CQ"&amp;$B$10))-COUNTIF(INDIRECT("CQ"&amp;$D$10):INDIRECT("CQ"&amp;$B$10),"")&gt;0,COUNT(INDIRECT("CQ"&amp;$D$10):INDIRECT("CQ"&amp;$B$10)),"")</f>
        <v/>
      </c>
      <c r="CR55" s="196" t="str">
        <f ca="1">IF(ROWS(INDIRECT("CR"&amp;$D$10):INDIRECT("CR"&amp;$B$10))-COUNTIF(INDIRECT("CR"&amp;$D$10):INDIRECT("CR"&amp;$B$10),"")&gt;0,COUNT(INDIRECT("CR"&amp;$D$10):INDIRECT("CR"&amp;$B$10)),"")</f>
        <v/>
      </c>
      <c r="CS55" s="196" t="str">
        <f ca="1">IF(ROWS(INDIRECT("CS"&amp;$D$10):INDIRECT("CS"&amp;$B$10))-COUNTIF(INDIRECT("CS"&amp;$D$10):INDIRECT("CS"&amp;$B$10),"")&gt;0,COUNT(INDIRECT("CS"&amp;$D$10):INDIRECT("CS"&amp;$B$10)),"")</f>
        <v/>
      </c>
      <c r="CT55" s="196" t="str">
        <f ca="1">IF(ROWS(INDIRECT("CT"&amp;$D$10):INDIRECT("CT"&amp;$B$10))-COUNTIF(INDIRECT("CT"&amp;$D$10):INDIRECT("CT"&amp;$B$10),"")&gt;0,COUNT(INDIRECT("CT"&amp;$D$10):INDIRECT("CT"&amp;$B$10)),"")</f>
        <v/>
      </c>
      <c r="CU55" s="196" t="str">
        <f ca="1">IF(ROWS(INDIRECT("CU"&amp;$D$10):INDIRECT("CU"&amp;$B$10))-COUNTIF(INDIRECT("CU"&amp;$D$10):INDIRECT("CU"&amp;$B$10),"")&gt;0,COUNT(INDIRECT("CU"&amp;$D$10):INDIRECT("CU"&amp;$B$10)),"")</f>
        <v/>
      </c>
      <c r="CV55" s="196" t="str">
        <f ca="1">IF(ROWS(INDIRECT("CV"&amp;$D$10):INDIRECT("CV"&amp;$B$10))-COUNTIF(INDIRECT("CV"&amp;$D$10):INDIRECT("CV"&amp;$B$10),"")&gt;0,COUNT(INDIRECT("CV"&amp;$D$10):INDIRECT("CV"&amp;$B$10)),"")</f>
        <v/>
      </c>
      <c r="CW55" s="210" t="str">
        <f ca="1">IF(ROWS(INDIRECT("CW"&amp;$D$10):INDIRECT("CW"&amp;$B$10))-COUNTIF(INDIRECT("CW"&amp;$D$10):INDIRECT("CW"&amp;$B$10),"")&gt;0,COUNT(INDIRECT("CW"&amp;$D$10):INDIRECT("CW"&amp;$B$10)),"")</f>
        <v/>
      </c>
      <c r="CX55" s="242" t="s">
        <v>374</v>
      </c>
      <c r="CY55" s="249"/>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8"/>
      <c r="EB55" s="176"/>
      <c r="FF55" s="245" t="s">
        <v>404</v>
      </c>
      <c r="FG55" s="250" t="str">
        <f ca="1">IF(SUM(FG14:FG51)&gt;0,IF('Outfall 1 Limits'!$AX16="C1",(IF(ROWS(INDIRECT("FG"&amp;$D$10):INDIRECT("FG"&amp;$B$10))-COUNTIF(INDIRECT("FG"&amp;$D$10):INDIRECT("FG"&amp;$B$10),"")&gt;0,SUM(INDIRECT("FG"&amp;$D$10):INDIRECT("FG"&amp;$B$10)),"")/BU55)*$R$6,IF(ROWS(INDIRECT("FG"&amp;$D$10):INDIRECT("FG"&amp;$B$10))-COUNTIF(INDIRECT("FG"&amp;$D$10):INDIRECT("FG"&amp;$B$10),"")&gt;0,SUM(INDIRECT("FG"&amp;$D$10):INDIRECT("FG"&amp;$B$10)),"")),"")</f>
        <v/>
      </c>
      <c r="FH55" s="251" t="str">
        <f ca="1">IF(SUM(FH14:FH51)&gt;0,IF('Outfall 1 Limits'!$AX20="C1",(IF(ROWS(INDIRECT("FH"&amp;$D$10):INDIRECT("FH"&amp;$B$10))-COUNTIF(INDIRECT("FH"&amp;$D$10):INDIRECT("FH"&amp;$B$10),"")&gt;0,SUM(INDIRECT("FH"&amp;$D$10):INDIRECT("FH"&amp;$B$10)),"")/BV55)*$R$6,IF(ROWS(INDIRECT("FH"&amp;$D$10):INDIRECT("FH"&amp;$B$10))-COUNTIF(INDIRECT("FH"&amp;$D$10):INDIRECT("FH"&amp;$B$10),"")&gt;0,SUM(INDIRECT("FH"&amp;$D$10):INDIRECT("FH"&amp;$B$10)),"")),"")</f>
        <v/>
      </c>
      <c r="FI55" s="251" t="str">
        <f ca="1">IF(SUM(FI14:FI51)&gt;0,IF('Outfall 1 Limits'!$AX24="C1",(IF(ROWS(INDIRECT("FI"&amp;$D$10):INDIRECT("FI"&amp;$B$10))-COUNTIF(INDIRECT("FI"&amp;$D$10):INDIRECT("FI"&amp;$B$10),"")&gt;0,SUM(INDIRECT("FI"&amp;$D$10):INDIRECT("FI"&amp;$B$10)),"")/BW55)*$R$6,IF(ROWS(INDIRECT("FI"&amp;$D$10):INDIRECT("FI"&amp;$B$10))-COUNTIF(INDIRECT("FI"&amp;$D$10):INDIRECT("FI"&amp;$B$10),"")&gt;0,SUM(INDIRECT("FI"&amp;$D$10):INDIRECT("FI"&amp;$B$10)),"")),"")</f>
        <v/>
      </c>
      <c r="FJ55" s="251" t="str">
        <f ca="1">IF(SUM(FJ14:FJ51)&gt;0,IF('Outfall 1 Limits'!$AX28="C1",(IF(ROWS(INDIRECT("FJ"&amp;$D$10):INDIRECT("FJ"&amp;$B$10))-COUNTIF(INDIRECT("FJ"&amp;$D$10):INDIRECT("FJ"&amp;$B$10),"")&gt;0,SUM(INDIRECT("FJ"&amp;$D$10):INDIRECT("FJ"&amp;$B$10)),"")/BX55)*$R$6,IF(ROWS(INDIRECT("FJ"&amp;$D$10):INDIRECT("FJ"&amp;$B$10))-COUNTIF(INDIRECT("FJ"&amp;$D$10):INDIRECT("FJ"&amp;$B$10),"")&gt;0,SUM(INDIRECT("FJ"&amp;$D$10):INDIRECT("FJ"&amp;$B$10)),"")),"")</f>
        <v/>
      </c>
      <c r="FK55" s="251" t="str">
        <f ca="1">IF(SUM(FK14:FK51)&gt;0,IF('Outfall 1 Limits'!$AX32="C1",(IF(ROWS(INDIRECT("FK"&amp;$D$10):INDIRECT("FK"&amp;$B$10))-COUNTIF(INDIRECT("FK"&amp;$D$10):INDIRECT("FK"&amp;$B$10),"")&gt;0,SUM(INDIRECT("FK"&amp;$D$10):INDIRECT("FK"&amp;$B$10)),"")/BY55)*$R$6,IF(ROWS(INDIRECT("FK"&amp;$D$10):INDIRECT("FK"&amp;$B$10))-COUNTIF(INDIRECT("FK"&amp;$D$10):INDIRECT("FK"&amp;$B$10),"")&gt;0,SUM(INDIRECT("FK"&amp;$D$10):INDIRECT("FK"&amp;$B$10)),"")),"")</f>
        <v/>
      </c>
      <c r="FL55" s="251" t="str">
        <f ca="1">IF(SUM(FL14:FL51)&gt;0,IF('Outfall 1 Limits'!$AX36="C1",(IF(ROWS(INDIRECT("FL"&amp;$D$10):INDIRECT("FL"&amp;$B$10))-COUNTIF(INDIRECT("FL"&amp;$D$10):INDIRECT("FL"&amp;$B$10),"")&gt;0,SUM(INDIRECT("FL"&amp;$D$10):INDIRECT("FL"&amp;$B$10)),"")/BZ55)*$R$6,IF(ROWS(INDIRECT("FL"&amp;$D$10):INDIRECT("FL"&amp;$B$10))-COUNTIF(INDIRECT("FL"&amp;$D$10):INDIRECT("FL"&amp;$B$10),"")&gt;0,SUM(INDIRECT("FL"&amp;$D$10):INDIRECT("FL"&amp;$B$10)),"")),"")</f>
        <v/>
      </c>
      <c r="FM55" s="251" t="str">
        <f ca="1">IF(SUM(FM14:FM51)&gt;0,IF('Outfall 1 Limits'!$AX40="C1",(IF(ROWS(INDIRECT("FM"&amp;$D$10):INDIRECT("FM"&amp;$B$10))-COUNTIF(INDIRECT("FM"&amp;$D$10):INDIRECT("FM"&amp;$B$10),"")&gt;0,SUM(INDIRECT("FM"&amp;$D$10):INDIRECT("FM"&amp;$B$10)),"")/CA55)*$R$6,IF(ROWS(INDIRECT("FM"&amp;$D$10):INDIRECT("FM"&amp;$B$10))-COUNTIF(INDIRECT("FM"&amp;$D$10):INDIRECT("FM"&amp;$B$10),"")&gt;0,SUM(INDIRECT("FM"&amp;$D$10):INDIRECT("FM"&amp;$B$10)),"")),"")</f>
        <v/>
      </c>
      <c r="FN55" s="251" t="str">
        <f ca="1">IF(SUM(FN14:FN51)&gt;0,IF('Outfall 1 Limits'!$AX44="C1",(IF(ROWS(INDIRECT("FN"&amp;$D$10):INDIRECT("FN"&amp;$B$10))-COUNTIF(INDIRECT("FN"&amp;$D$10):INDIRECT("FN"&amp;$B$10),"")&gt;0,SUM(INDIRECT("FN"&amp;$D$10):INDIRECT("FN"&amp;$B$10)),"")/CB55)*$R$6,IF(ROWS(INDIRECT("FN"&amp;$D$10):INDIRECT("FN"&amp;$B$10))-COUNTIF(INDIRECT("FN"&amp;$D$10):INDIRECT("FN"&amp;$B$10),"")&gt;0,SUM(INDIRECT("FN"&amp;$D$10):INDIRECT("FN"&amp;$B$10)),"")),"")</f>
        <v/>
      </c>
      <c r="FO55" s="251" t="str">
        <f ca="1">IF(SUM(FO14:FO51)&gt;0,IF('Outfall 1 Limits'!$AX48="C1",(IF(ROWS(INDIRECT("FO"&amp;$D$10):INDIRECT("FO"&amp;$B$10))-COUNTIF(INDIRECT("FO"&amp;$D$10):INDIRECT("FO"&amp;$B$10),"")&gt;0,SUM(INDIRECT("FO"&amp;$D$10):INDIRECT("FO"&amp;$B$10)),"")/CC55)*$R$6,IF(ROWS(INDIRECT("FO"&amp;$D$10):INDIRECT("FO"&amp;$B$10))-COUNTIF(INDIRECT("FO"&amp;$D$10):INDIRECT("FO"&amp;$B$10),"")&gt;0,SUM(INDIRECT("FO"&amp;$D$10):INDIRECT("FO"&amp;$B$10)),"")),"")</f>
        <v/>
      </c>
      <c r="FP55" s="251" t="str">
        <f ca="1">IF(SUM(FP14:FP51)&gt;0,IF('Outfall 1 Limits'!$AX52="C1",(IF(ROWS(INDIRECT("FP"&amp;$D$10):INDIRECT("FP"&amp;$B$10))-COUNTIF(INDIRECT("FP"&amp;$D$10):INDIRECT("FP"&amp;$B$10),"")&gt;0,SUM(INDIRECT("FP"&amp;$D$10):INDIRECT("FP"&amp;$B$10)),"")/CD55)*$R$6,IF(ROWS(INDIRECT("FP"&amp;$D$10):INDIRECT("FP"&amp;$B$10))-COUNTIF(INDIRECT("FP"&amp;$D$10):INDIRECT("FP"&amp;$B$10),"")&gt;0,SUM(INDIRECT("FP"&amp;$D$10):INDIRECT("FP"&amp;$B$10)),"")),"")</f>
        <v/>
      </c>
      <c r="FQ55" s="251" t="str">
        <f ca="1">IF(SUM(FQ14:FQ51)&gt;0,IF('Outfall 1 Limits'!$AX56="C1",(IF(ROWS(INDIRECT("FQ"&amp;$D$10):INDIRECT("FQ"&amp;$B$10))-COUNTIF(INDIRECT("FQ"&amp;$D$10):INDIRECT("FQ"&amp;$B$10),"")&gt;0,SUM(INDIRECT("FQ"&amp;$D$10):INDIRECT("FQ"&amp;$B$10)),"")/CE55)*$R$6,IF(ROWS(INDIRECT("FQ"&amp;$D$10):INDIRECT("FQ"&amp;$B$10))-COUNTIF(INDIRECT("FQ"&amp;$D$10):INDIRECT("FQ"&amp;$B$10),"")&gt;0,SUM(INDIRECT("FQ"&amp;$D$10):INDIRECT("FQ"&amp;$B$10)),"")),"")</f>
        <v/>
      </c>
      <c r="FR55" s="251" t="str">
        <f ca="1">IF(SUM(FR14:FR51)&gt;0,IF('Outfall 1 Limits'!$AX60="C1",(IF(ROWS(INDIRECT("FR"&amp;$D$10):INDIRECT("FR"&amp;$B$10))-COUNTIF(INDIRECT("FR"&amp;$D$10):INDIRECT("FR"&amp;$B$10),"")&gt;0,SUM(INDIRECT("FR"&amp;$D$10):INDIRECT("FR"&amp;$B$10)),"")/CF55)*$R$6,IF(ROWS(INDIRECT("FR"&amp;$D$10):INDIRECT("FR"&amp;$B$10))-COUNTIF(INDIRECT("FR"&amp;$D$10):INDIRECT("FR"&amp;$B$10),"")&gt;0,SUM(INDIRECT("FR"&amp;$D$10):INDIRECT("FR"&amp;$B$10)),"")),"")</f>
        <v/>
      </c>
      <c r="FS55" s="251" t="str">
        <f ca="1">IF(SUM(FS14:FS51)&gt;0,IF('Outfall 1 Limits'!$AX64="C1",(IF(ROWS(INDIRECT("FS"&amp;$D$10):INDIRECT("FS"&amp;$B$10))-COUNTIF(INDIRECT("FS"&amp;$D$10):INDIRECT("FS"&amp;$B$10),"")&gt;0,SUM(INDIRECT("FS"&amp;$D$10):INDIRECT("FS"&amp;$B$10)),"")/CG55)*$R$6,IF(ROWS(INDIRECT("FS"&amp;$D$10):INDIRECT("FS"&amp;$B$10))-COUNTIF(INDIRECT("FS"&amp;$D$10):INDIRECT("FS"&amp;$B$10),"")&gt;0,SUM(INDIRECT("FS"&amp;$D$10):INDIRECT("FS"&amp;$B$10)),"")),"")</f>
        <v/>
      </c>
      <c r="FT55" s="251" t="str">
        <f ca="1">IF(SUM(FT14:FT51)&gt;0,IF('Outfall 1 Limits'!$AX68="C1",(IF(ROWS(INDIRECT("FT"&amp;$D$10):INDIRECT("FT"&amp;$B$10))-COUNTIF(INDIRECT("FT"&amp;$D$10):INDIRECT("FT"&amp;$B$10),"")&gt;0,SUM(INDIRECT("FT"&amp;$D$10):INDIRECT("FT"&amp;$B$10)),"")/CH55)*$R$6,IF(ROWS(INDIRECT("FT"&amp;$D$10):INDIRECT("FT"&amp;$B$10))-COUNTIF(INDIRECT("FT"&amp;$D$10):INDIRECT("FT"&amp;$B$10),"")&gt;0,SUM(INDIRECT("FT"&amp;$D$10):INDIRECT("FT"&amp;$B$10)),"")),"")</f>
        <v/>
      </c>
      <c r="FU55" s="251" t="str">
        <f ca="1">IF(SUM(FU14:FU51)&gt;0,IF('Outfall 1 Limits'!$AX72="C1",(IF(ROWS(INDIRECT("FU"&amp;$D$10):INDIRECT("FU"&amp;$B$10))-COUNTIF(INDIRECT("FU"&amp;$D$10):INDIRECT("FU"&amp;$B$10),"")&gt;0,SUM(INDIRECT("FU"&amp;$D$10):INDIRECT("FU"&amp;$B$10)),"")/CI55)*$R$6,IF(ROWS(INDIRECT("FU"&amp;$D$10):INDIRECT("FU"&amp;$B$10))-COUNTIF(INDIRECT("FU"&amp;$D$10):INDIRECT("FU"&amp;$B$10),"")&gt;0,SUM(INDIRECT("FU"&amp;$D$10):INDIRECT("FU"&amp;$B$10)),"")),"")</f>
        <v/>
      </c>
      <c r="FV55" s="251" t="str">
        <f ca="1">IF(SUM(FV14:FV51)&gt;0,IF('Outfall 1 Limits'!$AX76="C1",(IF(ROWS(INDIRECT("FV"&amp;$D$10):INDIRECT("FV"&amp;$B$10))-COUNTIF(INDIRECT("FV"&amp;$D$10):INDIRECT("FV"&amp;$B$10),"")&gt;0,SUM(INDIRECT("FV"&amp;$D$10):INDIRECT("FV"&amp;$B$10)),"")/CJ55)*$R$6,IF(ROWS(INDIRECT("FV"&amp;$D$10):INDIRECT("FV"&amp;$B$10))-COUNTIF(INDIRECT("FV"&amp;$D$10):INDIRECT("FV"&amp;$B$10),"")&gt;0,SUM(INDIRECT("FV"&amp;$D$10):INDIRECT("FV"&amp;$B$10)),"")),"")</f>
        <v/>
      </c>
      <c r="FW55" s="251" t="str">
        <f ca="1">IF(SUM(FW14:FW51)&gt;0,IF('Outfall 1 Limits'!$AX80="C1",(IF(ROWS(INDIRECT("FW"&amp;$D$10):INDIRECT("FW"&amp;$B$10))-COUNTIF(INDIRECT("FW"&amp;$D$10):INDIRECT("FW"&amp;$B$10),"")&gt;0,SUM(INDIRECT("FW"&amp;$D$10):INDIRECT("FW"&amp;$B$10)),"")/CK55)*$R$6,IF(ROWS(INDIRECT("FW"&amp;$D$10):INDIRECT("FW"&amp;$B$10))-COUNTIF(INDIRECT("FW"&amp;$D$10):INDIRECT("FW"&amp;$B$10),"")&gt;0,SUM(INDIRECT("FW"&amp;$D$10):INDIRECT("FW"&amp;$B$10)),"")),"")</f>
        <v/>
      </c>
      <c r="FX55" s="251" t="str">
        <f ca="1">IF(SUM(FX14:FX51)&gt;0,IF('Outfall 1 Limits'!$AX84="C1",(IF(ROWS(INDIRECT("FX"&amp;$D$10):INDIRECT("FX"&amp;$B$10))-COUNTIF(INDIRECT("FX"&amp;$D$10):INDIRECT("FX"&amp;$B$10),"")&gt;0,SUM(INDIRECT("FX"&amp;$D$10):INDIRECT("FX"&amp;$B$10)),"")/CL55)*$R$6,IF(ROWS(INDIRECT("FX"&amp;$D$10):INDIRECT("FX"&amp;$B$10))-COUNTIF(INDIRECT("FX"&amp;$D$10):INDIRECT("FX"&amp;$B$10),"")&gt;0,SUM(INDIRECT("FX"&amp;$D$10):INDIRECT("FX"&amp;$B$10)),"")),"")</f>
        <v/>
      </c>
      <c r="FY55" s="251" t="str">
        <f ca="1">IF(SUM(FY14:FY51)&gt;0,IF('Outfall 1 Limits'!$AX88="C1",(IF(ROWS(INDIRECT("FY"&amp;$D$10):INDIRECT("FY"&amp;$B$10))-COUNTIF(INDIRECT("FY"&amp;$D$10):INDIRECT("FY"&amp;$B$10),"")&gt;0,SUM(INDIRECT("FY"&amp;$D$10):INDIRECT("FY"&amp;$B$10)),"")/CM55)*$R$6,IF(ROWS(INDIRECT("FY"&amp;$D$10):INDIRECT("FY"&amp;$B$10))-COUNTIF(INDIRECT("FY"&amp;$D$10):INDIRECT("FY"&amp;$B$10),"")&gt;0,SUM(INDIRECT("FY"&amp;$D$10):INDIRECT("FY"&amp;$B$10)),"")),"")</f>
        <v/>
      </c>
      <c r="FZ55" s="251" t="str">
        <f ca="1">IF(SUM(FZ14:FZ51)&gt;0,IF('Outfall 1 Limits'!$AX92="C1",(IF(ROWS(INDIRECT("FZ"&amp;$D$10):INDIRECT("FZ"&amp;$B$10))-COUNTIF(INDIRECT("FZ"&amp;$D$10):INDIRECT("FZ"&amp;$B$10),"")&gt;0,SUM(INDIRECT("FZ"&amp;$D$10):INDIRECT("FZ"&amp;$B$10)),"")/CN55)*$R$6,IF(ROWS(INDIRECT("FZ"&amp;$D$10):INDIRECT("FZ"&amp;$B$10))-COUNTIF(INDIRECT("FZ"&amp;$D$10):INDIRECT("FZ"&amp;$B$10),"")&gt;0,SUM(INDIRECT("FZ"&amp;$D$10):INDIRECT("FZ"&amp;$B$10)),"")),"")</f>
        <v/>
      </c>
      <c r="GA55" s="251" t="str">
        <f ca="1">IF(SUM(GA14:GA51)&gt;0,IF('Outfall 1 Limits'!$AX96="C1",(IF(ROWS(INDIRECT("GA"&amp;$D$10):INDIRECT("GA"&amp;$B$10))-COUNTIF(INDIRECT("GA"&amp;$D$10):INDIRECT("GA"&amp;$B$10),"")&gt;0,SUM(INDIRECT("GA"&amp;$D$10):INDIRECT("GA"&amp;$B$10)),"")/CO55)*$R$6,IF(ROWS(INDIRECT("GA"&amp;$D$10):INDIRECT("GA"&amp;$B$10))-COUNTIF(INDIRECT("GA"&amp;$D$10):INDIRECT("GA"&amp;$B$10),"")&gt;0,SUM(INDIRECT("GA"&amp;$D$10):INDIRECT("GA"&amp;$B$10)),"")),"")</f>
        <v/>
      </c>
      <c r="GB55" s="251" t="str">
        <f ca="1">IF(SUM(GB14:GB51)&gt;0,IF('Outfall 1 Limits'!$AX100="C1",(IF(ROWS(INDIRECT("GB"&amp;$D$10):INDIRECT("GB"&amp;$B$10))-COUNTIF(INDIRECT("GB"&amp;$D$10):INDIRECT("GB"&amp;$B$10),"")&gt;0,SUM(INDIRECT("GB"&amp;$D$10):INDIRECT("GB"&amp;$B$10)),"")/CP55)*$R$6,IF(ROWS(INDIRECT("GB"&amp;$D$10):INDIRECT("GB"&amp;$B$10))-COUNTIF(INDIRECT("GB"&amp;$D$10):INDIRECT("GB"&amp;$B$10),"")&gt;0,SUM(INDIRECT("GB"&amp;$D$10):INDIRECT("GB"&amp;$B$10)),"")),"")</f>
        <v/>
      </c>
      <c r="GC55" s="251" t="str">
        <f ca="1">IF(SUM(GC14:GC51)&gt;0,IF('Outfall 1 Limits'!$AX104="C1",(IF(ROWS(INDIRECT("GC"&amp;$D$10):INDIRECT("GC"&amp;$B$10))-COUNTIF(INDIRECT("GC"&amp;$D$10):INDIRECT("GC"&amp;$B$10),"")&gt;0,SUM(INDIRECT("GC"&amp;$D$10):INDIRECT("GC"&amp;$B$10)),"")/CQ55)*$R$6,IF(ROWS(INDIRECT("GC"&amp;$D$10):INDIRECT("GC"&amp;$B$10))-COUNTIF(INDIRECT("GC"&amp;$D$10):INDIRECT("GC"&amp;$B$10),"")&gt;0,SUM(INDIRECT("GC"&amp;$D$10):INDIRECT("GC"&amp;$B$10)),"")),"")</f>
        <v/>
      </c>
      <c r="GD55" s="251" t="str">
        <f ca="1">IF(SUM(GD14:GD51)&gt;0,IF('Outfall 1 Limits'!$AX108="C1",(IF(ROWS(INDIRECT("GD"&amp;$D$10):INDIRECT("GD"&amp;$B$10))-COUNTIF(INDIRECT("GD"&amp;$D$10):INDIRECT("GD"&amp;$B$10),"")&gt;0,SUM(INDIRECT("GD"&amp;$D$10):INDIRECT("GD"&amp;$B$10)),"")/CR55)*$R$6,IF(ROWS(INDIRECT("GD"&amp;$D$10):INDIRECT("GD"&amp;$B$10))-COUNTIF(INDIRECT("GD"&amp;$D$10):INDIRECT("GD"&amp;$B$10),"")&gt;0,SUM(INDIRECT("GD"&amp;$D$10):INDIRECT("GD"&amp;$B$10)),"")),"")</f>
        <v/>
      </c>
      <c r="GE55" s="251" t="str">
        <f ca="1">IF(SUM(GE14:GE51)&gt;0,IF('Outfall 1 Limits'!$AX112="C1",(IF(ROWS(INDIRECT("GE"&amp;$D$10):INDIRECT("GE"&amp;$B$10))-COUNTIF(INDIRECT("GE"&amp;$D$10):INDIRECT("GE"&amp;$B$10),"")&gt;0,SUM(INDIRECT("GE"&amp;$D$10):INDIRECT("GE"&amp;$B$10)),"")/CS55)*$R$6,IF(ROWS(INDIRECT("GE"&amp;$D$10):INDIRECT("GE"&amp;$B$10))-COUNTIF(INDIRECT("GE"&amp;$D$10):INDIRECT("GE"&amp;$B$10),"")&gt;0,SUM(INDIRECT("GE"&amp;$D$10):INDIRECT("GE"&amp;$B$10)),"")),"")</f>
        <v/>
      </c>
      <c r="GF55" s="251" t="str">
        <f ca="1">IF(SUM(GF14:GF51)&gt;0,IF('Outfall 1 Limits'!$AX116="C1",(IF(ROWS(INDIRECT("GF"&amp;$D$10):INDIRECT("GF"&amp;$B$10))-COUNTIF(INDIRECT("GF"&amp;$D$10):INDIRECT("GF"&amp;$B$10),"")&gt;0,SUM(INDIRECT("GF"&amp;$D$10):INDIRECT("GF"&amp;$B$10)),"")/CT55)*$R$6,IF(ROWS(INDIRECT("GF"&amp;$D$10):INDIRECT("GF"&amp;$B$10))-COUNTIF(INDIRECT("GF"&amp;$D$10):INDIRECT("GF"&amp;$B$10),"")&gt;0,SUM(INDIRECT("GF"&amp;$D$10):INDIRECT("GF"&amp;$B$10)),"")),"")</f>
        <v/>
      </c>
      <c r="GG55" s="251" t="str">
        <f ca="1">IF(SUM(GG14:GG51)&gt;0,IF('Outfall 1 Limits'!$AX120="C1",(IF(ROWS(INDIRECT("GG"&amp;$D$10):INDIRECT("GG"&amp;$B$10))-COUNTIF(INDIRECT("GG"&amp;$D$10):INDIRECT("GG"&amp;$B$10),"")&gt;0,SUM(INDIRECT("GG"&amp;$D$10):INDIRECT("GG"&amp;$B$10)),"")/CU55)*$R$6,IF(ROWS(INDIRECT("GG"&amp;$D$10):INDIRECT("GG"&amp;$B$10))-COUNTIF(INDIRECT("GG"&amp;$D$10):INDIRECT("GG"&amp;$B$10),"")&gt;0,SUM(INDIRECT("GG"&amp;$D$10):INDIRECT("GG"&amp;$B$10)),"")),"")</f>
        <v/>
      </c>
      <c r="GH55" s="251" t="str">
        <f ca="1">IF(SUM(GH14:GH51)&gt;0,IF('Outfall 1 Limits'!$AX124="C1",(IF(ROWS(INDIRECT("GH"&amp;$D$10):INDIRECT("GH"&amp;$B$10))-COUNTIF(INDIRECT("GH"&amp;$D$10):INDIRECT("GH"&amp;$B$10),"")&gt;0,SUM(INDIRECT("GH"&amp;$D$10):INDIRECT("GH"&amp;$B$10)),"")/CV55)*$R$6,IF(ROWS(INDIRECT("GH"&amp;$D$10):INDIRECT("GH"&amp;$B$10))-COUNTIF(INDIRECT("GH"&amp;$D$10):INDIRECT("GH"&amp;$B$10),"")&gt;0,SUM(INDIRECT("GH"&amp;$D$10):INDIRECT("GH"&amp;$B$10)),"")),"")</f>
        <v/>
      </c>
      <c r="GI55" s="252" t="str">
        <f ca="1">IF(SUM(GI14:GI51)&gt;0,IF('Outfall 1 Limits'!$AX128="C1",(IF(ROWS(INDIRECT("GI"&amp;$D$10):INDIRECT("GI"&amp;$B$10))-COUNTIF(INDIRECT("GI"&amp;$D$10):INDIRECT("GI"&amp;$B$10),"")&gt;0,SUM(INDIRECT("GI"&amp;$D$10):INDIRECT("GI"&amp;$B$10)),"")/CW55)*$R$6,IF(ROWS(INDIRECT("GI"&amp;$D$10):INDIRECT("GI"&amp;$B$10))-COUNTIF(INDIRECT("GI"&amp;$D$10):INDIRECT("GI"&amp;$B$10),"")&gt;0,SUM(INDIRECT("GI"&amp;$D$10):INDIRECT("GI"&amp;$B$10)),"")),"")</f>
        <v/>
      </c>
      <c r="GJ55" s="245" t="s">
        <v>403</v>
      </c>
      <c r="GK55" s="202" t="str">
        <f ca="1">IF(GK54&lt;&gt;"",IF(OR('Outfall 1 Limits'!$AX$16="C1",'Outfall 1 Limits'!$AX$16="L"),IF(GK54&gt;=1,IF('Outfall 1 Limits'!$AN$16=0,ROUND(GK54,0),TEXT(GK54,"0."&amp;REPT("0",LEN('Outfall 1 Limits'!$K$16)-FIND(".",'Outfall 1 Limits'!$K$16)))),ROUND(GK54,1-(1+INT(LOG10(ABS(GK54)))))),ROUND(GK54,$I126)),"")</f>
        <v/>
      </c>
      <c r="GL55" s="206" t="str">
        <f ca="1">IF(GL54&lt;&gt;"",IF(OR('Outfall 1 Limits'!$AX$20="C1",'Outfall 1 Limits'!$AX$20="L"),IF(GL54&gt;=1,IF('Outfall 1 Limits'!$AN$20=0,ROUND(GL54,0),TEXT(GL54,"0."&amp;REPT("0",LEN('Outfall 1 Limits'!$K$20)-FIND(".",'Outfall 1 Limits'!$K$20)))),ROUND(GL54,1-(1+INT(LOG10(ABS(GL54)))))),ROUND(GL54,$K126)),"")</f>
        <v/>
      </c>
      <c r="GM55" s="206" t="str">
        <f ca="1">IF(GM54&lt;&gt;"",IF(OR('Outfall 1 Limits'!$AX$24="C1",'Outfall 1 Limits'!$AX$24="L"),IF(GM54&gt;=1,IF('Outfall 1 Limits'!$AN$24=0,ROUND(GM54,0),TEXT(GM54,"0."&amp;REPT("0",LEN('Outfall 1 Limits'!$K$24)-FIND(".",'Outfall 1 Limits'!$K$24)))),ROUND(GM54,1-(1+INT(LOG10(ABS(GM54)))))),ROUND(GM54,$M126)),"")</f>
        <v/>
      </c>
      <c r="GN55" s="206" t="str">
        <f ca="1">IF(GN54&lt;&gt;"",IF(OR('Outfall 1 Limits'!$AX$28="C1",'Outfall 1 Limits'!$AX$28="L"),IF(GN54&gt;=1,IF('Outfall 1 Limits'!$AN$28=0,ROUND(GN54,0),TEXT(GN54,"0."&amp;REPT("0",LEN('Outfall 1 Limits'!$K$28)-FIND(".",'Outfall 1 Limits'!$K$28)))),ROUND(GN54,1-(1+INT(LOG10(ABS(GN54)))))),ROUND(GN54,$O126)),"")</f>
        <v/>
      </c>
      <c r="GO55" s="206" t="str">
        <f ca="1">IF(GO54&lt;&gt;"",IF(OR('Outfall 1 Limits'!$AX$32="C1",'Outfall 1 Limits'!$AX$32="L"),IF(GO54&gt;=1,IF('Outfall 1 Limits'!$AN$32=0,ROUND(GO54,0),TEXT(GO54,"0."&amp;REPT("0",LEN('Outfall 1 Limits'!$K$32)-FIND(".",'Outfall 1 Limits'!$K$32)))),ROUND(GO54,1-(1+INT(LOG10(ABS(GO54)))))),ROUND(GO54,$Q126)),"")</f>
        <v/>
      </c>
      <c r="GP55" s="206" t="str">
        <f ca="1">IF(GP54&lt;&gt;"",IF(OR('Outfall 1 Limits'!$AX$36="C1",'Outfall 1 Limits'!$AX$36="L"),IF(GP54&gt;=1,IF('Outfall 1 Limits'!$AN$36=0,ROUND(GP54,0),TEXT(GP54,"0."&amp;REPT("0",LEN('Outfall 1 Limits'!$K$36)-FIND(".",'Outfall 1 Limits'!$K$36)))),ROUND(GP54,1-(1+INT(LOG10(ABS(GP54)))))),ROUND(GP54,$S126)),"")</f>
        <v/>
      </c>
      <c r="GQ55" s="206" t="str">
        <f ca="1">IF(GQ54&lt;&gt;"",IF(OR('Outfall 1 Limits'!$AX$40="C1",'Outfall 1 Limits'!$AX$40="L"),IF(GQ54&gt;=1,IF('Outfall 1 Limits'!$AN$40=0,ROUND(GQ54,0),TEXT(GQ54,"0."&amp;REPT("0",LEN('Outfall 1 Limits'!$K$40)-FIND(".",'Outfall 1 Limits'!$K$40)))),ROUND(GQ54,1-(1+INT(LOG10(ABS(GQ54)))))),ROUND(GQ54,$U126)),"")</f>
        <v/>
      </c>
      <c r="GR55" s="206" t="str">
        <f ca="1">IF(GR54&lt;&gt;"",IF(OR('Outfall 1 Limits'!$AX$44="C1",'Outfall 1 Limits'!$AX$44="L"),IF(GR54&gt;=1,IF('Outfall 1 Limits'!$AN$44=0,ROUND(GR54,0),TEXT(GR54,"0."&amp;REPT("0",LEN('Outfall 1 Limits'!$K$44)-FIND(".",'Outfall 1 Limits'!$K$44)))),ROUND(GR54,1-(1+INT(LOG10(ABS(GR54)))))),ROUND(GR54,$W126)),"")</f>
        <v/>
      </c>
      <c r="GS55" s="206" t="str">
        <f ca="1">IF(GS54&lt;&gt;"",IF(OR('Outfall 1 Limits'!$AX$48="C1",'Outfall 1 Limits'!$AX$48="L"),IF(GS54&gt;=1,IF('Outfall 1 Limits'!$AN$48=0,ROUND(GS54,0),TEXT(GS54,"0."&amp;REPT("0",LEN('Outfall 1 Limits'!$K$48)-FIND(".",'Outfall 1 Limits'!$K$48)))),ROUND(GS54,1-(1+INT(LOG10(ABS(GS54)))))),ROUND(GS54,$Y126)),"")</f>
        <v/>
      </c>
      <c r="GT55" s="206" t="str">
        <f ca="1">IF(GT54&lt;&gt;"",IF(OR('Outfall 1 Limits'!$AX$52="C1",'Outfall 1 Limits'!$AX$52="L"),IF(GT54&gt;=1,IF('Outfall 1 Limits'!$AN$52=0,ROUND(GT54,0),TEXT(GT54,"0."&amp;REPT("0",LEN('Outfall 1 Limits'!$K$52)-FIND(".",'Outfall 1 Limits'!$K$52)))),ROUND(GT54,1-(1+INT(LOG10(ABS(GT54)))))),ROUND(GT54,$AA126)),"")</f>
        <v/>
      </c>
      <c r="GU55" s="206" t="str">
        <f ca="1">IF(GU54&lt;&gt;"",IF(OR('Outfall 1 Limits'!$AX$56="C1",'Outfall 1 Limits'!$AX$56="L"),IF(GU54&gt;=1,IF('Outfall 1 Limits'!$AN$56=0,ROUND(GU54,0),TEXT(GU54,"0."&amp;REPT("0",LEN('Outfall 1 Limits'!$K$56)-FIND(".",'Outfall 1 Limits'!$K$56)))),ROUND(GU54,1-(1+INT(LOG10(ABS(GU54)))))),ROUND(GU54,$AC126)),"")</f>
        <v/>
      </c>
      <c r="GV55" s="206" t="str">
        <f ca="1">IF(GV54&lt;&gt;"",IF(OR('Outfall 1 Limits'!$AX$60="C1",'Outfall 1 Limits'!$AX$60="L"),IF(GV54&gt;=1,IF('Outfall 1 Limits'!$AN$60=0,ROUND(GV54,0),TEXT(GV54,"0."&amp;REPT("0",LEN('Outfall 1 Limits'!$K$60)-FIND(".",'Outfall 1 Limits'!$K$60)))),ROUND(GV54,1-(1+INT(LOG10(ABS(GV54)))))),ROUND(GV54,$AE126)),"")</f>
        <v/>
      </c>
      <c r="GW55" s="206" t="str">
        <f ca="1">IF(GW54&lt;&gt;"",IF(OR('Outfall 1 Limits'!$AX$64="C1",'Outfall 1 Limits'!$AX$64="L"),IF(GW54&gt;=1,IF('Outfall 1 Limits'!$AN$64=0,ROUND(GW54,0),TEXT(GW54,"0."&amp;REPT("0",LEN('Outfall 1 Limits'!$K$64)-FIND(".",'Outfall 1 Limits'!$K$64)))),ROUND(GW54,1-(1+INT(LOG10(ABS(GW54)))))),ROUND(GW54,$AG126)),"")</f>
        <v/>
      </c>
      <c r="GX55" s="206" t="str">
        <f ca="1">IF(GX54&lt;&gt;"",IF(OR('Outfall 1 Limits'!$AX$68="C1",'Outfall 1 Limits'!$AX$68="L"),IF(GX54&gt;=1,IF('Outfall 1 Limits'!$AN$68=0,ROUND(GX54,0),TEXT(GX54,"0."&amp;REPT("0",LEN('Outfall 1 Limits'!$K$68)-FIND(".",'Outfall 1 Limits'!$K$68)))),ROUND(GX54,1-(1+INT(LOG10(ABS(GX54)))))),ROUND(GX54,$AI126)),"")</f>
        <v/>
      </c>
      <c r="GY55" s="206" t="str">
        <f ca="1">IF(GY54&lt;&gt;"",IF(OR('Outfall 1 Limits'!$AX$72="C1",'Outfall 1 Limits'!$AX$72="L"),IF(GY54&gt;=1,IF('Outfall 1 Limits'!$AN$72=0,ROUND(GY54,0),TEXT(GY54,"0."&amp;REPT("0",LEN('Outfall 1 Limits'!$K$72)-FIND(".",'Outfall 1 Limits'!$K$72)))),ROUND(GY54,1-(1+INT(LOG10(ABS(GY54)))))),ROUND(GY54,$AK126)),"")</f>
        <v/>
      </c>
      <c r="GZ55" s="206" t="str">
        <f ca="1">IF(GZ54&lt;&gt;"",IF(OR('Outfall 1 Limits'!$AX$76="C1",'Outfall 1 Limits'!$AX$76="L"),IF(GZ54&gt;=1,IF('Outfall 1 Limits'!$AN$76=0,ROUND(GZ54,0),TEXT(GZ54,"0."&amp;REPT("0",LEN('Outfall 1 Limits'!$K$76)-FIND(".",'Outfall 1 Limits'!$K$76)))),ROUND(GZ54,1-(1+INT(LOG10(ABS(GZ54)))))),ROUND(GZ54,$AM126)),"")</f>
        <v/>
      </c>
      <c r="HA55" s="206" t="str">
        <f ca="1">IF(HA54&lt;&gt;"",IF(OR('Outfall 1 Limits'!$AX$80="C1",'Outfall 1 Limits'!$AX$80="L"),IF(HA54&gt;=1,IF('Outfall 1 Limits'!$AN$80=0,ROUND(HA54,0),TEXT(HA54,"0."&amp;REPT("0",LEN('Outfall 1 Limits'!$K$80)-FIND(".",'Outfall 1 Limits'!$K$80)))),ROUND(HA54,1-(1+INT(LOG10(ABS(HA54)))))),ROUND(HA54,$AO126)),"")</f>
        <v/>
      </c>
      <c r="HB55" s="206" t="str">
        <f ca="1">IF(HB54&lt;&gt;"",IF(OR('Outfall 1 Limits'!$AX$84="C1",'Outfall 1 Limits'!$AX$84="L"),IF(HB54&gt;=1,IF('Outfall 1 Limits'!$AN$84=0,ROUND(HB54,0),TEXT(HB54,"0."&amp;REPT("0",LEN('Outfall 1 Limits'!$K$84)-FIND(".",'Outfall 1 Limits'!$K$84)))),ROUND(HB54,1-(1+INT(LOG10(ABS(HB54)))))),ROUND(HB54,$AQ126)),"")</f>
        <v/>
      </c>
      <c r="HC55" s="206" t="str">
        <f ca="1">IF(HC54&lt;&gt;"",IF(OR('Outfall 1 Limits'!$AX$88="C1",'Outfall 1 Limits'!$AX$88="L"),IF(HC54&gt;=1,IF('Outfall 1 Limits'!$AN$88=0,ROUND(HC54,0),TEXT(HC54,"0."&amp;REPT("0",LEN('Outfall 1 Limits'!$K$88)-FIND(".",'Outfall 1 Limits'!$K$88)))),ROUND(HC54,1-(1+INT(LOG10(ABS(HC54)))))),ROUND(HC54,$AS126)),"")</f>
        <v/>
      </c>
      <c r="HD55" s="206" t="str">
        <f ca="1">IF(HD54&lt;&gt;"",IF(OR('Outfall 1 Limits'!$AX$92="C1",'Outfall 1 Limits'!$AX$92="L"),IF(HD54&gt;=1,IF('Outfall 1 Limits'!$AN$92=0,ROUND(HD54,0),TEXT(HD54,"0."&amp;REPT("0",LEN('Outfall 1 Limits'!$K$92)-FIND(".",'Outfall 1 Limits'!$K$92)))),ROUND(HD54,1-(1+INT(LOG10(ABS(HD54)))))),ROUND(HD54,$AU126)),"")</f>
        <v/>
      </c>
      <c r="HE55" s="206" t="str">
        <f ca="1">IF(HE54&lt;&gt;"",IF(OR('Outfall 1 Limits'!$AX$96="C1",'Outfall 1 Limits'!$AX$96="L"),IF(HE54&gt;=1,IF('Outfall 1 Limits'!$AN$96=0,ROUND(HE54,0),TEXT(HE54,"0."&amp;REPT("0",LEN('Outfall 1 Limits'!$K$96)-FIND(".",'Outfall 1 Limits'!$K$96)))),ROUND(HE54,1-(1+INT(LOG10(ABS(HE54)))))),ROUND(HE54,$AW126)),"")</f>
        <v/>
      </c>
      <c r="HF55" s="206" t="str">
        <f ca="1">IF(HF54&lt;&gt;"",IF(OR('Outfall 1 Limits'!$AX$100="C1",'Outfall 1 Limits'!$AX$100="L"),IF(HF54&gt;=1,IF('Outfall 1 Limits'!$AN$100=0,ROUND(HF54,0),TEXT(HF54,"0."&amp;REPT("0",LEN('Outfall 1 Limits'!$K$100)-FIND(".",'Outfall 1 Limits'!$K$100)))),ROUND(HF54,1-(1+INT(LOG10(ABS(HF54)))))),ROUND(HF54,$AY126)),"")</f>
        <v/>
      </c>
      <c r="HG55" s="206" t="str">
        <f ca="1">IF(HG54&lt;&gt;"",IF(OR('Outfall 1 Limits'!$AX$104="C1",'Outfall 1 Limits'!$AX$104="L"),IF(HG54&gt;=1,IF('Outfall 1 Limits'!$AN$104=0,ROUND(HG54,0),TEXT(HG54,"0."&amp;REPT("0",LEN('Outfall 1 Limits'!$K$104)-FIND(".",'Outfall 1 Limits'!$K$104)))),ROUND(HG54,1-(1+INT(LOG10(ABS(HG54)))))),ROUND(HG54,$BA126)),"")</f>
        <v/>
      </c>
      <c r="HH55" s="206" t="str">
        <f ca="1">IF(HH54&lt;&gt;"",IF(OR('Outfall 1 Limits'!$AX$108="C1",'Outfall 1 Limits'!$AX$108="L"),IF(HH54&gt;=1,IF('Outfall 1 Limits'!$AN$108=0,ROUND(HH54,0),TEXT(HH54,"0."&amp;REPT("0",LEN('Outfall 1 Limits'!$K$108)-FIND(".",'Outfall 1 Limits'!$K$108)))),ROUND(HH54,1-(1+INT(LOG10(ABS(HH54)))))),ROUND(HH54,$BC126)),"")</f>
        <v/>
      </c>
      <c r="HI55" s="206" t="str">
        <f ca="1">IF(HI54&lt;&gt;"",IF(OR('Outfall 1 Limits'!$AX$112="C1",'Outfall 1 Limits'!$AX$112="L"),IF(HI54&gt;=1,IF('Outfall 1 Limits'!$AN$112=0,ROUND(HI54,0),TEXT(HI54,"0."&amp;REPT("0",LEN('Outfall 1 Limits'!$K$112)-FIND(".",'Outfall 1 Limits'!$K$112)))),ROUND(HI54,1-(1+INT(LOG10(ABS(HI54)))))),ROUND(HI54,$BE126)),"")</f>
        <v/>
      </c>
      <c r="HJ55" s="206" t="str">
        <f ca="1">IF(HJ54&lt;&gt;"",IF(OR('Outfall 1 Limits'!$AX$116="C1",'Outfall 1 Limits'!$AX$116="L"),IF(HJ54&gt;=1,IF('Outfall 1 Limits'!$AN$116=0,ROUND(HJ54,0),TEXT(HJ54,"0."&amp;REPT("0",LEN('Outfall 1 Limits'!$K$116)-FIND(".",'Outfall 1 Limits'!$K$116)))),ROUND(HJ54,1-(1+INT(LOG10(ABS(HJ54)))))),ROUND(HJ54,$BG126)),"")</f>
        <v/>
      </c>
      <c r="HK55" s="206" t="str">
        <f ca="1">IF(HK54&lt;&gt;"",IF(OR('Outfall 1 Limits'!$AX$120="C1",'Outfall 1 Limits'!$AX$120="L"),IF(HK54&gt;=1,IF('Outfall 1 Limits'!$AN$120=0,ROUND(HK54,0),TEXT(HK54,"0."&amp;REPT("0",LEN('Outfall 1 Limits'!$K$120)-FIND(".",'Outfall 1 Limits'!$K$120)))),ROUND(HK54,1-(1+INT(LOG10(ABS(HK54)))))),ROUND(HK54,$BI126)),"")</f>
        <v/>
      </c>
      <c r="HL55" s="206" t="str">
        <f ca="1">IF(HL54&lt;&gt;"",IF(OR('Outfall 1 Limits'!$AX$124="C1",'Outfall 1 Limits'!$AX$124="L"),IF(HL54&gt;=1,IF('Outfall 1 Limits'!$AN$124=0,ROUND(HL54,0),TEXT(HL54,"0."&amp;REPT("0",LEN('Outfall 1 Limits'!$K$124)-FIND(".",'Outfall 1 Limits'!$K$124)))),ROUND(HL54,1-(1+INT(LOG10(ABS(HL54)))))),ROUND(HL54,$BK126)),"")</f>
        <v/>
      </c>
      <c r="HM55" s="210" t="str">
        <f ca="1">IF(HM54&lt;&gt;"",IF(OR('Outfall 1 Limits'!$AX$128="C1",'Outfall 1 Limits'!$AX$128="L"),IF(HM54&gt;=1,IF('Outfall 1 Limits'!$AN$128=0,ROUND(HM54,0),TEXT(HM54,"0."&amp;REPT("0",LEN('Outfall 1 Limits'!$K$128)-FIND(".",'Outfall 1 Limits'!$K$128)))),ROUND(HM54,1-(1+INT(LOG10(ABS(HM54)))))),ROUND(HM54,$BM126)),"")</f>
        <v/>
      </c>
      <c r="HN55" s="245" t="s">
        <v>841</v>
      </c>
      <c r="HO55" s="224" t="str">
        <f ca="1">IF(HO54&gt;HO53,"Y","N")</f>
        <v>N</v>
      </c>
      <c r="HP55" s="174"/>
      <c r="HQ55" s="174"/>
      <c r="HR55" s="242" t="s">
        <v>376</v>
      </c>
      <c r="HS55" s="202" t="str">
        <f ca="1">IF(HS53&lt;&gt;"",IF(HS53=HS54,"N","Y"),"")</f>
        <v/>
      </c>
      <c r="HT55" s="196" t="str">
        <f t="shared" ref="HT55:IU55" ca="1" si="170">IF(HT53&lt;&gt;"",IF(HT53=HT54,"N","Y"),"")</f>
        <v/>
      </c>
      <c r="HU55" s="196" t="str">
        <f t="shared" ca="1" si="170"/>
        <v/>
      </c>
      <c r="HV55" s="196" t="str">
        <f t="shared" ca="1" si="170"/>
        <v/>
      </c>
      <c r="HW55" s="196" t="str">
        <f t="shared" ca="1" si="170"/>
        <v/>
      </c>
      <c r="HX55" s="196" t="str">
        <f t="shared" ca="1" si="170"/>
        <v/>
      </c>
      <c r="HY55" s="196" t="str">
        <f t="shared" ca="1" si="170"/>
        <v/>
      </c>
      <c r="HZ55" s="196" t="str">
        <f t="shared" ca="1" si="170"/>
        <v/>
      </c>
      <c r="IA55" s="196" t="str">
        <f t="shared" ca="1" si="170"/>
        <v/>
      </c>
      <c r="IB55" s="196" t="str">
        <f t="shared" ca="1" si="170"/>
        <v/>
      </c>
      <c r="IC55" s="196" t="str">
        <f t="shared" ca="1" si="170"/>
        <v/>
      </c>
      <c r="ID55" s="196" t="str">
        <f t="shared" ca="1" si="170"/>
        <v/>
      </c>
      <c r="IE55" s="196" t="str">
        <f t="shared" ca="1" si="170"/>
        <v/>
      </c>
      <c r="IF55" s="196" t="str">
        <f t="shared" ca="1" si="170"/>
        <v/>
      </c>
      <c r="IG55" s="196" t="str">
        <f t="shared" ca="1" si="170"/>
        <v/>
      </c>
      <c r="IH55" s="196" t="str">
        <f t="shared" ca="1" si="170"/>
        <v/>
      </c>
      <c r="II55" s="196" t="str">
        <f t="shared" ca="1" si="170"/>
        <v/>
      </c>
      <c r="IJ55" s="196" t="str">
        <f t="shared" ca="1" si="170"/>
        <v/>
      </c>
      <c r="IK55" s="196" t="str">
        <f t="shared" ca="1" si="170"/>
        <v/>
      </c>
      <c r="IL55" s="196" t="str">
        <f t="shared" ca="1" si="170"/>
        <v/>
      </c>
      <c r="IM55" s="196" t="str">
        <f t="shared" ca="1" si="170"/>
        <v/>
      </c>
      <c r="IN55" s="196" t="str">
        <f t="shared" ca="1" si="170"/>
        <v/>
      </c>
      <c r="IO55" s="196" t="str">
        <f t="shared" ca="1" si="170"/>
        <v/>
      </c>
      <c r="IP55" s="196" t="str">
        <f t="shared" ca="1" si="170"/>
        <v/>
      </c>
      <c r="IQ55" s="196" t="str">
        <f t="shared" ca="1" si="170"/>
        <v/>
      </c>
      <c r="IR55" s="196" t="str">
        <f t="shared" ca="1" si="170"/>
        <v/>
      </c>
      <c r="IS55" s="196" t="str">
        <f t="shared" ca="1" si="170"/>
        <v/>
      </c>
      <c r="IT55" s="196" t="str">
        <f t="shared" ca="1" si="170"/>
        <v/>
      </c>
      <c r="IU55" s="210" t="str">
        <f t="shared" ca="1" si="170"/>
        <v/>
      </c>
      <c r="IW55" s="242" t="s">
        <v>1149</v>
      </c>
      <c r="IX55" s="202" t="str">
        <f ca="1">IF(IX53&lt;&gt;"",IF('Outfall 1 Limits'!$AX$16="C1",IF(IX53&gt;=1,IF('Outfall 1 Limits'!$AO$16=0,ROUND(IX53,0),TEXT(IX53,"0."&amp;REPT("0",LEN('Outfall 1 Limits'!$O16)-FIND(".",'Outfall 1 Limits'!$O16)))),ROUND(IX53,1-(1+INT(LOG10(ABS(IX53)))))),ROUND(IX53,$I126)),"")</f>
        <v/>
      </c>
      <c r="IY55" s="196" t="str">
        <f ca="1">IF(IY53&lt;&gt;"",IF('Outfall 1 Limits'!$AX$20="C1",IF(IY53&gt;=1,IF('Outfall 1 Limits'!$AO$20=0,ROUND(IY53,0),TEXT(IY53,"0."&amp;REPT("0",LEN('Outfall 1 Limits'!$O20)-FIND(".",'Outfall 1 Limits'!$O20)))),ROUND(IY53,1-(1+INT(LOG10(ABS(IY53)))))),ROUND(IY53,$K126)),"")</f>
        <v/>
      </c>
      <c r="IZ55" s="196" t="str">
        <f ca="1">IF(IZ53&lt;&gt;"",IF('Outfall 1 Limits'!$AX$24="C1",IF(IZ53&gt;=1,IF('Outfall 1 Limits'!$AO$24=0,ROUND(IZ53,0),TEXT(IZ53,"0."&amp;REPT("0",LEN('Outfall 1 Limits'!$O24)-FIND(".",'Outfall 1 Limits'!$O24)))),ROUND(IZ53,1-(1+INT(LOG10(ABS(IZ53)))))),ROUND(IZ53,$M126)),"")</f>
        <v/>
      </c>
      <c r="JA55" s="196" t="str">
        <f ca="1">IF(JA53&lt;&gt;"",IF('Outfall 1 Limits'!$AX$28="C1",IF(JA53&gt;=1,IF('Outfall 1 Limits'!$AO$28=0,ROUND(JA53,0),TEXT(JA53,"0."&amp;REPT("0",LEN('Outfall 1 Limits'!$O28)-FIND(".",'Outfall 1 Limits'!$O28)))),ROUND(JA53,1-(1+INT(LOG10(ABS(JA53)))))),ROUND(JA53,$O126)),"")</f>
        <v/>
      </c>
      <c r="JB55" s="196" t="str">
        <f ca="1">IF(JB53&lt;&gt;"",IF('Outfall 1 Limits'!$AX$32="C1",IF(JB53&gt;=1,IF('Outfall 1 Limits'!$AO$32=0,ROUND(JB53,0),TEXT(JB53,"0."&amp;REPT("0",LEN('Outfall 1 Limits'!$O32)-FIND(".",'Outfall 1 Limits'!$O32)))),ROUND(JB53,1-(1+INT(LOG10(ABS(JB53)))))),ROUND(JB53,$Q126)),"")</f>
        <v/>
      </c>
      <c r="JC55" s="196" t="str">
        <f ca="1">IF(JC53&lt;&gt;"",IF('Outfall 1 Limits'!$AX$36="C1",IF(JC53&gt;=1,IF('Outfall 1 Limits'!$AO$36=0,ROUND(JC53,0),TEXT(JC53,"0."&amp;REPT("0",LEN('Outfall 1 Limits'!$O36)-FIND(".",'Outfall 1 Limits'!$O36)))),ROUND(JC53,1-(1+INT(LOG10(ABS(JC53)))))),ROUND(JC53,$S126)),"")</f>
        <v/>
      </c>
      <c r="JD55" s="196" t="str">
        <f ca="1">IF(JD53&lt;&gt;"",IF('Outfall 1 Limits'!$AX$40="C1",IF(JD53&gt;=1,IF('Outfall 1 Limits'!$AO$40=0,ROUND(JD53,0),TEXT(JD53,"0."&amp;REPT("0",LEN('Outfall 1 Limits'!$O40)-FIND(".",'Outfall 1 Limits'!$O40)))),ROUND(JD53,1-(1+INT(LOG10(ABS(JD53)))))),ROUND(JD53,$U126)),"")</f>
        <v/>
      </c>
      <c r="JE55" s="196" t="str">
        <f ca="1">IF(JE53&lt;&gt;"",IF('Outfall 1 Limits'!$AX$44="C1",IF(JE53&gt;=1,IF('Outfall 1 Limits'!$AO$44=0,ROUND(JE53,0),TEXT(JE53,"0."&amp;REPT("0",LEN('Outfall 1 Limits'!$O44)-FIND(".",'Outfall 1 Limits'!$O44)))),ROUND(JE53,1-(1+INT(LOG10(ABS(JE53)))))),ROUND(JE53,$W126)),"")</f>
        <v/>
      </c>
      <c r="JF55" s="196" t="str">
        <f ca="1">IF(JF53&lt;&gt;"",IF('Outfall 1 Limits'!$AX$48="C1",IF(JF53&gt;=1,IF('Outfall 1 Limits'!$AO$48=0,ROUND(JF53,0),TEXT(JF53,"0."&amp;REPT("0",LEN('Outfall 1 Limits'!$O48)-FIND(".",'Outfall 1 Limits'!$O48)))),ROUND(JF53,1-(1+INT(LOG10(ABS(JF53)))))),ROUND(JF53,$Y126)),"")</f>
        <v/>
      </c>
      <c r="JG55" s="196" t="str">
        <f ca="1">IF(JG53&lt;&gt;"",IF('Outfall 1 Limits'!$AX$52="C1",IF(JG53&gt;=1,IF('Outfall 1 Limits'!$AO$52=0,ROUND(JG53,0),TEXT(JG53,"0."&amp;REPT("0",LEN('Outfall 1 Limits'!$O52)-FIND(".",'Outfall 1 Limits'!$O52)))),ROUND(JG53,1-(1+INT(LOG10(ABS(JG53)))))),ROUND(JG53,$AA126)),"")</f>
        <v/>
      </c>
      <c r="JH55" s="196" t="str">
        <f ca="1">IF(JH53&lt;&gt;"",IF('Outfall 1 Limits'!$AX$56="C1",IF(JH53&gt;=1,IF('Outfall 1 Limits'!$AO$56=0,ROUND(JH53,0),TEXT(JH53,"0."&amp;REPT("0",LEN('Outfall 1 Limits'!$O56)-FIND(".",'Outfall 1 Limits'!$O56)))),ROUND(JH53,1-(1+INT(LOG10(ABS(JH53)))))),ROUND(JH53,$AC126)),"")</f>
        <v/>
      </c>
      <c r="JI55" s="196" t="str">
        <f ca="1">IF(JI53&lt;&gt;"",IF('Outfall 1 Limits'!$AX$60="C1",IF(JI53&gt;=1,IF('Outfall 1 Limits'!$AO$60=0,ROUND(JI53,0),TEXT(JI53,"0."&amp;REPT("0",LEN('Outfall 1 Limits'!$O60)-FIND(".",'Outfall 1 Limits'!$O60)))),ROUND(JI53,1-(1+INT(LOG10(ABS(JI53)))))),ROUND(JI53,$AE126)),"")</f>
        <v/>
      </c>
      <c r="JJ55" s="196" t="str">
        <f ca="1">IF(JJ53&lt;&gt;"",IF('Outfall 1 Limits'!$AX$64="C1",IF(JJ53&gt;=1,IF('Outfall 1 Limits'!$AO$64=0,ROUND(JJ53,0),TEXT(JJ53,"0."&amp;REPT("0",LEN('Outfall 1 Limits'!$O64)-FIND(".",'Outfall 1 Limits'!$O64)))),ROUND(JJ53,1-(1+INT(LOG10(ABS(JJ53)))))),ROUND(JJ53,$AG126)),"")</f>
        <v/>
      </c>
      <c r="JK55" s="196" t="str">
        <f ca="1">IF(JK53&lt;&gt;"",IF('Outfall 1 Limits'!$AX$68="C1",IF(JK53&gt;=1,IF('Outfall 1 Limits'!$AO$68=0,ROUND(JK53,0),TEXT(JK53,"0."&amp;REPT("0",LEN('Outfall 1 Limits'!$O68)-FIND(".",'Outfall 1 Limits'!$O68)))),ROUND(JK53,1-(1+INT(LOG10(ABS(JK53)))))),ROUND(JK53,$AI126)),"")</f>
        <v/>
      </c>
      <c r="JL55" s="196" t="str">
        <f ca="1">IF(JL53&lt;&gt;"",IF('Outfall 1 Limits'!$AX$72="C1",IF(JL53&gt;=1,IF('Outfall 1 Limits'!$AO$72=0,ROUND(JL53,0),TEXT(JL53,"0."&amp;REPT("0",LEN('Outfall 1 Limits'!$O72)-FIND(".",'Outfall 1 Limits'!$O72)))),ROUND(JL53,1-(1+INT(LOG10(ABS(JL53)))))),ROUND(JL53,$AK126)),"")</f>
        <v/>
      </c>
      <c r="JM55" s="196" t="str">
        <f ca="1">IF(JM53&lt;&gt;"",IF('Outfall 1 Limits'!$AX$76="C1",IF(JM53&gt;=1,IF('Outfall 1 Limits'!$AO$76=0,ROUND(JM53,0),TEXT(JM53,"0."&amp;REPT("0",LEN('Outfall 1 Limits'!$O76)-FIND(".",'Outfall 1 Limits'!$O76)))),ROUND(JM53,1-(1+INT(LOG10(ABS(JM53)))))),ROUND(JM53,$AM126)),"")</f>
        <v/>
      </c>
      <c r="JN55" s="196" t="str">
        <f ca="1">IF(JN53&lt;&gt;"",IF('Outfall 1 Limits'!$AX$80="C1",IF(JN53&gt;=1,IF('Outfall 1 Limits'!$AO$80=0,ROUND(JN53,0),TEXT(JN53,"0."&amp;REPT("0",LEN('Outfall 1 Limits'!$O80)-FIND(".",'Outfall 1 Limits'!$O80)))),ROUND(JN53,1-(1+INT(LOG10(ABS(JN53)))))),ROUND(JN53,$AO126)),"")</f>
        <v/>
      </c>
      <c r="JO55" s="196" t="str">
        <f ca="1">IF(JO53&lt;&gt;"",IF('Outfall 1 Limits'!$AX$84="C1",IF(JO53&gt;=1,IF('Outfall 1 Limits'!$AO$84=0,ROUND(JO53,0),TEXT(JO53,"0."&amp;REPT("0",LEN('Outfall 1 Limits'!$O84)-FIND(".",'Outfall 1 Limits'!$O84)))),ROUND(JO53,1-(1+INT(LOG10(ABS(JO53)))))),ROUND(JO53,$AQ126)),"")</f>
        <v/>
      </c>
      <c r="JP55" s="196" t="str">
        <f ca="1">IF(JP53&lt;&gt;"",IF('Outfall 1 Limits'!$AX$88="C1",IF(JP53&gt;=1,IF('Outfall 1 Limits'!$AO$88=0,ROUND(JP53,0),TEXT(JP53,"0."&amp;REPT("0",LEN('Outfall 1 Limits'!$O88)-FIND(".",'Outfall 1 Limits'!$O88)))),ROUND(JP53,1-(1+INT(LOG10(ABS(JP53)))))),ROUND(JP53,$AS126)),"")</f>
        <v/>
      </c>
      <c r="JQ55" s="196" t="str">
        <f ca="1">IF(JQ53&lt;&gt;"",IF('Outfall 1 Limits'!$AX$92="C1",IF(JQ53&gt;=1,IF('Outfall 1 Limits'!$AO$92=0,ROUND(JQ53,0),TEXT(JQ53,"0."&amp;REPT("0",LEN('Outfall 1 Limits'!$O92)-FIND(".",'Outfall 1 Limits'!$O92)))),ROUND(JQ53,1-(1+INT(LOG10(ABS(JQ53)))))),ROUND(JQ53,$AU126)),"")</f>
        <v/>
      </c>
      <c r="JR55" s="196" t="str">
        <f ca="1">IF(JR53&lt;&gt;"",IF('Outfall 1 Limits'!$AX$96="C1",IF(JR53&gt;=1,IF('Outfall 1 Limits'!$AO$96=0,ROUND(JR53,0),TEXT(JR53,"0."&amp;REPT("0",LEN('Outfall 1 Limits'!$O96)-FIND(".",'Outfall 1 Limits'!$O96)))),ROUND(JR53,1-(1+INT(LOG10(ABS(JR53)))))),ROUND(JR53,$AW126)),"")</f>
        <v/>
      </c>
      <c r="JS55" s="196" t="str">
        <f ca="1">IF(JS53&lt;&gt;"",IF('Outfall 1 Limits'!$AX$100="C1",IF(JS53&gt;=1,IF('Outfall 1 Limits'!$AO$100=0,ROUND(JS53,0),TEXT(JS53,"0."&amp;REPT("0",LEN('Outfall 1 Limits'!$O100)-FIND(".",'Outfall 1 Limits'!$O100)))),ROUND(JS53,1-(1+INT(LOG10(ABS(JS53)))))),ROUND(JS53,$AY126)),"")</f>
        <v/>
      </c>
      <c r="JT55" s="196" t="str">
        <f ca="1">IF(JT53&lt;&gt;"",IF('Outfall 1 Limits'!$AX$104="C1",IF(JT53&gt;=1,IF('Outfall 1 Limits'!$AO$104=0,ROUND(JT53,0),TEXT(JT53,"0."&amp;REPT("0",LEN('Outfall 1 Limits'!$O104)-FIND(".",'Outfall 1 Limits'!$O104)))),ROUND(JT53,1-(1+INT(LOG10(ABS(JT53)))))),ROUND(JT53,$BA126)),"")</f>
        <v/>
      </c>
      <c r="JU55" s="196" t="str">
        <f ca="1">IF(JU53&lt;&gt;"",IF('Outfall 1 Limits'!$AX$108="C1",IF(JU53&gt;=1,IF('Outfall 1 Limits'!$AO$108=0,ROUND(JU53,0),TEXT(JU53,"0."&amp;REPT("0",LEN('Outfall 1 Limits'!$O108)-FIND(".",'Outfall 1 Limits'!$O108)))),ROUND(JU53,1-(1+INT(LOG10(ABS(JU53)))))),ROUND(JU53,$BC126)),"")</f>
        <v/>
      </c>
      <c r="JV55" s="196" t="str">
        <f ca="1">IF(JV53&lt;&gt;"",IF('Outfall 1 Limits'!$AX$112="C1",IF(JV53&gt;=1,IF('Outfall 1 Limits'!$AO$112=0,ROUND(JV53,0),TEXT(JV53,"0."&amp;REPT("0",LEN('Outfall 1 Limits'!$O112)-FIND(".",'Outfall 1 Limits'!$O112)))),ROUND(JV53,1-(1+INT(LOG10(ABS(JV53)))))),ROUND(JV53,$BE126)),"")</f>
        <v/>
      </c>
      <c r="JW55" s="196" t="str">
        <f ca="1">IF(JW53&lt;&gt;"",IF('Outfall 1 Limits'!$AX$116="C1",IF(JW53&gt;=1,IF('Outfall 1 Limits'!$AO$116=0,ROUND(JW53,0),TEXT(JW53,"0."&amp;REPT("0",LEN('Outfall 1 Limits'!$O116)-FIND(".",'Outfall 1 Limits'!$O116)))),ROUND(JW53,1-(1+INT(LOG10(ABS(JW53)))))),ROUND(JW53,$BG126)),"")</f>
        <v/>
      </c>
      <c r="JX55" s="196" t="str">
        <f ca="1">IF(JX53&lt;&gt;"",IF('Outfall 1 Limits'!$AX$120="C1",IF(JX53&gt;=1,IF('Outfall 1 Limits'!$AO$120=0,ROUND(JX53,0),TEXT(JX53,"0."&amp;REPT("0",LEN('Outfall 1 Limits'!$O120)-FIND(".",'Outfall 1 Limits'!$O120)))),ROUND(JX53,1-(1+INT(LOG10(ABS(JX53)))))),ROUND(JX53,$BI126)),"")</f>
        <v/>
      </c>
      <c r="JY55" s="196" t="str">
        <f ca="1">IF(JY53&lt;&gt;"",IF('Outfall 1 Limits'!$AX$124="C1",IF(JY53&gt;=1,IF('Outfall 1 Limits'!$AO$124=0,ROUND(JY53,0),TEXT(JY53,"0."&amp;REPT("0",LEN('Outfall 1 Limits'!$O124)-FIND(".",'Outfall 1 Limits'!$O124)))),ROUND(JY53,1-(1+INT(LOG10(ABS(JY53)))))),ROUND(JY53,$BK126)),"")</f>
        <v/>
      </c>
      <c r="JZ55" s="210" t="str">
        <f ca="1">IF(JZ53&lt;&gt;"",IF('Outfall 1 Limits'!$AX$128="C1",IF(JZ53&gt;=1,IF('Outfall 1 Limits'!$AO$128=0,ROUND(JZ53,0),TEXT(JZ53,"0."&amp;REPT("0",LEN('Outfall 1 Limits'!$O128)-FIND(".",'Outfall 1 Limits'!$O128)))),ROUND(JZ53,1-(1+INT(LOG10(ABS(JZ53)))))),ROUND(JZ53,$BM126)),"")</f>
        <v/>
      </c>
      <c r="KA55" s="196"/>
      <c r="KB55" s="176"/>
      <c r="KC55" s="248" t="s">
        <v>1183</v>
      </c>
      <c r="KD55" s="174">
        <f t="shared" ref="KD55:LF55" si="171">COUNTIF(KD14:KD51,"A")</f>
        <v>0</v>
      </c>
      <c r="KE55" s="174">
        <f t="shared" si="171"/>
        <v>0</v>
      </c>
      <c r="KF55" s="174">
        <f t="shared" si="171"/>
        <v>0</v>
      </c>
      <c r="KG55" s="174">
        <f t="shared" si="171"/>
        <v>0</v>
      </c>
      <c r="KH55" s="174">
        <f t="shared" si="171"/>
        <v>0</v>
      </c>
      <c r="KI55" s="174">
        <f t="shared" si="171"/>
        <v>0</v>
      </c>
      <c r="KJ55" s="174">
        <f t="shared" si="171"/>
        <v>0</v>
      </c>
      <c r="KK55" s="174">
        <f t="shared" si="171"/>
        <v>0</v>
      </c>
      <c r="KL55" s="174">
        <f t="shared" si="171"/>
        <v>0</v>
      </c>
      <c r="KM55" s="174">
        <f t="shared" si="171"/>
        <v>0</v>
      </c>
      <c r="KN55" s="174">
        <f t="shared" si="171"/>
        <v>0</v>
      </c>
      <c r="KO55" s="174">
        <f t="shared" si="171"/>
        <v>0</v>
      </c>
      <c r="KP55" s="174">
        <f t="shared" si="171"/>
        <v>0</v>
      </c>
      <c r="KQ55" s="174">
        <f t="shared" si="171"/>
        <v>0</v>
      </c>
      <c r="KR55" s="174">
        <f t="shared" si="171"/>
        <v>0</v>
      </c>
      <c r="KS55" s="174">
        <f t="shared" si="171"/>
        <v>0</v>
      </c>
      <c r="KT55" s="174">
        <f t="shared" si="171"/>
        <v>0</v>
      </c>
      <c r="KU55" s="174">
        <f t="shared" si="171"/>
        <v>0</v>
      </c>
      <c r="KV55" s="174">
        <f t="shared" si="171"/>
        <v>0</v>
      </c>
      <c r="KW55" s="174">
        <f t="shared" si="171"/>
        <v>0</v>
      </c>
      <c r="KX55" s="174">
        <f t="shared" si="171"/>
        <v>0</v>
      </c>
      <c r="KY55" s="174">
        <f t="shared" si="171"/>
        <v>0</v>
      </c>
      <c r="KZ55" s="174">
        <f t="shared" si="171"/>
        <v>0</v>
      </c>
      <c r="LA55" s="174">
        <f t="shared" si="171"/>
        <v>0</v>
      </c>
      <c r="LB55" s="174">
        <f t="shared" si="171"/>
        <v>0</v>
      </c>
      <c r="LC55" s="174">
        <f t="shared" si="171"/>
        <v>0</v>
      </c>
      <c r="LD55" s="174">
        <f t="shared" si="171"/>
        <v>0</v>
      </c>
      <c r="LE55" s="174">
        <f t="shared" si="171"/>
        <v>0</v>
      </c>
      <c r="LF55" s="174">
        <f t="shared" si="171"/>
        <v>0</v>
      </c>
    </row>
    <row r="56" spans="1:318" s="172" customFormat="1" ht="11.25" customHeight="1" thickTop="1" x14ac:dyDescent="0.2">
      <c r="A56" s="35"/>
      <c r="B56" s="439" t="s">
        <v>1</v>
      </c>
      <c r="C56" s="439"/>
      <c r="D56" s="439"/>
      <c r="E56" s="439"/>
      <c r="F56" s="440"/>
      <c r="G56" s="63"/>
      <c r="H56" s="64" t="str">
        <f ca="1">IF(BU55&lt;&gt;"",IF(OR('Outfall 1 Limits'!AX16="C1",'Outfall 1 Limits'!AX16="C3"),IF(KD60="Y","&lt;",""),""),"")</f>
        <v/>
      </c>
      <c r="I56" s="64" t="str">
        <f ca="1">IF(BU55&lt;&gt;"",IF(OR('Outfall 1 Limits'!$AX$16="C1",'Outfall 1 Limits'!$AX$16="C3"),IF('Outfall 1 Limits'!$AV$16="E",ROUND(CY54,I126),IF('Outfall 1 Limits'!$AQ$16&lt;&gt;0,IF(CY54&gt;=0.05,TEXT(CY54,"0."&amp;REPT("0",LEN('Outfall 1 Limits'!$Z$16)-FIND(".",'Outfall 1 Limits'!$Z$16))),ROUND(CY54,1-(1+INT(LOG10(ABS(CY54)))))),ROUND(CY54,'Outfall 1 Limits'!$AQ$16))),""),"")</f>
        <v/>
      </c>
      <c r="J56" s="113" t="str">
        <f ca="1">IF(BV55&lt;&gt;"",IF(OR('Outfall 1 Limits'!$AX$20="C1",'Outfall 1 Limits'!$AX$20="C3"),IF(KE60="Y","&lt;",""),""),"")</f>
        <v/>
      </c>
      <c r="K56" s="64" t="str">
        <f ca="1">IF(BV55&lt;&gt;"",IF(OR('Outfall 1 Limits'!$AX$20="C1",'Outfall 1 Limits'!$AX$20="C3"),IF('Outfall 1 Limits'!$AV$20="E",ROUND(CZ54,K126),IF('Outfall 1 Limits'!$AQ$20&lt;&gt;0,IF(CZ54&gt;=0.05,TEXT(CZ54,"0."&amp;REPT("0",LEN('Outfall 1 Limits'!$Z$20)-FIND(".",'Outfall 1 Limits'!$Z$20))),ROUND(CZ54,1-(1+INT(LOG10(ABS(CZ54)))))),ROUND(CZ54,'Outfall 1 Limits'!$AQ$20))),""),"")</f>
        <v/>
      </c>
      <c r="L56" s="64" t="str">
        <f ca="1">IF(BW55&lt;&gt;"",IF(OR('Outfall 1 Limits'!$AX$24="C1",'Outfall 1 Limits'!$AX$24="C3"),IF(KF60="Y","&lt;",""),""),"")</f>
        <v/>
      </c>
      <c r="M56" s="64" t="str">
        <f ca="1">IF(BW55&lt;&gt;"",IF(OR('Outfall 1 Limits'!$AX$24="C1",'Outfall 1 Limits'!$AX$24="C3"),IF('Outfall 1 Limits'!$AV$24="E",ROUND(DA54,M126),IF('Outfall 1 Limits'!$AQ$24&lt;&gt;0,IF(DA54&gt;=0.05,TEXT(DA54,"0."&amp;REPT("0",LEN('Outfall 1 Limits'!$Z$24)-FIND(".",'Outfall 1 Limits'!$Z$24))),ROUND(DA54,1-(1+INT(LOG10(ABS(DA54)))))),ROUND(DA54,'Outfall 1 Limits'!$AQ$24))),""),"")</f>
        <v/>
      </c>
      <c r="N56" s="64" t="str">
        <f ca="1">IF(BX55&lt;&gt;"",IF(OR('Outfall 1 Limits'!$AX$28="C1",'Outfall 1 Limits'!$AX$28="C3"),IF(KG60="Y","&lt;",""),""),"")</f>
        <v/>
      </c>
      <c r="O56" s="64" t="str">
        <f ca="1">IF(BX55&lt;&gt;"",IF(OR('Outfall 1 Limits'!$AX$28="C1",'Outfall 1 Limits'!$AX$28="C3"),IF('Outfall 1 Limits'!$AV$28="E",ROUND(DB54,O126),IF('Outfall 1 Limits'!$AQ$28&lt;&gt;0,IF(DB54&gt;=0.05,TEXT(DB54,"0."&amp;REPT("0",LEN('Outfall 1 Limits'!$Z$28)-FIND(".",'Outfall 1 Limits'!$Z$28))),ROUND(DB54,1-(1+INT(LOG10(ABS(DB54)))))),ROUND(DB54,'Outfall 1 Limits'!$AQ$28))),""),"")</f>
        <v/>
      </c>
      <c r="P56" s="64" t="str">
        <f ca="1">IF(BY55&lt;&gt;"",IF(OR('Outfall 1 Limits'!$AX$32="C1",'Outfall 1 Limits'!$AX$32="C3"),IF(KH60="Y","&lt;",""),""),"")</f>
        <v/>
      </c>
      <c r="Q56" s="64" t="str">
        <f ca="1">IF(BY55&lt;&gt;"",IF(OR('Outfall 1 Limits'!$AX$32="C1",'Outfall 1 Limits'!$AX$32="C3"),IF('Outfall 1 Limits'!$AV$32="E",ROUND(DC54,Q126),IF('Outfall 1 Limits'!$AQ$32&lt;&gt;0,IF(DC54&gt;=0.05,TEXT(DC54,"0."&amp;REPT("0",LEN('Outfall 1 Limits'!$Z$32)-FIND(".",'Outfall 1 Limits'!$Z$32))),ROUND(DC54,1-(1+INT(LOG10(ABS(DC54)))))),ROUND(DC54,'Outfall 1 Limits'!$AQ$32))),""),"")</f>
        <v/>
      </c>
      <c r="R56" s="64" t="str">
        <f ca="1">IF(BZ55&lt;&gt;"",IF(OR('Outfall 1 Limits'!$AX$36="C1",'Outfall 1 Limits'!$AX$36="C3"),IF(KI60="Y","&lt;",""),""),"")</f>
        <v/>
      </c>
      <c r="S56" s="64" t="str">
        <f ca="1">IF(BZ55&lt;&gt;"",IF(OR('Outfall 1 Limits'!$AX$36="C1",'Outfall 1 Limits'!$AX$36="C3"),IF('Outfall 1 Limits'!$AV$36="E",ROUND(DD54,S126),IF('Outfall 1 Limits'!$AQ$36&lt;&gt;0,IF(DD54&gt;=0.05,TEXT(DD54,"0."&amp;REPT("0",LEN('Outfall 1 Limits'!$Z$36)-FIND(".",'Outfall 1 Limits'!$Z$36))),ROUND(DD54,1-(1+INT(LOG10(ABS(DD54)))))),ROUND(DD54,'Outfall 1 Limits'!$AQ$36))),""),"")</f>
        <v/>
      </c>
      <c r="T56" s="64" t="str">
        <f ca="1">IF(CA55&lt;&gt;"",IF(OR('Outfall 1 Limits'!$AX$40="C1",'Outfall 1 Limits'!$AX$40="C3"),IF(KJ60="Y","&lt;",""),""),"")</f>
        <v/>
      </c>
      <c r="U56" s="64" t="str">
        <f ca="1">IF(CA55&lt;&gt;"",IF(OR('Outfall 1 Limits'!$AX$40="C1",'Outfall 1 Limits'!$AX$40="C3"),IF('Outfall 1 Limits'!$AV$40="E",ROUND(DE54,U126),IF('Outfall 1 Limits'!$AQ$40&lt;&gt;0,IF(DE54&gt;=0.05,TEXT(DE54,"0."&amp;REPT("0",LEN('Outfall 1 Limits'!$Z$40)-FIND(".",'Outfall 1 Limits'!$Z$40))),ROUND(DE54,1-(1+INT(LOG10(ABS(DE54)))))),ROUND(DE54,'Outfall 1 Limits'!$AQ$40))),""),"")</f>
        <v/>
      </c>
      <c r="V56" s="64" t="str">
        <f ca="1">IF(CB55&lt;&gt;"",IF(OR('Outfall 1 Limits'!$AX$44="C1",'Outfall 1 Limits'!$AX$44="C3"),IF(KK60="Y","&lt;",""),""),"")</f>
        <v/>
      </c>
      <c r="W56" s="64" t="str">
        <f ca="1">IF(CB55&lt;&gt;"",IF(OR('Outfall 1 Limits'!$AX$44="C1",'Outfall 1 Limits'!$AX$44="C3"),IF('Outfall 1 Limits'!$AV$44="E",ROUND(DF54,W126),IF('Outfall 1 Limits'!$AQ$44&lt;&gt;0,IF(DF54&gt;=0.05,TEXT(DF54,"0."&amp;REPT("0",LEN('Outfall 1 Limits'!$Z$44)-FIND(".",'Outfall 1 Limits'!$Z$44))),ROUND(DF54,1-(1+INT(LOG10(ABS(DF54)))))),ROUND(DF54,'Outfall 1 Limits'!$AQ$44))),""),"")</f>
        <v/>
      </c>
      <c r="X56" s="279" t="str">
        <f ca="1">IF(CC55&lt;&gt;"",IF(OR('Outfall 1 Limits'!$AX$48="C1",'Outfall 1 Limits'!$AX$48="C3"),IF(KL60="Y","&lt;",""),""),"")</f>
        <v/>
      </c>
      <c r="Y56" s="64" t="str">
        <f ca="1">IF(CC55&lt;&gt;"",IF(OR('Outfall 1 Limits'!$AX$48="C1",'Outfall 1 Limits'!$AX$48="C3"),IF('Outfall 1 Limits'!$AV$48="E",ROUND(DG54,Y126),IF('Outfall 1 Limits'!$AQ$48&lt;&gt;0,IF(DG54&gt;=0.05,TEXT(DG54,"0."&amp;REPT("0",LEN('Outfall 1 Limits'!$Z$48)-FIND(".",'Outfall 1 Limits'!$Z$48))),ROUND(DG54,1-(1+INT(LOG10(ABS(DG54)))))),ROUND(DG54,'Outfall 1 Limits'!$AQ$48))),""),"")</f>
        <v/>
      </c>
      <c r="Z56" s="64" t="str">
        <f ca="1">IF(CD55&lt;&gt;"",IF(OR('Outfall 1 Limits'!$AX$52="C1",'Outfall 1 Limits'!$AX$52="C3"),IF(KM60="Y","&lt;",""),""),"")</f>
        <v/>
      </c>
      <c r="AA56" s="64" t="str">
        <f ca="1">IF(CD55&lt;&gt;"",IF(OR('Outfall 1 Limits'!$AX$52="C1",'Outfall 1 Limits'!$AX$52="C3"),IF('Outfall 1 Limits'!$AV$52="E",ROUND(DH54,AA126),IF('Outfall 1 Limits'!$AQ$52&lt;&gt;0,IF(DH54&gt;=0.05,TEXT(DH54,"0."&amp;REPT("0",LEN('Outfall 1 Limits'!$Z$52)-FIND(".",'Outfall 1 Limits'!$Z$52))),ROUND(DH54,1-(1+INT(LOG10(ABS(DH54)))))),ROUND(DH54,'Outfall 1 Limits'!$AQ$52))),""),"")</f>
        <v/>
      </c>
      <c r="AB56" s="64" t="str">
        <f ca="1">IF(CE55&lt;&gt;"",IF(OR('Outfall 1 Limits'!$AX$56="C1",'Outfall 1 Limits'!$AX$56="C3"),IF(KN60="Y","&lt;",""),""),"")</f>
        <v/>
      </c>
      <c r="AC56" s="64" t="str">
        <f ca="1">IF(CE55&lt;&gt;"",IF(OR('Outfall 1 Limits'!$AX$56="C1",'Outfall 1 Limits'!$AX$56="C3"),IF('Outfall 1 Limits'!$AV$56="E",ROUND(DI54,AC126),IF('Outfall 1 Limits'!$AQ$56&lt;&gt;0,IF(DI54&gt;=0.05,TEXT(DI54,"0."&amp;REPT("0",LEN('Outfall 1 Limits'!$Z$56)-FIND(".",'Outfall 1 Limits'!$Z$56))),ROUND(DI54,1-(1+INT(LOG10(ABS(DI54)))))),ROUND(DI54,'Outfall 1 Limits'!$AQ$56))),""),"")</f>
        <v/>
      </c>
      <c r="AD56" s="64" t="str">
        <f ca="1">IF(CF55&lt;&gt;"",IF(OR('Outfall 1 Limits'!$AX$60="C1",'Outfall 1 Limits'!$AX$60="C3"),IF(KO60="Y","&lt;",""),""),"")</f>
        <v/>
      </c>
      <c r="AE56" s="64" t="str">
        <f ca="1">IF(CF55&lt;&gt;"",IF(OR('Outfall 1 Limits'!$AX$60="C1",'Outfall 1 Limits'!$AX$60="C3"),IF('Outfall 1 Limits'!$AV$60="E",ROUND(DJ54,AE126),IF('Outfall 1 Limits'!$AQ$60&lt;&gt;0,IF(DJ54&gt;=0.05,TEXT(DJ54,"0."&amp;REPT("0",LEN('Outfall 1 Limits'!$Z$60)-FIND(".",'Outfall 1 Limits'!$Z$60))),ROUND(DJ54,1-(1+INT(LOG10(ABS(DJ54)))))),ROUND(DJ54,'Outfall 1 Limits'!$AQ$60))),""),"")</f>
        <v/>
      </c>
      <c r="AF56" s="64" t="str">
        <f ca="1">IF(CG55&lt;&gt;"",IF(OR('Outfall 1 Limits'!$AX$64="C1",'Outfall 1 Limits'!$AX$64="C3"),IF(KP60="Y","&lt;",""),""),"")</f>
        <v/>
      </c>
      <c r="AG56" s="64" t="str">
        <f ca="1">IF(CG55&lt;&gt;"",IF(OR('Outfall 1 Limits'!$AX$64="C1",'Outfall 1 Limits'!$AX$64="C3"),IF('Outfall 1 Limits'!$AV$64="E",ROUND(DK54,AG126),IF('Outfall 1 Limits'!$AQ$64&lt;&gt;0,IF(DK54&gt;=0.05,TEXT(DK54,"0."&amp;REPT("0",LEN('Outfall 1 Limits'!$Z$64)-FIND(".",'Outfall 1 Limits'!$Z$64))),ROUND(DK54,1-(1+INT(LOG10(ABS(DK54)))))),ROUND(DK54,'Outfall 1 Limits'!$AQ$64))),""),"")</f>
        <v/>
      </c>
      <c r="AH56" s="64" t="str">
        <f ca="1">IF(CH55&lt;&gt;"",IF(OR('Outfall 1 Limits'!$AX$68="C1",'Outfall 1 Limits'!$AX$68="C3"),IF(KQ60="Y","&lt;",""),""),"")</f>
        <v/>
      </c>
      <c r="AI56" s="64" t="str">
        <f ca="1">IF(CH55&lt;&gt;"",IF(OR('Outfall 1 Limits'!$AX$68="C1",'Outfall 1 Limits'!$AX$68="C3"),IF('Outfall 1 Limits'!$AV$68="E",ROUND(DL54,AI126),IF('Outfall 1 Limits'!$AQ$68&lt;&gt;0,IF(DL54&gt;=0.05,TEXT(DL54,"0."&amp;REPT("0",LEN('Outfall 1 Limits'!$Z$68)-FIND(".",'Outfall 1 Limits'!$Z$68))),ROUND(DL54,1-(1+INT(LOG10(ABS(DL54)))))),ROUND(DL54,'Outfall 1 Limits'!$AQ$68))),""),"")</f>
        <v/>
      </c>
      <c r="AJ56" s="64" t="str">
        <f ca="1">IF(CI55&lt;&gt;"",IF(OR('Outfall 1 Limits'!$AX$72="C1",'Outfall 1 Limits'!$AX$72="C3"),IF(KR60="Y","&lt;",""),""),"")</f>
        <v/>
      </c>
      <c r="AK56" s="64" t="str">
        <f ca="1">IF(CI55&lt;&gt;"",IF(OR('Outfall 1 Limits'!$AX$72="C1",'Outfall 1 Limits'!$AX$72="C3"),IF('Outfall 1 Limits'!$AV$72="E",ROUND(DM54,AK126),IF('Outfall 1 Limits'!$AQ$72&lt;&gt;0,IF(DM54&gt;=0.05,TEXT(DM54,"0."&amp;REPT("0",LEN('Outfall 1 Limits'!$Z$72)-FIND(".",'Outfall 1 Limits'!$Z$72))),ROUND(DM54,1-(1+INT(LOG10(ABS(DM54)))))),ROUND(DM54,'Outfall 1 Limits'!$AQ$72))),""),"")</f>
        <v/>
      </c>
      <c r="AL56" s="64" t="str">
        <f ca="1">IF(CJ55&lt;&gt;"",IF(OR('Outfall 1 Limits'!$AX$76="C1",'Outfall 1 Limits'!$AX$76="C3"),IF(KS60="Y","&lt;",""),""),"")</f>
        <v/>
      </c>
      <c r="AM56" s="64" t="str">
        <f ca="1">IF(CJ55&lt;&gt;"",IF(OR('Outfall 1 Limits'!$AX$76="C1",'Outfall 1 Limits'!$AX$76="C3"),IF('Outfall 1 Limits'!$AV$76="E",ROUND(DN54,AM126),IF('Outfall 1 Limits'!$AQ$76&lt;&gt;0,IF(DN54&gt;=0.05,TEXT(DN54,"0."&amp;REPT("0",LEN('Outfall 1 Limits'!$Z$76)-FIND(".",'Outfall 1 Limits'!$Z$76))),ROUND(DN54,1-(1+INT(LOG10(ABS(DN54)))))),ROUND(DN54,'Outfall 1 Limits'!$AQ$76))),""),"")</f>
        <v/>
      </c>
      <c r="AN56" s="144" t="str">
        <f ca="1">IF(CK55&lt;&gt;"",IF(OR('Outfall 1 Limits'!$AX$80="C1",'Outfall 1 Limits'!$AX$80="C3"),IF(KT60="Y","&lt;",""),""),"")</f>
        <v/>
      </c>
      <c r="AO56" s="64" t="str">
        <f ca="1">IF(CK55&lt;&gt;"",IF(OR('Outfall 1 Limits'!$AX$80="C1",'Outfall 1 Limits'!$AX$80="C3"),IF('Outfall 1 Limits'!$AV$80="E",ROUND(DO54,AO126),IF('Outfall 1 Limits'!$AQ$80&lt;&gt;0,IF(DO54&gt;=0.05,TEXT(DO54,"0."&amp;REPT("0",LEN('Outfall 1 Limits'!$Z$80)-FIND(".",'Outfall 1 Limits'!$Z$80))),ROUND(DO54,1-(1+INT(LOG10(ABS(DO54)))))),ROUND(DO54,'Outfall 1 Limits'!$AQ$80))),""),"")</f>
        <v/>
      </c>
      <c r="AP56" s="144" t="str">
        <f ca="1">IF(CL55&lt;&gt;"",IF(OR('Outfall 1 Limits'!$AX$84="C1",'Outfall 1 Limits'!$AX$84="C3"),IF(KU60="Y","&lt;",""),""),"")</f>
        <v/>
      </c>
      <c r="AQ56" s="64" t="str">
        <f ca="1">IF(CL55&lt;&gt;"",IF(OR('Outfall 1 Limits'!$AX$84="C1",'Outfall 1 Limits'!$AX$84="C3"),IF('Outfall 1 Limits'!$AV$84="E",ROUND(DP54,AQ126),IF('Outfall 1 Limits'!$AQ$84&lt;&gt;0,IF(DP54&gt;=0.05,TEXT(DP54,"0."&amp;REPT("0",LEN('Outfall 1 Limits'!$Z$84)-FIND(".",'Outfall 1 Limits'!$Z$84))),ROUND(DP54,1-(1+INT(LOG10(ABS(DP54)))))),ROUND(DP54,'Outfall 1 Limits'!$AQ$84))),""),"")</f>
        <v/>
      </c>
      <c r="AR56" s="144" t="str">
        <f ca="1">IF(CM55&lt;&gt;"",IF(OR('Outfall 1 Limits'!$AX$88="C1",'Outfall 1 Limits'!$AX$88="C3"),IF(KV60="Y","&lt;",""),""),"")</f>
        <v/>
      </c>
      <c r="AS56" s="64" t="str">
        <f ca="1">IF(CM55&lt;&gt;"",IF(OR('Outfall 1 Limits'!$AX$88="C1",'Outfall 1 Limits'!$AX$88="C3"),IF('Outfall 1 Limits'!$AV$88="E",ROUND(DQ54,AS126),IF('Outfall 1 Limits'!$AQ$88&lt;&gt;0,IF(DQ54&gt;=0.05,TEXT(DQ54,"0."&amp;REPT("0",LEN('Outfall 1 Limits'!$Z$88)-FIND(".",'Outfall 1 Limits'!$Z$88))),ROUND(DQ54,1-(1+INT(LOG10(ABS(DQ54)))))),ROUND(DQ54,'Outfall 1 Limits'!$AQ$88))),""),"")</f>
        <v/>
      </c>
      <c r="AT56" s="144" t="str">
        <f ca="1">IF(CN55&lt;&gt;"",IF(OR('Outfall 1 Limits'!$AX$92="C1",'Outfall 1 Limits'!$AX$92="C3"),IF(KW60="Y","&lt;",""),""),"")</f>
        <v/>
      </c>
      <c r="AU56" s="64" t="str">
        <f ca="1">IF(CN55&lt;&gt;"",IF(OR('Outfall 1 Limits'!$AX$92="C1",'Outfall 1 Limits'!$AX$92="C3"),IF('Outfall 1 Limits'!$AV$92="E",ROUND(DR54,AU126),IF('Outfall 1 Limits'!$AQ$92&lt;&gt;0,IF(DR54&gt;=0.05,TEXT(DR54,"0."&amp;REPT("0",LEN('Outfall 1 Limits'!$Z$92)-FIND(".",'Outfall 1 Limits'!$Z$92))),ROUND(DR54,1-(1+INT(LOG10(ABS(DR54)))))),ROUND(DR54,'Outfall 1 Limits'!$AQ$92))),""),"")</f>
        <v/>
      </c>
      <c r="AV56" s="144" t="str">
        <f ca="1">IF(CO55&lt;&gt;"",IF(OR('Outfall 1 Limits'!$AX$96="C1",'Outfall 1 Limits'!$AX$96="C3"),IF(KX60="Y","&lt;",""),""),"")</f>
        <v/>
      </c>
      <c r="AW56" s="64" t="str">
        <f ca="1">IF(CO55&lt;&gt;"",IF(OR('Outfall 1 Limits'!$AX$96="C1",'Outfall 1 Limits'!$AX$96="C3"),IF('Outfall 1 Limits'!$AV$96="E",ROUND(DS54,AW126),IF('Outfall 1 Limits'!$AQ$96&lt;&gt;0,IF(DS54&gt;=0.05,TEXT(DS54,"0."&amp;REPT("0",LEN('Outfall 1 Limits'!$Z$96)-FIND(".",'Outfall 1 Limits'!$Z$96))),ROUND(DS54,1-(1+INT(LOG10(ABS(DS54)))))),ROUND(DS54,'Outfall 1 Limits'!$AQ$96))),""),"")</f>
        <v/>
      </c>
      <c r="AX56" s="144" t="str">
        <f ca="1">IF(CP55&lt;&gt;"",IF(OR('Outfall 1 Limits'!$AX$100="C1",'Outfall 1 Limits'!$AX$100="C3"),IF(KY60="Y","&lt;",""),""),"")</f>
        <v/>
      </c>
      <c r="AY56" s="64" t="str">
        <f ca="1">IF(CP55&lt;&gt;"",IF(OR('Outfall 1 Limits'!$AX$100="C1",'Outfall 1 Limits'!$AX$100="C3"),IF('Outfall 1 Limits'!$AV$100="E",ROUND(DT54,AY126),IF('Outfall 1 Limits'!$AQ$100&lt;&gt;0,IF(DT54&gt;=0.05,TEXT(DT54,"0."&amp;REPT("0",LEN('Outfall 1 Limits'!$Z$100)-FIND(".",'Outfall 1 Limits'!$Z$100))),ROUND(DT54,1-(1+INT(LOG10(ABS(DT54)))))),ROUND(DT54,'Outfall 1 Limits'!$AQ$100))),""),"")</f>
        <v/>
      </c>
      <c r="AZ56" s="144" t="str">
        <f ca="1">IF(CQ55&lt;&gt;"",IF(OR('Outfall 1 Limits'!$AX$104="C1",'Outfall 1 Limits'!$AX$104="C3"),IF(KZ60="Y","&lt;",""),""),"")</f>
        <v/>
      </c>
      <c r="BA56" s="64" t="str">
        <f ca="1">IF(CQ55&lt;&gt;"",IF(OR('Outfall 1 Limits'!$AX$104="C1",'Outfall 1 Limits'!$AX$104="C3"),IF('Outfall 1 Limits'!$AV$104="E",ROUND(DU54,BA126),IF('Outfall 1 Limits'!$AQ$104&lt;&gt;0,IF(DU54&gt;=0.05,TEXT(DU54,"0."&amp;REPT("0",LEN('Outfall 1 Limits'!$Z$104)-FIND(".",'Outfall 1 Limits'!$Z$104))),ROUND(DU54,1-(1+INT(LOG10(ABS(DU54)))))),ROUND(DU54,'Outfall 1 Limits'!$AQ$104))),""),"")</f>
        <v/>
      </c>
      <c r="BB56" s="144" t="str">
        <f ca="1">IF(CR55&lt;&gt;"",IF(OR('Outfall 1 Limits'!$AX$108="C1",'Outfall 1 Limits'!$AX$108="C3"),IF(LA60="Y","&lt;",""),""),"")</f>
        <v/>
      </c>
      <c r="BC56" s="64" t="str">
        <f ca="1">IF(CR55&lt;&gt;"",IF(OR('Outfall 1 Limits'!$AX$108="C1",'Outfall 1 Limits'!$AX$108="C3"),IF('Outfall 1 Limits'!$AV$108="E",ROUND(DV54,BC126),IF('Outfall 1 Limits'!$AQ$108&lt;&gt;0,IF(DV54&gt;=0.05,TEXT(DV54,"0."&amp;REPT("0",LEN('Outfall 1 Limits'!$Z$108)-FIND(".",'Outfall 1 Limits'!$Z$108))),ROUND(DV54,1-(1+INT(LOG10(ABS(DV54)))))),ROUND(DV54,'Outfall 1 Limits'!$AQ$108))),""),"")</f>
        <v/>
      </c>
      <c r="BD56" s="144" t="str">
        <f ca="1">IF(CS55&lt;&gt;"",IF(OR('Outfall 1 Limits'!$AX$112="C1",'Outfall 1 Limits'!$AX$112="C3"),IF(LB60="Y","&lt;",""),""),"")</f>
        <v/>
      </c>
      <c r="BE56" s="64" t="str">
        <f ca="1">IF(CS55&lt;&gt;"",IF(OR('Outfall 1 Limits'!$AX$112="C1",'Outfall 1 Limits'!$AX$112="C3"),IF('Outfall 1 Limits'!$AV$112="E",ROUND(DW54,BE126),IF('Outfall 1 Limits'!$AQ$112&lt;&gt;0,IF(DW54&gt;=0.05,TEXT(DW54,"0."&amp;REPT("0",LEN('Outfall 1 Limits'!$Z$112)-FIND(".",'Outfall 1 Limits'!$Z$112))),ROUND(DW54,1-(1+INT(LOG10(ABS(DW54)))))),ROUND(DW54,'Outfall 1 Limits'!$AQ$112))),""),"")</f>
        <v/>
      </c>
      <c r="BF56" s="144" t="str">
        <f ca="1">IF(CT55&lt;&gt;"",IF(OR('Outfall 1 Limits'!$AX$116="C1",'Outfall 1 Limits'!$AX$116="C3"),IF(LC60="Y","&lt;",""),""),"")</f>
        <v/>
      </c>
      <c r="BG56" s="64" t="str">
        <f ca="1">IF(CT55&lt;&gt;"",IF(OR('Outfall 1 Limits'!$AX$116="C1",'Outfall 1 Limits'!$AX$116="C3"),IF('Outfall 1 Limits'!$AV$116="E",ROUND(DX54,BG126),IF('Outfall 1 Limits'!$AQ$116&lt;&gt;0,IF(DX54&gt;=0.05,TEXT(DX54,"0."&amp;REPT("0",LEN('Outfall 1 Limits'!$Z$116)-FIND(".",'Outfall 1 Limits'!$Z$116))),ROUND(DX54,1-(1+INT(LOG10(ABS(DX54)))))),ROUND(DX54,'Outfall 1 Limits'!$AQ$116))),""),"")</f>
        <v/>
      </c>
      <c r="BH56" s="144" t="str">
        <f ca="1">IF(CU55&lt;&gt;"",IF(OR('Outfall 1 Limits'!$AX$120="C1",'Outfall 1 Limits'!$AX$120="C3"),IF(LD60="Y","&lt;",""),""),"")</f>
        <v/>
      </c>
      <c r="BI56" s="64" t="str">
        <f ca="1">IF(CU55&lt;&gt;"",IF(OR('Outfall 1 Limits'!$AX$120="C1",'Outfall 1 Limits'!$AX$120="C3"),IF('Outfall 1 Limits'!$AV$120="E",ROUND(DY54,BI126),IF('Outfall 1 Limits'!$AQ$120&lt;&gt;0,IF(DY54&gt;=0.05,TEXT(DY54,"0."&amp;REPT("0",LEN('Outfall 1 Limits'!$Z$120)-FIND(".",'Outfall 1 Limits'!$Z$120))),ROUND(DY54,1-(1+INT(LOG10(ABS(DY54)))))),ROUND(DY54,'Outfall 1 Limits'!$AQ$120))),""),"")</f>
        <v/>
      </c>
      <c r="BJ56" s="144" t="str">
        <f ca="1">IF(CV55&lt;&gt;"",IF(OR('Outfall 1 Limits'!$AX$124="C1",'Outfall 1 Limits'!$AX$124="C3"),IF(LE60="Y","&lt;",""),""),"")</f>
        <v/>
      </c>
      <c r="BK56" s="64" t="str">
        <f ca="1">IF(CV55&lt;&gt;"",IF(OR('Outfall 1 Limits'!$AX$124="C1",'Outfall 1 Limits'!$AX$124="C3"),IF('Outfall 1 Limits'!$AV$124="E",ROUND(DZ54,BK126),IF('Outfall 1 Limits'!$AQ$124&lt;&gt;0,IF(DZ54&gt;=0.05,TEXT(DZ54,"0."&amp;REPT("0",LEN('Outfall 1 Limits'!$Z$124)-FIND(".",'Outfall 1 Limits'!$Z$124))),ROUND(DZ54,1-(1+INT(LOG10(ABS(DZ54)))))),ROUND(DZ54,'Outfall 1 Limits'!$AQ$124))),""),"")</f>
        <v/>
      </c>
      <c r="BL56" s="144" t="str">
        <f ca="1">IF(CW55&lt;&gt;"",IF(OR('Outfall 1 Limits'!$AX$128="C1",'Outfall 1 Limits'!$AX$128="C3"),IF(LF60="Y","&lt;",""),""),"")</f>
        <v/>
      </c>
      <c r="BM56" s="118" t="str">
        <f ca="1">IF(CW55&lt;&gt;"",IF(OR('Outfall 1 Limits'!$AX$128="C1",'Outfall 1 Limits'!$AX$128="C3"),IF('Outfall 1 Limits'!$AV$128="E",ROUND(EA54,BM126),IF('Outfall 1 Limits'!$AQ$128&lt;&gt;0,IF(EA54&gt;=0.05,TEXT(EA54,"0."&amp;REPT("0",LEN('Outfall 1 Limits'!$Z$128)-FIND(".",'Outfall 1 Limits'!$Z$128))),ROUND(EA54,1-(1+INT(LOG10(ABS(EA54)))))),ROUND(EA54,'Outfall 1 Limits'!$AQ$128))),""),"")</f>
        <v/>
      </c>
      <c r="BO56" s="174"/>
      <c r="BP56" s="174">
        <v>2075</v>
      </c>
      <c r="BQ56" s="179" t="s">
        <v>1157</v>
      </c>
      <c r="BR56" s="174"/>
      <c r="BS56" s="174"/>
      <c r="BT56" s="242" t="s">
        <v>1139</v>
      </c>
      <c r="BU56" s="202" t="e">
        <f ca="1">IF(BU53&lt;&gt;0,IF(INT(BU53)=BU53,"N","Y"),"")</f>
        <v>#VALUE!</v>
      </c>
      <c r="BV56" s="196" t="e">
        <f t="shared" ref="BV56:CW56" ca="1" si="172">IF(BV53&lt;&gt;0,IF(INT(BV53)=BV53,"N","Y"),"")</f>
        <v>#VALUE!</v>
      </c>
      <c r="BW56" s="196" t="e">
        <f t="shared" ca="1" si="172"/>
        <v>#VALUE!</v>
      </c>
      <c r="BX56" s="196" t="e">
        <f t="shared" ca="1" si="172"/>
        <v>#VALUE!</v>
      </c>
      <c r="BY56" s="196" t="e">
        <f t="shared" ca="1" si="172"/>
        <v>#VALUE!</v>
      </c>
      <c r="BZ56" s="196" t="e">
        <f t="shared" ca="1" si="172"/>
        <v>#VALUE!</v>
      </c>
      <c r="CA56" s="196" t="e">
        <f t="shared" ca="1" si="172"/>
        <v>#VALUE!</v>
      </c>
      <c r="CB56" s="196" t="e">
        <f t="shared" ca="1" si="172"/>
        <v>#VALUE!</v>
      </c>
      <c r="CC56" s="196" t="e">
        <f t="shared" ca="1" si="172"/>
        <v>#VALUE!</v>
      </c>
      <c r="CD56" s="196" t="e">
        <f t="shared" ca="1" si="172"/>
        <v>#VALUE!</v>
      </c>
      <c r="CE56" s="196" t="e">
        <f t="shared" ca="1" si="172"/>
        <v>#VALUE!</v>
      </c>
      <c r="CF56" s="196" t="e">
        <f t="shared" ca="1" si="172"/>
        <v>#VALUE!</v>
      </c>
      <c r="CG56" s="196" t="e">
        <f t="shared" ca="1" si="172"/>
        <v>#VALUE!</v>
      </c>
      <c r="CH56" s="196" t="e">
        <f t="shared" ca="1" si="172"/>
        <v>#VALUE!</v>
      </c>
      <c r="CI56" s="196" t="e">
        <f t="shared" ca="1" si="172"/>
        <v>#VALUE!</v>
      </c>
      <c r="CJ56" s="196" t="e">
        <f t="shared" ca="1" si="172"/>
        <v>#VALUE!</v>
      </c>
      <c r="CK56" s="196" t="e">
        <f t="shared" ca="1" si="172"/>
        <v>#VALUE!</v>
      </c>
      <c r="CL56" s="196" t="e">
        <f t="shared" ca="1" si="172"/>
        <v>#VALUE!</v>
      </c>
      <c r="CM56" s="196" t="e">
        <f t="shared" ca="1" si="172"/>
        <v>#VALUE!</v>
      </c>
      <c r="CN56" s="196" t="e">
        <f t="shared" ca="1" si="172"/>
        <v>#VALUE!</v>
      </c>
      <c r="CO56" s="196" t="e">
        <f t="shared" ca="1" si="172"/>
        <v>#VALUE!</v>
      </c>
      <c r="CP56" s="196" t="e">
        <f t="shared" ca="1" si="172"/>
        <v>#VALUE!</v>
      </c>
      <c r="CQ56" s="196" t="e">
        <f t="shared" ca="1" si="172"/>
        <v>#VALUE!</v>
      </c>
      <c r="CR56" s="196" t="e">
        <f t="shared" ca="1" si="172"/>
        <v>#VALUE!</v>
      </c>
      <c r="CS56" s="196" t="e">
        <f t="shared" ca="1" si="172"/>
        <v>#VALUE!</v>
      </c>
      <c r="CT56" s="196" t="e">
        <f t="shared" ca="1" si="172"/>
        <v>#VALUE!</v>
      </c>
      <c r="CU56" s="196" t="e">
        <f t="shared" ca="1" si="172"/>
        <v>#VALUE!</v>
      </c>
      <c r="CV56" s="196" t="e">
        <f t="shared" ca="1" si="172"/>
        <v>#VALUE!</v>
      </c>
      <c r="CW56" s="210" t="e">
        <f t="shared" ca="1" si="172"/>
        <v>#VALUE!</v>
      </c>
      <c r="CX56" s="242" t="s">
        <v>375</v>
      </c>
      <c r="CY56" s="212"/>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8"/>
      <c r="EB56" s="176"/>
      <c r="GJ56" s="245" t="s">
        <v>404</v>
      </c>
      <c r="GK56" s="212" t="str">
        <f ca="1">IF(SUM(GK14:GK51)&gt;0,IF('Outfall 1 Limits'!$AX16="C1",(IF(ROWS(INDIRECT("GK"&amp;$D$10):INDIRECT("GK"&amp;$B$10))-COUNTIF(INDIRECT("GK"&amp;$D$10):INDIRECT("GK"&amp;$B$10),"")&gt;0,SUM(INDIRECT("GK"&amp;$D$10):INDIRECT("GK"&amp;$B$10)),"")/BU55)*$R$6,IF(ROWS(INDIRECT("GK"&amp;$D$10):INDIRECT("GK"&amp;$B$10))-COUNTIF(INDIRECT("GK"&amp;$D$10):INDIRECT("GK"&amp;$B$10),"")&gt;0,SUM(INDIRECT("GK"&amp;$D$10):INDIRECT("GK"&amp;$B$10)),"")),"")</f>
        <v/>
      </c>
      <c r="GL56" s="206" t="str">
        <f ca="1">IF(SUM(GL14:GL51)&gt;0,IF('Outfall 1 Limits'!$AX20="C1",(IF(ROWS(INDIRECT("GL"&amp;$D$10):INDIRECT("GL"&amp;$B$10))-COUNTIF(INDIRECT("GL"&amp;$D$10):INDIRECT("GL"&amp;$B$10),"")&gt;0,SUM(INDIRECT("GL"&amp;$D$10):INDIRECT("GL"&amp;$B$10)),"")/BV55)*$R$6,IF(ROWS(INDIRECT("GL"&amp;$D$10):INDIRECT("GL"&amp;$B$10))-COUNTIF(INDIRECT("GL"&amp;$D$10):INDIRECT("GL"&amp;$B$10),"")&gt;0,SUM(INDIRECT("GL"&amp;$D$10):INDIRECT("GL"&amp;$B$10)),"")),"")</f>
        <v/>
      </c>
      <c r="GM56" s="206" t="str">
        <f ca="1">IF(SUM(GM14:GM51)&gt;0,IF('Outfall 1 Limits'!$AX24="C1",(IF(ROWS(INDIRECT("GM"&amp;$D$10):INDIRECT("GM"&amp;$B$10))-COUNTIF(INDIRECT("GM"&amp;$D$10):INDIRECT("GM"&amp;$B$10),"")&gt;0,SUM(INDIRECT("GM"&amp;$D$10):INDIRECT("GM"&amp;$B$10)),"")/BW55)*$R$6,IF(ROWS(INDIRECT("GM"&amp;$D$10):INDIRECT("GM"&amp;$B$10))-COUNTIF(INDIRECT("GM"&amp;$D$10):INDIRECT("GM"&amp;$B$10),"")&gt;0,SUM(INDIRECT("GM"&amp;$D$10):INDIRECT("GM"&amp;$B$10)),"")),"")</f>
        <v/>
      </c>
      <c r="GN56" s="206" t="str">
        <f ca="1">IF(SUM(GN14:GN51)&gt;0,IF('Outfall 1 Limits'!$AX28="C1",(IF(ROWS(INDIRECT("GN"&amp;$D$10):INDIRECT("GN"&amp;$B$10))-COUNTIF(INDIRECT("GN"&amp;$D$10):INDIRECT("GN"&amp;$B$10),"")&gt;0,SUM(INDIRECT("GN"&amp;$D$10):INDIRECT("GN"&amp;$B$10)),"")/BX55)*$R$6,IF(ROWS(INDIRECT("GN"&amp;$D$10):INDIRECT("GN"&amp;$B$10))-COUNTIF(INDIRECT("GN"&amp;$D$10):INDIRECT("GN"&amp;$B$10),"")&gt;0,SUM(INDIRECT("GN"&amp;$D$10):INDIRECT("GN"&amp;$B$10)),"")),"")</f>
        <v/>
      </c>
      <c r="GO56" s="206" t="str">
        <f ca="1">IF(SUM(GO14:GO51)&gt;0,IF('Outfall 1 Limits'!$AX32="C1",(IF(ROWS(INDIRECT("GO"&amp;$D$10):INDIRECT("GO"&amp;$B$10))-COUNTIF(INDIRECT("GO"&amp;$D$10):INDIRECT("GO"&amp;$B$10),"")&gt;0,SUM(INDIRECT("GO"&amp;$D$10):INDIRECT("GO"&amp;$B$10)),"")/BY55)*$R$6,IF(ROWS(INDIRECT("GO"&amp;$D$10):INDIRECT("GO"&amp;$B$10))-COUNTIF(INDIRECT("GO"&amp;$D$10):INDIRECT("GO"&amp;$B$10),"")&gt;0,SUM(INDIRECT("GO"&amp;$D$10):INDIRECT("GO"&amp;$B$10)),"")),"")</f>
        <v/>
      </c>
      <c r="GP56" s="206" t="str">
        <f ca="1">IF(SUM(GP14:GP51)&gt;0,IF('Outfall 1 Limits'!$AX36="C1",(IF(ROWS(INDIRECT("GP"&amp;$D$10):INDIRECT("GP"&amp;$B$10))-COUNTIF(INDIRECT("GP"&amp;$D$10):INDIRECT("GP"&amp;$B$10),"")&gt;0,SUM(INDIRECT("GP"&amp;$D$10):INDIRECT("GP"&amp;$B$10)),"")/BZ55)*$R$6,IF(ROWS(INDIRECT("GP"&amp;$D$10):INDIRECT("GP"&amp;$B$10))-COUNTIF(INDIRECT("GP"&amp;$D$10):INDIRECT("GP"&amp;$B$10),"")&gt;0,SUM(INDIRECT("GP"&amp;$D$10):INDIRECT("GP"&amp;$B$10)),"")),"")</f>
        <v/>
      </c>
      <c r="GQ56" s="206" t="str">
        <f ca="1">IF(SUM(GQ14:GQ51)&gt;0,IF('Outfall 1 Limits'!$AX40="C1",(IF(ROWS(INDIRECT("GQ"&amp;$D$10):INDIRECT("GQ"&amp;$B$10))-COUNTIF(INDIRECT("GQ"&amp;$D$10):INDIRECT("GQ"&amp;$B$10),"")&gt;0,SUM(INDIRECT("GQ"&amp;$D$10):INDIRECT("GQ"&amp;$B$10)),"")/CA55)*$R$6,IF(ROWS(INDIRECT("GQ"&amp;$D$10):INDIRECT("GQ"&amp;$B$10))-COUNTIF(INDIRECT("GQ"&amp;$D$10):INDIRECT("GQ"&amp;$B$10),"")&gt;0,SUM(INDIRECT("GQ"&amp;$D$10):INDIRECT("GQ"&amp;$B$10)),"")),"")</f>
        <v/>
      </c>
      <c r="GR56" s="206" t="str">
        <f ca="1">IF(SUM(GR14:GR51)&gt;0,IF('Outfall 1 Limits'!$AX44="C1",(IF(ROWS(INDIRECT("GR"&amp;$D$10):INDIRECT("GR"&amp;$B$10))-COUNTIF(INDIRECT("GR"&amp;$D$10):INDIRECT("GR"&amp;$B$10),"")&gt;0,SUM(INDIRECT("GR"&amp;$D$10):INDIRECT("GR"&amp;$B$10)),"")/CB55)*$R$6,IF(ROWS(INDIRECT("GR"&amp;$D$10):INDIRECT("GR"&amp;$B$10))-COUNTIF(INDIRECT("GR"&amp;$D$10):INDIRECT("GR"&amp;$B$10),"")&gt;0,SUM(INDIRECT("GR"&amp;$D$10):INDIRECT("GR"&amp;$B$10)),"")),"")</f>
        <v/>
      </c>
      <c r="GS56" s="206" t="str">
        <f ca="1">IF(SUM(GS14:GS51)&gt;0,IF('Outfall 1 Limits'!$AX48="C1",(IF(ROWS(INDIRECT("GS"&amp;$D$10):INDIRECT("GS"&amp;$B$10))-COUNTIF(INDIRECT("GS"&amp;$D$10):INDIRECT("GS"&amp;$B$10),"")&gt;0,SUM(INDIRECT("GS"&amp;$D$10):INDIRECT("GS"&amp;$B$10)),"")/CC55)*$R$6,IF(ROWS(INDIRECT("GS"&amp;$D$10):INDIRECT("GS"&amp;$B$10))-COUNTIF(INDIRECT("GS"&amp;$D$10):INDIRECT("GS"&amp;$B$10),"")&gt;0,SUM(INDIRECT("GS"&amp;$D$10):INDIRECT("GS"&amp;$B$10)),"")),"")</f>
        <v/>
      </c>
      <c r="GT56" s="206" t="str">
        <f ca="1">IF(SUM(GT14:GT51)&gt;0,IF('Outfall 1 Limits'!$AX52="C1",(IF(ROWS(INDIRECT("GT"&amp;$D$10):INDIRECT("GT"&amp;$B$10))-COUNTIF(INDIRECT("GT"&amp;$D$10):INDIRECT("GT"&amp;$B$10),"")&gt;0,SUM(INDIRECT("GT"&amp;$D$10):INDIRECT("GT"&amp;$B$10)),"")/CD55)*$R$6,IF(ROWS(INDIRECT("GT"&amp;$D$10):INDIRECT("GT"&amp;$B$10))-COUNTIF(INDIRECT("GT"&amp;$D$10):INDIRECT("GT"&amp;$B$10),"")&gt;0,SUM(INDIRECT("GT"&amp;$D$10):INDIRECT("GT"&amp;$B$10)),"")),"")</f>
        <v/>
      </c>
      <c r="GU56" s="206" t="str">
        <f ca="1">IF(SUM(GU14:GU51)&gt;0,IF('Outfall 1 Limits'!$AX56="C1",(IF(ROWS(INDIRECT("GU"&amp;$D$10):INDIRECT("GU"&amp;$B$10))-COUNTIF(INDIRECT("GU"&amp;$D$10):INDIRECT("GU"&amp;$B$10),"")&gt;0,SUM(INDIRECT("GU"&amp;$D$10):INDIRECT("GU"&amp;$B$10)),"")/CE55)*$R$6,IF(ROWS(INDIRECT("GU"&amp;$D$10):INDIRECT("GU"&amp;$B$10))-COUNTIF(INDIRECT("GU"&amp;$D$10):INDIRECT("GU"&amp;$B$10),"")&gt;0,SUM(INDIRECT("GU"&amp;$D$10):INDIRECT("GU"&amp;$B$10)),"")),"")</f>
        <v/>
      </c>
      <c r="GV56" s="206" t="str">
        <f ca="1">IF(SUM(GV14:GV51)&gt;0,IF('Outfall 1 Limits'!$AX60="C1",(IF(ROWS(INDIRECT("GV"&amp;$D$10):INDIRECT("GV"&amp;$B$10))-COUNTIF(INDIRECT("GV"&amp;$D$10):INDIRECT("GV"&amp;$B$10),"")&gt;0,SUM(INDIRECT("GV"&amp;$D$10):INDIRECT("GV"&amp;$B$10)),"")/CF55)*$R$6,IF(ROWS(INDIRECT("GV"&amp;$D$10):INDIRECT("GV"&amp;$B$10))-COUNTIF(INDIRECT("GV"&amp;$D$10):INDIRECT("GV"&amp;$B$10),"")&gt;0,SUM(INDIRECT("GV"&amp;$D$10):INDIRECT("GV"&amp;$B$10)),"")),"")</f>
        <v/>
      </c>
      <c r="GW56" s="206" t="str">
        <f ca="1">IF(SUM(GW14:GW51)&gt;0,IF('Outfall 1 Limits'!$AX64="C1",(IF(ROWS(INDIRECT("GW"&amp;$D$10):INDIRECT("GW"&amp;$B$10))-COUNTIF(INDIRECT("GW"&amp;$D$10):INDIRECT("GW"&amp;$B$10),"")&gt;0,SUM(INDIRECT("GW"&amp;$D$10):INDIRECT("GW"&amp;$B$10)),"")/CG55)*$R$6,IF(ROWS(INDIRECT("GW"&amp;$D$10):INDIRECT("GW"&amp;$B$10))-COUNTIF(INDIRECT("GW"&amp;$D$10):INDIRECT("GW"&amp;$B$10),"")&gt;0,SUM(INDIRECT("GW"&amp;$D$10):INDIRECT("GW"&amp;$B$10)),"")),"")</f>
        <v/>
      </c>
      <c r="GX56" s="206" t="str">
        <f ca="1">IF(SUM(GX14:GX51)&gt;0,IF('Outfall 1 Limits'!$AX68="C1",(IF(ROWS(INDIRECT("GX"&amp;$D$10):INDIRECT("GX"&amp;$B$10))-COUNTIF(INDIRECT("GX"&amp;$D$10):INDIRECT("GX"&amp;$B$10),"")&gt;0,SUM(INDIRECT("GX"&amp;$D$10):INDIRECT("GX"&amp;$B$10)),"")/CH55)*$R$6,IF(ROWS(INDIRECT("GX"&amp;$D$10):INDIRECT("GX"&amp;$B$10))-COUNTIF(INDIRECT("GX"&amp;$D$10):INDIRECT("GX"&amp;$B$10),"")&gt;0,SUM(INDIRECT("GX"&amp;$D$10):INDIRECT("GX"&amp;$B$10)),"")),"")</f>
        <v/>
      </c>
      <c r="GY56" s="206" t="str">
        <f ca="1">IF(SUM(GY14:GY51)&gt;0,IF('Outfall 1 Limits'!$AX72="C1",(IF(ROWS(INDIRECT("GY"&amp;$D$10):INDIRECT("GY"&amp;$B$10))-COUNTIF(INDIRECT("GY"&amp;$D$10):INDIRECT("GY"&amp;$B$10),"")&gt;0,SUM(INDIRECT("GY"&amp;$D$10):INDIRECT("GY"&amp;$B$10)),"")/CI55)*$R$6,IF(ROWS(INDIRECT("GY"&amp;$D$10):INDIRECT("GY"&amp;$B$10))-COUNTIF(INDIRECT("GY"&amp;$D$10):INDIRECT("GY"&amp;$B$10),"")&gt;0,SUM(INDIRECT("GY"&amp;$D$10):INDIRECT("GY"&amp;$B$10)),"")),"")</f>
        <v/>
      </c>
      <c r="GZ56" s="206" t="str">
        <f ca="1">IF(SUM(GZ14:GZ51)&gt;0,IF('Outfall 1 Limits'!$AX76="C1",(IF(ROWS(INDIRECT("GZ"&amp;$D$10):INDIRECT("GZ"&amp;$B$10))-COUNTIF(INDIRECT("GZ"&amp;$D$10):INDIRECT("GZ"&amp;$B$10),"")&gt;0,SUM(INDIRECT("GZ"&amp;$D$10):INDIRECT("GZ"&amp;$B$10)),"")/CJ55)*$R$6,IF(ROWS(INDIRECT("GZ"&amp;$D$10):INDIRECT("GZ"&amp;$B$10))-COUNTIF(INDIRECT("GZ"&amp;$D$10):INDIRECT("GZ"&amp;$B$10),"")&gt;0,SUM(INDIRECT("GZ"&amp;$D$10):INDIRECT("GZ"&amp;$B$10)),"")),"")</f>
        <v/>
      </c>
      <c r="HA56" s="206" t="str">
        <f ca="1">IF(SUM(HA14:HA51)&gt;0,IF('Outfall 1 Limits'!$AX80="C1",(IF(ROWS(INDIRECT("HA"&amp;$D$10):INDIRECT("HA"&amp;$B$10))-COUNTIF(INDIRECT("HA"&amp;$D$10):INDIRECT("HA"&amp;$B$10),"")&gt;0,SUM(INDIRECT("HA"&amp;$D$10):INDIRECT("HA"&amp;$B$10)),"")/CK55)*$R$6,IF(ROWS(INDIRECT("HA"&amp;$D$10):INDIRECT("HA"&amp;$B$10))-COUNTIF(INDIRECT("HA"&amp;$D$10):INDIRECT("HA"&amp;$B$10),"")&gt;0,SUM(INDIRECT("HA"&amp;$D$10):INDIRECT("HA"&amp;$B$10)),"")),"")</f>
        <v/>
      </c>
      <c r="HB56" s="206" t="str">
        <f ca="1">IF(SUM(HB14:HB51)&gt;0,IF('Outfall 1 Limits'!$AX84="C1",(IF(ROWS(INDIRECT("HB"&amp;$D$10):INDIRECT("HB"&amp;$B$10))-COUNTIF(INDIRECT("HB"&amp;$D$10):INDIRECT("HB"&amp;$B$10),"")&gt;0,SUM(INDIRECT("HB"&amp;$D$10):INDIRECT("HB"&amp;$B$10)),"")/CL55)*$R$6,IF(ROWS(INDIRECT("HB"&amp;$D$10):INDIRECT("HB"&amp;$B$10))-COUNTIF(INDIRECT("HB"&amp;$D$10):INDIRECT("HB"&amp;$B$10),"")&gt;0,SUM(INDIRECT("HB"&amp;$D$10):INDIRECT("HB"&amp;$B$10)),"")),"")</f>
        <v/>
      </c>
      <c r="HC56" s="206" t="str">
        <f ca="1">IF(SUM(HC14:HC51)&gt;0,IF('Outfall 1 Limits'!$AX88="C1",(IF(ROWS(INDIRECT("HC"&amp;$D$10):INDIRECT("HC"&amp;$B$10))-COUNTIF(INDIRECT("HC"&amp;$D$10):INDIRECT("HC"&amp;$B$10),"")&gt;0,SUM(INDIRECT("HC"&amp;$D$10):INDIRECT("HC"&amp;$B$10)),"")/CM55)*$R$6,IF(ROWS(INDIRECT("HC"&amp;$D$10):INDIRECT("HC"&amp;$B$10))-COUNTIF(INDIRECT("HC"&amp;$D$10):INDIRECT("HC"&amp;$B$10),"")&gt;0,SUM(INDIRECT("HC"&amp;$D$10):INDIRECT("HC"&amp;$B$10)),"")),"")</f>
        <v/>
      </c>
      <c r="HD56" s="206" t="str">
        <f ca="1">IF(SUM(HD14:HD51)&gt;0,IF('Outfall 1 Limits'!$AX92="C1",(IF(ROWS(INDIRECT("HD"&amp;$D$10):INDIRECT("HD"&amp;$B$10))-COUNTIF(INDIRECT("HD"&amp;$D$10):INDIRECT("HD"&amp;$B$10),"")&gt;0,SUM(INDIRECT("HD"&amp;$D$10):INDIRECT("HD"&amp;$B$10)),"")/CN55)*$R$6,IF(ROWS(INDIRECT("HD"&amp;$D$10):INDIRECT("HD"&amp;$B$10))-COUNTIF(INDIRECT("HD"&amp;$D$10):INDIRECT("HD"&amp;$B$10),"")&gt;0,SUM(INDIRECT("HD"&amp;$D$10):INDIRECT("HD"&amp;$B$10)),"")),"")</f>
        <v/>
      </c>
      <c r="HE56" s="206" t="str">
        <f ca="1">IF(SUM(HE14:HE51)&gt;0,IF('Outfall 1 Limits'!$AX96="C1",(IF(ROWS(INDIRECT("HE"&amp;$D$10):INDIRECT("HE"&amp;$B$10))-COUNTIF(INDIRECT("HE"&amp;$D$10):INDIRECT("HE"&amp;$B$10),"")&gt;0,SUM(INDIRECT("HE"&amp;$D$10):INDIRECT("HE"&amp;$B$10)),"")/CO55)*$R$6,IF(ROWS(INDIRECT("HE"&amp;$D$10):INDIRECT("HE"&amp;$B$10))-COUNTIF(INDIRECT("HE"&amp;$D$10):INDIRECT("HE"&amp;$B$10),"")&gt;0,SUM(INDIRECT("HE"&amp;$D$10):INDIRECT("HE"&amp;$B$10)),"")),"")</f>
        <v/>
      </c>
      <c r="HF56" s="206" t="str">
        <f ca="1">IF(SUM(HF14:HF51)&gt;0,IF('Outfall 1 Limits'!$AX100="C1",(IF(ROWS(INDIRECT("HF"&amp;$D$10):INDIRECT("HF"&amp;$B$10))-COUNTIF(INDIRECT("HF"&amp;$D$10):INDIRECT("HF"&amp;$B$10),"")&gt;0,SUM(INDIRECT("HF"&amp;$D$10):INDIRECT("HF"&amp;$B$10)),"")/CP55)*$R$6,IF(ROWS(INDIRECT("HF"&amp;$D$10):INDIRECT("HF"&amp;$B$10))-COUNTIF(INDIRECT("HF"&amp;$D$10):INDIRECT("HF"&amp;$B$10),"")&gt;0,SUM(INDIRECT("HF"&amp;$D$10):INDIRECT("HF"&amp;$B$10)),"")),"")</f>
        <v/>
      </c>
      <c r="HG56" s="206" t="str">
        <f ca="1">IF(SUM(HG14:HG51)&gt;0,IF('Outfall 1 Limits'!$AX104="C1",(IF(ROWS(INDIRECT("HG"&amp;$D$10):INDIRECT("HG"&amp;$B$10))-COUNTIF(INDIRECT("HG"&amp;$D$10):INDIRECT("HG"&amp;$B$10),"")&gt;0,SUM(INDIRECT("HG"&amp;$D$10):INDIRECT("HG"&amp;$B$10)),"")/CQ55)*$R$6,IF(ROWS(INDIRECT("HG"&amp;$D$10):INDIRECT("HG"&amp;$B$10))-COUNTIF(INDIRECT("HG"&amp;$D$10):INDIRECT("HG"&amp;$B$10),"")&gt;0,SUM(INDIRECT("HG"&amp;$D$10):INDIRECT("HG"&amp;$B$10)),"")),"")</f>
        <v/>
      </c>
      <c r="HH56" s="206" t="str">
        <f ca="1">IF(SUM(HH14:HH51)&gt;0,IF('Outfall 1 Limits'!$AX108="C1",(IF(ROWS(INDIRECT("HH"&amp;$D$10):INDIRECT("HH"&amp;$B$10))-COUNTIF(INDIRECT("HH"&amp;$D$10):INDIRECT("HH"&amp;$B$10),"")&gt;0,SUM(INDIRECT("HH"&amp;$D$10):INDIRECT("HH"&amp;$B$10)),"")/CR55)*$R$6,IF(ROWS(INDIRECT("HH"&amp;$D$10):INDIRECT("HH"&amp;$B$10))-COUNTIF(INDIRECT("HH"&amp;$D$10):INDIRECT("HH"&amp;$B$10),"")&gt;0,SUM(INDIRECT("HH"&amp;$D$10):INDIRECT("HH"&amp;$B$10)),"")),"")</f>
        <v/>
      </c>
      <c r="HI56" s="206" t="str">
        <f ca="1">IF(SUM(HI14:HI51)&gt;0,IF('Outfall 1 Limits'!$AX112="C1",(IF(ROWS(INDIRECT("HI"&amp;$D$10):INDIRECT("HI"&amp;$B$10))-COUNTIF(INDIRECT("HI"&amp;$D$10):INDIRECT("HI"&amp;$B$10),"")&gt;0,SUM(INDIRECT("HI"&amp;$D$10):INDIRECT("HI"&amp;$B$10)),"")/CS55)*$R$6,IF(ROWS(INDIRECT("HI"&amp;$D$10):INDIRECT("HI"&amp;$B$10))-COUNTIF(INDIRECT("HI"&amp;$D$10):INDIRECT("HI"&amp;$B$10),"")&gt;0,SUM(INDIRECT("HI"&amp;$D$10):INDIRECT("HI"&amp;$B$10)),"")),"")</f>
        <v/>
      </c>
      <c r="HJ56" s="206" t="str">
        <f ca="1">IF(SUM(HJ14:HJ51)&gt;0,IF('Outfall 1 Limits'!$AX116="C1",(IF(ROWS(INDIRECT("HJ"&amp;$D$10):INDIRECT("HJ"&amp;$B$10))-COUNTIF(INDIRECT("HJ"&amp;$D$10):INDIRECT("HJ"&amp;$B$10),"")&gt;0,SUM(INDIRECT("HJ"&amp;$D$10):INDIRECT("HJ"&amp;$B$10)),"")/CT55)*$R$6,IF(ROWS(INDIRECT("HJ"&amp;$D$10):INDIRECT("HJ"&amp;$B$10))-COUNTIF(INDIRECT("HJ"&amp;$D$10):INDIRECT("HJ"&amp;$B$10),"")&gt;0,SUM(INDIRECT("HJ"&amp;$D$10):INDIRECT("HJ"&amp;$B$10)),"")),"")</f>
        <v/>
      </c>
      <c r="HK56" s="206" t="str">
        <f ca="1">IF(SUM(HK14:HK51)&gt;0,IF('Outfall 1 Limits'!$AX120="C1",(IF(ROWS(INDIRECT("HK"&amp;$D$10):INDIRECT("HK"&amp;$B$10))-COUNTIF(INDIRECT("HK"&amp;$D$10):INDIRECT("HK"&amp;$B$10),"")&gt;0,SUM(INDIRECT("HK"&amp;$D$10):INDIRECT("HK"&amp;$B$10)),"")/CU55)*$R$6,IF(ROWS(INDIRECT("HK"&amp;$D$10):INDIRECT("HK"&amp;$B$10))-COUNTIF(INDIRECT("HK"&amp;$D$10):INDIRECT("HK"&amp;$B$10),"")&gt;0,SUM(INDIRECT("HK"&amp;$D$10):INDIRECT("HK"&amp;$B$10)),"")),"")</f>
        <v/>
      </c>
      <c r="HL56" s="206" t="str">
        <f ca="1">IF(SUM(HL14:HL51)&gt;0,IF('Outfall 1 Limits'!$AX124="C1",(IF(ROWS(INDIRECT("HL"&amp;$D$10):INDIRECT("HL"&amp;$B$10))-COUNTIF(INDIRECT("HL"&amp;$D$10):INDIRECT("HL"&amp;$B$10),"")&gt;0,SUM(INDIRECT("HL"&amp;$D$10):INDIRECT("HL"&amp;$B$10)),"")/CV55)*$R$6,IF(ROWS(INDIRECT("HL"&amp;$D$10):INDIRECT("HL"&amp;$B$10))-COUNTIF(INDIRECT("HL"&amp;$D$10):INDIRECT("HL"&amp;$B$10),"")&gt;0,SUM(INDIRECT("HL"&amp;$D$10):INDIRECT("HL"&amp;$B$10)),"")),"")</f>
        <v/>
      </c>
      <c r="HM56" s="210" t="str">
        <f ca="1">IF(SUM(HM14:HM51)&gt;0,IF('Outfall 1 Limits'!$AX128="C1",(IF(ROWS(INDIRECT("HM"&amp;$D$10):INDIRECT("HM"&amp;$B$10))-COUNTIF(INDIRECT("HM"&amp;$D$10):INDIRECT("HM"&amp;$B$10),"")&gt;0,SUM(INDIRECT("HM"&amp;$D$10):INDIRECT("HM"&amp;$B$10)),"")/CW55)*$R$6,IF(ROWS(INDIRECT("HM"&amp;$D$10):INDIRECT("HM"&amp;$B$10))-COUNTIF(INDIRECT("HM"&amp;$D$10):INDIRECT("HM"&amp;$B$10),"")&gt;0,SUM(INDIRECT("HM"&amp;$D$10):INDIRECT("HM"&amp;$B$10)),"")),"")</f>
        <v/>
      </c>
      <c r="HN56" s="245" t="s">
        <v>371</v>
      </c>
      <c r="HO56" s="246" t="str">
        <f ca="1">HS56</f>
        <v/>
      </c>
      <c r="HP56" s="174"/>
      <c r="HQ56" s="174"/>
      <c r="HR56" s="242" t="s">
        <v>371</v>
      </c>
      <c r="HS56" s="247" t="str">
        <f ca="1">IF(ROWS(INDIRECT("I"&amp;$D$10):INDIRECT("I"&amp;$B$10))-COUNTIF(INDIRECT("I"&amp;$D$10):INDIRECT("I"&amp;$B$10),"")&gt;0,MIN(INDIRECT("I"&amp;$D$10):INDIRECT("I"&amp;$B$10)),"")</f>
        <v/>
      </c>
      <c r="HT56" s="196" t="str">
        <f ca="1">IF(ROWS(INDIRECT("K"&amp;$D$10):INDIRECT("K"&amp;$B$10))-COUNTIF(INDIRECT("K"&amp;$D$10):INDIRECT("K"&amp;$B$10),"")&gt;0,MIN(INDIRECT("K"&amp;$D$10):INDIRECT("K"&amp;$B$10)),"")</f>
        <v/>
      </c>
      <c r="HU56" s="196" t="str">
        <f ca="1">IF(ROWS(INDIRECT("M"&amp;$D$10):INDIRECT("M"&amp;$B$10))-COUNTIF(INDIRECT("M"&amp;$D$10):INDIRECT("M"&amp;$B$10),"")&gt;0,MIN(INDIRECT("M"&amp;$D$10):INDIRECT("M"&amp;$B$10)),"")</f>
        <v/>
      </c>
      <c r="HV56" s="196" t="str">
        <f ca="1">IF(ROWS(INDIRECT("O"&amp;$D$10):INDIRECT("O"&amp;$B$10))-COUNTIF(INDIRECT("O"&amp;$D$10):INDIRECT("O"&amp;$B$10),"")&gt;0,MIN(INDIRECT("O"&amp;$D$10):INDIRECT("O"&amp;$B$10)),"")</f>
        <v/>
      </c>
      <c r="HW56" s="196" t="str">
        <f ca="1">IF(ROWS(INDIRECT("Q"&amp;$D$10):INDIRECT("Q"&amp;$B$10))-COUNTIF(INDIRECT("Q"&amp;$D$10):INDIRECT("Q"&amp;$B$10),"")&gt;0,MIN(INDIRECT("Q"&amp;$D$10):INDIRECT("Q"&amp;$B$10)),"")</f>
        <v/>
      </c>
      <c r="HX56" s="196" t="str">
        <f ca="1">IF(ROWS(INDIRECT("S"&amp;$D$10):INDIRECT("S"&amp;$B$10))-COUNTIF(INDIRECT("S"&amp;$D$10):INDIRECT("S"&amp;$B$10),"")&gt;0,MIN(INDIRECT("S"&amp;$D$10):INDIRECT("S"&amp;$B$10)),"")</f>
        <v/>
      </c>
      <c r="HY56" s="196" t="str">
        <f ca="1">IF(ROWS(INDIRECT("U"&amp;$D$10):INDIRECT("U"&amp;$B$10))-COUNTIF(INDIRECT("U"&amp;$D$10):INDIRECT("U"&amp;$B$10),"")&gt;0,MIN(INDIRECT("U"&amp;$D$10):INDIRECT("U"&amp;$B$10)),"")</f>
        <v/>
      </c>
      <c r="HZ56" s="196" t="str">
        <f ca="1">IF(ROWS(INDIRECT("W"&amp;$D$10):INDIRECT("W"&amp;$B$10))-COUNTIF(INDIRECT("W"&amp;$D$10):INDIRECT("W"&amp;$B$10),"")&gt;0,MIN(INDIRECT("W"&amp;$D$10):INDIRECT("W"&amp;$B$10)),"")</f>
        <v/>
      </c>
      <c r="IA56" s="196" t="str">
        <f ca="1">IF(ROWS(INDIRECT("Y"&amp;$D$10):INDIRECT("Y"&amp;$B$10))-COUNTIF(INDIRECT("Y"&amp;$D$10):INDIRECT("Y"&amp;$B$10),"")&gt;0,MIN(INDIRECT("Y"&amp;$D$10):INDIRECT("Y"&amp;$B$10)),"")</f>
        <v/>
      </c>
      <c r="IB56" s="196" t="str">
        <f ca="1">IF(ROWS(INDIRECT("AA"&amp;$D$10):INDIRECT("AA"&amp;$B$10))-COUNTIF(INDIRECT("AA"&amp;$D$10):INDIRECT("AA"&amp;$B$10),"")&gt;0,MIN(INDIRECT("AA"&amp;$D$10):INDIRECT("AA"&amp;$B$10)),"")</f>
        <v/>
      </c>
      <c r="IC56" s="196" t="str">
        <f ca="1">IF(ROWS(INDIRECT("AC"&amp;$D$10):INDIRECT("AC"&amp;$B$10))-COUNTIF(INDIRECT("AC"&amp;$D$10):INDIRECT("AC"&amp;$B$10),"")&gt;0,MIN(INDIRECT("AC"&amp;$D$10):INDIRECT("AC"&amp;$B$10)),"")</f>
        <v/>
      </c>
      <c r="ID56" s="196" t="str">
        <f ca="1">IF(ROWS(INDIRECT("AE"&amp;$D$10):INDIRECT("AE"&amp;$B$10))-COUNTIF(INDIRECT("AE"&amp;$D$10):INDIRECT("AE"&amp;$B$10),"")&gt;0,MIN(INDIRECT("AE"&amp;$D$10):INDIRECT("AE"&amp;$B$10)),"")</f>
        <v/>
      </c>
      <c r="IE56" s="196" t="str">
        <f ca="1">IF(ROWS(INDIRECT("AG"&amp;$D$10):INDIRECT("AG"&amp;$B$10))-COUNTIF(INDIRECT("AG"&amp;$D$10):INDIRECT("AG"&amp;$B$10),"")&gt;0,MIN(INDIRECT("AG"&amp;$D$10):INDIRECT("AG"&amp;$B$10)),"")</f>
        <v/>
      </c>
      <c r="IF56" s="196" t="str">
        <f ca="1">IF(ROWS(INDIRECT("AI"&amp;$D$10):INDIRECT("AI"&amp;$B$10))-COUNTIF(INDIRECT("AI"&amp;$D$10):INDIRECT("AI"&amp;$B$10),"")&gt;0,MIN(INDIRECT("AI"&amp;$D$10):INDIRECT("AI"&amp;$B$10)),"")</f>
        <v/>
      </c>
      <c r="IG56" s="196" t="str">
        <f ca="1">IF(ROWS(INDIRECT("AK"&amp;$D$10):INDIRECT("AK"&amp;$B$10))-COUNTIF(INDIRECT("AK"&amp;$D$10):INDIRECT("AK"&amp;$B$10),"")&gt;0,MIN(INDIRECT("AK"&amp;$D$10):INDIRECT("AK"&amp;$B$10)),"")</f>
        <v/>
      </c>
      <c r="IH56" s="196" t="str">
        <f ca="1">IF(ROWS(INDIRECT("AM"&amp;$D$10):INDIRECT("AM"&amp;$B$10))-COUNTIF(INDIRECT("AM"&amp;$D$10):INDIRECT("AM"&amp;$B$10),"")&gt;0,MIN(INDIRECT("AM"&amp;$D$10):INDIRECT("AM"&amp;$B$10)),"")</f>
        <v/>
      </c>
      <c r="II56" s="196" t="str">
        <f ca="1">IF(ROWS(INDIRECT("AO"&amp;$D$10):INDIRECT("AO"&amp;$B$10))-COUNTIF(INDIRECT("AO"&amp;$D$10):INDIRECT("AO"&amp;$B$10),"")&gt;0,MIN(INDIRECT("AO"&amp;$D$10):INDIRECT("AO"&amp;$B$10)),"")</f>
        <v/>
      </c>
      <c r="IJ56" s="196" t="str">
        <f ca="1">IF(ROWS(INDIRECT("AQ"&amp;$D$10):INDIRECT("AQ"&amp;$B$10))-COUNTIF(INDIRECT("AQ"&amp;$D$10):INDIRECT("AQ"&amp;$B$10),"")&gt;0,MIN(INDIRECT("AQ"&amp;$D$10):INDIRECT("AQ"&amp;$B$10)),"")</f>
        <v/>
      </c>
      <c r="IK56" s="196" t="str">
        <f ca="1">IF(ROWS(INDIRECT("AS"&amp;$D$10):INDIRECT("AS"&amp;$B$10))-COUNTIF(INDIRECT("AS"&amp;$D$10):INDIRECT("AS"&amp;$B$10),"")&gt;0,MIN(INDIRECT("AS"&amp;$D$10):INDIRECT("AS"&amp;$B$10)),"")</f>
        <v/>
      </c>
      <c r="IL56" s="196" t="str">
        <f ca="1">IF(ROWS(INDIRECT("AU"&amp;$D$10):INDIRECT("AU"&amp;$B$10))-COUNTIF(INDIRECT("AU"&amp;$D$10):INDIRECT("AU"&amp;$B$10),"")&gt;0,MIN(INDIRECT("AU"&amp;$D$10):INDIRECT("AU"&amp;$B$10)),"")</f>
        <v/>
      </c>
      <c r="IM56" s="196" t="str">
        <f ca="1">IF(ROWS(INDIRECT("AW"&amp;$D$10):INDIRECT("AW"&amp;$B$10))-COUNTIF(INDIRECT("AW"&amp;$D$10):INDIRECT("AW"&amp;$B$10),"")&gt;0,MIN(INDIRECT("AW"&amp;$D$10):INDIRECT("AW"&amp;$B$10)),"")</f>
        <v/>
      </c>
      <c r="IN56" s="196" t="str">
        <f ca="1">IF(ROWS(INDIRECT("AY"&amp;$D$10):INDIRECT("AY"&amp;$B$10))-COUNTIF(INDIRECT("AY"&amp;$D$10):INDIRECT("AY"&amp;$B$10),"")&gt;0,MIN(INDIRECT("AY"&amp;$D$10):INDIRECT("AY"&amp;$B$10)),"")</f>
        <v/>
      </c>
      <c r="IO56" s="196" t="str">
        <f ca="1">IF(ROWS(INDIRECT("BA"&amp;$D$10):INDIRECT("BA"&amp;$B$10))-COUNTIF(INDIRECT("BA"&amp;$D$10):INDIRECT("BA"&amp;$B$10),"")&gt;0,MIN(INDIRECT("BA"&amp;$D$10):INDIRECT("BA"&amp;$B$10)),"")</f>
        <v/>
      </c>
      <c r="IP56" s="196" t="str">
        <f ca="1">IF(ROWS(INDIRECT("BC"&amp;$D$10):INDIRECT("BC"&amp;$B$10))-COUNTIF(INDIRECT("BC"&amp;$D$10):INDIRECT("BC"&amp;$B$10),"")&gt;0,MIN(INDIRECT("BC"&amp;$D$10):INDIRECT("BC"&amp;$B$10)),"")</f>
        <v/>
      </c>
      <c r="IQ56" s="196" t="str">
        <f ca="1">IF(ROWS(INDIRECT("BE"&amp;$D$10):INDIRECT("BE"&amp;$B$10))-COUNTIF(INDIRECT("BE"&amp;$D$10):INDIRECT("BE"&amp;$B$10),"")&gt;0,MIN(INDIRECT("BE"&amp;$D$10):INDIRECT("BE"&amp;$B$10)),"")</f>
        <v/>
      </c>
      <c r="IR56" s="196" t="str">
        <f ca="1">IF(ROWS(INDIRECT("BG"&amp;$D$10):INDIRECT("BG"&amp;$B$10))-COUNTIF(INDIRECT("BG"&amp;$D$10):INDIRECT("BG"&amp;$B$10),"")&gt;0,MIN(INDIRECT("BG"&amp;$D$10):INDIRECT("BG"&amp;$B$10)),"")</f>
        <v/>
      </c>
      <c r="IS56" s="196" t="str">
        <f ca="1">IF(ROWS(INDIRECT("BI"&amp;$D$10):INDIRECT("BI"&amp;$B$10))-COUNTIF(INDIRECT("BI"&amp;$D$10):INDIRECT("BI"&amp;$B$10),"")&gt;0,MIN(INDIRECT("BI"&amp;$D$10):INDIRECT("BI"&amp;$B$10)),"")</f>
        <v/>
      </c>
      <c r="IT56" s="196" t="str">
        <f ca="1">IF(ROWS(INDIRECT("BK"&amp;$D$10):INDIRECT("BK"&amp;$B$10))-COUNTIF(INDIRECT("BK"&amp;$D$10):INDIRECT("BK"&amp;$B$10),"")&gt;0,MIN(INDIRECT("BK"&amp;$D$10):INDIRECT("BK"&amp;$B$10)),"")</f>
        <v/>
      </c>
      <c r="IU56" s="210" t="str">
        <f ca="1">IF(ROWS(INDIRECT("BM"&amp;$D$10):INDIRECT("BM"&amp;$B$10))-COUNTIF(INDIRECT("BM"&amp;$D$10):INDIRECT("BM"&amp;$B$10),"")&gt;0,MIN(INDIRECT("BM"&amp;$D$10):INDIRECT("BM"&amp;$B$10)),"")</f>
        <v/>
      </c>
      <c r="IW56" s="242" t="s">
        <v>376</v>
      </c>
      <c r="IX56" s="202" t="str">
        <f t="shared" ref="IX56:JZ56" ca="1" si="173">IF(IX53&lt;&gt;"",IF(IX53=IX54,"N","Y"),"")</f>
        <v/>
      </c>
      <c r="IY56" s="196" t="str">
        <f t="shared" ca="1" si="173"/>
        <v/>
      </c>
      <c r="IZ56" s="196" t="str">
        <f t="shared" ca="1" si="173"/>
        <v/>
      </c>
      <c r="JA56" s="196" t="str">
        <f t="shared" ca="1" si="173"/>
        <v/>
      </c>
      <c r="JB56" s="196" t="str">
        <f t="shared" ca="1" si="173"/>
        <v/>
      </c>
      <c r="JC56" s="196" t="str">
        <f t="shared" ca="1" si="173"/>
        <v/>
      </c>
      <c r="JD56" s="196" t="str">
        <f t="shared" ca="1" si="173"/>
        <v/>
      </c>
      <c r="JE56" s="196" t="str">
        <f t="shared" ca="1" si="173"/>
        <v/>
      </c>
      <c r="JF56" s="196" t="str">
        <f t="shared" ca="1" si="173"/>
        <v/>
      </c>
      <c r="JG56" s="196" t="str">
        <f t="shared" ca="1" si="173"/>
        <v/>
      </c>
      <c r="JH56" s="196" t="str">
        <f t="shared" ca="1" si="173"/>
        <v/>
      </c>
      <c r="JI56" s="196" t="str">
        <f t="shared" ca="1" si="173"/>
        <v/>
      </c>
      <c r="JJ56" s="196" t="str">
        <f t="shared" ca="1" si="173"/>
        <v/>
      </c>
      <c r="JK56" s="196" t="str">
        <f t="shared" ca="1" si="173"/>
        <v/>
      </c>
      <c r="JL56" s="196" t="str">
        <f t="shared" ca="1" si="173"/>
        <v/>
      </c>
      <c r="JM56" s="196" t="str">
        <f t="shared" ca="1" si="173"/>
        <v/>
      </c>
      <c r="JN56" s="196" t="str">
        <f t="shared" ca="1" si="173"/>
        <v/>
      </c>
      <c r="JO56" s="196" t="str">
        <f t="shared" ca="1" si="173"/>
        <v/>
      </c>
      <c r="JP56" s="196" t="str">
        <f t="shared" ca="1" si="173"/>
        <v/>
      </c>
      <c r="JQ56" s="196" t="str">
        <f t="shared" ca="1" si="173"/>
        <v/>
      </c>
      <c r="JR56" s="196" t="str">
        <f t="shared" ca="1" si="173"/>
        <v/>
      </c>
      <c r="JS56" s="196" t="str">
        <f t="shared" ca="1" si="173"/>
        <v/>
      </c>
      <c r="JT56" s="196" t="str">
        <f t="shared" ca="1" si="173"/>
        <v/>
      </c>
      <c r="JU56" s="196" t="str">
        <f t="shared" ca="1" si="173"/>
        <v/>
      </c>
      <c r="JV56" s="196" t="str">
        <f t="shared" ca="1" si="173"/>
        <v/>
      </c>
      <c r="JW56" s="196" t="str">
        <f t="shared" ca="1" si="173"/>
        <v/>
      </c>
      <c r="JX56" s="196" t="str">
        <f t="shared" ca="1" si="173"/>
        <v/>
      </c>
      <c r="JY56" s="196" t="str">
        <f t="shared" ca="1" si="173"/>
        <v/>
      </c>
      <c r="JZ56" s="210" t="str">
        <f t="shared" ca="1" si="173"/>
        <v/>
      </c>
      <c r="KA56" s="196"/>
      <c r="KB56" s="176"/>
      <c r="KC56" s="248" t="s">
        <v>1184</v>
      </c>
      <c r="KD56" s="174">
        <f t="shared" ref="KD56:LF56" si="174">COUNTIF(KD14:KD51,"B")</f>
        <v>0</v>
      </c>
      <c r="KE56" s="174">
        <f t="shared" si="174"/>
        <v>0</v>
      </c>
      <c r="KF56" s="174">
        <f t="shared" si="174"/>
        <v>0</v>
      </c>
      <c r="KG56" s="174">
        <f t="shared" si="174"/>
        <v>0</v>
      </c>
      <c r="KH56" s="174">
        <f t="shared" si="174"/>
        <v>0</v>
      </c>
      <c r="KI56" s="174">
        <f t="shared" si="174"/>
        <v>0</v>
      </c>
      <c r="KJ56" s="174">
        <f t="shared" si="174"/>
        <v>0</v>
      </c>
      <c r="KK56" s="174">
        <f t="shared" si="174"/>
        <v>0</v>
      </c>
      <c r="KL56" s="174">
        <f t="shared" si="174"/>
        <v>0</v>
      </c>
      <c r="KM56" s="174">
        <f t="shared" si="174"/>
        <v>0</v>
      </c>
      <c r="KN56" s="174">
        <f t="shared" si="174"/>
        <v>0</v>
      </c>
      <c r="KO56" s="174">
        <f t="shared" si="174"/>
        <v>0</v>
      </c>
      <c r="KP56" s="174">
        <f t="shared" si="174"/>
        <v>0</v>
      </c>
      <c r="KQ56" s="174">
        <f t="shared" si="174"/>
        <v>0</v>
      </c>
      <c r="KR56" s="174">
        <f t="shared" si="174"/>
        <v>0</v>
      </c>
      <c r="KS56" s="174">
        <f t="shared" si="174"/>
        <v>0</v>
      </c>
      <c r="KT56" s="174">
        <f t="shared" si="174"/>
        <v>0</v>
      </c>
      <c r="KU56" s="174">
        <f t="shared" si="174"/>
        <v>0</v>
      </c>
      <c r="KV56" s="174">
        <f t="shared" si="174"/>
        <v>0</v>
      </c>
      <c r="KW56" s="174">
        <f t="shared" si="174"/>
        <v>0</v>
      </c>
      <c r="KX56" s="174">
        <f t="shared" si="174"/>
        <v>0</v>
      </c>
      <c r="KY56" s="174">
        <f t="shared" si="174"/>
        <v>0</v>
      </c>
      <c r="KZ56" s="174">
        <f t="shared" si="174"/>
        <v>0</v>
      </c>
      <c r="LA56" s="174">
        <f t="shared" si="174"/>
        <v>0</v>
      </c>
      <c r="LB56" s="174">
        <f t="shared" si="174"/>
        <v>0</v>
      </c>
      <c r="LC56" s="174">
        <f t="shared" si="174"/>
        <v>0</v>
      </c>
      <c r="LD56" s="174">
        <f t="shared" si="174"/>
        <v>0</v>
      </c>
      <c r="LE56" s="174">
        <f t="shared" si="174"/>
        <v>0</v>
      </c>
      <c r="LF56" s="174">
        <f t="shared" si="174"/>
        <v>0</v>
      </c>
    </row>
    <row r="57" spans="1:318" s="172" customFormat="1" ht="11.25" customHeight="1" thickBot="1" x14ac:dyDescent="0.25">
      <c r="A57" s="35"/>
      <c r="B57" s="439" t="s">
        <v>2</v>
      </c>
      <c r="C57" s="439"/>
      <c r="D57" s="439"/>
      <c r="E57" s="439"/>
      <c r="F57" s="440"/>
      <c r="G57" s="63"/>
      <c r="H57" s="64" t="str">
        <f ca="1">IF(BU55&lt;&gt;"",IF('Outfall 1 Limits'!AX16="C4",IF(I169="Y","&gt;",IF(BU56="Y","&lt;","")),""),"")</f>
        <v/>
      </c>
      <c r="I57" s="64" t="str">
        <f ca="1">IF(BU55&lt;&gt;"",IF('Outfall 1 Limits'!AX16="C4",ROUND(CY61,0),""),"")</f>
        <v/>
      </c>
      <c r="J57" s="113" t="str">
        <f>IF('Outfall 1 Limits'!$AX$20="C4",IF(BV56="Y","&lt;",""),"")</f>
        <v/>
      </c>
      <c r="K57" s="64" t="str">
        <f ca="1">IF(BV55&lt;&gt;"",IF('Outfall 1 Limits'!$AX$20="C4",ROUND(CZ61,0),""),"")</f>
        <v/>
      </c>
      <c r="L57" s="64" t="str">
        <f>IF('Outfall 1 Limits'!$AX$24="C4",IF(BW56="Y","&lt;",""),"")</f>
        <v/>
      </c>
      <c r="M57" s="64" t="str">
        <f ca="1">IF(BW55&lt;&gt;"",IF('Outfall 1 Limits'!$AX$24="C4",ROUND(DA61,0),""),"")</f>
        <v/>
      </c>
      <c r="N57" s="64" t="str">
        <f>IF('Outfall 1 Limits'!$AX$28="C4",IF(BX56="Y","&lt;",""),"")</f>
        <v/>
      </c>
      <c r="O57" s="64" t="str">
        <f ca="1">IF(BX55&lt;&gt;"",IF('Outfall 1 Limits'!$AX$28="C4",ROUND(DB61,0),""),"")</f>
        <v/>
      </c>
      <c r="P57" s="64" t="str">
        <f>IF('Outfall 1 Limits'!$AX$32="C4",IF(BY56="Y","&lt;",""),"")</f>
        <v/>
      </c>
      <c r="Q57" s="64" t="str">
        <f ca="1">IF(BY55&lt;&gt;"",IF('Outfall 1 Limits'!$AX$32="C4",ROUND(DC61,0),""),"")</f>
        <v/>
      </c>
      <c r="R57" s="64" t="str">
        <f>IF('Outfall 1 Limits'!$AX$36="C4",IF(BZ56="Y","&lt;",""),"")</f>
        <v/>
      </c>
      <c r="S57" s="64" t="str">
        <f ca="1">IF(BZ55&lt;&gt;"",IF('Outfall 1 Limits'!$AX$36="C4",ROUND(DD61,0),""),"")</f>
        <v/>
      </c>
      <c r="T57" s="64" t="str">
        <f>IF('Outfall 1 Limits'!$AX$40="C4",IF(CA56="Y","&lt;",""),"")</f>
        <v/>
      </c>
      <c r="U57" s="64" t="str">
        <f ca="1">IF(CA55&lt;&gt;"",IF('Outfall 1 Limits'!$AX$40="C4",ROUND(DE61,0),""),"")</f>
        <v/>
      </c>
      <c r="V57" s="64" t="str">
        <f>IF('Outfall 1 Limits'!$AX$44="C4",IF(CB56="Y","&lt;",""),"")</f>
        <v/>
      </c>
      <c r="W57" s="64" t="str">
        <f ca="1">IF(CB55&lt;&gt;"",IF('Outfall 1 Limits'!$AX$44="C4",ROUND(DF61,0),""),"")</f>
        <v/>
      </c>
      <c r="X57" s="279" t="str">
        <f>IF('Outfall 1 Limits'!$AX$48="C4",IF(CC56="Y","&lt;",""),"")</f>
        <v/>
      </c>
      <c r="Y57" s="64" t="str">
        <f ca="1">IF(CC55&lt;&gt;"",IF('Outfall 1 Limits'!$AX$48="C4",ROUND(DG61,0),""),"")</f>
        <v/>
      </c>
      <c r="Z57" s="64" t="str">
        <f>IF('Outfall 1 Limits'!$AX$52="C4",IF(CD56="Y","&lt;",""),"")</f>
        <v/>
      </c>
      <c r="AA57" s="64" t="str">
        <f ca="1">IF(CD55&lt;&gt;"",IF('Outfall 1 Limits'!$AX$52="C4",ROUND(DH61,0),""),"")</f>
        <v/>
      </c>
      <c r="AB57" s="64" t="str">
        <f>IF('Outfall 1 Limits'!$AX$56="C4",IF(CE56="Y","&lt;",""),"")</f>
        <v/>
      </c>
      <c r="AC57" s="64" t="str">
        <f ca="1">IF(CE55&lt;&gt;"",IF('Outfall 1 Limits'!$AX$56="C4",ROUND(DI61,0),""),"")</f>
        <v/>
      </c>
      <c r="AD57" s="64" t="str">
        <f>IF('Outfall 1 Limits'!$AX$60="C4",IF(CF56="Y","&lt;",""),"")</f>
        <v/>
      </c>
      <c r="AE57" s="64" t="str">
        <f ca="1">IF(CF55&lt;&gt;"",IF('Outfall 1 Limits'!$AX$60="C4",ROUND(DJ61,0),""),"")</f>
        <v/>
      </c>
      <c r="AF57" s="64" t="str">
        <f>IF('Outfall 1 Limits'!$AX$64="C4",IF(CG56="Y","&lt;",""),"")</f>
        <v/>
      </c>
      <c r="AG57" s="64" t="str">
        <f ca="1">IF(CG55&lt;&gt;"",IF('Outfall 1 Limits'!$AX$64="C4",ROUND(DK61,0),""),"")</f>
        <v/>
      </c>
      <c r="AH57" s="64" t="str">
        <f>IF('Outfall 1 Limits'!$AX$68="C4",IF(CH56="Y","&lt;",""),"")</f>
        <v/>
      </c>
      <c r="AI57" s="64" t="str">
        <f ca="1">IF(CH55&lt;&gt;"",IF('Outfall 1 Limits'!$AX$68="C4",ROUND(DL61,0),""),"")</f>
        <v/>
      </c>
      <c r="AJ57" s="64" t="str">
        <f>IF('Outfall 1 Limits'!$AX$72="C4",IF(CI56="Y","&lt;",""),"")</f>
        <v/>
      </c>
      <c r="AK57" s="64" t="str">
        <f ca="1">IF(CI55&lt;&gt;"",IF('Outfall 1 Limits'!$AX$72="C4",ROUND(DM61,0),""),"")</f>
        <v/>
      </c>
      <c r="AL57" s="64" t="str">
        <f>IF('Outfall 1 Limits'!$AX$76="C4",IF(CJ56="Y","&lt;",""),"")</f>
        <v/>
      </c>
      <c r="AM57" s="64" t="str">
        <f ca="1">IF(CJ55&lt;&gt;"",IF('Outfall 1 Limits'!$AX$76="C4",ROUND(DN61,0),""),"")</f>
        <v/>
      </c>
      <c r="AN57" s="144" t="str">
        <f>IF('Outfall 1 Limits'!$AX$80="C4",IF(CK56="Y","&lt;",""),"")</f>
        <v/>
      </c>
      <c r="AO57" s="64" t="str">
        <f ca="1">IF(CK55&lt;&gt;"",IF('Outfall 1 Limits'!$AX$80="C4",ROUND(DO61,0),""),"")</f>
        <v/>
      </c>
      <c r="AP57" s="144" t="str">
        <f>IF('Outfall 1 Limits'!$AX$84="C4",IF(CL56="Y","&lt;",""),"")</f>
        <v/>
      </c>
      <c r="AQ57" s="64" t="str">
        <f ca="1">IF(CL55&lt;&gt;"",IF('Outfall 1 Limits'!$AX$84="C4",ROUND(DP61,0),""),"")</f>
        <v/>
      </c>
      <c r="AR57" s="144" t="str">
        <f>IF('Outfall 1 Limits'!$AX$88="C4",IF(CM56="Y","&lt;",""),"")</f>
        <v/>
      </c>
      <c r="AS57" s="64" t="str">
        <f ca="1">IF(CM55&lt;&gt;"",IF('Outfall 1 Limits'!$AX$88="C4",ROUND(DQ61,0),""),"")</f>
        <v/>
      </c>
      <c r="AT57" s="144" t="str">
        <f>IF('Outfall 1 Limits'!$AX$92="C4",IF(CN56="Y","&lt;",""),"")</f>
        <v/>
      </c>
      <c r="AU57" s="64" t="str">
        <f ca="1">IF(CN55&lt;&gt;"",IF('Outfall 1 Limits'!$AX$92="C4",ROUND(DR61,0),""),"")</f>
        <v/>
      </c>
      <c r="AV57" s="144" t="str">
        <f>IF('Outfall 1 Limits'!$AX$96="C4",IF(CO56="Y","&lt;",""),"")</f>
        <v/>
      </c>
      <c r="AW57" s="64" t="str">
        <f ca="1">IF(CO55&lt;&gt;"",IF('Outfall 1 Limits'!$AX$96="C4",ROUND(DS61,0),""),"")</f>
        <v/>
      </c>
      <c r="AX57" s="144" t="str">
        <f>IF('Outfall 1 Limits'!$AX$100="C4",IF(CP56="Y","&lt;",""),"")</f>
        <v/>
      </c>
      <c r="AY57" s="64" t="str">
        <f ca="1">IF(CP55&lt;&gt;"",IF('Outfall 1 Limits'!$AX$100="C4",ROUND(DT61,0),""),"")</f>
        <v/>
      </c>
      <c r="AZ57" s="144" t="str">
        <f>IF('Outfall 1 Limits'!$AX$104="C4",IF(CQ56="Y","&lt;",""),"")</f>
        <v/>
      </c>
      <c r="BA57" s="64" t="str">
        <f ca="1">IF(CQ55&lt;&gt;"",IF('Outfall 1 Limits'!$AX$104="C4",ROUND(DU61,0),""),"")</f>
        <v/>
      </c>
      <c r="BB57" s="144" t="str">
        <f>IF('Outfall 1 Limits'!$AX$108="C4",IF(CR56="Y","&lt;",""),"")</f>
        <v/>
      </c>
      <c r="BC57" s="64" t="str">
        <f ca="1">IF(CR55&lt;&gt;"",IF('Outfall 1 Limits'!$AX$108="C4",ROUND(DV61,0),""),"")</f>
        <v/>
      </c>
      <c r="BD57" s="144" t="str">
        <f>IF('Outfall 1 Limits'!$AX$112="C4",IF(CS56="Y","&lt;",""),"")</f>
        <v/>
      </c>
      <c r="BE57" s="64" t="str">
        <f ca="1">IF(CS55&lt;&gt;"",IF('Outfall 1 Limits'!$AX$112="C4",ROUND(DW61,0),""),"")</f>
        <v/>
      </c>
      <c r="BF57" s="144" t="str">
        <f>IF('Outfall 1 Limits'!$AX$116="C4",IF(CT56="Y","&lt;",""),"")</f>
        <v/>
      </c>
      <c r="BG57" s="64" t="str">
        <f ca="1">IF(CT55&lt;&gt;"",IF('Outfall 1 Limits'!$AX$116="C4",ROUND(DX61,0),""),"")</f>
        <v/>
      </c>
      <c r="BH57" s="144" t="str">
        <f>IF('Outfall 1 Limits'!$AX$120="C4",IF(CU56="Y","&lt;",""),"")</f>
        <v/>
      </c>
      <c r="BI57" s="64" t="str">
        <f ca="1">IF(CU55&lt;&gt;"",IF('Outfall 1 Limits'!$AX$120="C4",ROUND(DY61,0),""),"")</f>
        <v/>
      </c>
      <c r="BJ57" s="144" t="str">
        <f>IF('Outfall 1 Limits'!$AX$124="C4",IF(CV56="Y","&lt;",""),"")</f>
        <v/>
      </c>
      <c r="BK57" s="64" t="str">
        <f ca="1">IF(CV55&lt;&gt;"",IF('Outfall 1 Limits'!$AX$124="C4",ROUND(DZ61,0),""),"")</f>
        <v/>
      </c>
      <c r="BL57" s="144" t="str">
        <f>IF('Outfall 1 Limits'!$AX$128="C4",IF(CW56="Y","&lt;",""),"")</f>
        <v/>
      </c>
      <c r="BM57" s="118" t="str">
        <f ca="1">IF(CW55&lt;&gt;"",IF('Outfall 1 Limits'!$AX$128="C4",ROUND(EA61,0),""),"")</f>
        <v/>
      </c>
      <c r="BO57" s="174"/>
      <c r="BP57" s="174">
        <v>2076</v>
      </c>
      <c r="BQ57" s="179" t="s">
        <v>73</v>
      </c>
      <c r="BR57" s="174"/>
      <c r="BS57" s="174"/>
      <c r="BT57" s="242" t="s">
        <v>831</v>
      </c>
      <c r="BU57" s="202">
        <f>SUM(BU17:BU23)</f>
        <v>0</v>
      </c>
      <c r="BV57" s="196">
        <f>SUM(BV17:BV23)</f>
        <v>0</v>
      </c>
      <c r="BW57" s="196">
        <f t="shared" ref="BW57:CW57" si="175">SUM(BW17:BW23)</f>
        <v>0</v>
      </c>
      <c r="BX57" s="196">
        <f t="shared" si="175"/>
        <v>0</v>
      </c>
      <c r="BY57" s="196">
        <f t="shared" si="175"/>
        <v>0</v>
      </c>
      <c r="BZ57" s="196">
        <f t="shared" si="175"/>
        <v>0</v>
      </c>
      <c r="CA57" s="196">
        <f t="shared" si="175"/>
        <v>0</v>
      </c>
      <c r="CB57" s="196">
        <f t="shared" si="175"/>
        <v>0</v>
      </c>
      <c r="CC57" s="196">
        <f t="shared" si="175"/>
        <v>0</v>
      </c>
      <c r="CD57" s="196">
        <f t="shared" si="175"/>
        <v>0</v>
      </c>
      <c r="CE57" s="196">
        <f t="shared" si="175"/>
        <v>0</v>
      </c>
      <c r="CF57" s="196">
        <f t="shared" si="175"/>
        <v>0</v>
      </c>
      <c r="CG57" s="196">
        <f t="shared" si="175"/>
        <v>0</v>
      </c>
      <c r="CH57" s="196">
        <f t="shared" si="175"/>
        <v>0</v>
      </c>
      <c r="CI57" s="196">
        <f t="shared" si="175"/>
        <v>0</v>
      </c>
      <c r="CJ57" s="196">
        <f t="shared" si="175"/>
        <v>0</v>
      </c>
      <c r="CK57" s="196">
        <f t="shared" si="175"/>
        <v>0</v>
      </c>
      <c r="CL57" s="196">
        <f t="shared" si="175"/>
        <v>0</v>
      </c>
      <c r="CM57" s="196">
        <f t="shared" si="175"/>
        <v>0</v>
      </c>
      <c r="CN57" s="196">
        <f t="shared" si="175"/>
        <v>0</v>
      </c>
      <c r="CO57" s="196">
        <f t="shared" si="175"/>
        <v>0</v>
      </c>
      <c r="CP57" s="196">
        <f t="shared" si="175"/>
        <v>0</v>
      </c>
      <c r="CQ57" s="196">
        <f t="shared" si="175"/>
        <v>0</v>
      </c>
      <c r="CR57" s="196">
        <f t="shared" si="175"/>
        <v>0</v>
      </c>
      <c r="CS57" s="196">
        <f t="shared" si="175"/>
        <v>0</v>
      </c>
      <c r="CT57" s="196">
        <f t="shared" si="175"/>
        <v>0</v>
      </c>
      <c r="CU57" s="196">
        <f t="shared" si="175"/>
        <v>0</v>
      </c>
      <c r="CV57" s="196">
        <f t="shared" si="175"/>
        <v>0</v>
      </c>
      <c r="CW57" s="210">
        <f t="shared" si="175"/>
        <v>0</v>
      </c>
      <c r="CX57" s="242" t="s">
        <v>376</v>
      </c>
      <c r="CY57" s="212"/>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8"/>
      <c r="EB57" s="176"/>
      <c r="GJ57" s="245" t="s">
        <v>405</v>
      </c>
      <c r="GK57" s="202" t="str">
        <f ca="1">IF(GK56&lt;&gt;"",IF(OR('Outfall 1 Limits'!$AX$16="C1",'Outfall 1 Limits'!$AX$16="L"),IF(GK56&gt;=1,IF('Outfall 1 Limits'!$AN$16=0,ROUND(GK56,0),TEXT(GK56,"0."&amp;REPT("0",LEN('Outfall 1 Limits'!$K$16)-FIND(".",'Outfall 1 Limits'!$K$16)))),ROUND(GK56,1-(1+INT(LOG10(ABS(GK56)))))),ROUND(GK56,$I126)),"")</f>
        <v/>
      </c>
      <c r="GL57" s="206" t="str">
        <f ca="1">IF(GL56&lt;&gt;"",IF(OR('Outfall 1 Limits'!$AX$20="C1",'Outfall 1 Limits'!$AX$20="L"),IF(GL56&gt;=1,IF('Outfall 1 Limits'!$AN$20=0,ROUND(GL56,0),TEXT(GL56,"0."&amp;REPT("0",LEN('Outfall 1 Limits'!$K$20)-FIND(".",'Outfall 1 Limits'!$K$20)))),ROUND(GL56,1-(1+INT(LOG10(ABS(GL56)))))),ROUND(GL56,$K126)),"")</f>
        <v/>
      </c>
      <c r="GM57" s="206" t="str">
        <f ca="1">IF(GM56&lt;&gt;"",IF(OR('Outfall 1 Limits'!$AX$24="C1",'Outfall 1 Limits'!$AX$24="L"),IF(GM56&gt;=1,IF('Outfall 1 Limits'!$AN$24=0,ROUND(GM56,0),TEXT(GM56,"0."&amp;REPT("0",LEN('Outfall 1 Limits'!$K$24)-FIND(".",'Outfall 1 Limits'!$K$24)))),ROUND(GM56,1-(1+INT(LOG10(ABS(GM56)))))),ROUND(GM56,$M126)),"")</f>
        <v/>
      </c>
      <c r="GN57" s="206" t="str">
        <f ca="1">IF(GN56&lt;&gt;"",IF(OR('Outfall 1 Limits'!$AX$28="C1",'Outfall 1 Limits'!$AX$28="L"),IF(GN56&gt;=1,IF('Outfall 1 Limits'!$AN$28=0,ROUND(GN56,0),TEXT(GN56,"0."&amp;REPT("0",LEN('Outfall 1 Limits'!$K$28)-FIND(".",'Outfall 1 Limits'!$K$28)))),ROUND(GN56,1-(1+INT(LOG10(ABS(GN56)))))),ROUND(GN56,$O126)),"")</f>
        <v/>
      </c>
      <c r="GO57" s="206" t="str">
        <f ca="1">IF(GO56&lt;&gt;"",IF(OR('Outfall 1 Limits'!$AX$32="C1",'Outfall 1 Limits'!$AX$32="L"),IF(GO56&gt;=1,IF('Outfall 1 Limits'!$AN$32=0,ROUND(GO56,0),TEXT(GO56,"0."&amp;REPT("0",LEN('Outfall 1 Limits'!$K$32)-FIND(".",'Outfall 1 Limits'!$K$32)))),ROUND(GO56,1-(1+INT(LOG10(ABS(GO56)))))),ROUND(GO56,$Q126)),"")</f>
        <v/>
      </c>
      <c r="GP57" s="206" t="str">
        <f ca="1">IF(GP56&lt;&gt;"",IF(OR('Outfall 1 Limits'!$AX$36="C1",'Outfall 1 Limits'!$AX$36="L"),IF(GP56&gt;=1,IF('Outfall 1 Limits'!$AN$36=0,ROUND(GP56,0),TEXT(GP56,"0."&amp;REPT("0",LEN('Outfall 1 Limits'!$K$36)-FIND(".",'Outfall 1 Limits'!$K$36)))),ROUND(GP56,1-(1+INT(LOG10(ABS(GP56)))))),ROUND(GP56,$S126)),"")</f>
        <v/>
      </c>
      <c r="GQ57" s="206" t="str">
        <f ca="1">IF(GQ56&lt;&gt;"",IF(OR('Outfall 1 Limits'!$AX$40="C1",'Outfall 1 Limits'!$AX$40="L"),IF(GQ56&gt;=1,IF('Outfall 1 Limits'!$AN$40=0,ROUND(GQ56,0),TEXT(GQ56,"0."&amp;REPT("0",LEN('Outfall 1 Limits'!$K$40)-FIND(".",'Outfall 1 Limits'!$K$40)))),ROUND(GQ56,1-(1+INT(LOG10(ABS(GQ56)))))),ROUND(GQ56,$U126)),"")</f>
        <v/>
      </c>
      <c r="GR57" s="206" t="str">
        <f ca="1">IF(GR56&lt;&gt;"",IF(OR('Outfall 1 Limits'!$AX$44="C1",'Outfall 1 Limits'!$AX$44="L"),IF(GR56&gt;=1,IF('Outfall 1 Limits'!$AN$44=0,ROUND(GR56,0),TEXT(GR56,"0."&amp;REPT("0",LEN('Outfall 1 Limits'!$K$44)-FIND(".",'Outfall 1 Limits'!$K$44)))),ROUND(GR56,1-(1+INT(LOG10(ABS(GR56)))))),ROUND(GR56,$W126)),"")</f>
        <v/>
      </c>
      <c r="GS57" s="206" t="str">
        <f ca="1">IF(GS56&lt;&gt;"",IF(OR('Outfall 1 Limits'!$AX$48="C1",'Outfall 1 Limits'!$AX$48="L"),IF(GS56&gt;=1,IF('Outfall 1 Limits'!$AN$48=0,ROUND(GS56,0),TEXT(GS56,"0."&amp;REPT("0",LEN('Outfall 1 Limits'!$K$48)-FIND(".",'Outfall 1 Limits'!$K$48)))),ROUND(GS56,1-(1+INT(LOG10(ABS(GS56)))))),ROUND(GS56,$Y126)),"")</f>
        <v/>
      </c>
      <c r="GT57" s="206" t="str">
        <f ca="1">IF(GT56&lt;&gt;"",IF(OR('Outfall 1 Limits'!$AX$52="C1",'Outfall 1 Limits'!$AX$52="L"),IF(GT56&gt;=1,IF('Outfall 1 Limits'!$AN$52=0,ROUND(GT56,0),TEXT(GT56,"0."&amp;REPT("0",LEN('Outfall 1 Limits'!$K$52)-FIND(".",'Outfall 1 Limits'!$K$52)))),ROUND(GT56,1-(1+INT(LOG10(ABS(GT56)))))),ROUND(GT56,$AA126)),"")</f>
        <v/>
      </c>
      <c r="GU57" s="206" t="str">
        <f ca="1">IF(GU56&lt;&gt;"",IF(OR('Outfall 1 Limits'!$AX$56="C1",'Outfall 1 Limits'!$AX$56="L"),IF(GU56&gt;=1,IF('Outfall 1 Limits'!$AN$56=0,ROUND(GU56,0),TEXT(GU56,"0."&amp;REPT("0",LEN('Outfall 1 Limits'!$K$56)-FIND(".",'Outfall 1 Limits'!$K$56)))),ROUND(GU56,1-(1+INT(LOG10(ABS(GU56)))))),ROUND(GU56,$AC126)),"")</f>
        <v/>
      </c>
      <c r="GV57" s="206" t="str">
        <f ca="1">IF(GV56&lt;&gt;"",IF(OR('Outfall 1 Limits'!$AX$60="C1",'Outfall 1 Limits'!$AX$60="L"),IF(GV56&gt;=1,IF('Outfall 1 Limits'!$AN$60=0,ROUND(GV56,0),TEXT(GV56,"0."&amp;REPT("0",LEN('Outfall 1 Limits'!$K$60)-FIND(".",'Outfall 1 Limits'!$K$60)))),ROUND(GV56,1-(1+INT(LOG10(ABS(GV56)))))),ROUND(GV56,$AE126)),"")</f>
        <v/>
      </c>
      <c r="GW57" s="206" t="str">
        <f ca="1">IF(GW56&lt;&gt;"",IF(OR('Outfall 1 Limits'!$AX$64="C1",'Outfall 1 Limits'!$AX$64="L"),IF(GW56&gt;=1,IF('Outfall 1 Limits'!$AN$64=0,ROUND(GW56,0),TEXT(GW56,"0."&amp;REPT("0",LEN('Outfall 1 Limits'!$K$64)-FIND(".",'Outfall 1 Limits'!$K$64)))),ROUND(GW56,1-(1+INT(LOG10(ABS(GW56)))))),ROUND(GW56,$AG126)),"")</f>
        <v/>
      </c>
      <c r="GX57" s="206" t="str">
        <f ca="1">IF(GX56&lt;&gt;"",IF(OR('Outfall 1 Limits'!$AX$68="C1",'Outfall 1 Limits'!$AX$68="L"),IF(GX56&gt;=1,IF('Outfall 1 Limits'!$AN$68=0,ROUND(GX56,0),TEXT(GX56,"0."&amp;REPT("0",LEN('Outfall 1 Limits'!$K$68)-FIND(".",'Outfall 1 Limits'!$K$68)))),ROUND(GX56,1-(1+INT(LOG10(ABS(GX56)))))),ROUND(GX56,$AI126)),"")</f>
        <v/>
      </c>
      <c r="GY57" s="206" t="str">
        <f ca="1">IF(GY56&lt;&gt;"",IF(OR('Outfall 1 Limits'!$AX$72="C1",'Outfall 1 Limits'!$AX$72="L"),IF(GY56&gt;=1,IF('Outfall 1 Limits'!$AN$72=0,ROUND(GY56,0),TEXT(GY56,"0."&amp;REPT("0",LEN('Outfall 1 Limits'!$K$72)-FIND(".",'Outfall 1 Limits'!$K$72)))),ROUND(GY56,1-(1+INT(LOG10(ABS(GY56)))))),ROUND(GY56,$AK126)),"")</f>
        <v/>
      </c>
      <c r="GZ57" s="206" t="str">
        <f ca="1">IF(GZ56&lt;&gt;"",IF(OR('Outfall 1 Limits'!$AX$76="C1",'Outfall 1 Limits'!$AX$76="L"),IF(GZ56&gt;=1,IF('Outfall 1 Limits'!$AN$76=0,ROUND(GZ56,0),TEXT(GZ56,"0."&amp;REPT("0",LEN('Outfall 1 Limits'!$K$76)-FIND(".",'Outfall 1 Limits'!$K$76)))),ROUND(GZ56,1-(1+INT(LOG10(ABS(GZ56)))))),ROUND(GZ56,$AM126)),"")</f>
        <v/>
      </c>
      <c r="HA57" s="206" t="str">
        <f ca="1">IF(HA56&lt;&gt;"",IF(OR('Outfall 1 Limits'!$AX$80="C1",'Outfall 1 Limits'!$AX$80="L"),IF(HA56&gt;=1,IF('Outfall 1 Limits'!$AN$80=0,ROUND(HA56,0),TEXT(HA56,"0."&amp;REPT("0",LEN('Outfall 1 Limits'!$K$80)-FIND(".",'Outfall 1 Limits'!$K$80)))),ROUND(HA56,1-(1+INT(LOG10(ABS(HA56)))))),ROUND(HA56,$AO126)),"")</f>
        <v/>
      </c>
      <c r="HB57" s="206" t="str">
        <f ca="1">IF(HB56&lt;&gt;"",IF(OR('Outfall 1 Limits'!$AX$84="C1",'Outfall 1 Limits'!$AX$84="L"),IF(HB56&gt;=1,IF('Outfall 1 Limits'!$AN$84=0,ROUND(HB56,0),TEXT(HB56,"0."&amp;REPT("0",LEN('Outfall 1 Limits'!$K$84)-FIND(".",'Outfall 1 Limits'!$K$84)))),ROUND(HB56,1-(1+INT(LOG10(ABS(HB56)))))),ROUND(HB56,$AQ126)),"")</f>
        <v/>
      </c>
      <c r="HC57" s="206" t="str">
        <f ca="1">IF(HC56&lt;&gt;"",IF(OR('Outfall 1 Limits'!$AX$88="C1",'Outfall 1 Limits'!$AX$88="L"),IF(HC56&gt;=1,IF('Outfall 1 Limits'!$AN$88=0,ROUND(HC56,0),TEXT(HC56,"0."&amp;REPT("0",LEN('Outfall 1 Limits'!$K$88)-FIND(".",'Outfall 1 Limits'!$K$88)))),ROUND(HC56,1-(1+INT(LOG10(ABS(HC56)))))),ROUND(HC56,$AS126)),"")</f>
        <v/>
      </c>
      <c r="HD57" s="206" t="str">
        <f ca="1">IF(HD56&lt;&gt;"",IF(OR('Outfall 1 Limits'!$AX$92="C1",'Outfall 1 Limits'!$AX$92="L"),IF(HD56&gt;=1,IF('Outfall 1 Limits'!$AN$92=0,ROUND(HD56,0),TEXT(HD56,"0."&amp;REPT("0",LEN('Outfall 1 Limits'!$K$92)-FIND(".",'Outfall 1 Limits'!$K$92)))),ROUND(HD56,1-(1+INT(LOG10(ABS(HD56)))))),ROUND(HD56,$AU126)),"")</f>
        <v/>
      </c>
      <c r="HE57" s="206" t="str">
        <f ca="1">IF(HE56&lt;&gt;"",IF(OR('Outfall 1 Limits'!$AX$96="C1",'Outfall 1 Limits'!$AX$96="L"),IF(HE56&gt;=1,IF('Outfall 1 Limits'!$AN$96=0,ROUND(HE56,0),TEXT(HE56,"0."&amp;REPT("0",LEN('Outfall 1 Limits'!$K$96)-FIND(".",'Outfall 1 Limits'!$K$96)))),ROUND(HE56,1-(1+INT(LOG10(ABS(HE56)))))),ROUND(HE56,$AW126)),"")</f>
        <v/>
      </c>
      <c r="HF57" s="206" t="str">
        <f ca="1">IF(HF56&lt;&gt;"",IF(OR('Outfall 1 Limits'!$AX$100="C1",'Outfall 1 Limits'!$AX$100="L"),IF(HF56&gt;=1,IF('Outfall 1 Limits'!$AN$100=0,ROUND(HF56,0),TEXT(HF56,"0."&amp;REPT("0",LEN('Outfall 1 Limits'!$K$100)-FIND(".",'Outfall 1 Limits'!$K$100)))),ROUND(HF56,1-(1+INT(LOG10(ABS(HF56)))))),ROUND(HF56,$AY126)),"")</f>
        <v/>
      </c>
      <c r="HG57" s="206" t="str">
        <f ca="1">IF(HG56&lt;&gt;"",IF(OR('Outfall 1 Limits'!$AX$104="C1",'Outfall 1 Limits'!$AX$104="L"),IF(HG56&gt;=1,IF('Outfall 1 Limits'!$AN$104=0,ROUND(HG56,0),TEXT(HG56,"0."&amp;REPT("0",LEN('Outfall 1 Limits'!$K$104)-FIND(".",'Outfall 1 Limits'!$K$104)))),ROUND(HG56,1-(1+INT(LOG10(ABS(HG56)))))),ROUND(HG56,$BA126)),"")</f>
        <v/>
      </c>
      <c r="HH57" s="206" t="str">
        <f ca="1">IF(HH56&lt;&gt;"",IF(OR('Outfall 1 Limits'!$AX$108="C1",'Outfall 1 Limits'!$AX$108="L"),IF(HH56&gt;=1,IF('Outfall 1 Limits'!$AN$108=0,ROUND(HH56,0),TEXT(HH56,"0."&amp;REPT("0",LEN('Outfall 1 Limits'!$K$108)-FIND(".",'Outfall 1 Limits'!$K$108)))),ROUND(HH56,1-(1+INT(LOG10(ABS(HH56)))))),ROUND(HH56,$BC126)),"")</f>
        <v/>
      </c>
      <c r="HI57" s="206" t="str">
        <f ca="1">IF(HI56&lt;&gt;"",IF(OR('Outfall 1 Limits'!$AX$112="C1",'Outfall 1 Limits'!$AX$112="L"),IF(HI56&gt;=1,IF('Outfall 1 Limits'!$AN$112=0,ROUND(HI56,0),TEXT(HI56,"0."&amp;REPT("0",LEN('Outfall 1 Limits'!$K$112)-FIND(".",'Outfall 1 Limits'!$K$112)))),ROUND(HI56,1-(1+INT(LOG10(ABS(HI56)))))),ROUND(HI56,$BE126)),"")</f>
        <v/>
      </c>
      <c r="HJ57" s="206" t="str">
        <f ca="1">IF(HJ56&lt;&gt;"",IF(OR('Outfall 1 Limits'!$AX$116="C1",'Outfall 1 Limits'!$AX$116="L"),IF(HJ56&gt;=1,IF('Outfall 1 Limits'!$AN$116=0,ROUND(HJ56,0),TEXT(HJ56,"0."&amp;REPT("0",LEN('Outfall 1 Limits'!$K$116)-FIND(".",'Outfall 1 Limits'!$K$116)))),ROUND(HJ56,1-(1+INT(LOG10(ABS(HJ56)))))),ROUND(HJ56,$BG126)),"")</f>
        <v/>
      </c>
      <c r="HK57" s="206" t="str">
        <f ca="1">IF(HK56&lt;&gt;"",IF(OR('Outfall 1 Limits'!$AX$120="C1",'Outfall 1 Limits'!$AX$120="L"),IF(HK56&gt;=1,IF('Outfall 1 Limits'!$AN$120=0,ROUND(HK56,0),TEXT(HK56,"0."&amp;REPT("0",LEN('Outfall 1 Limits'!$K$120)-FIND(".",'Outfall 1 Limits'!$K$120)))),ROUND(HK56,1-(1+INT(LOG10(ABS(HK56)))))),ROUND(HK56,$BI126)),"")</f>
        <v/>
      </c>
      <c r="HL57" s="206" t="str">
        <f ca="1">IF(HL56&lt;&gt;"",IF(OR('Outfall 1 Limits'!$AX$124="C1",'Outfall 1 Limits'!$AX$124="L"),IF(HL56&gt;=1,IF('Outfall 1 Limits'!$AN$124=0,ROUND(HL56,0),TEXT(HL56,"0."&amp;REPT("0",LEN('Outfall 1 Limits'!$K$124)-FIND(".",'Outfall 1 Limits'!$K$124)))),ROUND(HL56,1-(1+INT(LOG10(ABS(HL56)))))),ROUND(HL56,$BK126)),"")</f>
        <v/>
      </c>
      <c r="HM57" s="210" t="str">
        <f ca="1">IF(HM56&lt;&gt;"",IF(OR('Outfall 1 Limits'!$AX$128="C1",'Outfall 1 Limits'!$AX$128="L"),IF(HM56&gt;=1,IF('Outfall 1 Limits'!$AN$128=0,ROUND(HM56,0),TEXT(HM56,"0."&amp;REPT("0",LEN('Outfall 1 Limits'!$K$128)-FIND(".",'Outfall 1 Limits'!$K$128)))),ROUND(HM56,1-(1+INT(LOG10(ABS(HM56)))))),ROUND(HM56,$BM126)),"")</f>
        <v/>
      </c>
      <c r="HN57" s="245" t="s">
        <v>372</v>
      </c>
      <c r="HO57" s="224" t="str">
        <f ca="1">IF(ROWS(INDIRECT("HO"&amp;$D$10):INDIRECT("HO"&amp;$B$10))-COUNTIF(INDIRECT("HO"&amp;$D$10):INDIRECT("HO"&amp;$B$10),"")&gt;0,MIN(INDIRECT("HO"&amp;$D$10):INDIRECT("HO"&amp;$B$10)),"")</f>
        <v/>
      </c>
      <c r="HP57" s="174"/>
      <c r="HQ57" s="174"/>
      <c r="HR57" s="242" t="s">
        <v>372</v>
      </c>
      <c r="HS57" s="202" t="str">
        <f ca="1">IF(ROWS(INDIRECT("HS"&amp;$D$10):INDIRECT("HS"&amp;$B$10))-COUNTIF(INDIRECT("HS"&amp;$D$10):INDIRECT("HS"&amp;$B$10),"")&gt;0,MIN(INDIRECT("HS"&amp;$D$10):INDIRECT("HS"&amp;$B$10)),"")</f>
        <v/>
      </c>
      <c r="HT57" s="196" t="str">
        <f ca="1">IF(ROWS(INDIRECT("HT"&amp;$D$10):INDIRECT("HT"&amp;$B$10))-COUNTIF(INDIRECT("HT"&amp;$D$10):INDIRECT("HT"&amp;$B$10),"")&gt;0,MIN(INDIRECT("HT"&amp;$D$10):INDIRECT("HT"&amp;$B$10)),"")</f>
        <v/>
      </c>
      <c r="HU57" s="196" t="str">
        <f ca="1">IF(ROWS(INDIRECT("HU"&amp;$D$10):INDIRECT("HU"&amp;$B$10))-COUNTIF(INDIRECT("HU"&amp;$D$10):INDIRECT("HU"&amp;$B$10),"")&gt;0,MIN(INDIRECT("HU"&amp;$D$10):INDIRECT("HU"&amp;$B$10)),"")</f>
        <v/>
      </c>
      <c r="HV57" s="196" t="str">
        <f ca="1">IF(ROWS(INDIRECT("HV"&amp;$D$10):INDIRECT("HV"&amp;$B$10))-COUNTIF(INDIRECT("HV"&amp;$D$10):INDIRECT("HV"&amp;$B$10),"")&gt;0,MIN(INDIRECT("HV"&amp;$D$10):INDIRECT("HV"&amp;$B$10)),"")</f>
        <v/>
      </c>
      <c r="HW57" s="196" t="str">
        <f ca="1">IF(ROWS(INDIRECT("HW"&amp;$D$10):INDIRECT("HW"&amp;$B$10))-COUNTIF(INDIRECT("HW"&amp;$D$10):INDIRECT("HW"&amp;$B$10),"")&gt;0,MIN(INDIRECT("HW"&amp;$D$10):INDIRECT("HW"&amp;$B$10)),"")</f>
        <v/>
      </c>
      <c r="HX57" s="196" t="str">
        <f ca="1">IF(ROWS(INDIRECT("HX"&amp;$D$10):INDIRECT("HX"&amp;$B$10))-COUNTIF(INDIRECT("HX"&amp;$D$10):INDIRECT("HX"&amp;$B$10),"")&gt;0,MIN(INDIRECT("HX"&amp;$D$10):INDIRECT("HX"&amp;$B$10)),"")</f>
        <v/>
      </c>
      <c r="HY57" s="196" t="str">
        <f ca="1">IF(ROWS(INDIRECT("HY"&amp;$D$10):INDIRECT("HY"&amp;$B$10))-COUNTIF(INDIRECT("HY"&amp;$D$10):INDIRECT("HY"&amp;$B$10),"")&gt;0,MIN(INDIRECT("HY"&amp;$D$10):INDIRECT("HY"&amp;$B$10)),"")</f>
        <v/>
      </c>
      <c r="HZ57" s="196" t="str">
        <f ca="1">IF(ROWS(INDIRECT("HZ"&amp;$D$10):INDIRECT("HZ"&amp;$B$10))-COUNTIF(INDIRECT("HZ"&amp;$D$10):INDIRECT("HZ"&amp;$B$10),"")&gt;0,MIN(INDIRECT("HZ"&amp;$D$10):INDIRECT("HZ"&amp;$B$10)),"")</f>
        <v/>
      </c>
      <c r="IA57" s="196" t="str">
        <f ca="1">IF(ROWS(INDIRECT("IA"&amp;$D$10):INDIRECT("IA"&amp;$B$10))-COUNTIF(INDIRECT("IA"&amp;$D$10):INDIRECT("IA"&amp;$B$10),"")&gt;0,MIN(INDIRECT("IA"&amp;$D$10):INDIRECT("IA"&amp;$B$10)),"")</f>
        <v/>
      </c>
      <c r="IB57" s="196" t="str">
        <f ca="1">IF(ROWS(INDIRECT("IB"&amp;$D$10):INDIRECT("IB"&amp;$B$10))-COUNTIF(INDIRECT("IB"&amp;$D$10):INDIRECT("IB"&amp;$B$10),"")&gt;0,MIN(INDIRECT("IB"&amp;$D$10):INDIRECT("IB"&amp;$B$10)),"")</f>
        <v/>
      </c>
      <c r="IC57" s="196" t="str">
        <f ca="1">IF(ROWS(INDIRECT("IC"&amp;$D$10):INDIRECT("IC"&amp;$B$10))-COUNTIF(INDIRECT("IC"&amp;$D$10):INDIRECT("IC"&amp;$B$10),"")&gt;0,MIN(INDIRECT("IC"&amp;$D$10):INDIRECT("IC"&amp;$B$10)),"")</f>
        <v/>
      </c>
      <c r="ID57" s="196" t="str">
        <f ca="1">IF(ROWS(INDIRECT("ID"&amp;$D$10):INDIRECT("ID"&amp;$B$10))-COUNTIF(INDIRECT("ID"&amp;$D$10):INDIRECT("ID"&amp;$B$10),"")&gt;0,MIN(INDIRECT("ID"&amp;$D$10):INDIRECT("ID"&amp;$B$10)),"")</f>
        <v/>
      </c>
      <c r="IE57" s="196" t="str">
        <f ca="1">IF(ROWS(INDIRECT("IE"&amp;$D$10):INDIRECT("IE"&amp;$B$10))-COUNTIF(INDIRECT("IE"&amp;$D$10):INDIRECT("IE"&amp;$B$10),"")&gt;0,MIN(INDIRECT("IE"&amp;$D$10):INDIRECT("IE"&amp;$B$10)),"")</f>
        <v/>
      </c>
      <c r="IF57" s="196" t="str">
        <f ca="1">IF(ROWS(INDIRECT("IF"&amp;$D$10):INDIRECT("IF"&amp;$B$10))-COUNTIF(INDIRECT("IF"&amp;$D$10):INDIRECT("IF"&amp;$B$10),"")&gt;0,MIN(INDIRECT("IF"&amp;$D$10):INDIRECT("IF"&amp;$B$10)),"")</f>
        <v/>
      </c>
      <c r="IG57" s="196" t="str">
        <f ca="1">IF(ROWS(INDIRECT("IG"&amp;$D$10):INDIRECT("IG"&amp;$B$10))-COUNTIF(INDIRECT("IG"&amp;$D$10):INDIRECT("IG"&amp;$B$10),"")&gt;0,MIN(INDIRECT("IG"&amp;$D$10):INDIRECT("IG"&amp;$B$10)),"")</f>
        <v/>
      </c>
      <c r="IH57" s="196" t="str">
        <f ca="1">IF(ROWS(INDIRECT("IH"&amp;$D$10):INDIRECT("IH"&amp;$B$10))-COUNTIF(INDIRECT("IH"&amp;$D$10):INDIRECT("IH"&amp;$B$10),"")&gt;0,MIN(INDIRECT("IH"&amp;$D$10):INDIRECT("IH"&amp;$B$10)),"")</f>
        <v/>
      </c>
      <c r="II57" s="196" t="str">
        <f ca="1">IF(ROWS(INDIRECT("II"&amp;$D$10):INDIRECT("II"&amp;$B$10))-COUNTIF(INDIRECT("II"&amp;$D$10):INDIRECT("II"&amp;$B$10),"")&gt;0,MIN(INDIRECT("II"&amp;$D$10):INDIRECT("II"&amp;$B$10)),"")</f>
        <v/>
      </c>
      <c r="IJ57" s="196" t="str">
        <f ca="1">IF(ROWS(INDIRECT("IJ"&amp;$D$10):INDIRECT("IJ"&amp;$B$10))-COUNTIF(INDIRECT("IJ"&amp;$D$10):INDIRECT("IJ"&amp;$B$10),"")&gt;0,MIN(INDIRECT("IJ"&amp;$D$10):INDIRECT("IJ"&amp;$B$10)),"")</f>
        <v/>
      </c>
      <c r="IK57" s="196" t="str">
        <f ca="1">IF(ROWS(INDIRECT("IK"&amp;$D$10):INDIRECT("IK"&amp;$B$10))-COUNTIF(INDIRECT("IK"&amp;$D$10):INDIRECT("IK"&amp;$B$10),"")&gt;0,MIN(INDIRECT("IK"&amp;$D$10):INDIRECT("IK"&amp;$B$10)),"")</f>
        <v/>
      </c>
      <c r="IL57" s="196" t="str">
        <f ca="1">IF(ROWS(INDIRECT("IL"&amp;$D$10):INDIRECT("IL"&amp;$B$10))-COUNTIF(INDIRECT("IL"&amp;$D$10):INDIRECT("IL"&amp;$B$10),"")&gt;0,MIN(INDIRECT("IL"&amp;$D$10):INDIRECT("IL"&amp;$B$10)),"")</f>
        <v/>
      </c>
      <c r="IM57" s="196" t="str">
        <f ca="1">IF(ROWS(INDIRECT("IM"&amp;$D$10):INDIRECT("IM"&amp;$B$10))-COUNTIF(INDIRECT("IM"&amp;$D$10):INDIRECT("IM"&amp;$B$10),"")&gt;0,MIN(INDIRECT("IM"&amp;$D$10):INDIRECT("IM"&amp;$B$10)),"")</f>
        <v/>
      </c>
      <c r="IN57" s="196" t="str">
        <f ca="1">IF(ROWS(INDIRECT("IN"&amp;$D$10):INDIRECT("IN"&amp;$B$10))-COUNTIF(INDIRECT("IN"&amp;$D$10):INDIRECT("IN"&amp;$B$10),"")&gt;0,MIN(INDIRECT("IN"&amp;$D$10):INDIRECT("IN"&amp;$B$10)),"")</f>
        <v/>
      </c>
      <c r="IO57" s="196" t="str">
        <f ca="1">IF(ROWS(INDIRECT("IO"&amp;$D$10):INDIRECT("IO"&amp;$B$10))-COUNTIF(INDIRECT("IO"&amp;$D$10):INDIRECT("IO"&amp;$B$10),"")&gt;0,MIN(INDIRECT("IO"&amp;$D$10):INDIRECT("IO"&amp;$B$10)),"")</f>
        <v/>
      </c>
      <c r="IP57" s="196" t="str">
        <f ca="1">IF(ROWS(INDIRECT("IP"&amp;$D$10):INDIRECT("IP"&amp;$B$10))-COUNTIF(INDIRECT("IP"&amp;$D$10):INDIRECT("IP"&amp;$B$10),"")&gt;0,MIN(INDIRECT("IP"&amp;$D$10):INDIRECT("IP"&amp;$B$10)),"")</f>
        <v/>
      </c>
      <c r="IQ57" s="196" t="str">
        <f ca="1">IF(ROWS(INDIRECT("IQ"&amp;$D$10):INDIRECT("IQ"&amp;$B$10))-COUNTIF(INDIRECT("IQ"&amp;$D$10):INDIRECT("IQ"&amp;$B$10),"")&gt;0,MIN(INDIRECT("IQ"&amp;$D$10):INDIRECT("IQ"&amp;$B$10)),"")</f>
        <v/>
      </c>
      <c r="IR57" s="196" t="str">
        <f ca="1">IF(ROWS(INDIRECT("IR"&amp;$D$10):INDIRECT("IR"&amp;$B$10))-COUNTIF(INDIRECT("IR"&amp;$D$10):INDIRECT("IR"&amp;$B$10),"")&gt;0,MIN(INDIRECT("IR"&amp;$D$10):INDIRECT("IR"&amp;$B$10)),"")</f>
        <v/>
      </c>
      <c r="IS57" s="196" t="str">
        <f ca="1">IF(ROWS(INDIRECT("IS"&amp;$D$10):INDIRECT("IS"&amp;$B$10))-COUNTIF(INDIRECT("IS"&amp;$D$10):INDIRECT("IS"&amp;$B$10),"")&gt;0,MIN(INDIRECT("IS"&amp;$D$10):INDIRECT("IS"&amp;$B$10)),"")</f>
        <v/>
      </c>
      <c r="IT57" s="196" t="str">
        <f ca="1">IF(ROWS(INDIRECT("IT"&amp;$D$10):INDIRECT("IT"&amp;$B$10))-COUNTIF(INDIRECT("IT"&amp;$D$10):INDIRECT("IT"&amp;$B$10),"")&gt;0,MIN(INDIRECT("IT"&amp;$D$10):INDIRECT("IT"&amp;$B$10)),"")</f>
        <v/>
      </c>
      <c r="IU57" s="210" t="str">
        <f ca="1">IF(ROWS(INDIRECT("IU"&amp;$D$10):INDIRECT("IU"&amp;$B$10))-COUNTIF(INDIRECT("IU"&amp;$D$10):INDIRECT("IU"&amp;$B$10),"")&gt;0,MIN(INDIRECT("IU"&amp;$D$10):INDIRECT("IU"&amp;$B$10)),"")</f>
        <v/>
      </c>
      <c r="IW57" s="242" t="s">
        <v>371</v>
      </c>
      <c r="IX57" s="247" t="str">
        <f ca="1">IF(ROWS(INDIRECT("FG"&amp;$D$10):INDIRECT("FG"&amp;$B$10))-COUNTIF(INDIRECT("FG"&amp;$D$10):INDIRECT("FG"&amp;$B$10),"")&gt;0,MIN(INDIRECT("FG"&amp;$D$10):INDIRECT("FG"&amp;$B$10)),"")</f>
        <v/>
      </c>
      <c r="IY57" s="196" t="str">
        <f ca="1">IF(ROWS(INDIRECT("FH"&amp;$D$10):INDIRECT("FH"&amp;$B$10))-COUNTIF(INDIRECT("FH"&amp;$D$10):INDIRECT("FH"&amp;$B$10),"")&gt;0,MIN(INDIRECT("FH"&amp;$D$10):INDIRECT("FH"&amp;$B$10)),"")</f>
        <v/>
      </c>
      <c r="IZ57" s="196" t="str">
        <f ca="1">IF(ROWS(INDIRECT("FI"&amp;$D$10):INDIRECT("FI"&amp;$B$10))-COUNTIF(INDIRECT("FI"&amp;$D$10):INDIRECT("FI"&amp;$B$10),"")&gt;0,MIN(INDIRECT("FI"&amp;$D$10):INDIRECT("FI"&amp;$B$10)),"")</f>
        <v/>
      </c>
      <c r="JA57" s="196" t="str">
        <f ca="1">IF(ROWS(INDIRECT("FJ"&amp;$D$10):INDIRECT("FJ"&amp;$B$10))-COUNTIF(INDIRECT("FJ"&amp;$D$10):INDIRECT("FJ"&amp;$B$10),"")&gt;0,MIN(INDIRECT("FJ"&amp;$D$10):INDIRECT("FJ"&amp;$B$10)),"")</f>
        <v/>
      </c>
      <c r="JB57" s="196" t="str">
        <f ca="1">IF(ROWS(INDIRECT("FK"&amp;$D$10):INDIRECT("FK"&amp;$B$10))-COUNTIF(INDIRECT("FK"&amp;$D$10):INDIRECT("FK"&amp;$B$10),"")&gt;0,MIN(INDIRECT("FK"&amp;$D$10):INDIRECT("FK"&amp;$B$10)),"")</f>
        <v/>
      </c>
      <c r="JC57" s="196" t="str">
        <f ca="1">IF(ROWS(INDIRECT("FL"&amp;$D$10):INDIRECT("FL"&amp;$B$10))-COUNTIF(INDIRECT("FL"&amp;$D$10):INDIRECT("FL"&amp;$B$10),"")&gt;0,MIN(INDIRECT("FL"&amp;$D$10):INDIRECT("FL"&amp;$B$10)),"")</f>
        <v/>
      </c>
      <c r="JD57" s="196" t="str">
        <f ca="1">IF(ROWS(INDIRECT("FM"&amp;$D$10):INDIRECT("FM"&amp;$B$10))-COUNTIF(INDIRECT("FM"&amp;$D$10):INDIRECT("FM"&amp;$B$10),"")&gt;0,MIN(INDIRECT("FM"&amp;$D$10):INDIRECT("FM"&amp;$B$10)),"")</f>
        <v/>
      </c>
      <c r="JE57" s="196" t="str">
        <f ca="1">IF(ROWS(INDIRECT("FN"&amp;$D$10):INDIRECT("FN"&amp;$B$10))-COUNTIF(INDIRECT("FN"&amp;$D$10):INDIRECT("FN"&amp;$B$10),"")&gt;0,MIN(INDIRECT("FN"&amp;$D$10):INDIRECT("FN"&amp;$B$10)),"")</f>
        <v/>
      </c>
      <c r="JF57" s="196" t="str">
        <f ca="1">IF(ROWS(INDIRECT("FO"&amp;$D$10):INDIRECT("FO"&amp;$B$10))-COUNTIF(INDIRECT("FO"&amp;$D$10):INDIRECT("FO"&amp;$B$10),"")&gt;0,MIN(INDIRECT("FO"&amp;$D$10):INDIRECT("FO"&amp;$B$10)),"")</f>
        <v/>
      </c>
      <c r="JG57" s="196" t="str">
        <f ca="1">IF(ROWS(INDIRECT("FP"&amp;$D$10):INDIRECT("FP"&amp;$B$10))-COUNTIF(INDIRECT("FP"&amp;$D$10):INDIRECT("FP"&amp;$B$10),"")&gt;0,MIN(INDIRECT("FP"&amp;$D$10):INDIRECT("FP"&amp;$B$10)),"")</f>
        <v/>
      </c>
      <c r="JH57" s="196" t="str">
        <f ca="1">IF(ROWS(INDIRECT("FQ"&amp;$D$10):INDIRECT("FQ"&amp;$B$10))-COUNTIF(INDIRECT("FQ"&amp;$D$10):INDIRECT("FQ"&amp;$B$10),"")&gt;0,MIN(INDIRECT("FQ"&amp;$D$10):INDIRECT("FQ"&amp;$B$10)),"")</f>
        <v/>
      </c>
      <c r="JI57" s="196" t="str">
        <f ca="1">IF(ROWS(INDIRECT("FR"&amp;$D$10):INDIRECT("FR"&amp;$B$10))-COUNTIF(INDIRECT("FR"&amp;$D$10):INDIRECT("FR"&amp;$B$10),"")&gt;0,MIN(INDIRECT("FR"&amp;$D$10):INDIRECT("FR"&amp;$B$10)),"")</f>
        <v/>
      </c>
      <c r="JJ57" s="196" t="str">
        <f ca="1">IF(ROWS(INDIRECT("FS"&amp;$D$10):INDIRECT("FS"&amp;$B$10))-COUNTIF(INDIRECT("FS"&amp;$D$10):INDIRECT("FS"&amp;$B$10),"")&gt;0,MIN(INDIRECT("FS"&amp;$D$10):INDIRECT("FS"&amp;$B$10)),"")</f>
        <v/>
      </c>
      <c r="JK57" s="196" t="str">
        <f ca="1">IF(ROWS(INDIRECT("FT"&amp;$D$10):INDIRECT("FT"&amp;$B$10))-COUNTIF(INDIRECT("FT"&amp;$D$10):INDIRECT("FT"&amp;$B$10),"")&gt;0,MIN(INDIRECT("FT"&amp;$D$10):INDIRECT("FT"&amp;$B$10)),"")</f>
        <v/>
      </c>
      <c r="JL57" s="196" t="str">
        <f ca="1">IF(ROWS(INDIRECT("FU"&amp;$D$10):INDIRECT("FU"&amp;$B$10))-COUNTIF(INDIRECT("FU"&amp;$D$10):INDIRECT("FU"&amp;$B$10),"")&gt;0,MIN(INDIRECT("FU"&amp;$D$10):INDIRECT("FU"&amp;$B$10)),"")</f>
        <v/>
      </c>
      <c r="JM57" s="196" t="str">
        <f ca="1">IF(ROWS(INDIRECT("FV"&amp;$D$10):INDIRECT("FV"&amp;$B$10))-COUNTIF(INDIRECT("FV"&amp;$D$10):INDIRECT("FV"&amp;$B$10),"")&gt;0,MIN(INDIRECT("FV"&amp;$D$10):INDIRECT("FV"&amp;$B$10)),"")</f>
        <v/>
      </c>
      <c r="JN57" s="196" t="str">
        <f ca="1">IF(ROWS(INDIRECT("FW"&amp;$D$10):INDIRECT("FW"&amp;$B$10))-COUNTIF(INDIRECT("FW"&amp;$D$10):INDIRECT("FW"&amp;$B$10),"")&gt;0,MIN(INDIRECT("FW"&amp;$D$10):INDIRECT("FW"&amp;$B$10)),"")</f>
        <v/>
      </c>
      <c r="JO57" s="196" t="str">
        <f ca="1">IF(ROWS(INDIRECT("FX"&amp;$D$10):INDIRECT("FX"&amp;$B$10))-COUNTIF(INDIRECT("FX"&amp;$D$10):INDIRECT("FX"&amp;$B$10),"")&gt;0,MIN(INDIRECT("FX"&amp;$D$10):INDIRECT("FX"&amp;$B$10)),"")</f>
        <v/>
      </c>
      <c r="JP57" s="196" t="str">
        <f ca="1">IF(ROWS(INDIRECT("FY"&amp;$D$10):INDIRECT("FY"&amp;$B$10))-COUNTIF(INDIRECT("FY"&amp;$D$10):INDIRECT("FY"&amp;$B$10),"")&gt;0,MIN(INDIRECT("FY"&amp;$D$10):INDIRECT("FY"&amp;$B$10)),"")</f>
        <v/>
      </c>
      <c r="JQ57" s="196" t="str">
        <f ca="1">IF(ROWS(INDIRECT("FZ"&amp;$D$10):INDIRECT("FZ"&amp;$B$10))-COUNTIF(INDIRECT("FZ"&amp;$D$10):INDIRECT("FZ"&amp;$B$10),"")&gt;0,MIN(INDIRECT("FZ"&amp;$D$10):INDIRECT("FZ"&amp;$B$10)),"")</f>
        <v/>
      </c>
      <c r="JR57" s="196" t="str">
        <f ca="1">IF(ROWS(INDIRECT("GA"&amp;$D$10):INDIRECT("GA"&amp;$B$10))-COUNTIF(INDIRECT("GA"&amp;$D$10):INDIRECT("GA"&amp;$B$10),"")&gt;0,MIN(INDIRECT("GA"&amp;$D$10):INDIRECT("GA"&amp;$B$10)),"")</f>
        <v/>
      </c>
      <c r="JS57" s="196" t="str">
        <f ca="1">IF(ROWS(INDIRECT("GB"&amp;$D$10):INDIRECT("GB"&amp;$B$10))-COUNTIF(INDIRECT("GB"&amp;$D$10):INDIRECT("GB"&amp;$B$10),"")&gt;0,MIN(INDIRECT("GB"&amp;$D$10):INDIRECT("GB"&amp;$B$10)),"")</f>
        <v/>
      </c>
      <c r="JT57" s="196" t="str">
        <f ca="1">IF(ROWS(INDIRECT("GC"&amp;$D$10):INDIRECT("GC"&amp;$B$10))-COUNTIF(INDIRECT("GC"&amp;$D$10):INDIRECT("GC"&amp;$B$10),"")&gt;0,MIN(INDIRECT("GC"&amp;$D$10):INDIRECT("GC"&amp;$B$10)),"")</f>
        <v/>
      </c>
      <c r="JU57" s="196" t="str">
        <f ca="1">IF(ROWS(INDIRECT("GD"&amp;$D$10):INDIRECT("GD"&amp;$B$10))-COUNTIF(INDIRECT("GD"&amp;$D$10):INDIRECT("GD"&amp;$B$10),"")&gt;0,MIN(INDIRECT("GD"&amp;$D$10):INDIRECT("GD"&amp;$B$10)),"")</f>
        <v/>
      </c>
      <c r="JV57" s="196" t="str">
        <f ca="1">IF(ROWS(INDIRECT("GE"&amp;$D$10):INDIRECT("GE"&amp;$B$10))-COUNTIF(INDIRECT("GE"&amp;$D$10):INDIRECT("GE"&amp;$B$10),"")&gt;0,MIN(INDIRECT("GE"&amp;$D$10):INDIRECT("GE"&amp;$B$10)),"")</f>
        <v/>
      </c>
      <c r="JW57" s="196" t="str">
        <f ca="1">IF(ROWS(INDIRECT("GF"&amp;$D$10):INDIRECT("GF"&amp;$B$10))-COUNTIF(INDIRECT("GF"&amp;$D$10):INDIRECT("GF"&amp;$B$10),"")&gt;0,MIN(INDIRECT("GF"&amp;$D$10):INDIRECT("GF"&amp;$B$10)),"")</f>
        <v/>
      </c>
      <c r="JX57" s="196" t="str">
        <f ca="1">IF(ROWS(INDIRECT("GG"&amp;$D$10):INDIRECT("GG"&amp;$B$10))-COUNTIF(INDIRECT("GG"&amp;$D$10):INDIRECT("GG"&amp;$B$10),"")&gt;0,MIN(INDIRECT("GG"&amp;$D$10):INDIRECT("GG"&amp;$B$10)),"")</f>
        <v/>
      </c>
      <c r="JY57" s="196" t="str">
        <f ca="1">IF(ROWS(INDIRECT("GH"&amp;$D$10):INDIRECT("GH"&amp;$B$10))-COUNTIF(INDIRECT("GH"&amp;$D$10):INDIRECT("GH"&amp;$B$10),"")&gt;0,MIN(INDIRECT("GH"&amp;$D$10):INDIRECT("GH"&amp;$B$10)),"")</f>
        <v/>
      </c>
      <c r="JZ57" s="210" t="str">
        <f ca="1">IF(ROWS(INDIRECT("GI"&amp;$D$10):INDIRECT("GI"&amp;$B$10))-COUNTIF(INDIRECT("GI"&amp;$D$10):INDIRECT("GI"&amp;$B$10),"")&gt;0,MIN(INDIRECT("GI"&amp;$D$10):INDIRECT("GI"&amp;$B$10)),"")</f>
        <v/>
      </c>
      <c r="KA57" s="196"/>
      <c r="KB57" s="176"/>
      <c r="KC57" s="248" t="s">
        <v>1185</v>
      </c>
      <c r="KD57" s="174">
        <f t="shared" ref="KD57:LF57" si="176">COUNTIF(KD14:KD51,"C")</f>
        <v>0</v>
      </c>
      <c r="KE57" s="174">
        <f t="shared" si="176"/>
        <v>0</v>
      </c>
      <c r="KF57" s="174">
        <f t="shared" si="176"/>
        <v>0</v>
      </c>
      <c r="KG57" s="174">
        <f t="shared" si="176"/>
        <v>0</v>
      </c>
      <c r="KH57" s="174">
        <f t="shared" si="176"/>
        <v>0</v>
      </c>
      <c r="KI57" s="174">
        <f t="shared" si="176"/>
        <v>0</v>
      </c>
      <c r="KJ57" s="174">
        <f t="shared" si="176"/>
        <v>0</v>
      </c>
      <c r="KK57" s="174">
        <f t="shared" si="176"/>
        <v>0</v>
      </c>
      <c r="KL57" s="174">
        <f t="shared" si="176"/>
        <v>0</v>
      </c>
      <c r="KM57" s="174">
        <f t="shared" si="176"/>
        <v>0</v>
      </c>
      <c r="KN57" s="174">
        <f t="shared" si="176"/>
        <v>0</v>
      </c>
      <c r="KO57" s="174">
        <f t="shared" si="176"/>
        <v>0</v>
      </c>
      <c r="KP57" s="174">
        <f t="shared" si="176"/>
        <v>0</v>
      </c>
      <c r="KQ57" s="174">
        <f t="shared" si="176"/>
        <v>0</v>
      </c>
      <c r="KR57" s="174">
        <f t="shared" si="176"/>
        <v>0</v>
      </c>
      <c r="KS57" s="174">
        <f t="shared" si="176"/>
        <v>0</v>
      </c>
      <c r="KT57" s="174">
        <f t="shared" si="176"/>
        <v>0</v>
      </c>
      <c r="KU57" s="174">
        <f t="shared" si="176"/>
        <v>0</v>
      </c>
      <c r="KV57" s="174">
        <f t="shared" si="176"/>
        <v>0</v>
      </c>
      <c r="KW57" s="174">
        <f t="shared" si="176"/>
        <v>0</v>
      </c>
      <c r="KX57" s="174">
        <f t="shared" si="176"/>
        <v>0</v>
      </c>
      <c r="KY57" s="174">
        <f t="shared" si="176"/>
        <v>0</v>
      </c>
      <c r="KZ57" s="174">
        <f t="shared" si="176"/>
        <v>0</v>
      </c>
      <c r="LA57" s="174">
        <f t="shared" si="176"/>
        <v>0</v>
      </c>
      <c r="LB57" s="174">
        <f t="shared" si="176"/>
        <v>0</v>
      </c>
      <c r="LC57" s="174">
        <f t="shared" si="176"/>
        <v>0</v>
      </c>
      <c r="LD57" s="174">
        <f t="shared" si="176"/>
        <v>0</v>
      </c>
      <c r="LE57" s="174">
        <f t="shared" si="176"/>
        <v>0</v>
      </c>
      <c r="LF57" s="174">
        <f t="shared" si="176"/>
        <v>0</v>
      </c>
    </row>
    <row r="58" spans="1:318" s="172" customFormat="1" ht="11.25" customHeight="1" thickTop="1" thickBot="1" x14ac:dyDescent="0.25">
      <c r="A58" s="35"/>
      <c r="B58" s="439" t="s">
        <v>1128</v>
      </c>
      <c r="C58" s="439"/>
      <c r="D58" s="439"/>
      <c r="E58" s="439"/>
      <c r="F58" s="440"/>
      <c r="G58" s="63" t="str">
        <f>IF(SUM(G17:G51)&gt;0,ROUND(HN73,G126),"")</f>
        <v/>
      </c>
      <c r="H58" s="64" t="str">
        <f ca="1">IF(BU55&lt;&gt;"",IF(OR('Outfall 1 Limits'!AX16="C1",'Outfall 1 Limits'!AX16="L"),IF(KD74="Y","&lt;",""),""),"")</f>
        <v/>
      </c>
      <c r="I58" s="64" t="str">
        <f ca="1">IF(AND($BU$55&lt;&gt;"",$EC$44&lt;&gt;""),IF(OR('Outfall 1 Limits'!$AX$16="C1",'Outfall 1 Limits'!$AX$16="L"),$EC$44),"")</f>
        <v/>
      </c>
      <c r="J58" s="113" t="str">
        <f ca="1">IF(BV55&lt;&gt;"",IF(OR('Outfall 1 Limits'!$AX$20="C1",'Outfall 1 Limits'!$AX$20="L"),IF(KE74="Y","&lt;",""),""),"")</f>
        <v/>
      </c>
      <c r="K58" s="64" t="str">
        <f ca="1">IF(AND($BV$55&lt;&gt;"",$ED$44&lt;&gt;""),IF(OR('Outfall 1 Limits'!$AX$20="C1",'Outfall 1 Limits'!$AX$20="L"),$ED$44),"")</f>
        <v/>
      </c>
      <c r="L58" s="64" t="str">
        <f ca="1">IF(BW55&lt;&gt;"",IF(OR('Outfall 1 Limits'!$AX$24="C1",'Outfall 1 Limits'!$AX$24="L"),IF(KF74="Y","&lt;",""),""),"")</f>
        <v/>
      </c>
      <c r="M58" s="64" t="str">
        <f ca="1">IF(AND($BW$55&lt;&gt;"",$EE$44&lt;&gt;""),IF(OR('Outfall 1 Limits'!$AX$24="C1",'Outfall 1 Limits'!$AX$24="L"),$EE$44),"")</f>
        <v/>
      </c>
      <c r="N58" s="114" t="str">
        <f ca="1">IF(BX55&lt;&gt;"",IF(OR('Outfall 1 Limits'!$AX$28="C1",'Outfall 1 Limits'!$AX$28="L"),IF(KG74="Y","&lt;",""),""),"")</f>
        <v/>
      </c>
      <c r="O58" s="64" t="str">
        <f ca="1">IF(AND($BX$55&lt;&gt;"",$EF$44&lt;&gt;""),IF(OR('Outfall 1 Limits'!$AX$28="C1",'Outfall 1 Limits'!$AX$28="L"),$EF$44),"")</f>
        <v/>
      </c>
      <c r="P58" s="64" t="str">
        <f ca="1">IF(BY55&lt;&gt;"",IF(OR('Outfall 1 Limits'!$AX$32="C1",'Outfall 1 Limits'!$AX$32="L"),IF(KH74="Y","&lt;",""),""),"")</f>
        <v/>
      </c>
      <c r="Q58" s="64" t="str">
        <f ca="1">IF(AND($BY$55&lt;&gt;"",$EG$44&lt;&gt;""),IF(OR('Outfall 1 Limits'!$AX$32="C1",'Outfall 1 Limits'!$AX$32="L"),$EG$44),"")</f>
        <v/>
      </c>
      <c r="R58" s="114" t="str">
        <f ca="1">IF(BZ55&lt;&gt;"",IF(OR('Outfall 1 Limits'!$AX$36="C1",'Outfall 1 Limits'!$AX$36="L"),IF(KI74="Y","&lt;",""),""),"")</f>
        <v/>
      </c>
      <c r="S58" s="64" t="str">
        <f ca="1">IF(AND($BZ$55&lt;&gt;"",$EH$44&lt;&gt;""),IF(OR('Outfall 1 Limits'!$AX$36="C1",'Outfall 1 Limits'!$AX$36="L"),$EH$44),"")</f>
        <v/>
      </c>
      <c r="T58" s="114" t="str">
        <f ca="1">IF(CA55&lt;&gt;"",IF(OR('Outfall 1 Limits'!$AX$40="C1",'Outfall 1 Limits'!$AX$40="L"),IF(KJ74="Y","&lt;",""),""),"")</f>
        <v/>
      </c>
      <c r="U58" s="64" t="str">
        <f ca="1">IF(AND($CA$55&lt;&gt;"",$EI$44&lt;&gt;""),IF(OR('Outfall 1 Limits'!$AX$40="C1",'Outfall 1 Limits'!$AX$40="L"),$EI$44),"")</f>
        <v/>
      </c>
      <c r="V58" s="114" t="str">
        <f ca="1">IF(CB55&lt;&gt;"",IF(OR('Outfall 1 Limits'!$AX$44="C1",'Outfall 1 Limits'!$AX$44="L"),IF(KK74="Y","&lt;",""),""),"")</f>
        <v/>
      </c>
      <c r="W58" s="64" t="str">
        <f ca="1">IF(AND($CB$55&lt;&gt;"",$EJ$44&lt;&gt;""),IF(OR('Outfall 1 Limits'!$AX$44="C1",'Outfall 1 Limits'!$AX$44="L"),$EJ$44),"")</f>
        <v/>
      </c>
      <c r="X58" s="279" t="str">
        <f ca="1">IF(CC55&lt;&gt;"",IF(OR('Outfall 1 Limits'!$AX$48="C1",'Outfall 1 Limits'!$AX$48="L"),IF(KL74="Y","&lt;",""),""),"")</f>
        <v/>
      </c>
      <c r="Y58" s="64" t="str">
        <f ca="1">IF(AND($CC$55&lt;&gt;"",$EK$44&lt;&gt;""),IF(OR('Outfall 1 Limits'!$AX$48="C1",'Outfall 1 Limits'!$AX$48="L"),$EK$44),"")</f>
        <v/>
      </c>
      <c r="Z58" s="114" t="str">
        <f ca="1">IF(CD55&lt;&gt;"",IF(OR('Outfall 1 Limits'!$AX$52="C1",'Outfall 1 Limits'!$AX$52="L"),IF(KM74="Y","&lt;",""),""),"")</f>
        <v/>
      </c>
      <c r="AA58" s="64" t="str">
        <f ca="1">IF(AND($CD$55&lt;&gt;"",$EL$44&lt;&gt;""),IF(OR('Outfall 1 Limits'!$AX$52="C1",'Outfall 1 Limits'!$AX$52="L"),$EL$44),"")</f>
        <v/>
      </c>
      <c r="AB58" s="64" t="str">
        <f ca="1">IF(CE55&lt;&gt;"",IF(OR('Outfall 1 Limits'!$AX$56="C1",'Outfall 1 Limits'!$AX$56="L"),IF(KN74="Y","&lt;",""),""),"")</f>
        <v/>
      </c>
      <c r="AC58" s="64" t="str">
        <f ca="1">IF(AND($CE$55&lt;&gt;"",$EM$44&lt;&gt;""),IF(OR('Outfall 1 Limits'!$AX$56="C1",'Outfall 1 Limits'!$AX$56="L"),$EM$44),"")</f>
        <v/>
      </c>
      <c r="AD58" s="114" t="str">
        <f ca="1">IF(CF55&lt;&gt;"",IF(OR('Outfall 1 Limits'!$AX$60="C1",'Outfall 1 Limits'!$AX$60="L"),IF(KO74="Y","&lt;",""),""),"")</f>
        <v/>
      </c>
      <c r="AE58" s="64" t="str">
        <f ca="1">IF(AND($CF$55&lt;&gt;"",$EN$44&lt;&gt;""),IF(OR('Outfall 1 Limits'!$AX$60="C1",'Outfall 1 Limits'!$AX$60="L"),$EN$44),"")</f>
        <v/>
      </c>
      <c r="AF58" s="64" t="str">
        <f ca="1">IF(CG55&lt;&gt;"",IF(OR('Outfall 1 Limits'!$AX$64="C1",'Outfall 1 Limits'!$AX$64="L"),IF(KP74="Y","&lt;",""),""),"")</f>
        <v/>
      </c>
      <c r="AG58" s="64" t="str">
        <f ca="1">IF(AND($CG$55&lt;&gt;"",$EO$44&lt;&gt;""),IF(OR('Outfall 1 Limits'!$AX$64="C1",'Outfall 1 Limits'!$AX$64="L"),$EO$44),"")</f>
        <v/>
      </c>
      <c r="AH58" s="114" t="str">
        <f ca="1">IF(CH55&lt;&gt;"",IF(OR('Outfall 1 Limits'!$AX$68="C1",'Outfall 1 Limits'!$AX$68="L"),IF(KQ74="Y","&lt;",""),""),"")</f>
        <v/>
      </c>
      <c r="AI58" s="64" t="str">
        <f ca="1">IF(AND($CH$55&lt;&gt;"",$EP$44&lt;&gt;""),IF(OR('Outfall 1 Limits'!$AX$68="C1",'Outfall 1 Limits'!$AX$68="L"),$EP$44),"")</f>
        <v/>
      </c>
      <c r="AJ58" s="64" t="str">
        <f ca="1">IF(CI55&lt;&gt;"",IF(OR('Outfall 1 Limits'!$AX$72="C1",'Outfall 1 Limits'!$AX$72="L"),IF(KR74="Y","&lt;",""),""),"")</f>
        <v/>
      </c>
      <c r="AK58" s="64" t="str">
        <f ca="1">IF(AND($CI$55&lt;&gt;"",$EQ$44&lt;&gt;""),IF(OR('Outfall 1 Limits'!$AX$72="C1",'Outfall 1 Limits'!$AX$72="L"),$EQ$44),"")</f>
        <v/>
      </c>
      <c r="AL58" s="114" t="str">
        <f ca="1">IF(CJ55&lt;&gt;"",IF(OR('Outfall 1 Limits'!$AX$76="C1",'Outfall 1 Limits'!$AX$76="L"),IF(KS74="Y","&lt;",""),""),"")</f>
        <v/>
      </c>
      <c r="AM58" s="64" t="str">
        <f ca="1">IF(AND($CJ$55&lt;&gt;"",$ER$44&lt;&gt;""),IF(OR('Outfall 1 Limits'!$AX$76="C1",'Outfall 1 Limits'!$AX$76="L"),$ER$44),"")</f>
        <v/>
      </c>
      <c r="AN58" s="144" t="str">
        <f ca="1">IF(CK55&lt;&gt;"",IF(OR('Outfall 1 Limits'!$AX$80="C1",'Outfall 1 Limits'!$AX$80="L"),IF(KT74="Y","&lt;",""),""),"")</f>
        <v/>
      </c>
      <c r="AO58" s="64" t="str">
        <f ca="1">IF(AND($CK$55&lt;&gt;"",$ES$44&lt;&gt;""),IF(OR('Outfall 1 Limits'!$AX$80="C1",'Outfall 1 Limits'!$AX$80="L"),$ES$44),"")</f>
        <v/>
      </c>
      <c r="AP58" s="144" t="str">
        <f ca="1">IF(CL55&lt;&gt;"",IF(OR('Outfall 1 Limits'!$AX$84="C1",'Outfall 1 Limits'!$AX$84="L"),IF(KU74="Y","&lt;",""),""),"")</f>
        <v/>
      </c>
      <c r="AQ58" s="64" t="str">
        <f ca="1">IF(AND($CL$55&lt;&gt;"",$ET$44&lt;&gt;""),IF(OR('Outfall 1 Limits'!$AX$84="C1",'Outfall 1 Limits'!$AX$84="L"),$ET$44),"")</f>
        <v/>
      </c>
      <c r="AR58" s="144" t="str">
        <f ca="1">IF(CM55&lt;&gt;"",IF(OR('Outfall 1 Limits'!$AX$88="C1",'Outfall 1 Limits'!$AX$88="L"),IF(KV74="Y","&lt;",""),""),"")</f>
        <v/>
      </c>
      <c r="AS58" s="64" t="str">
        <f ca="1">IF(AND($CM$55&lt;&gt;"",$EU$44&lt;&gt;""),IF(OR('Outfall 1 Limits'!$AX$88="C1",'Outfall 1 Limits'!$AX$88="L"),$EU$44),"")</f>
        <v/>
      </c>
      <c r="AT58" s="144" t="str">
        <f ca="1">IF(CN55&lt;&gt;"",IF(OR('Outfall 1 Limits'!$AX$92="C1",'Outfall 1 Limits'!$AX$92="L"),IF(KW74="Y","&lt;",""),""),"")</f>
        <v/>
      </c>
      <c r="AU58" s="64" t="str">
        <f ca="1">IF(AND($CN$55&lt;&gt;"",$EV$44&lt;&gt;""),IF(OR('Outfall 1 Limits'!$AX$92="C1",'Outfall 1 Limits'!$AX$92="L"),$EV$44),"")</f>
        <v/>
      </c>
      <c r="AV58" s="144" t="str">
        <f ca="1">IF(CO55&lt;&gt;"",IF(OR('Outfall 1 Limits'!$AX$96="C1",'Outfall 1 Limits'!$AX$96="L"),IF(KX74="Y","&lt;",""),""),"")</f>
        <v/>
      </c>
      <c r="AW58" s="64" t="str">
        <f ca="1">IF(AND($CO$55&lt;&gt;"",$EW$44&lt;&gt;""),IF(OR('Outfall 1 Limits'!$AX$96="C1",'Outfall 1 Limits'!$AX$96="L"),$EW$44),"")</f>
        <v/>
      </c>
      <c r="AX58" s="144" t="str">
        <f ca="1">IF(CP55&lt;&gt;"",IF(OR('Outfall 1 Limits'!$AX$100="C1",'Outfall 1 Limits'!$AX$100="L"),IF(KY74="Y","&lt;",""),""),"")</f>
        <v/>
      </c>
      <c r="AY58" s="64" t="str">
        <f ca="1">IF(AND($CP$55&lt;&gt;"",$EX$44&lt;&gt;""),IF(OR('Outfall 1 Limits'!$AX$100="C1",'Outfall 1 Limits'!$AX$100="L"),$EX$44),"")</f>
        <v/>
      </c>
      <c r="AZ58" s="144" t="str">
        <f ca="1">IF(CQ55&lt;&gt;"",IF(OR('Outfall 1 Limits'!$AX$104="C1",'Outfall 1 Limits'!$AX$104="L"),IF(KZ74="Y","&lt;",""),""),"")</f>
        <v/>
      </c>
      <c r="BA58" s="64" t="str">
        <f ca="1">IF(AND($CQ$55&lt;&gt;"",$EY$44&lt;&gt;""),IF(OR('Outfall 1 Limits'!$AX$104="C1",'Outfall 1 Limits'!$AX$104="L"),$EY$44),"")</f>
        <v/>
      </c>
      <c r="BB58" s="144" t="str">
        <f ca="1">IF(CR55&lt;&gt;"",IF(OR('Outfall 1 Limits'!$AX$108="C1",'Outfall 1 Limits'!$AX$108="L"),IF(LA74="Y","&lt;",""),""),"")</f>
        <v/>
      </c>
      <c r="BC58" s="64" t="str">
        <f ca="1">IF(AND($CR$55&lt;&gt;"",$EZ$44&lt;&gt;""),IF(OR('Outfall 1 Limits'!$AX$108="C1",'Outfall 1 Limits'!$AX$108="L"),$EZ$44),"")</f>
        <v/>
      </c>
      <c r="BD58" s="144" t="str">
        <f ca="1">IF(CS55&lt;&gt;"",IF(OR('Outfall 1 Limits'!$AX$112="C1",'Outfall 1 Limits'!$AX$112="L"),IF(LB74="Y","&lt;",""),""),"")</f>
        <v/>
      </c>
      <c r="BE58" s="64" t="str">
        <f ca="1">IF(AND($CS$55&lt;&gt;"",$FA$44&lt;&gt;""),IF(OR('Outfall 1 Limits'!$AX$112="C1",'Outfall 1 Limits'!$AX$112="L"),$FA$44),"")</f>
        <v/>
      </c>
      <c r="BF58" s="144" t="str">
        <f ca="1">IF(CT55&lt;&gt;"",IF(OR('Outfall 1 Limits'!$AX$116="C1",'Outfall 1 Limits'!$AX$116="L"),IF(LC74="Y","&lt;",""),""),"")</f>
        <v/>
      </c>
      <c r="BG58" s="64" t="str">
        <f ca="1">IF(AND($CT$55&lt;&gt;"",$FB$44&lt;&gt;""),IF(OR('Outfall 1 Limits'!$AX$116="C1",'Outfall 1 Limits'!$AX$116="L"),$FB$44),"")</f>
        <v/>
      </c>
      <c r="BH58" s="144" t="str">
        <f ca="1">IF(CU55&lt;&gt;"",IF(OR('Outfall 1 Limits'!$AX$120="C1",'Outfall 1 Limits'!$AX$120="L"),IF(LD74="Y","&lt;",""),""),"")</f>
        <v/>
      </c>
      <c r="BI58" s="64" t="str">
        <f ca="1">IF(AND($CU$55&lt;&gt;"",$FC$44&lt;&gt;""),IF(OR('Outfall 1 Limits'!$AX$120="C1",'Outfall 1 Limits'!$AX$120="L"),$FC$44),"")</f>
        <v/>
      </c>
      <c r="BJ58" s="144" t="str">
        <f ca="1">IF(CV55&lt;&gt;"",IF(OR('Outfall 1 Limits'!$AX$124="C1",'Outfall 1 Limits'!$AX$124="L"),IF(LE74="Y","&lt;",""),""),"")</f>
        <v/>
      </c>
      <c r="BK58" s="64" t="str">
        <f ca="1">IF(AND($CV$55&lt;&gt;"",$FD$44&lt;&gt;""),IF(OR('Outfall 1 Limits'!$AX$124="C1",'Outfall 1 Limits'!$AX$124="L"),$FD$44),"")</f>
        <v/>
      </c>
      <c r="BL58" s="144" t="str">
        <f ca="1">IF(CW55&lt;&gt;"",IF(OR('Outfall 1 Limits'!$AX$128="C1",'Outfall 1 Limits'!$AX$128="L"),IF(LF74="Y","&lt;",""),""),"")</f>
        <v/>
      </c>
      <c r="BM58" s="118" t="str">
        <f ca="1">IF(AND($CW$55&lt;&gt;"",$FE$44&lt;&gt;""),IF(OR('Outfall 1 Limits'!$AX$128="C1",'Outfall 1 Limits'!$AX$128="L"),$FE$44),"")</f>
        <v/>
      </c>
      <c r="BO58" s="174"/>
      <c r="BP58" s="174">
        <v>2077</v>
      </c>
      <c r="BQ58" s="179" t="s">
        <v>1160</v>
      </c>
      <c r="BR58" s="174"/>
      <c r="BS58" s="174"/>
      <c r="BT58" s="242" t="s">
        <v>1134</v>
      </c>
      <c r="BU58" s="202" t="str">
        <f>IF(BU57&lt;&gt;0,IF(INT(BU57)=BU57,"N","Y"),"")</f>
        <v/>
      </c>
      <c r="BV58" s="196" t="str">
        <f t="shared" ref="BV58:CW58" si="177">IF(BV57&lt;&gt;0,IF(INT(BV57)=BV57,"N","Y"),"")</f>
        <v/>
      </c>
      <c r="BW58" s="196" t="str">
        <f t="shared" si="177"/>
        <v/>
      </c>
      <c r="BX58" s="196" t="str">
        <f t="shared" si="177"/>
        <v/>
      </c>
      <c r="BY58" s="196" t="str">
        <f t="shared" si="177"/>
        <v/>
      </c>
      <c r="BZ58" s="196" t="str">
        <f t="shared" si="177"/>
        <v/>
      </c>
      <c r="CA58" s="196" t="str">
        <f t="shared" si="177"/>
        <v/>
      </c>
      <c r="CB58" s="196" t="str">
        <f t="shared" si="177"/>
        <v/>
      </c>
      <c r="CC58" s="196" t="str">
        <f t="shared" si="177"/>
        <v/>
      </c>
      <c r="CD58" s="196" t="str">
        <f t="shared" si="177"/>
        <v/>
      </c>
      <c r="CE58" s="196" t="str">
        <f t="shared" si="177"/>
        <v/>
      </c>
      <c r="CF58" s="196" t="str">
        <f t="shared" si="177"/>
        <v/>
      </c>
      <c r="CG58" s="196" t="str">
        <f t="shared" si="177"/>
        <v/>
      </c>
      <c r="CH58" s="196" t="str">
        <f t="shared" si="177"/>
        <v/>
      </c>
      <c r="CI58" s="196" t="str">
        <f t="shared" si="177"/>
        <v/>
      </c>
      <c r="CJ58" s="196" t="str">
        <f t="shared" si="177"/>
        <v/>
      </c>
      <c r="CK58" s="196" t="str">
        <f t="shared" si="177"/>
        <v/>
      </c>
      <c r="CL58" s="196" t="str">
        <f t="shared" si="177"/>
        <v/>
      </c>
      <c r="CM58" s="196" t="str">
        <f t="shared" si="177"/>
        <v/>
      </c>
      <c r="CN58" s="196" t="str">
        <f t="shared" si="177"/>
        <v/>
      </c>
      <c r="CO58" s="196" t="str">
        <f t="shared" si="177"/>
        <v/>
      </c>
      <c r="CP58" s="196" t="str">
        <f t="shared" si="177"/>
        <v/>
      </c>
      <c r="CQ58" s="196" t="str">
        <f t="shared" si="177"/>
        <v/>
      </c>
      <c r="CR58" s="196" t="str">
        <f t="shared" si="177"/>
        <v/>
      </c>
      <c r="CS58" s="196" t="str">
        <f t="shared" si="177"/>
        <v/>
      </c>
      <c r="CT58" s="196" t="str">
        <f t="shared" si="177"/>
        <v/>
      </c>
      <c r="CU58" s="196" t="str">
        <f t="shared" si="177"/>
        <v/>
      </c>
      <c r="CV58" s="196" t="str">
        <f t="shared" si="177"/>
        <v/>
      </c>
      <c r="CW58" s="210" t="str">
        <f t="shared" si="177"/>
        <v/>
      </c>
      <c r="CX58" s="242" t="s">
        <v>371</v>
      </c>
      <c r="CY58" s="249"/>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8"/>
      <c r="EB58" s="176"/>
      <c r="GJ58" s="245"/>
      <c r="GK58" s="253"/>
      <c r="GL58" s="193"/>
      <c r="GM58" s="193"/>
      <c r="GN58" s="193"/>
      <c r="GO58" s="193"/>
      <c r="GP58" s="193"/>
      <c r="GQ58" s="193"/>
      <c r="GR58" s="193"/>
      <c r="GS58" s="193"/>
      <c r="GT58" s="193"/>
      <c r="GU58" s="193"/>
      <c r="GV58" s="193"/>
      <c r="GW58" s="193"/>
      <c r="GX58" s="193"/>
      <c r="GY58" s="193"/>
      <c r="GZ58" s="193"/>
      <c r="HA58" s="193"/>
      <c r="HB58" s="193"/>
      <c r="HC58" s="193"/>
      <c r="HD58" s="193"/>
      <c r="HE58" s="193"/>
      <c r="HF58" s="193"/>
      <c r="HG58" s="193"/>
      <c r="HH58" s="193"/>
      <c r="HI58" s="193"/>
      <c r="HJ58" s="193"/>
      <c r="HK58" s="193"/>
      <c r="HL58" s="193"/>
      <c r="HM58" s="190"/>
      <c r="HN58" s="245" t="s">
        <v>842</v>
      </c>
      <c r="HO58" s="254" t="str">
        <f ca="1">IF(HO57&gt;HO56,"Y","N")</f>
        <v>N</v>
      </c>
      <c r="HP58" s="174"/>
      <c r="HQ58" s="174"/>
      <c r="HR58" s="242" t="s">
        <v>373</v>
      </c>
      <c r="HS58" s="250" t="str">
        <f ca="1">IF(HS56&lt;&gt;"",IF(HS56=HS57,"N","Y"),"")</f>
        <v/>
      </c>
      <c r="HT58" s="251" t="str">
        <f t="shared" ref="HT58" ca="1" si="178">IF(HT56&lt;&gt;"",IF(HT56=HT57,"N","Y"),"")</f>
        <v/>
      </c>
      <c r="HU58" s="251" t="str">
        <f t="shared" ref="HU58" ca="1" si="179">IF(HU56&lt;&gt;"",IF(HU56=HU57,"N","Y"),"")</f>
        <v/>
      </c>
      <c r="HV58" s="251" t="str">
        <f t="shared" ref="HV58" ca="1" si="180">IF(HV56&lt;&gt;"",IF(HV56=HV57,"N","Y"),"")</f>
        <v/>
      </c>
      <c r="HW58" s="251" t="str">
        <f t="shared" ref="HW58" ca="1" si="181">IF(HW56&lt;&gt;"",IF(HW56=HW57,"N","Y"),"")</f>
        <v/>
      </c>
      <c r="HX58" s="251" t="str">
        <f t="shared" ref="HX58" ca="1" si="182">IF(HX56&lt;&gt;"",IF(HX56=HX57,"N","Y"),"")</f>
        <v/>
      </c>
      <c r="HY58" s="251" t="str">
        <f t="shared" ref="HY58" ca="1" si="183">IF(HY56&lt;&gt;"",IF(HY56=HY57,"N","Y"),"")</f>
        <v/>
      </c>
      <c r="HZ58" s="251" t="str">
        <f t="shared" ref="HZ58" ca="1" si="184">IF(HZ56&lt;&gt;"",IF(HZ56=HZ57,"N","Y"),"")</f>
        <v/>
      </c>
      <c r="IA58" s="251" t="str">
        <f t="shared" ref="IA58" ca="1" si="185">IF(IA56&lt;&gt;"",IF(IA56=IA57,"N","Y"),"")</f>
        <v/>
      </c>
      <c r="IB58" s="251" t="str">
        <f t="shared" ref="IB58" ca="1" si="186">IF(IB56&lt;&gt;"",IF(IB56=IB57,"N","Y"),"")</f>
        <v/>
      </c>
      <c r="IC58" s="251" t="str">
        <f t="shared" ref="IC58" ca="1" si="187">IF(IC56&lt;&gt;"",IF(IC56=IC57,"N","Y"),"")</f>
        <v/>
      </c>
      <c r="ID58" s="251" t="str">
        <f t="shared" ref="ID58" ca="1" si="188">IF(ID56&lt;&gt;"",IF(ID56=ID57,"N","Y"),"")</f>
        <v/>
      </c>
      <c r="IE58" s="251" t="str">
        <f t="shared" ref="IE58" ca="1" si="189">IF(IE56&lt;&gt;"",IF(IE56=IE57,"N","Y"),"")</f>
        <v/>
      </c>
      <c r="IF58" s="251" t="str">
        <f t="shared" ref="IF58" ca="1" si="190">IF(IF56&lt;&gt;"",IF(IF56=IF57,"N","Y"),"")</f>
        <v/>
      </c>
      <c r="IG58" s="251" t="str">
        <f t="shared" ref="IG58" ca="1" si="191">IF(IG56&lt;&gt;"",IF(IG56=IG57,"N","Y"),"")</f>
        <v/>
      </c>
      <c r="IH58" s="251" t="str">
        <f t="shared" ref="IH58" ca="1" si="192">IF(IH56&lt;&gt;"",IF(IH56=IH57,"N","Y"),"")</f>
        <v/>
      </c>
      <c r="II58" s="251" t="str">
        <f t="shared" ref="II58" ca="1" si="193">IF(II56&lt;&gt;"",IF(II56=II57,"N","Y"),"")</f>
        <v/>
      </c>
      <c r="IJ58" s="251" t="str">
        <f t="shared" ref="IJ58" ca="1" si="194">IF(IJ56&lt;&gt;"",IF(IJ56=IJ57,"N","Y"),"")</f>
        <v/>
      </c>
      <c r="IK58" s="251" t="str">
        <f t="shared" ref="IK58" ca="1" si="195">IF(IK56&lt;&gt;"",IF(IK56=IK57,"N","Y"),"")</f>
        <v/>
      </c>
      <c r="IL58" s="251" t="str">
        <f t="shared" ref="IL58" ca="1" si="196">IF(IL56&lt;&gt;"",IF(IL56=IL57,"N","Y"),"")</f>
        <v/>
      </c>
      <c r="IM58" s="251" t="str">
        <f t="shared" ref="IM58" ca="1" si="197">IF(IM56&lt;&gt;"",IF(IM56=IM57,"N","Y"),"")</f>
        <v/>
      </c>
      <c r="IN58" s="251" t="str">
        <f t="shared" ref="IN58" ca="1" si="198">IF(IN56&lt;&gt;"",IF(IN56=IN57,"N","Y"),"")</f>
        <v/>
      </c>
      <c r="IO58" s="251" t="str">
        <f t="shared" ref="IO58" ca="1" si="199">IF(IO56&lt;&gt;"",IF(IO56=IO57,"N","Y"),"")</f>
        <v/>
      </c>
      <c r="IP58" s="251" t="str">
        <f t="shared" ref="IP58" ca="1" si="200">IF(IP56&lt;&gt;"",IF(IP56=IP57,"N","Y"),"")</f>
        <v/>
      </c>
      <c r="IQ58" s="251" t="str">
        <f t="shared" ref="IQ58" ca="1" si="201">IF(IQ56&lt;&gt;"",IF(IQ56=IQ57,"N","Y"),"")</f>
        <v/>
      </c>
      <c r="IR58" s="251" t="str">
        <f t="shared" ref="IR58" ca="1" si="202">IF(IR56&lt;&gt;"",IF(IR56=IR57,"N","Y"),"")</f>
        <v/>
      </c>
      <c r="IS58" s="251" t="str">
        <f t="shared" ref="IS58" ca="1" si="203">IF(IS56&lt;&gt;"",IF(IS56=IS57,"N","Y"),"")</f>
        <v/>
      </c>
      <c r="IT58" s="251" t="str">
        <f t="shared" ref="IT58" ca="1" si="204">IF(IT56&lt;&gt;"",IF(IT56=IT57,"N","Y"),"")</f>
        <v/>
      </c>
      <c r="IU58" s="252" t="str">
        <f t="shared" ref="IU58" ca="1" si="205">IF(IU56&lt;&gt;"",IF(IU56=IU57,"N","Y"),"")</f>
        <v/>
      </c>
      <c r="IW58" s="242" t="s">
        <v>372</v>
      </c>
      <c r="IX58" s="202" t="str">
        <f ca="1">IF(ROWS(INDIRECT("IX"&amp;$D$10):INDIRECT("IX"&amp;$B$10))-COUNTIF(INDIRECT("IX"&amp;$D$10):INDIRECT("IX"&amp;$B$10),"")&gt;0,MIN(INDIRECT("IX"&amp;$D$10):INDIRECT("IX"&amp;$B$10)),"")</f>
        <v/>
      </c>
      <c r="IY58" s="196" t="str">
        <f ca="1">IF(ROWS(INDIRECT("IY"&amp;$D$10):INDIRECT("IY"&amp;$B$10))-COUNTIF(INDIRECT("IY"&amp;$D$10):INDIRECT("IY"&amp;$B$10),"")&gt;0,MIN(INDIRECT("IY"&amp;$D$10):INDIRECT("IY"&amp;$B$10)),"")</f>
        <v/>
      </c>
      <c r="IZ58" s="196" t="str">
        <f ca="1">IF(ROWS(INDIRECT("IZ"&amp;$D$10):INDIRECT("IZ"&amp;$B$10))-COUNTIF(INDIRECT("IZ"&amp;$D$10):INDIRECT("IZ"&amp;$B$10),"")&gt;0,MIN(INDIRECT("IZ"&amp;$D$10):INDIRECT("IZ"&amp;$B$10)),"")</f>
        <v/>
      </c>
      <c r="JA58" s="196" t="str">
        <f ca="1">IF(ROWS(INDIRECT("JA"&amp;$D$10):INDIRECT("JA"&amp;$B$10))-COUNTIF(INDIRECT("JA"&amp;$D$10):INDIRECT("JA"&amp;$B$10),"")&gt;0,MIN(INDIRECT("JA"&amp;$D$10):INDIRECT("JA"&amp;$B$10)),"")</f>
        <v/>
      </c>
      <c r="JB58" s="196" t="str">
        <f ca="1">IF(ROWS(INDIRECT("JB"&amp;$D$10):INDIRECT("JB"&amp;$B$10))-COUNTIF(INDIRECT("JB"&amp;$D$10):INDIRECT("JB"&amp;$B$10),"")&gt;0,MIN(INDIRECT("JB"&amp;$D$10):INDIRECT("JB"&amp;$B$10)),"")</f>
        <v/>
      </c>
      <c r="JC58" s="196" t="str">
        <f ca="1">IF(ROWS(INDIRECT("JC"&amp;$D$10):INDIRECT("JC"&amp;$B$10))-COUNTIF(INDIRECT("JC"&amp;$D$10):INDIRECT("JC"&amp;$B$10),"")&gt;0,MIN(INDIRECT("JC"&amp;$D$10):INDIRECT("JC"&amp;$B$10)),"")</f>
        <v/>
      </c>
      <c r="JD58" s="196" t="str">
        <f ca="1">IF(ROWS(INDIRECT("JD"&amp;$D$10):INDIRECT("JD"&amp;$B$10))-COUNTIF(INDIRECT("JD"&amp;$D$10):INDIRECT("JD"&amp;$B$10),"")&gt;0,MIN(INDIRECT("JD"&amp;$D$10):INDIRECT("JD"&amp;$B$10)),"")</f>
        <v/>
      </c>
      <c r="JE58" s="196" t="str">
        <f ca="1">IF(ROWS(INDIRECT("JE"&amp;$D$10):INDIRECT("JE"&amp;$B$10))-COUNTIF(INDIRECT("JE"&amp;$D$10):INDIRECT("JE"&amp;$B$10),"")&gt;0,MIN(INDIRECT("JE"&amp;$D$10):INDIRECT("JE"&amp;$B$10)),"")</f>
        <v/>
      </c>
      <c r="JF58" s="196" t="str">
        <f ca="1">IF(ROWS(INDIRECT("JF"&amp;$D$10):INDIRECT("JF"&amp;$B$10))-COUNTIF(INDIRECT("JF"&amp;$D$10):INDIRECT("JF"&amp;$B$10),"")&gt;0,MIN(INDIRECT("JF"&amp;$D$10):INDIRECT("JF"&amp;$B$10)),"")</f>
        <v/>
      </c>
      <c r="JG58" s="196" t="str">
        <f ca="1">IF(ROWS(INDIRECT("JG"&amp;$D$10):INDIRECT("JG"&amp;$B$10))-COUNTIF(INDIRECT("JG"&amp;$D$10):INDIRECT("JG"&amp;$B$10),"")&gt;0,MIN(INDIRECT("JG"&amp;$D$10):INDIRECT("JG"&amp;$B$10)),"")</f>
        <v/>
      </c>
      <c r="JH58" s="196" t="str">
        <f ca="1">IF(ROWS(INDIRECT("JH"&amp;$D$10):INDIRECT("JH"&amp;$B$10))-COUNTIF(INDIRECT("JH"&amp;$D$10):INDIRECT("JH"&amp;$B$10),"")&gt;0,MIN(INDIRECT("JH"&amp;$D$10):INDIRECT("JH"&amp;$B$10)),"")</f>
        <v/>
      </c>
      <c r="JI58" s="196" t="str">
        <f ca="1">IF(ROWS(INDIRECT("JI"&amp;$D$10):INDIRECT("JI"&amp;$B$10))-COUNTIF(INDIRECT("JI"&amp;$D$10):INDIRECT("JI"&amp;$B$10),"")&gt;0,MIN(INDIRECT("JI"&amp;$D$10):INDIRECT("JI"&amp;$B$10)),"")</f>
        <v/>
      </c>
      <c r="JJ58" s="196" t="str">
        <f ca="1">IF(ROWS(INDIRECT("JJ"&amp;$D$10):INDIRECT("JJ"&amp;$B$10))-COUNTIF(INDIRECT("JJ"&amp;$D$10):INDIRECT("JJ"&amp;$B$10),"")&gt;0,MIN(INDIRECT("JJ"&amp;$D$10):INDIRECT("JJ"&amp;$B$10)),"")</f>
        <v/>
      </c>
      <c r="JK58" s="196" t="str">
        <f ca="1">IF(ROWS(INDIRECT("JK"&amp;$D$10):INDIRECT("JK"&amp;$B$10))-COUNTIF(INDIRECT("JK"&amp;$D$10):INDIRECT("JK"&amp;$B$10),"")&gt;0,MIN(INDIRECT("JK"&amp;$D$10):INDIRECT("JK"&amp;$B$10)),"")</f>
        <v/>
      </c>
      <c r="JL58" s="196" t="str">
        <f ca="1">IF(ROWS(INDIRECT("JL"&amp;$D$10):INDIRECT("JL"&amp;$B$10))-COUNTIF(INDIRECT("JL"&amp;$D$10):INDIRECT("JL"&amp;$B$10),"")&gt;0,MIN(INDIRECT("JL"&amp;$D$10):INDIRECT("JL"&amp;$B$10)),"")</f>
        <v/>
      </c>
      <c r="JM58" s="196" t="str">
        <f ca="1">IF(ROWS(INDIRECT("JM"&amp;$D$10):INDIRECT("JM"&amp;$B$10))-COUNTIF(INDIRECT("JM"&amp;$D$10):INDIRECT("JM"&amp;$B$10),"")&gt;0,MIN(INDIRECT("JM"&amp;$D$10):INDIRECT("JM"&amp;$B$10)),"")</f>
        <v/>
      </c>
      <c r="JN58" s="196" t="str">
        <f ca="1">IF(ROWS(INDIRECT("JN"&amp;$D$10):INDIRECT("JN"&amp;$B$10))-COUNTIF(INDIRECT("JN"&amp;$D$10):INDIRECT("JN"&amp;$B$10),"")&gt;0,MIN(INDIRECT("JN"&amp;$D$10):INDIRECT("JN"&amp;$B$10)),"")</f>
        <v/>
      </c>
      <c r="JO58" s="196" t="str">
        <f ca="1">IF(ROWS(INDIRECT("JO"&amp;$D$10):INDIRECT("JO"&amp;$B$10))-COUNTIF(INDIRECT("JO"&amp;$D$10):INDIRECT("JO"&amp;$B$10),"")&gt;0,MIN(INDIRECT("JO"&amp;$D$10):INDIRECT("JO"&amp;$B$10)),"")</f>
        <v/>
      </c>
      <c r="JP58" s="196" t="str">
        <f ca="1">IF(ROWS(INDIRECT("JP"&amp;$D$10):INDIRECT("JP"&amp;$B$10))-COUNTIF(INDIRECT("JP"&amp;$D$10):INDIRECT("JP"&amp;$B$10),"")&gt;0,MIN(INDIRECT("JP"&amp;$D$10):INDIRECT("JP"&amp;$B$10)),"")</f>
        <v/>
      </c>
      <c r="JQ58" s="196" t="str">
        <f ca="1">IF(ROWS(INDIRECT("JQ"&amp;$D$10):INDIRECT("JQ"&amp;$B$10))-COUNTIF(INDIRECT("JQ"&amp;$D$10):INDIRECT("JQ"&amp;$B$10),"")&gt;0,MIN(INDIRECT("JQ"&amp;$D$10):INDIRECT("JQ"&amp;$B$10)),"")</f>
        <v/>
      </c>
      <c r="JR58" s="196" t="str">
        <f ca="1">IF(ROWS(INDIRECT("JR"&amp;$D$10):INDIRECT("JR"&amp;$B$10))-COUNTIF(INDIRECT("JR"&amp;$D$10):INDIRECT("JR"&amp;$B$10),"")&gt;0,MIN(INDIRECT("JR"&amp;$D$10):INDIRECT("JR"&amp;$B$10)),"")</f>
        <v/>
      </c>
      <c r="JS58" s="196" t="str">
        <f ca="1">IF(ROWS(INDIRECT("JS"&amp;$D$10):INDIRECT("JS"&amp;$B$10))-COUNTIF(INDIRECT("JS"&amp;$D$10):INDIRECT("JS"&amp;$B$10),"")&gt;0,MIN(INDIRECT("JS"&amp;$D$10):INDIRECT("JS"&amp;$B$10)),"")</f>
        <v/>
      </c>
      <c r="JT58" s="196" t="str">
        <f ca="1">IF(ROWS(INDIRECT("JT"&amp;$D$10):INDIRECT("JT"&amp;$B$10))-COUNTIF(INDIRECT("JT"&amp;$D$10):INDIRECT("JT"&amp;$B$10),"")&gt;0,MIN(INDIRECT("JT"&amp;$D$10):INDIRECT("JT"&amp;$B$10)),"")</f>
        <v/>
      </c>
      <c r="JU58" s="196" t="str">
        <f ca="1">IF(ROWS(INDIRECT("JU"&amp;$D$10):INDIRECT("JU"&amp;$B$10))-COUNTIF(INDIRECT("JU"&amp;$D$10):INDIRECT("JU"&amp;$B$10),"")&gt;0,MIN(INDIRECT("JU"&amp;$D$10):INDIRECT("JU"&amp;$B$10)),"")</f>
        <v/>
      </c>
      <c r="JV58" s="196" t="str">
        <f ca="1">IF(ROWS(INDIRECT("JV"&amp;$D$10):INDIRECT("JV"&amp;$B$10))-COUNTIF(INDIRECT("JV"&amp;$D$10):INDIRECT("JV"&amp;$B$10),"")&gt;0,MIN(INDIRECT("JV"&amp;$D$10):INDIRECT("JV"&amp;$B$10)),"")</f>
        <v/>
      </c>
      <c r="JW58" s="196" t="str">
        <f ca="1">IF(ROWS(INDIRECT("JW"&amp;$D$10):INDIRECT("JW"&amp;$B$10))-COUNTIF(INDIRECT("JW"&amp;$D$10):INDIRECT("JW"&amp;$B$10),"")&gt;0,MIN(INDIRECT("JW"&amp;$D$10):INDIRECT("JW"&amp;$B$10)),"")</f>
        <v/>
      </c>
      <c r="JX58" s="196" t="str">
        <f ca="1">IF(ROWS(INDIRECT("JX"&amp;$D$10):INDIRECT("JX"&amp;$B$10))-COUNTIF(INDIRECT("JX"&amp;$D$10):INDIRECT("JX"&amp;$B$10),"")&gt;0,MIN(INDIRECT("JX"&amp;$D$10):INDIRECT("JX"&amp;$B$10)),"")</f>
        <v/>
      </c>
      <c r="JY58" s="196" t="str">
        <f ca="1">IF(ROWS(INDIRECT("JY"&amp;$D$10):INDIRECT("JY"&amp;$B$10))-COUNTIF(INDIRECT("JY"&amp;$D$10):INDIRECT("JY"&amp;$B$10),"")&gt;0,MIN(INDIRECT("JY"&amp;$D$10):INDIRECT("JY"&amp;$B$10)),"")</f>
        <v/>
      </c>
      <c r="JZ58" s="210" t="str">
        <f ca="1">IF(ROWS(INDIRECT("JZ"&amp;$D$10):INDIRECT("JZ"&amp;$B$10))-COUNTIF(INDIRECT("JZ"&amp;$D$10):INDIRECT("JZ"&amp;$B$10),"")&gt;0,MIN(INDIRECT("JZ"&amp;$D$10):INDIRECT("JZ"&amp;$B$10)),"")</f>
        <v/>
      </c>
      <c r="KA58" s="196"/>
      <c r="KB58" s="176"/>
      <c r="KC58" s="248" t="s">
        <v>839</v>
      </c>
      <c r="KD58" s="174">
        <f>SUM(KD55:KD57)</f>
        <v>0</v>
      </c>
      <c r="KE58" s="174">
        <f t="shared" ref="KE58:LF58" si="206">SUM(KE55:KE57)</f>
        <v>0</v>
      </c>
      <c r="KF58" s="174">
        <f t="shared" si="206"/>
        <v>0</v>
      </c>
      <c r="KG58" s="174">
        <f t="shared" si="206"/>
        <v>0</v>
      </c>
      <c r="KH58" s="174">
        <f t="shared" si="206"/>
        <v>0</v>
      </c>
      <c r="KI58" s="174">
        <f t="shared" si="206"/>
        <v>0</v>
      </c>
      <c r="KJ58" s="174">
        <f t="shared" si="206"/>
        <v>0</v>
      </c>
      <c r="KK58" s="174">
        <f t="shared" si="206"/>
        <v>0</v>
      </c>
      <c r="KL58" s="174">
        <f t="shared" si="206"/>
        <v>0</v>
      </c>
      <c r="KM58" s="174">
        <f t="shared" si="206"/>
        <v>0</v>
      </c>
      <c r="KN58" s="174">
        <f t="shared" si="206"/>
        <v>0</v>
      </c>
      <c r="KO58" s="174">
        <f t="shared" si="206"/>
        <v>0</v>
      </c>
      <c r="KP58" s="174">
        <f t="shared" si="206"/>
        <v>0</v>
      </c>
      <c r="KQ58" s="174">
        <f t="shared" si="206"/>
        <v>0</v>
      </c>
      <c r="KR58" s="174">
        <f t="shared" si="206"/>
        <v>0</v>
      </c>
      <c r="KS58" s="174">
        <f t="shared" si="206"/>
        <v>0</v>
      </c>
      <c r="KT58" s="174">
        <f t="shared" si="206"/>
        <v>0</v>
      </c>
      <c r="KU58" s="174">
        <f t="shared" si="206"/>
        <v>0</v>
      </c>
      <c r="KV58" s="174">
        <f t="shared" si="206"/>
        <v>0</v>
      </c>
      <c r="KW58" s="174">
        <f t="shared" si="206"/>
        <v>0</v>
      </c>
      <c r="KX58" s="174">
        <f t="shared" si="206"/>
        <v>0</v>
      </c>
      <c r="KY58" s="174">
        <f t="shared" si="206"/>
        <v>0</v>
      </c>
      <c r="KZ58" s="174">
        <f t="shared" si="206"/>
        <v>0</v>
      </c>
      <c r="LA58" s="174">
        <f t="shared" si="206"/>
        <v>0</v>
      </c>
      <c r="LB58" s="174">
        <f t="shared" si="206"/>
        <v>0</v>
      </c>
      <c r="LC58" s="174">
        <f t="shared" si="206"/>
        <v>0</v>
      </c>
      <c r="LD58" s="174">
        <f t="shared" si="206"/>
        <v>0</v>
      </c>
      <c r="LE58" s="174">
        <f t="shared" si="206"/>
        <v>0</v>
      </c>
      <c r="LF58" s="174">
        <f t="shared" si="206"/>
        <v>0</v>
      </c>
    </row>
    <row r="59" spans="1:318" s="172" customFormat="1" ht="11.25" customHeight="1" thickTop="1" x14ac:dyDescent="0.2">
      <c r="A59" s="35"/>
      <c r="B59" s="439" t="s">
        <v>1129</v>
      </c>
      <c r="C59" s="439"/>
      <c r="D59" s="439"/>
      <c r="E59" s="439"/>
      <c r="F59" s="440"/>
      <c r="G59" s="63" t="str">
        <f ca="1">IF(SUM(G14:G51)&gt;0,ROUND(IF(ROWS(INDIRECT("G"&amp;$D$10):INDIRECT("G"&amp;$B$10))-COUNTIF(INDIRECT("G"&amp;$D$10):INDIRECT("G"&amp;$B$10),"")&gt;0,AVERAGE(INDIRECT("G"&amp;$D$10):INDIRECT("G"&amp;$B$10)),""),G126),"")</f>
        <v/>
      </c>
      <c r="H59" s="64" t="str">
        <f ca="1">IF(BU55&lt;&gt;"",IF(OR('Outfall 1 Limits'!AX16="C1",'Outfall 1 Limits'!AX16="L"),IF(KD60="Y","&lt;",""),""),"")</f>
        <v/>
      </c>
      <c r="I59" s="64" t="str">
        <f ca="1">IF(AND($BU$55&lt;&gt;"",$GK55&lt;&gt;""),IF(OR('Outfall 1 Limits'!$AX$16="C1",'Outfall 1 Limits'!$AX$16="L"),$GK55),"")</f>
        <v/>
      </c>
      <c r="J59" s="113" t="str">
        <f ca="1">IF(BV55&lt;&gt;"",IF(OR('Outfall 1 Limits'!$AX$20="C1",'Outfall 1 Limits'!$AX$20="L"),IF(KE60="Y","&lt;",""),""),"")</f>
        <v/>
      </c>
      <c r="K59" s="64" t="str">
        <f ca="1">IF(AND($BV$55&lt;&gt;"",$GL55&lt;&gt;""),IF(OR('Outfall 1 Limits'!$AX$20="C1",'Outfall 1 Limits'!$AX$20="L"),$GL55),"")</f>
        <v/>
      </c>
      <c r="L59" s="64" t="str">
        <f ca="1">IF(BW55&lt;&gt;"",IF(OR('Outfall 1 Limits'!$AX$24="C1",'Outfall 1 Limits'!$AX$24="L"),IF(KF60="Y","&lt;",""),""),"")</f>
        <v/>
      </c>
      <c r="M59" s="64" t="str">
        <f ca="1">IF(AND($BW$55&lt;&gt;"",$GM55&lt;&gt;""),IF(OR('Outfall 1 Limits'!$AX$24="C1",'Outfall 1 Limits'!$AX$24="L"),$GM55),"")</f>
        <v/>
      </c>
      <c r="N59" s="64" t="str">
        <f ca="1">IF(BX55&lt;&gt;"",IF(OR('Outfall 1 Limits'!$AX$28="C1",'Outfall 1 Limits'!$AX$28="L"),IF(KG60="Y","&lt;",""),""),"")</f>
        <v/>
      </c>
      <c r="O59" s="64" t="str">
        <f ca="1">IF(AND($BX$55&lt;&gt;"",$GN55&lt;&gt;""),IF(OR('Outfall 1 Limits'!$AX$28="C1",'Outfall 1 Limits'!$AX$28="L"),$GN55),"")</f>
        <v/>
      </c>
      <c r="P59" s="64" t="str">
        <f ca="1">IF(BY55&lt;&gt;"",IF(OR('Outfall 1 Limits'!$AX$32="C1",'Outfall 1 Limits'!$AX$32="L"),IF(KH60="Y","&lt;",""),""),"")</f>
        <v/>
      </c>
      <c r="Q59" s="64" t="str">
        <f ca="1">IF(AND($BY$55&lt;&gt;"",$GO55&lt;&gt;""),IF(OR('Outfall 1 Limits'!$AX$32="C1",'Outfall 1 Limits'!$AX$32="L"),$GO55),"")</f>
        <v/>
      </c>
      <c r="R59" s="115" t="str">
        <f ca="1">IF(BZ55&lt;&gt;"",IF(OR('Outfall 1 Limits'!$AX$36="C1",'Outfall 1 Limits'!$AX$36="L"),IF(KI60="Y","&lt;",""),""),"")</f>
        <v/>
      </c>
      <c r="S59" s="64" t="str">
        <f ca="1">IF(AND($BZ$55&lt;&gt;"",$GP55&lt;&gt;""),IF(OR('Outfall 1 Limits'!$AX$36="C1",'Outfall 1 Limits'!$AX$36="L"),$GP55),"")</f>
        <v/>
      </c>
      <c r="T59" s="115" t="str">
        <f ca="1">IF(CA55&lt;&gt;"",IF(OR('Outfall 1 Limits'!$AX$40="C1",'Outfall 1 Limits'!$AX$40="L"),IF(KJ60="Y","&lt;",""),""),"")</f>
        <v/>
      </c>
      <c r="U59" s="64" t="str">
        <f ca="1">IF(AND($CA$55&lt;&gt;"",$GQ55&lt;&gt;""),IF(OR('Outfall 1 Limits'!$AX$40="C1",'Outfall 1 Limits'!$AX$40="L"),$GQ55),"")</f>
        <v/>
      </c>
      <c r="V59" s="115" t="str">
        <f ca="1">IF(CB55&lt;&gt;"",IF(OR('Outfall 1 Limits'!$AX$44="C1",'Outfall 1 Limits'!$AX$44="L"),IF(KK60="Y","&lt;",""),""),"")</f>
        <v/>
      </c>
      <c r="W59" s="64" t="str">
        <f ca="1">IF(AND($CB$55&lt;&gt;"",$GR55&lt;&gt;""),IF(OR('Outfall 1 Limits'!$AX$44="C1",'Outfall 1 Limits'!$AX$44="L"),$GR55),"")</f>
        <v/>
      </c>
      <c r="X59" s="279" t="str">
        <f ca="1">IF(CC55&lt;&gt;"",IF(OR('Outfall 1 Limits'!$AX$48="C1",'Outfall 1 Limits'!$AX$48="L"),IF(KL60="Y","&lt;",""),""),"")</f>
        <v/>
      </c>
      <c r="Y59" s="64" t="str">
        <f ca="1">IF(AND($CC$55&lt;&gt;"",$GS55&lt;&gt;""),IF(OR('Outfall 1 Limits'!$AX$48="C1",'Outfall 1 Limits'!$AX$48="L"),$GS55),"")</f>
        <v/>
      </c>
      <c r="Z59" s="115" t="str">
        <f ca="1">IF(CD55&lt;&gt;"",IF(OR('Outfall 1 Limits'!$AX$52="C1",'Outfall 1 Limits'!$AX$52="L"),IF(KM60="Y","&lt;",""),""),"")</f>
        <v/>
      </c>
      <c r="AA59" s="64" t="str">
        <f ca="1">IF(AND($CD$55&lt;&gt;"",$GT55&lt;&gt;""),IF(OR('Outfall 1 Limits'!$AX$52="C1",'Outfall 1 Limits'!$AX$52="L"),$GT55),"")</f>
        <v/>
      </c>
      <c r="AB59" s="64" t="str">
        <f ca="1">IF(CE55&lt;&gt;"",IF(OR('Outfall 1 Limits'!$AX$56="C1",'Outfall 1 Limits'!$AX$56="L"),IF(KN60="Y","&lt;",""),""),"")</f>
        <v/>
      </c>
      <c r="AC59" s="64" t="str">
        <f ca="1">IF(AND($CE$55&lt;&gt;"",$GU55&lt;&gt;""),IF(OR('Outfall 1 Limits'!$AX$56="C1",'Outfall 1 Limits'!$AX$56="L"),$GU55),"")</f>
        <v/>
      </c>
      <c r="AD59" s="115" t="str">
        <f ca="1">IF(CF55&lt;&gt;"",IF(OR('Outfall 1 Limits'!$AX$60="C1",'Outfall 1 Limits'!$AX$60="L"),IF(KO60="Y","&lt;",""),""),"")</f>
        <v/>
      </c>
      <c r="AE59" s="64" t="str">
        <f ca="1">IF(AND($CF$55&lt;&gt;"",$GV55&lt;&gt;""),IF(OR('Outfall 1 Limits'!$AX$60="C1",'Outfall 1 Limits'!$AX$60="L"),$GV55),"")</f>
        <v/>
      </c>
      <c r="AF59" s="64" t="str">
        <f ca="1">IF(CG55&lt;&gt;"",IF(OR('Outfall 1 Limits'!$AX$64="C1",'Outfall 1 Limits'!$AX$64="L"),IF(KP60="Y","&lt;",""),""),"")</f>
        <v/>
      </c>
      <c r="AG59" s="64" t="str">
        <f ca="1">IF(AND($CG$55&lt;&gt;"",$GW55&lt;&gt;""),IF(OR('Outfall 1 Limits'!$AX$64="C1",'Outfall 1 Limits'!$AX$64="L"),$GW55),"")</f>
        <v/>
      </c>
      <c r="AH59" s="115" t="str">
        <f ca="1">IF(CH55&lt;&gt;"",IF(OR('Outfall 1 Limits'!$AX$68="C1",'Outfall 1 Limits'!$AX$68="L"),IF(KQ60="Y","&lt;",""),""),"")</f>
        <v/>
      </c>
      <c r="AI59" s="64" t="str">
        <f ca="1">IF(AND($CH$55&lt;&gt;"",$GX55&lt;&gt;""),IF(OR('Outfall 1 Limits'!$AX$68="C1",'Outfall 1 Limits'!$AX$68="L"),$GX55),"")</f>
        <v/>
      </c>
      <c r="AJ59" s="64" t="str">
        <f ca="1">IF(CI55&lt;&gt;"",IF(OR('Outfall 1 Limits'!$AX$72="C1",'Outfall 1 Limits'!$AX$72="L"),IF(KR60="Y","&lt;",""),""),"")</f>
        <v/>
      </c>
      <c r="AK59" s="64" t="str">
        <f ca="1">IF(AND($CI$55&lt;&gt;"",$GY55&lt;&gt;""),IF(OR('Outfall 1 Limits'!$AX$72="C1",'Outfall 1 Limits'!$AX$72="L"),$GY55),"")</f>
        <v/>
      </c>
      <c r="AL59" s="115" t="str">
        <f ca="1">IF(CJ55&lt;&gt;"",IF(OR('Outfall 1 Limits'!$AX$76="C1",'Outfall 1 Limits'!$AX$76="L"),IF(KS60="Y","&lt;",""),""),"")</f>
        <v/>
      </c>
      <c r="AM59" s="64" t="str">
        <f ca="1">IF(AND($CJ$55&lt;&gt;"",$GZ55&lt;&gt;""),IF(OR('Outfall 1 Limits'!$AX$76="C1",'Outfall 1 Limits'!$AX$76="L"),$GZ55),"")</f>
        <v/>
      </c>
      <c r="AN59" s="144" t="str">
        <f ca="1">IF(CK55&lt;&gt;"",IF(OR('Outfall 1 Limits'!$AX$80="C1",'Outfall 1 Limits'!$AX$80="L"),IF(KT60="Y","&lt;",""),""),"")</f>
        <v/>
      </c>
      <c r="AO59" s="64" t="str">
        <f ca="1">IF(AND($CK$55&lt;&gt;"",$HA55&lt;&gt;""),IF(OR('Outfall 1 Limits'!$AX$80="C1",'Outfall 1 Limits'!$AX$80="L"),$HA55),"")</f>
        <v/>
      </c>
      <c r="AP59" s="144" t="str">
        <f ca="1">IF(CL55&lt;&gt;"",IF(OR('Outfall 1 Limits'!$AX$84="C1",'Outfall 1 Limits'!$AX$84="L"),IF(KU60="Y","&lt;",""),""),"")</f>
        <v/>
      </c>
      <c r="AQ59" s="64" t="str">
        <f ca="1">IF(AND($CL$55&lt;&gt;"",$HB55&lt;&gt;""),IF(OR('Outfall 1 Limits'!$AX$84="C1",'Outfall 1 Limits'!$AX$84="L"),$HB55),"")</f>
        <v/>
      </c>
      <c r="AR59" s="144" t="str">
        <f ca="1">IF(CM55&lt;&gt;"",IF(OR('Outfall 1 Limits'!$AX$88="C1",'Outfall 1 Limits'!$AX$88="L"),IF(KV60="Y","&lt;",""),""),"")</f>
        <v/>
      </c>
      <c r="AS59" s="64" t="str">
        <f ca="1">IF(AND($CM$55&lt;&gt;"",$HC55&lt;&gt;""),IF(OR('Outfall 1 Limits'!$AX$88="C1",'Outfall 1 Limits'!$AX$88="L"),$HC55),"")</f>
        <v/>
      </c>
      <c r="AT59" s="144" t="str">
        <f ca="1">IF(CN55&lt;&gt;"",IF(OR('Outfall 1 Limits'!$AX$92="C1",'Outfall 1 Limits'!$AX$92="L"),IF(KW60="Y","&lt;",""),""),"")</f>
        <v/>
      </c>
      <c r="AU59" s="64" t="str">
        <f ca="1">IF(AND($CN$55&lt;&gt;"",$HD55&lt;&gt;""),IF(OR('Outfall 1 Limits'!$AX$92="C1",'Outfall 1 Limits'!$AX$92="L"),$HD55),"")</f>
        <v/>
      </c>
      <c r="AV59" s="144" t="str">
        <f ca="1">IF(CO55&lt;&gt;"",IF(OR('Outfall 1 Limits'!$AX$96="C1",'Outfall 1 Limits'!$AX$96="L"),IF(KX60="Y","&lt;",""),""),"")</f>
        <v/>
      </c>
      <c r="AW59" s="64" t="str">
        <f ca="1">IF(AND($CO$55&lt;&gt;"",$HE55&lt;&gt;""),IF(OR('Outfall 1 Limits'!$AX$96="C1",'Outfall 1 Limits'!$AX$96="L"),$HE55),"")</f>
        <v/>
      </c>
      <c r="AX59" s="144" t="str">
        <f ca="1">IF(CP55&lt;&gt;"",IF(OR('Outfall 1 Limits'!$AX$100="C1",'Outfall 1 Limits'!$AX$100="L"),IF(KY60="Y","&lt;",""),""),"")</f>
        <v/>
      </c>
      <c r="AY59" s="64" t="str">
        <f ca="1">IF(AND($CP$55&lt;&gt;"",$HF55&lt;&gt;""),IF(OR('Outfall 1 Limits'!$AX$100="C1",'Outfall 1 Limits'!$AX$100="L"),$HF55),"")</f>
        <v/>
      </c>
      <c r="AZ59" s="144" t="str">
        <f ca="1">IF(CQ55&lt;&gt;"",IF(OR('Outfall 1 Limits'!$AX$104="C1",'Outfall 1 Limits'!$AX$104="L"),IF(KZ60="Y","&lt;",""),""),"")</f>
        <v/>
      </c>
      <c r="BA59" s="64" t="str">
        <f ca="1">IF(AND($CQ$55&lt;&gt;"",$HG55&lt;&gt;""),IF(OR('Outfall 1 Limits'!$AX$104="C1",'Outfall 1 Limits'!$AX$104="L"),$HG55),"")</f>
        <v/>
      </c>
      <c r="BB59" s="144" t="str">
        <f ca="1">IF(CR55&lt;&gt;"",IF(OR('Outfall 1 Limits'!$AX$108="C1",'Outfall 1 Limits'!$AX$108="L"),IF(LA60="Y","&lt;",""),""),"")</f>
        <v/>
      </c>
      <c r="BC59" s="64" t="str">
        <f ca="1">IF(AND($CR$55&lt;&gt;"",$HH55&lt;&gt;""),IF(OR('Outfall 1 Limits'!$AX$108="C1",'Outfall 1 Limits'!$AX$108="L"),$HH55),"")</f>
        <v/>
      </c>
      <c r="BD59" s="144" t="str">
        <f ca="1">IF(CS55&lt;&gt;"",IF(OR('Outfall 1 Limits'!$AX$112="C1",'Outfall 1 Limits'!$AX$112="L"),IF(LB60="Y","&lt;",""),""),"")</f>
        <v/>
      </c>
      <c r="BE59" s="64" t="str">
        <f ca="1">IF(AND($CS$55&lt;&gt;"",$HI55&lt;&gt;""),IF(OR('Outfall 1 Limits'!$AX$112="C1",'Outfall 1 Limits'!$AX$112="L"),$HI55),"")</f>
        <v/>
      </c>
      <c r="BF59" s="144" t="str">
        <f ca="1">IF(CT55&lt;&gt;"",IF(OR('Outfall 1 Limits'!$AX$116="C1",'Outfall 1 Limits'!$AX$116="L"),IF(LC60="Y","&lt;",""),""),"")</f>
        <v/>
      </c>
      <c r="BG59" s="64" t="str">
        <f ca="1">IF(AND($CT$55&lt;&gt;"",$HJ55&lt;&gt;""),IF(OR('Outfall 1 Limits'!$AX$116="C1",'Outfall 1 Limits'!$AX$116="L"),$HJ55),"")</f>
        <v/>
      </c>
      <c r="BH59" s="144" t="str">
        <f ca="1">IF(CU55&lt;&gt;"",IF(OR('Outfall 1 Limits'!$AX$120="C1",'Outfall 1 Limits'!$AX$120="L"),IF(LD60="Y","&lt;",""),""),"")</f>
        <v/>
      </c>
      <c r="BI59" s="64" t="str">
        <f ca="1">IF(AND($CU$55&lt;&gt;"",$HK55&lt;&gt;""),IF(OR('Outfall 1 Limits'!$AX$120="C1",'Outfall 1 Limits'!$AX$120="L"),$HK55),"")</f>
        <v/>
      </c>
      <c r="BJ59" s="144" t="str">
        <f ca="1">IF(CV55&lt;&gt;"",IF(OR('Outfall 1 Limits'!$AX$124="C1",'Outfall 1 Limits'!$AX$124="L"),IF(LE60="Y","&lt;",""),""),"")</f>
        <v/>
      </c>
      <c r="BK59" s="64" t="str">
        <f ca="1">IF(AND($CV$55&lt;&gt;"",$HL55&lt;&gt;""),IF(OR('Outfall 1 Limits'!$AX$124="C1",'Outfall 1 Limits'!$AX$124="L"),$HL55),"")</f>
        <v/>
      </c>
      <c r="BL59" s="144" t="str">
        <f ca="1">IF(CW55&lt;&gt;"",IF(OR('Outfall 1 Limits'!$AX$128="C1",'Outfall 1 Limits'!$AX$128="L"),IF(LF60="Y","&lt;",""),""),"")</f>
        <v/>
      </c>
      <c r="BM59" s="118" t="str">
        <f ca="1">IF(AND($CW$55&lt;&gt;"",$HM55&lt;&gt;""),IF(OR('Outfall 1 Limits'!$AX$128="C1",'Outfall 1 Limits'!$AX$128="L"),$HM55),"")</f>
        <v/>
      </c>
      <c r="BO59" s="174"/>
      <c r="BP59" s="174">
        <v>2078</v>
      </c>
      <c r="BQ59" s="179" t="s">
        <v>74</v>
      </c>
      <c r="BR59" s="174"/>
      <c r="BS59" s="174"/>
      <c r="BT59" s="242" t="s">
        <v>834</v>
      </c>
      <c r="BU59" s="202">
        <f>SUM(BU24:BU30)</f>
        <v>0</v>
      </c>
      <c r="BV59" s="196">
        <f>SUM(BV24:BV30)</f>
        <v>0</v>
      </c>
      <c r="BW59" s="196">
        <f t="shared" ref="BW59:CW59" si="207">SUM(BW24:BW30)</f>
        <v>0</v>
      </c>
      <c r="BX59" s="196">
        <f t="shared" si="207"/>
        <v>0</v>
      </c>
      <c r="BY59" s="196">
        <f t="shared" si="207"/>
        <v>0</v>
      </c>
      <c r="BZ59" s="196">
        <f t="shared" si="207"/>
        <v>0</v>
      </c>
      <c r="CA59" s="196">
        <f t="shared" si="207"/>
        <v>0</v>
      </c>
      <c r="CB59" s="196">
        <f t="shared" si="207"/>
        <v>0</v>
      </c>
      <c r="CC59" s="196">
        <f t="shared" si="207"/>
        <v>0</v>
      </c>
      <c r="CD59" s="196">
        <f t="shared" si="207"/>
        <v>0</v>
      </c>
      <c r="CE59" s="196">
        <f t="shared" si="207"/>
        <v>0</v>
      </c>
      <c r="CF59" s="196">
        <f t="shared" si="207"/>
        <v>0</v>
      </c>
      <c r="CG59" s="196">
        <f t="shared" si="207"/>
        <v>0</v>
      </c>
      <c r="CH59" s="196">
        <f t="shared" si="207"/>
        <v>0</v>
      </c>
      <c r="CI59" s="196">
        <f t="shared" si="207"/>
        <v>0</v>
      </c>
      <c r="CJ59" s="196">
        <f t="shared" si="207"/>
        <v>0</v>
      </c>
      <c r="CK59" s="196">
        <f t="shared" si="207"/>
        <v>0</v>
      </c>
      <c r="CL59" s="196">
        <f t="shared" si="207"/>
        <v>0</v>
      </c>
      <c r="CM59" s="196">
        <f t="shared" si="207"/>
        <v>0</v>
      </c>
      <c r="CN59" s="196">
        <f t="shared" si="207"/>
        <v>0</v>
      </c>
      <c r="CO59" s="196">
        <f t="shared" si="207"/>
        <v>0</v>
      </c>
      <c r="CP59" s="196">
        <f t="shared" si="207"/>
        <v>0</v>
      </c>
      <c r="CQ59" s="196">
        <f t="shared" si="207"/>
        <v>0</v>
      </c>
      <c r="CR59" s="196">
        <f t="shared" si="207"/>
        <v>0</v>
      </c>
      <c r="CS59" s="196">
        <f t="shared" si="207"/>
        <v>0</v>
      </c>
      <c r="CT59" s="196">
        <f t="shared" si="207"/>
        <v>0</v>
      </c>
      <c r="CU59" s="196">
        <f t="shared" si="207"/>
        <v>0</v>
      </c>
      <c r="CV59" s="196">
        <f t="shared" si="207"/>
        <v>0</v>
      </c>
      <c r="CW59" s="210">
        <f t="shared" si="207"/>
        <v>0</v>
      </c>
      <c r="CX59" s="242" t="s">
        <v>372</v>
      </c>
      <c r="CY59" s="212"/>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8"/>
      <c r="EB59" s="176"/>
      <c r="GJ59" s="245"/>
      <c r="GK59" s="206"/>
      <c r="GL59" s="206"/>
      <c r="GM59" s="206"/>
      <c r="GN59" s="206"/>
      <c r="GO59" s="206"/>
      <c r="GP59" s="206"/>
      <c r="GQ59" s="206"/>
      <c r="GR59" s="206"/>
      <c r="GS59" s="206"/>
      <c r="GT59" s="206"/>
      <c r="GU59" s="206"/>
      <c r="GV59" s="206"/>
      <c r="GW59" s="206"/>
      <c r="GX59" s="206"/>
      <c r="GY59" s="206"/>
      <c r="GZ59" s="206"/>
      <c r="HA59" s="206"/>
      <c r="HB59" s="206"/>
      <c r="HC59" s="206"/>
      <c r="HD59" s="206"/>
      <c r="HE59" s="206"/>
      <c r="HF59" s="206"/>
      <c r="HG59" s="206"/>
      <c r="HH59" s="206"/>
      <c r="HI59" s="206"/>
      <c r="HJ59" s="206"/>
      <c r="HK59" s="206"/>
      <c r="HL59" s="206"/>
      <c r="HM59" s="206"/>
      <c r="HN59" s="174"/>
      <c r="HO59" s="174"/>
      <c r="HP59" s="174"/>
      <c r="HQ59" s="174"/>
      <c r="HR59" s="174"/>
      <c r="HS59" s="174"/>
      <c r="HT59" s="174"/>
      <c r="HU59" s="174"/>
      <c r="HV59" s="174"/>
      <c r="HW59" s="174"/>
      <c r="HX59" s="174"/>
      <c r="HY59" s="174"/>
      <c r="HZ59" s="174"/>
      <c r="IA59" s="174"/>
      <c r="IB59" s="174"/>
      <c r="IC59" s="174"/>
      <c r="ID59" s="174"/>
      <c r="IE59" s="174"/>
      <c r="IF59" s="174"/>
      <c r="IG59" s="174"/>
      <c r="IH59" s="174"/>
      <c r="II59" s="174"/>
      <c r="IJ59" s="174"/>
      <c r="IK59" s="174"/>
      <c r="IL59" s="174"/>
      <c r="IM59" s="174"/>
      <c r="IN59" s="174"/>
      <c r="IO59" s="174"/>
      <c r="IP59" s="174"/>
      <c r="IQ59" s="174"/>
      <c r="IR59" s="174"/>
      <c r="IS59" s="174"/>
      <c r="IT59" s="174"/>
      <c r="IU59" s="174"/>
      <c r="IW59" s="255" t="s">
        <v>1150</v>
      </c>
      <c r="IX59" s="202" t="str">
        <f ca="1">IF(IX57&lt;&gt;"",IF('Outfall 1 Limits'!$AX$16="C1",IF(IX57&gt;=1,IF('Outfall 1 Limits'!$AO$16=0,ROUND(IX57,0),TEXT(IX57,"0."&amp;REPT("0",LEN('Outfall 1 Limits'!$K16)-FIND(".",'Outfall 1 Limits'!$K16)))),ROUND(IX57,1-(1+INT(LOG10(ABS(IX57)))))),ROUND(IX57,$I126)),"")</f>
        <v/>
      </c>
      <c r="IY59" s="196" t="str">
        <f ca="1">IF(IY57&lt;&gt;"",IF('Outfall 1 Limits'!$AX$20="C1",IF(IY57&gt;=1,IF('Outfall 1 Limits'!$AO$20=0,ROUND(IY57,0),TEXT(IY57,"0."&amp;REPT("0",LEN('Outfall 1 Limits'!$K20)-FIND(".",'Outfall 1 Limits'!$K20)))),ROUND(IY57,1-(1+INT(LOG10(ABS(IY57)))))),ROUND(IY57,$K126)),"")</f>
        <v/>
      </c>
      <c r="IZ59" s="196" t="str">
        <f ca="1">IF(IZ57&lt;&gt;"",IF('Outfall 1 Limits'!$AX$24="C1",IF(IZ57&gt;=1,IF('Outfall 1 Limits'!$AO$24=0,ROUND(IZ57,0),TEXT(IZ57,"0."&amp;REPT("0",LEN('Outfall 1 Limits'!$K24)-FIND(".",'Outfall 1 Limits'!$K24)))),ROUND(IZ57,1-(1+INT(LOG10(ABS(IZ57)))))),ROUND(IZ57,$M126)),"")</f>
        <v/>
      </c>
      <c r="JA59" s="196" t="str">
        <f ca="1">IF(JA57&lt;&gt;"",IF('Outfall 1 Limits'!$AX$28="C1",IF(JA57&gt;=1,IF('Outfall 1 Limits'!$AO$28=0,ROUND(JA57,0),TEXT(JA57,"0."&amp;REPT("0",LEN('Outfall 1 Limits'!$K28)-FIND(".",'Outfall 1 Limits'!$K28)))),ROUND(JA57,1-(1+INT(LOG10(ABS(JA57)))))),ROUND(JA57,$O126)),"")</f>
        <v/>
      </c>
      <c r="JB59" s="196" t="str">
        <f ca="1">IF(JB57&lt;&gt;"",IF('Outfall 1 Limits'!$AX$32="C1",IF(JB57&gt;=1,IF('Outfall 1 Limits'!$AO$32=0,ROUND(JB57,0),TEXT(JB57,"0."&amp;REPT("0",LEN('Outfall 1 Limits'!$K32)-FIND(".",'Outfall 1 Limits'!$K32)))),ROUND(JB57,1-(1+INT(LOG10(ABS(JB57)))))),ROUND(JB57,$Q126)),"")</f>
        <v/>
      </c>
      <c r="JC59" s="196" t="str">
        <f ca="1">IF(JC57&lt;&gt;"",IF('Outfall 1 Limits'!$AX$36="C1",IF(JC57&gt;=1,IF('Outfall 1 Limits'!$AO$36=0,ROUND(JC57,0),TEXT(JC57,"0."&amp;REPT("0",LEN('Outfall 1 Limits'!$K36)-FIND(".",'Outfall 1 Limits'!$K36)))),ROUND(JC57,1-(1+INT(LOG10(ABS(JC57)))))),ROUND(JC57,$S126)),"")</f>
        <v/>
      </c>
      <c r="JD59" s="196" t="str">
        <f ca="1">IF(JD57&lt;&gt;"",IF('Outfall 1 Limits'!$AX$40="C1",IF(JD57&gt;=1,IF('Outfall 1 Limits'!$AO$40=0,ROUND(JD57,0),TEXT(JD57,"0."&amp;REPT("0",LEN('Outfall 1 Limits'!$K40)-FIND(".",'Outfall 1 Limits'!$K40)))),ROUND(JD57,1-(1+INT(LOG10(ABS(JD57)))))),ROUND(JD57,$U126)),"")</f>
        <v/>
      </c>
      <c r="JE59" s="196" t="str">
        <f ca="1">IF(JE57&lt;&gt;"",IF('Outfall 1 Limits'!$AX$44="C1",IF(JE57&gt;=1,IF('Outfall 1 Limits'!$AO$44=0,ROUND(JE57,0),TEXT(JE57,"0."&amp;REPT("0",LEN('Outfall 1 Limits'!$K44)-FIND(".",'Outfall 1 Limits'!$K44)))),ROUND(JE57,1-(1+INT(LOG10(ABS(JE57)))))),ROUND(JE57,$W126)),"")</f>
        <v/>
      </c>
      <c r="JF59" s="196" t="str">
        <f ca="1">IF(JF57&lt;&gt;"",IF('Outfall 1 Limits'!$AX$48="C1",IF(JF57&gt;=1,IF('Outfall 1 Limits'!$AO$48=0,ROUND(JF57,0),TEXT(JF57,"0."&amp;REPT("0",LEN('Outfall 1 Limits'!$K48)-FIND(".",'Outfall 1 Limits'!$K48)))),ROUND(JF57,1-(1+INT(LOG10(ABS(JF57)))))),ROUND(JF57,$Y126)),"")</f>
        <v/>
      </c>
      <c r="JG59" s="196" t="str">
        <f ca="1">IF(JG57&lt;&gt;"",IF('Outfall 1 Limits'!$AX$52="C1",IF(JG57&gt;=1,IF('Outfall 1 Limits'!$AO$52=0,ROUND(JG57,0),TEXT(JG57,"0."&amp;REPT("0",LEN('Outfall 1 Limits'!$K52)-FIND(".",'Outfall 1 Limits'!$K52)))),ROUND(JG57,1-(1+INT(LOG10(ABS(JG57)))))),ROUND(JG57,$AA126)),"")</f>
        <v/>
      </c>
      <c r="JH59" s="196" t="str">
        <f ca="1">IF(JH57&lt;&gt;"",IF('Outfall 1 Limits'!$AX$56="C1",IF(JH57&gt;=1,IF('Outfall 1 Limits'!$AO$56=0,ROUND(JH57,0),TEXT(JH57,"0."&amp;REPT("0",LEN('Outfall 1 Limits'!$K56)-FIND(".",'Outfall 1 Limits'!$K56)))),ROUND(JH57,1-(1+INT(LOG10(ABS(JH57)))))),ROUND(JH57,$AC126)),"")</f>
        <v/>
      </c>
      <c r="JI59" s="196" t="str">
        <f ca="1">IF(JI57&lt;&gt;"",IF('Outfall 1 Limits'!$AX$60="C1",IF(JI57&gt;=1,IF('Outfall 1 Limits'!$AO$60=0,ROUND(JI57,0),TEXT(JI57,"0."&amp;REPT("0",LEN('Outfall 1 Limits'!$K60)-FIND(".",'Outfall 1 Limits'!$K60)))),ROUND(JI57,1-(1+INT(LOG10(ABS(JI57)))))),ROUND(JI57,$AE126)),"")</f>
        <v/>
      </c>
      <c r="JJ59" s="196" t="str">
        <f ca="1">IF(JJ57&lt;&gt;"",IF('Outfall 1 Limits'!$AX$64="C1",IF(JJ57&gt;=1,IF('Outfall 1 Limits'!$AO$64=0,ROUND(JJ57,0),TEXT(JJ57,"0."&amp;REPT("0",LEN('Outfall 1 Limits'!$K64)-FIND(".",'Outfall 1 Limits'!$K64)))),ROUND(JJ57,1-(1+INT(LOG10(ABS(JJ57)))))),ROUND(JJ57,$AG126)),"")</f>
        <v/>
      </c>
      <c r="JK59" s="196" t="str">
        <f ca="1">IF(JK57&lt;&gt;"",IF('Outfall 1 Limits'!$AX$68="C1",IF(JK57&gt;=1,IF('Outfall 1 Limits'!$AO$68=0,ROUND(JK57,0),TEXT(JK57,"0."&amp;REPT("0",LEN('Outfall 1 Limits'!$K68)-FIND(".",'Outfall 1 Limits'!$K68)))),ROUND(JK57,1-(1+INT(LOG10(ABS(JK57)))))),ROUND(JK57,$AI126)),"")</f>
        <v/>
      </c>
      <c r="JL59" s="196" t="str">
        <f ca="1">IF(JL57&lt;&gt;"",IF('Outfall 1 Limits'!$AX$72="C1",IF(JL57&gt;=1,IF('Outfall 1 Limits'!$AO$72=0,ROUND(JL57,0),TEXT(JL57,"0."&amp;REPT("0",LEN('Outfall 1 Limits'!$K72)-FIND(".",'Outfall 1 Limits'!$K72)))),ROUND(JL57,1-(1+INT(LOG10(ABS(JL57)))))),ROUND(JL57,$AK126)),"")</f>
        <v/>
      </c>
      <c r="JM59" s="196" t="str">
        <f ca="1">IF(JM57&lt;&gt;"",IF('Outfall 1 Limits'!$AX$76="C1",IF(JM57&gt;=1,IF('Outfall 1 Limits'!$AO$76=0,ROUND(JM57,0),TEXT(JM57,"0."&amp;REPT("0",LEN('Outfall 1 Limits'!$K76)-FIND(".",'Outfall 1 Limits'!$K76)))),ROUND(JM57,1-(1+INT(LOG10(ABS(JM57)))))),ROUND(JM57,$AM126)),"")</f>
        <v/>
      </c>
      <c r="JN59" s="196" t="str">
        <f ca="1">IF(JN57&lt;&gt;"",IF('Outfall 1 Limits'!$AX$80="C1",IF(JN57&gt;=1,IF('Outfall 1 Limits'!$AO$80=0,ROUND(JN57,0),TEXT(JN57,"0."&amp;REPT("0",LEN('Outfall 1 Limits'!$K80)-FIND(".",'Outfall 1 Limits'!$K80)))),ROUND(JN57,1-(1+INT(LOG10(ABS(JN57)))))),ROUND(JN57,$AO126)),"")</f>
        <v/>
      </c>
      <c r="JO59" s="196" t="str">
        <f ca="1">IF(JO57&lt;&gt;"",IF('Outfall 1 Limits'!$AX$84="C1",IF(JO57&gt;=1,IF('Outfall 1 Limits'!$AO$84=0,ROUND(JO57,0),TEXT(JO57,"0."&amp;REPT("0",LEN('Outfall 1 Limits'!$K84)-FIND(".",'Outfall 1 Limits'!$K84)))),ROUND(JO57,1-(1+INT(LOG10(ABS(JO57)))))),ROUND(JO57,$AQ126)),"")</f>
        <v/>
      </c>
      <c r="JP59" s="196" t="str">
        <f ca="1">IF(JP57&lt;&gt;"",IF('Outfall 1 Limits'!$AX$88="C1",IF(JP57&gt;=1,IF('Outfall 1 Limits'!$AO$88=0,ROUND(JP57,0),TEXT(JP57,"0."&amp;REPT("0",LEN('Outfall 1 Limits'!$K88)-FIND(".",'Outfall 1 Limits'!$K88)))),ROUND(JP57,1-(1+INT(LOG10(ABS(JP57)))))),ROUND(JP57,$AS126)),"")</f>
        <v/>
      </c>
      <c r="JQ59" s="196" t="str">
        <f ca="1">IF(JQ57&lt;&gt;"",IF('Outfall 1 Limits'!$AX$92="C1",IF(JQ57&gt;=1,IF('Outfall 1 Limits'!$AO$92=0,ROUND(JQ57,0),TEXT(JQ57,"0."&amp;REPT("0",LEN('Outfall 1 Limits'!$K92)-FIND(".",'Outfall 1 Limits'!$K92)))),ROUND(JQ57,1-(1+INT(LOG10(ABS(JQ57)))))),ROUND(JQ57,$AU126)),"")</f>
        <v/>
      </c>
      <c r="JR59" s="196" t="str">
        <f ca="1">IF(JR57&lt;&gt;"",IF('Outfall 1 Limits'!$AX$96="C1",IF(JR57&gt;=1,IF('Outfall 1 Limits'!$AO$96=0,ROUND(JR57,0),TEXT(JR57,"0."&amp;REPT("0",LEN('Outfall 1 Limits'!$K96)-FIND(".",'Outfall 1 Limits'!$K96)))),ROUND(JR57,1-(1+INT(LOG10(ABS(JR57)))))),ROUND(JR57,$AW126)),"")</f>
        <v/>
      </c>
      <c r="JS59" s="196" t="str">
        <f ca="1">IF(JS57&lt;&gt;"",IF('Outfall 1 Limits'!$AX$100="C1",IF(JS57&gt;=1,IF('Outfall 1 Limits'!$AO$100=0,ROUND(JS57,0),TEXT(JS57,"0."&amp;REPT("0",LEN('Outfall 1 Limits'!$K100)-FIND(".",'Outfall 1 Limits'!$K100)))),ROUND(JS57,1-(1+INT(LOG10(ABS(JS57)))))),ROUND(JS57,$AY126)),"")</f>
        <v/>
      </c>
      <c r="JT59" s="196" t="str">
        <f ca="1">IF(JT57&lt;&gt;"",IF('Outfall 1 Limits'!$AX$104="C1",IF(JT57&gt;=1,IF('Outfall 1 Limits'!$AO$104=0,ROUND(JT57,0),TEXT(JT57,"0."&amp;REPT("0",LEN('Outfall 1 Limits'!$K104)-FIND(".",'Outfall 1 Limits'!$K104)))),ROUND(JT57,1-(1+INT(LOG10(ABS(JT57)))))),ROUND(JT57,$BA126)),"")</f>
        <v/>
      </c>
      <c r="JU59" s="196" t="str">
        <f ca="1">IF(JU57&lt;&gt;"",IF('Outfall 1 Limits'!$AX$108="C1",IF(JU57&gt;=1,IF('Outfall 1 Limits'!$AO$108=0,ROUND(JU57,0),TEXT(JU57,"0."&amp;REPT("0",LEN('Outfall 1 Limits'!$K108)-FIND(".",'Outfall 1 Limits'!$K108)))),ROUND(JU57,1-(1+INT(LOG10(ABS(JU57)))))),ROUND(JU57,$BC126)),"")</f>
        <v/>
      </c>
      <c r="JV59" s="196" t="str">
        <f ca="1">IF(JV57&lt;&gt;"",IF('Outfall 1 Limits'!$AX$112="C1",IF(JV57&gt;=1,IF('Outfall 1 Limits'!$AO$112=0,ROUND(JV57,0),TEXT(JV57,"0."&amp;REPT("0",LEN('Outfall 1 Limits'!$K112)-FIND(".",'Outfall 1 Limits'!$K112)))),ROUND(JV57,1-(1+INT(LOG10(ABS(JV57)))))),ROUND(JV57,$BE126)),"")</f>
        <v/>
      </c>
      <c r="JW59" s="196" t="str">
        <f ca="1">IF(JW57&lt;&gt;"",IF('Outfall 1 Limits'!$AX$116="C1",IF(JW57&gt;=1,IF('Outfall 1 Limits'!$AO$116=0,ROUND(JW57,0),TEXT(JW57,"0."&amp;REPT("0",LEN('Outfall 1 Limits'!$K116)-FIND(".",'Outfall 1 Limits'!$K116)))),ROUND(JW57,1-(1+INT(LOG10(ABS(JW57)))))),ROUND(JW57,$BG126)),"")</f>
        <v/>
      </c>
      <c r="JX59" s="196" t="str">
        <f ca="1">IF(JX57&lt;&gt;"",IF('Outfall 1 Limits'!$AX$120="C1",IF(JX57&gt;=1,IF('Outfall 1 Limits'!$AO$120=0,ROUND(JX57,0),TEXT(JX57,"0."&amp;REPT("0",LEN('Outfall 1 Limits'!$K120)-FIND(".",'Outfall 1 Limits'!$K120)))),ROUND(JX57,1-(1+INT(LOG10(ABS(JX57)))))),ROUND(JX57,$BI126)),"")</f>
        <v/>
      </c>
      <c r="JY59" s="196" t="str">
        <f ca="1">IF(JY57&lt;&gt;"",IF('Outfall 1 Limits'!$AX$124="C1",IF(JY57&gt;=1,IF('Outfall 1 Limits'!$AO$124=0,ROUND(JY57,0),TEXT(JY57,"0."&amp;REPT("0",LEN('Outfall 1 Limits'!$K124)-FIND(".",'Outfall 1 Limits'!$K124)))),ROUND(JY57,1-(1+INT(LOG10(ABS(JY57)))))),ROUND(JY57,$BK126)),"")</f>
        <v/>
      </c>
      <c r="JZ59" s="210" t="str">
        <f ca="1">IF(JZ57&lt;&gt;"",IF('Outfall 1 Limits'!$AX$128="C1",IF(JZ57&gt;=1,IF('Outfall 1 Limits'!$AO$128=0,ROUND(JZ57,0),TEXT(JZ57,"0."&amp;REPT("0",LEN('Outfall 1 Limits'!$K128)-FIND(".",'Outfall 1 Limits'!$K128)))),ROUND(JZ57,1-(1+INT(LOG10(ABS(JZ57)))))),ROUND(JZ57,$BM126)),"")</f>
        <v/>
      </c>
      <c r="KA59" s="196"/>
      <c r="KB59" s="176"/>
      <c r="KC59" s="248" t="s">
        <v>1182</v>
      </c>
      <c r="KD59" s="174" t="str">
        <f>IF(OR(KD55=KD58,(KD55+KD56)=KD58),"Y",IF(OR(AND(KD56=0,KD57&gt;0),KD57=KD58),"N","Y"))</f>
        <v>Y</v>
      </c>
      <c r="KE59" s="174" t="str">
        <f t="shared" ref="KE59:LF59" si="208">IF(OR(KE55=KE58,(KE55+KE56)=KE58),"Y",IF(OR(AND(KE56=0,KE57&gt;0),KE57=KE58),"N","Y"))</f>
        <v>Y</v>
      </c>
      <c r="KF59" s="174" t="str">
        <f t="shared" si="208"/>
        <v>Y</v>
      </c>
      <c r="KG59" s="174" t="str">
        <f t="shared" si="208"/>
        <v>Y</v>
      </c>
      <c r="KH59" s="174" t="str">
        <f t="shared" si="208"/>
        <v>Y</v>
      </c>
      <c r="KI59" s="174" t="str">
        <f t="shared" si="208"/>
        <v>Y</v>
      </c>
      <c r="KJ59" s="174" t="str">
        <f t="shared" si="208"/>
        <v>Y</v>
      </c>
      <c r="KK59" s="174" t="str">
        <f t="shared" si="208"/>
        <v>Y</v>
      </c>
      <c r="KL59" s="174" t="str">
        <f t="shared" si="208"/>
        <v>Y</v>
      </c>
      <c r="KM59" s="174" t="str">
        <f t="shared" si="208"/>
        <v>Y</v>
      </c>
      <c r="KN59" s="174" t="str">
        <f t="shared" si="208"/>
        <v>Y</v>
      </c>
      <c r="KO59" s="174" t="str">
        <f t="shared" si="208"/>
        <v>Y</v>
      </c>
      <c r="KP59" s="174" t="str">
        <f t="shared" si="208"/>
        <v>Y</v>
      </c>
      <c r="KQ59" s="174" t="str">
        <f t="shared" si="208"/>
        <v>Y</v>
      </c>
      <c r="KR59" s="174" t="str">
        <f t="shared" si="208"/>
        <v>Y</v>
      </c>
      <c r="KS59" s="174" t="str">
        <f t="shared" si="208"/>
        <v>Y</v>
      </c>
      <c r="KT59" s="174" t="str">
        <f t="shared" si="208"/>
        <v>Y</v>
      </c>
      <c r="KU59" s="174" t="str">
        <f t="shared" si="208"/>
        <v>Y</v>
      </c>
      <c r="KV59" s="174" t="str">
        <f t="shared" si="208"/>
        <v>Y</v>
      </c>
      <c r="KW59" s="174" t="str">
        <f t="shared" si="208"/>
        <v>Y</v>
      </c>
      <c r="KX59" s="174" t="str">
        <f t="shared" si="208"/>
        <v>Y</v>
      </c>
      <c r="KY59" s="174" t="str">
        <f t="shared" si="208"/>
        <v>Y</v>
      </c>
      <c r="KZ59" s="174" t="str">
        <f t="shared" si="208"/>
        <v>Y</v>
      </c>
      <c r="LA59" s="174" t="str">
        <f t="shared" si="208"/>
        <v>Y</v>
      </c>
      <c r="LB59" s="174" t="str">
        <f t="shared" si="208"/>
        <v>Y</v>
      </c>
      <c r="LC59" s="174" t="str">
        <f t="shared" si="208"/>
        <v>Y</v>
      </c>
      <c r="LD59" s="174" t="str">
        <f t="shared" si="208"/>
        <v>Y</v>
      </c>
      <c r="LE59" s="174" t="str">
        <f t="shared" si="208"/>
        <v>Y</v>
      </c>
      <c r="LF59" s="174" t="str">
        <f t="shared" si="208"/>
        <v>Y</v>
      </c>
    </row>
    <row r="60" spans="1:318" s="172" customFormat="1" ht="11.25" customHeight="1" thickBot="1" x14ac:dyDescent="0.25">
      <c r="A60" s="35"/>
      <c r="B60" s="439" t="s">
        <v>1127</v>
      </c>
      <c r="C60" s="439"/>
      <c r="D60" s="439"/>
      <c r="E60" s="439"/>
      <c r="F60" s="440"/>
      <c r="G60" s="63" t="str">
        <f ca="1">IF(SUM(G14:G51)&gt;0,ROUND(IF(ROWS(INDIRECT("G"&amp;$D$10):INDIRECT("G"&amp;$B$10))-COUNTIF(INDIRECT("G"&amp;$D$10):INDIRECT("G"&amp;$B$10),"")&gt;0,SUM(INDIRECT("G"&amp;$D$10):INDIRECT("G"&amp;$B$10)),""),G126),"")</f>
        <v/>
      </c>
      <c r="H60" s="64" t="str">
        <f ca="1">IF(BU55&lt;&gt;"",IF(OR('Outfall 1 Limits'!AX16="C1",'Outfall 1 Limits'!AX16="L"),IF(KD60="Y","&lt;",""),""),"")</f>
        <v/>
      </c>
      <c r="I60" s="64" t="str">
        <f ca="1">IF(AND($BU$55&lt;&gt;"",$GK57&lt;&gt;""),IF(OR('Outfall 1 Limits'!$AX$16="C1",'Outfall 1 Limits'!$AX$16="L"),$GK57),"")</f>
        <v/>
      </c>
      <c r="J60" s="113" t="str">
        <f ca="1">IF(BV55&lt;&gt;"",IF(OR('Outfall 1 Limits'!$AX$20="C1",'Outfall 1 Limits'!$AX$20="L"),IF(KE60="Y","&lt;",""),""),"")</f>
        <v/>
      </c>
      <c r="K60" s="64" t="str">
        <f ca="1">IF(AND($BV$55&lt;&gt;"",$GL57&lt;&gt;""),IF(OR('Outfall 1 Limits'!$AX$20="C1",'Outfall 1 Limits'!$AX$20="L"),$GL57),"")</f>
        <v/>
      </c>
      <c r="L60" s="64" t="str">
        <f ca="1">IF(BW55&lt;&gt;"",IF(OR('Outfall 1 Limits'!$AX$24="C1",'Outfall 1 Limits'!$AX$24="L"),IF(KF60="Y","&lt;",""),""),"")</f>
        <v/>
      </c>
      <c r="M60" s="64" t="str">
        <f ca="1">IF(AND($BW$55&lt;&gt;"",$GM57&lt;&gt;""),IF(OR('Outfall 1 Limits'!$AX$24="C1",'Outfall 1 Limits'!$AX$24="L"),$GM57),"")</f>
        <v/>
      </c>
      <c r="N60" s="64" t="str">
        <f ca="1">IF(BX55&lt;&gt;"",IF(OR('Outfall 1 Limits'!$AX$28="C1",'Outfall 1 Limits'!$AX$28="L"),IF(KG60="Y","&lt;",""),""),"")</f>
        <v/>
      </c>
      <c r="O60" s="64" t="str">
        <f ca="1">IF(AND($BX$55&lt;&gt;"",$GN57&lt;&gt;""),IF(OR('Outfall 1 Limits'!$AX$28="C1",'Outfall 1 Limits'!$AX$28="L"),$GN57),"")</f>
        <v/>
      </c>
      <c r="P60" s="64" t="str">
        <f ca="1">IF(BY55&lt;&gt;"",IF(OR('Outfall 1 Limits'!$AX$32="C1",'Outfall 1 Limits'!$AX$32="L"),IF(KH60="Y","&lt;",""),""),"")</f>
        <v/>
      </c>
      <c r="Q60" s="64" t="str">
        <f ca="1">IF(AND($BY$55&lt;&gt;"",$GO57&lt;&gt;""),IF(OR('Outfall 1 Limits'!$AX$32="C1",'Outfall 1 Limits'!$AX$32="L"),$GO57),"")</f>
        <v/>
      </c>
      <c r="R60" s="64" t="str">
        <f ca="1">IF(BZ55&lt;&gt;"",IF(OR('Outfall 1 Limits'!$AX$36="C1",'Outfall 1 Limits'!$AX$36="L"),IF(KI60="Y","&lt;",""),""),"")</f>
        <v/>
      </c>
      <c r="S60" s="64" t="str">
        <f ca="1">IF(AND($BZ$55&lt;&gt;"",$GP57&lt;&gt;""),IF(OR('Outfall 1 Limits'!$AX$36="C1",'Outfall 1 Limits'!$AX$36="L"),$GP57),"")</f>
        <v/>
      </c>
      <c r="T60" s="64" t="str">
        <f ca="1">IF(CA55&lt;&gt;"",IF(OR('Outfall 1 Limits'!$AX$40="C1",'Outfall 1 Limits'!$AX$40="L"),IF(KJ60="Y","&lt;",""),""),"")</f>
        <v/>
      </c>
      <c r="U60" s="64" t="str">
        <f ca="1">IF(AND($CA$55&lt;&gt;"",$GQ57&lt;&gt;""),IF(OR('Outfall 1 Limits'!$AX$40="C1",'Outfall 1 Limits'!$AX$40="L"),$GQ57),"")</f>
        <v/>
      </c>
      <c r="V60" s="64" t="str">
        <f ca="1">IF(CB55&lt;&gt;"",IF(OR('Outfall 1 Limits'!$AX$44="C1",'Outfall 1 Limits'!$AX$44="L"),IF(KK60="Y","&lt;",""),""),"")</f>
        <v/>
      </c>
      <c r="W60" s="64" t="str">
        <f ca="1">IF(AND($CB$55&lt;&gt;"",$GR57&lt;&gt;""),IF(OR('Outfall 1 Limits'!$AX$44="C1",'Outfall 1 Limits'!$AX$44="L"),$GR57),"")</f>
        <v/>
      </c>
      <c r="X60" s="279" t="str">
        <f ca="1">IF(CC55&lt;&gt;"",IF(OR('Outfall 1 Limits'!$AX$48="C1",'Outfall 1 Limits'!$AX$48="L"),IF(KL60="Y","&lt;",""),""),"")</f>
        <v/>
      </c>
      <c r="Y60" s="64" t="str">
        <f ca="1">IF(AND($CC$55&lt;&gt;"",$GS57&lt;&gt;""),IF(OR('Outfall 1 Limits'!$AX$48="C1",'Outfall 1 Limits'!$AX$48="L"),$GS57),"")</f>
        <v/>
      </c>
      <c r="Z60" s="64" t="str">
        <f ca="1">IF(CD55&lt;&gt;"",IF(OR('Outfall 1 Limits'!$AX$52="C1",'Outfall 1 Limits'!$AX$52="L"),IF(KM60="Y","&lt;",""),""),"")</f>
        <v/>
      </c>
      <c r="AA60" s="64" t="str">
        <f ca="1">IF(AND($CD$55&lt;&gt;"",$GT57&lt;&gt;""),IF(OR('Outfall 1 Limits'!$AX$52="C1",'Outfall 1 Limits'!$AX$52="L"),$GT57),"")</f>
        <v/>
      </c>
      <c r="AB60" s="64" t="str">
        <f ca="1">IF(CE55&lt;&gt;"",IF(OR('Outfall 1 Limits'!$AX$56="C1",'Outfall 1 Limits'!$AX$56="L"),IF(KN60="Y","&lt;",""),""),"")</f>
        <v/>
      </c>
      <c r="AC60" s="64" t="str">
        <f ca="1">IF(AND($CE$55&lt;&gt;"",$GU57&lt;&gt;""),IF(OR('Outfall 1 Limits'!$AX$56="C1",'Outfall 1 Limits'!$AX$56="L"),$GU57),"")</f>
        <v/>
      </c>
      <c r="AD60" s="64" t="str">
        <f ca="1">IF(CF55&lt;&gt;"",IF(OR('Outfall 1 Limits'!$AX$60="C1",'Outfall 1 Limits'!$AX$60="L"),IF(KO60="Y","&lt;",""),""),"")</f>
        <v/>
      </c>
      <c r="AE60" s="64" t="str">
        <f ca="1">IF(AND($CF$55&lt;&gt;"",$GV57&lt;&gt;""),IF(OR('Outfall 1 Limits'!$AX$60="C1",'Outfall 1 Limits'!$AX$60="L"),$GV57),"")</f>
        <v/>
      </c>
      <c r="AF60" s="64" t="str">
        <f ca="1">IF(CG55&lt;&gt;"",IF(OR('Outfall 1 Limits'!$AX$64="C1",'Outfall 1 Limits'!$AX$64="L"),IF(KP60="Y","&lt;",""),""),"")</f>
        <v/>
      </c>
      <c r="AG60" s="64" t="str">
        <f ca="1">IF(AND($CG$55&lt;&gt;"",$GW57&lt;&gt;""),IF(OR('Outfall 1 Limits'!$AX$64="C1",'Outfall 1 Limits'!$AX$64="L"),$GW57),"")</f>
        <v/>
      </c>
      <c r="AH60" s="64" t="str">
        <f ca="1">IF(CH55&lt;&gt;"",IF(OR('Outfall 1 Limits'!$AX$68="C1",'Outfall 1 Limits'!$AX$68="L"),IF(KQ60="Y","&lt;",""),""),"")</f>
        <v/>
      </c>
      <c r="AI60" s="64" t="str">
        <f ca="1">IF(AND($CH$55&lt;&gt;"",$GX57&lt;&gt;""),IF(OR('Outfall 1 Limits'!$AX$68="C1",'Outfall 1 Limits'!$AX$68="L"),$GX57),"")</f>
        <v/>
      </c>
      <c r="AJ60" s="64" t="str">
        <f ca="1">IF(CI55&lt;&gt;"",IF(OR('Outfall 1 Limits'!$AX$72="C1",'Outfall 1 Limits'!$AX$72="L"),IF(KR60="Y","&lt;",""),""),"")</f>
        <v/>
      </c>
      <c r="AK60" s="64" t="str">
        <f ca="1">IF(AND($CI$55&lt;&gt;"",$GY57&lt;&gt;""),IF(OR('Outfall 1 Limits'!$AX$72="C1",'Outfall 1 Limits'!$AX$72="L"),$GY57),"")</f>
        <v/>
      </c>
      <c r="AL60" s="64" t="str">
        <f ca="1">IF(CJ55&lt;&gt;"",IF(OR('Outfall 1 Limits'!$AX$76="C1",'Outfall 1 Limits'!$AX$76="L"),IF(KS60="Y","&lt;",""),""),"")</f>
        <v/>
      </c>
      <c r="AM60" s="64" t="str">
        <f ca="1">IF(AND($CJ$55&lt;&gt;"",$GZ57&lt;&gt;""),IF(OR('Outfall 1 Limits'!$AX$76="C1",'Outfall 1 Limits'!$AX$76="L"),$GZ57),"")</f>
        <v/>
      </c>
      <c r="AN60" s="144" t="str">
        <f ca="1">IF(CK55&lt;&gt;"",IF(OR('Outfall 1 Limits'!$AX$80="C1",'Outfall 1 Limits'!$AX$80="L"),IF(KT60="Y","&lt;",""),""),"")</f>
        <v/>
      </c>
      <c r="AO60" s="64" t="str">
        <f ca="1">IF(AND($CK$55&lt;&gt;"",$HA57&lt;&gt;""),IF(OR('Outfall 1 Limits'!$AX$80="C1",'Outfall 1 Limits'!$AX$80="L"),$HA57),"")</f>
        <v/>
      </c>
      <c r="AP60" s="144" t="str">
        <f ca="1">IF(CL55&lt;&gt;"",IF(OR('Outfall 1 Limits'!$AX$84="C1",'Outfall 1 Limits'!$AX$84="L"),IF(KU60="Y","&lt;",""),""),"")</f>
        <v/>
      </c>
      <c r="AQ60" s="64" t="str">
        <f ca="1">IF(AND($CL$55&lt;&gt;"",$HB57&lt;&gt;""),IF(OR('Outfall 1 Limits'!$AX$84="C1",'Outfall 1 Limits'!$AX$84="L"),$HB57),"")</f>
        <v/>
      </c>
      <c r="AR60" s="144" t="str">
        <f ca="1">IF(CM55&lt;&gt;"",IF(OR('Outfall 1 Limits'!$AX$88="C1",'Outfall 1 Limits'!$AX$88="L"),IF(KV60="Y","&lt;",""),""),"")</f>
        <v/>
      </c>
      <c r="AS60" s="64" t="str">
        <f ca="1">IF(AND($CM$55&lt;&gt;"",$HC57&lt;&gt;""),IF(OR('Outfall 1 Limits'!$AX$88="C1",'Outfall 1 Limits'!$AX$88="L"),$HC57),"")</f>
        <v/>
      </c>
      <c r="AT60" s="144" t="str">
        <f ca="1">IF(CN55&lt;&gt;"",IF(OR('Outfall 1 Limits'!$AX$92="C1",'Outfall 1 Limits'!$AX$92="L"),IF(KW60="Y","&lt;",""),""),"")</f>
        <v/>
      </c>
      <c r="AU60" s="64" t="str">
        <f ca="1">IF(AND($CN$55&lt;&gt;"",$HD57&lt;&gt;""),IF(OR('Outfall 1 Limits'!$AX$92="C1",'Outfall 1 Limits'!$AX$92="L"),$HD57),"")</f>
        <v/>
      </c>
      <c r="AV60" s="144" t="str">
        <f ca="1">IF(CO55&lt;&gt;"",IF(OR('Outfall 1 Limits'!$AX$96="C1",'Outfall 1 Limits'!$AX$96="L"),IF(KX60="Y","&lt;",""),""),"")</f>
        <v/>
      </c>
      <c r="AW60" s="64" t="str">
        <f ca="1">IF(AND($CO$55&lt;&gt;"",$HE57&lt;&gt;""),IF(OR('Outfall 1 Limits'!$AX$96="C1",'Outfall 1 Limits'!$AX$96="L"),$HE57),"")</f>
        <v/>
      </c>
      <c r="AX60" s="144" t="str">
        <f ca="1">IF(CP55&lt;&gt;"",IF(OR('Outfall 1 Limits'!$AX$100="C1",'Outfall 1 Limits'!$AX$100="L"),IF(KY60="Y","&lt;",""),""),"")</f>
        <v/>
      </c>
      <c r="AY60" s="64" t="str">
        <f ca="1">IF(AND($CP$55&lt;&gt;"",$HF57&lt;&gt;""),IF(OR('Outfall 1 Limits'!$AX$100="C1",'Outfall 1 Limits'!$AX$100="L"),$HF57),"")</f>
        <v/>
      </c>
      <c r="AZ60" s="144" t="str">
        <f ca="1">IF(CQ55&lt;&gt;"",IF(OR('Outfall 1 Limits'!$AX$104="C1",'Outfall 1 Limits'!$AX$104="L"),IF(KZ60="Y","&lt;",""),""),"")</f>
        <v/>
      </c>
      <c r="BA60" s="64" t="str">
        <f ca="1">IF(AND($CQ$55&lt;&gt;"",$HG57&lt;&gt;""),IF(OR('Outfall 1 Limits'!$AX$104="C1",'Outfall 1 Limits'!$AX$104="L"),$HG57),"")</f>
        <v/>
      </c>
      <c r="BB60" s="144" t="str">
        <f ca="1">IF(CR55&lt;&gt;"",IF(OR('Outfall 1 Limits'!$AX$108="C1",'Outfall 1 Limits'!$AX$108="L"),IF(LA60="Y","&lt;",""),""),"")</f>
        <v/>
      </c>
      <c r="BC60" s="64" t="str">
        <f ca="1">IF(AND($CR$55&lt;&gt;"",$HH57&lt;&gt;""),IF(OR('Outfall 1 Limits'!$AX$108="C1",'Outfall 1 Limits'!$AX$108="L"),$HH57),"")</f>
        <v/>
      </c>
      <c r="BD60" s="144" t="str">
        <f ca="1">IF(CS55&lt;&gt;"",IF(OR('Outfall 1 Limits'!$AX$112="C1",'Outfall 1 Limits'!$AX$112="L"),IF(LB60="Y","&lt;",""),""),"")</f>
        <v/>
      </c>
      <c r="BE60" s="64" t="str">
        <f ca="1">IF(AND($CS$55&lt;&gt;"",$HI57&lt;&gt;""),IF(OR('Outfall 1 Limits'!$AX$112="C1",'Outfall 1 Limits'!$AX$112="L"),$HI57),"")</f>
        <v/>
      </c>
      <c r="BF60" s="144" t="str">
        <f ca="1">IF(CT55&lt;&gt;"",IF(OR('Outfall 1 Limits'!$AX$116="C1",'Outfall 1 Limits'!$AX$116="L"),IF(LC60="Y","&lt;",""),""),"")</f>
        <v/>
      </c>
      <c r="BG60" s="64" t="str">
        <f ca="1">IF(AND($CT$55&lt;&gt;"",$HJ57&lt;&gt;""),IF(OR('Outfall 1 Limits'!$AX$116="C1",'Outfall 1 Limits'!$AX$116="L"),$HJ57),"")</f>
        <v/>
      </c>
      <c r="BH60" s="144" t="str">
        <f ca="1">IF(CU55&lt;&gt;"",IF(OR('Outfall 1 Limits'!$AX$120="C1",'Outfall 1 Limits'!$AX$120="L"),IF(LD60="Y","&lt;",""),""),"")</f>
        <v/>
      </c>
      <c r="BI60" s="64" t="str">
        <f ca="1">IF(AND($CU$55&lt;&gt;"",$HK57&lt;&gt;""),IF(OR('Outfall 1 Limits'!$AX$120="C1",'Outfall 1 Limits'!$AX$120="L"),$HK57),"")</f>
        <v/>
      </c>
      <c r="BJ60" s="144" t="str">
        <f ca="1">IF(CV55&lt;&gt;"",IF(OR('Outfall 1 Limits'!$AX$124="C1",'Outfall 1 Limits'!$AX$124="L"),IF(LE60="Y","&lt;",""),""),"")</f>
        <v/>
      </c>
      <c r="BK60" s="64" t="str">
        <f ca="1">IF(AND($CV$55&lt;&gt;"",$HL57&lt;&gt;""),IF(OR('Outfall 1 Limits'!$AX$124="C1",'Outfall 1 Limits'!$AX$124="L"),$HL57),"")</f>
        <v/>
      </c>
      <c r="BL60" s="144" t="str">
        <f ca="1">IF(CW55&lt;&gt;"",IF(OR('Outfall 1 Limits'!$AX$128="C1",'Outfall 1 Limits'!$AX$128="L"),IF(LF60="Y","&lt;",""),""),"")</f>
        <v/>
      </c>
      <c r="BM60" s="118" t="str">
        <f ca="1">IF(AND($CW$55&lt;&gt;"",$HM57&lt;&gt;""),IF(OR('Outfall 1 Limits'!$AX$128="C1",'Outfall 1 Limits'!$AX$128="L"),$HM57),"")</f>
        <v/>
      </c>
      <c r="BO60" s="174"/>
      <c r="BP60" s="174">
        <v>2079</v>
      </c>
      <c r="BQ60" s="179" t="s">
        <v>1161</v>
      </c>
      <c r="BR60" s="174"/>
      <c r="BS60" s="174"/>
      <c r="BT60" s="242" t="s">
        <v>1135</v>
      </c>
      <c r="BU60" s="202" t="str">
        <f>IF(BU59&lt;&gt;0,IF(INT(BU59)=BU59,"N","Y"),"")</f>
        <v/>
      </c>
      <c r="BV60" s="196" t="str">
        <f t="shared" ref="BV60:CW60" si="209">IF(BV59&lt;&gt;0,IF(INT(BV59)=BV59,"N","Y"),"")</f>
        <v/>
      </c>
      <c r="BW60" s="196" t="str">
        <f t="shared" si="209"/>
        <v/>
      </c>
      <c r="BX60" s="196" t="str">
        <f t="shared" si="209"/>
        <v/>
      </c>
      <c r="BY60" s="196" t="str">
        <f t="shared" si="209"/>
        <v/>
      </c>
      <c r="BZ60" s="196" t="str">
        <f t="shared" si="209"/>
        <v/>
      </c>
      <c r="CA60" s="196" t="str">
        <f t="shared" si="209"/>
        <v/>
      </c>
      <c r="CB60" s="196" t="str">
        <f t="shared" si="209"/>
        <v/>
      </c>
      <c r="CC60" s="196" t="str">
        <f t="shared" si="209"/>
        <v/>
      </c>
      <c r="CD60" s="196" t="str">
        <f t="shared" si="209"/>
        <v/>
      </c>
      <c r="CE60" s="196" t="str">
        <f t="shared" si="209"/>
        <v/>
      </c>
      <c r="CF60" s="196" t="str">
        <f t="shared" si="209"/>
        <v/>
      </c>
      <c r="CG60" s="196" t="str">
        <f t="shared" si="209"/>
        <v/>
      </c>
      <c r="CH60" s="196" t="str">
        <f t="shared" si="209"/>
        <v/>
      </c>
      <c r="CI60" s="196" t="str">
        <f t="shared" si="209"/>
        <v/>
      </c>
      <c r="CJ60" s="196" t="str">
        <f t="shared" si="209"/>
        <v/>
      </c>
      <c r="CK60" s="196" t="str">
        <f t="shared" si="209"/>
        <v/>
      </c>
      <c r="CL60" s="196" t="str">
        <f t="shared" si="209"/>
        <v/>
      </c>
      <c r="CM60" s="196" t="str">
        <f t="shared" si="209"/>
        <v/>
      </c>
      <c r="CN60" s="196" t="str">
        <f t="shared" si="209"/>
        <v/>
      </c>
      <c r="CO60" s="196" t="str">
        <f t="shared" si="209"/>
        <v/>
      </c>
      <c r="CP60" s="196" t="str">
        <f t="shared" si="209"/>
        <v/>
      </c>
      <c r="CQ60" s="196" t="str">
        <f t="shared" si="209"/>
        <v/>
      </c>
      <c r="CR60" s="196" t="str">
        <f t="shared" si="209"/>
        <v/>
      </c>
      <c r="CS60" s="196" t="str">
        <f t="shared" si="209"/>
        <v/>
      </c>
      <c r="CT60" s="196" t="str">
        <f t="shared" si="209"/>
        <v/>
      </c>
      <c r="CU60" s="196" t="str">
        <f t="shared" si="209"/>
        <v/>
      </c>
      <c r="CV60" s="196" t="str">
        <f t="shared" si="209"/>
        <v/>
      </c>
      <c r="CW60" s="210" t="str">
        <f t="shared" si="209"/>
        <v/>
      </c>
      <c r="CX60" s="242" t="s">
        <v>373</v>
      </c>
      <c r="CY60" s="212"/>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8"/>
      <c r="EB60" s="176"/>
      <c r="GJ60" s="245"/>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174"/>
      <c r="HO60" s="174"/>
      <c r="HP60" s="174"/>
      <c r="HQ60" s="174"/>
      <c r="HR60" s="174"/>
      <c r="HS60" s="174"/>
      <c r="HT60" s="174"/>
      <c r="HU60" s="174"/>
      <c r="HV60" s="174"/>
      <c r="HW60" s="174"/>
      <c r="HX60" s="174"/>
      <c r="HY60" s="174"/>
      <c r="HZ60" s="174"/>
      <c r="IA60" s="174"/>
      <c r="IB60" s="174"/>
      <c r="IC60" s="174"/>
      <c r="ID60" s="174"/>
      <c r="IE60" s="174"/>
      <c r="IF60" s="174"/>
      <c r="IG60" s="174"/>
      <c r="IH60" s="174"/>
      <c r="II60" s="174"/>
      <c r="IJ60" s="174"/>
      <c r="IK60" s="174"/>
      <c r="IL60" s="174"/>
      <c r="IM60" s="174"/>
      <c r="IN60" s="174"/>
      <c r="IO60" s="174"/>
      <c r="IP60" s="174"/>
      <c r="IQ60" s="174"/>
      <c r="IR60" s="174"/>
      <c r="IS60" s="174"/>
      <c r="IT60" s="174"/>
      <c r="IU60" s="174"/>
      <c r="IW60" s="242" t="s">
        <v>373</v>
      </c>
      <c r="IX60" s="250" t="str">
        <f t="shared" ref="IX60:JZ60" ca="1" si="210">IF(IX57&lt;&gt;"",IF(IX57=IX58,"N","Y"),"")</f>
        <v/>
      </c>
      <c r="IY60" s="251" t="str">
        <f t="shared" ca="1" si="210"/>
        <v/>
      </c>
      <c r="IZ60" s="251" t="str">
        <f t="shared" ca="1" si="210"/>
        <v/>
      </c>
      <c r="JA60" s="251" t="str">
        <f t="shared" ca="1" si="210"/>
        <v/>
      </c>
      <c r="JB60" s="251" t="str">
        <f t="shared" ca="1" si="210"/>
        <v/>
      </c>
      <c r="JC60" s="251" t="str">
        <f t="shared" ca="1" si="210"/>
        <v/>
      </c>
      <c r="JD60" s="251" t="str">
        <f t="shared" ca="1" si="210"/>
        <v/>
      </c>
      <c r="JE60" s="251" t="str">
        <f t="shared" ca="1" si="210"/>
        <v/>
      </c>
      <c r="JF60" s="251" t="str">
        <f t="shared" ca="1" si="210"/>
        <v/>
      </c>
      <c r="JG60" s="251" t="str">
        <f t="shared" ca="1" si="210"/>
        <v/>
      </c>
      <c r="JH60" s="251" t="str">
        <f t="shared" ca="1" si="210"/>
        <v/>
      </c>
      <c r="JI60" s="251" t="str">
        <f t="shared" ca="1" si="210"/>
        <v/>
      </c>
      <c r="JJ60" s="251" t="str">
        <f t="shared" ca="1" si="210"/>
        <v/>
      </c>
      <c r="JK60" s="251" t="str">
        <f t="shared" ca="1" si="210"/>
        <v/>
      </c>
      <c r="JL60" s="251" t="str">
        <f t="shared" ca="1" si="210"/>
        <v/>
      </c>
      <c r="JM60" s="251" t="str">
        <f t="shared" ca="1" si="210"/>
        <v/>
      </c>
      <c r="JN60" s="251" t="str">
        <f t="shared" ca="1" si="210"/>
        <v/>
      </c>
      <c r="JO60" s="251" t="str">
        <f t="shared" ca="1" si="210"/>
        <v/>
      </c>
      <c r="JP60" s="251" t="str">
        <f t="shared" ca="1" si="210"/>
        <v/>
      </c>
      <c r="JQ60" s="251" t="str">
        <f t="shared" ca="1" si="210"/>
        <v/>
      </c>
      <c r="JR60" s="251" t="str">
        <f t="shared" ca="1" si="210"/>
        <v/>
      </c>
      <c r="JS60" s="251" t="str">
        <f t="shared" ca="1" si="210"/>
        <v/>
      </c>
      <c r="JT60" s="251" t="str">
        <f t="shared" ca="1" si="210"/>
        <v/>
      </c>
      <c r="JU60" s="251" t="str">
        <f t="shared" ca="1" si="210"/>
        <v/>
      </c>
      <c r="JV60" s="251" t="str">
        <f t="shared" ca="1" si="210"/>
        <v/>
      </c>
      <c r="JW60" s="251" t="str">
        <f t="shared" ca="1" si="210"/>
        <v/>
      </c>
      <c r="JX60" s="251" t="str">
        <f t="shared" ca="1" si="210"/>
        <v/>
      </c>
      <c r="JY60" s="251" t="str">
        <f t="shared" ca="1" si="210"/>
        <v/>
      </c>
      <c r="JZ60" s="252" t="str">
        <f t="shared" ca="1" si="210"/>
        <v/>
      </c>
      <c r="KA60" s="196"/>
      <c r="KB60" s="176"/>
      <c r="KC60" s="248" t="s">
        <v>1170</v>
      </c>
      <c r="KD60" s="256" t="e">
        <f t="shared" ref="KD60:LF60" ca="1" si="211">IF(KD53="Y",KD59,IF(BU54="Y","Y",IF(BU56="Y","Y")))</f>
        <v>#VALUE!</v>
      </c>
      <c r="KE60" s="174" t="e">
        <f t="shared" ca="1" si="211"/>
        <v>#VALUE!</v>
      </c>
      <c r="KF60" s="174" t="e">
        <f t="shared" ca="1" si="211"/>
        <v>#VALUE!</v>
      </c>
      <c r="KG60" s="174" t="e">
        <f t="shared" ca="1" si="211"/>
        <v>#VALUE!</v>
      </c>
      <c r="KH60" s="174" t="e">
        <f t="shared" ca="1" si="211"/>
        <v>#VALUE!</v>
      </c>
      <c r="KI60" s="174" t="e">
        <f t="shared" ca="1" si="211"/>
        <v>#VALUE!</v>
      </c>
      <c r="KJ60" s="174" t="e">
        <f t="shared" ca="1" si="211"/>
        <v>#VALUE!</v>
      </c>
      <c r="KK60" s="174" t="e">
        <f t="shared" ca="1" si="211"/>
        <v>#VALUE!</v>
      </c>
      <c r="KL60" s="174" t="e">
        <f t="shared" ca="1" si="211"/>
        <v>#VALUE!</v>
      </c>
      <c r="KM60" s="174" t="e">
        <f t="shared" ca="1" si="211"/>
        <v>#VALUE!</v>
      </c>
      <c r="KN60" s="174" t="e">
        <f t="shared" ca="1" si="211"/>
        <v>#VALUE!</v>
      </c>
      <c r="KO60" s="174" t="e">
        <f t="shared" ca="1" si="211"/>
        <v>#VALUE!</v>
      </c>
      <c r="KP60" s="174" t="e">
        <f t="shared" ca="1" si="211"/>
        <v>#VALUE!</v>
      </c>
      <c r="KQ60" s="174" t="e">
        <f t="shared" ca="1" si="211"/>
        <v>#VALUE!</v>
      </c>
      <c r="KR60" s="174" t="e">
        <f t="shared" ca="1" si="211"/>
        <v>#VALUE!</v>
      </c>
      <c r="KS60" s="174" t="e">
        <f t="shared" ca="1" si="211"/>
        <v>#VALUE!</v>
      </c>
      <c r="KT60" s="174" t="e">
        <f t="shared" ca="1" si="211"/>
        <v>#VALUE!</v>
      </c>
      <c r="KU60" s="174" t="e">
        <f t="shared" ca="1" si="211"/>
        <v>#VALUE!</v>
      </c>
      <c r="KV60" s="174" t="e">
        <f t="shared" ca="1" si="211"/>
        <v>#VALUE!</v>
      </c>
      <c r="KW60" s="174" t="e">
        <f t="shared" ca="1" si="211"/>
        <v>#VALUE!</v>
      </c>
      <c r="KX60" s="174" t="e">
        <f t="shared" ca="1" si="211"/>
        <v>#VALUE!</v>
      </c>
      <c r="KY60" s="174" t="e">
        <f t="shared" ca="1" si="211"/>
        <v>#VALUE!</v>
      </c>
      <c r="KZ60" s="174" t="e">
        <f t="shared" ca="1" si="211"/>
        <v>#VALUE!</v>
      </c>
      <c r="LA60" s="174" t="e">
        <f t="shared" ca="1" si="211"/>
        <v>#VALUE!</v>
      </c>
      <c r="LB60" s="174" t="e">
        <f t="shared" ca="1" si="211"/>
        <v>#VALUE!</v>
      </c>
      <c r="LC60" s="174" t="e">
        <f t="shared" ca="1" si="211"/>
        <v>#VALUE!</v>
      </c>
      <c r="LD60" s="174" t="e">
        <f t="shared" ca="1" si="211"/>
        <v>#VALUE!</v>
      </c>
      <c r="LE60" s="174" t="e">
        <f t="shared" ca="1" si="211"/>
        <v>#VALUE!</v>
      </c>
      <c r="LF60" s="174" t="e">
        <f t="shared" ca="1" si="211"/>
        <v>#VALUE!</v>
      </c>
    </row>
    <row r="61" spans="1:318" s="172" customFormat="1" ht="11.25" customHeight="1" thickTop="1" thickBot="1" x14ac:dyDescent="0.25">
      <c r="A61" s="35"/>
      <c r="B61" s="439" t="s">
        <v>1133</v>
      </c>
      <c r="C61" s="439"/>
      <c r="D61" s="439"/>
      <c r="E61" s="439"/>
      <c r="F61" s="440"/>
      <c r="G61" s="63" t="str">
        <f ca="1">IF(ROWS(INDIRECT("G"&amp;$D$10):INDIRECT("G"&amp;$B$10))-COUNTIF(INDIRECT("G"&amp;$D$10):INDIRECT("G"&amp;$B$10),"")&gt;0,MIN(INDIRECT("G"&amp;$D$10):INDIRECT("G"&amp;$B$10)),"")</f>
        <v/>
      </c>
      <c r="H61" s="64" t="str">
        <f ca="1">IF(BU55&lt;&gt;"",IF(OR('Outfall 1 Limits'!AX16="C1",'Outfall 1 Limits'!AX16="L"),IF(IX60="Y","&lt;",""),""),"")</f>
        <v/>
      </c>
      <c r="I61" s="64" t="str">
        <f ca="1">IF(AND($BU$55&lt;&gt;"",$IX$59&lt;&gt;""),IF(OR('Outfall 1 Limits'!$AX$16="C1",'Outfall 1 Limits'!$AX$16="L"),$IX$59),"")</f>
        <v/>
      </c>
      <c r="J61" s="113" t="str">
        <f ca="1">IF($BV$55&lt;&gt;"",IF(OR('Outfall 1 Limits'!$AX$20="C1",'Outfall 1 Limits'!$AX$20="L"),IF($IY$60="Y","&lt;",""),""),"")</f>
        <v/>
      </c>
      <c r="K61" s="64" t="str">
        <f ca="1">IF(AND($BV$55&lt;&gt;"",$IY$59&lt;&gt;""),IF(OR('Outfall 1 Limits'!$AX$20="C1",'Outfall 1 Limits'!$AX$20="L"),$IY$59),"")</f>
        <v/>
      </c>
      <c r="L61" s="64" t="str">
        <f ca="1">IF($BW$55&lt;&gt;"",IF(OR('Outfall 1 Limits'!$AX$24="C1",'Outfall 1 Limits'!$AX$24="L"),IF($IZ$60="Y","&lt;",""),""),"")</f>
        <v/>
      </c>
      <c r="M61" s="64" t="str">
        <f ca="1">IF(AND($BW$55&lt;&gt;"",$IZ$59&lt;&gt;""),IF(OR('Outfall 1 Limits'!$AX$24="C1",'Outfall 1 Limits'!$AX$24="L"),$IZ$59),"")</f>
        <v/>
      </c>
      <c r="N61" s="64" t="str">
        <f ca="1">IF($BX$55&lt;&gt;"",IF(OR('Outfall 1 Limits'!$AX$28="C1",'Outfall 1 Limits'!$AX$28="L"),IF($JA$60="Y","&lt;",""),""),"")</f>
        <v/>
      </c>
      <c r="O61" s="64" t="str">
        <f ca="1">IF(AND($BX$55&lt;&gt;"",$JA$59&lt;&gt;""),IF(OR('Outfall 1 Limits'!$AX$28="C1",'Outfall 1 Limits'!$AX$28="L"),$JA$59),"")</f>
        <v/>
      </c>
      <c r="P61" s="64" t="str">
        <f ca="1">IF($BY$55&lt;&gt;"",IF(OR('Outfall 1 Limits'!$AX$32="C1",'Outfall 1 Limits'!$AX$32="L"),IF($JB$60="Y","&lt;",""),""),"")</f>
        <v/>
      </c>
      <c r="Q61" s="64" t="str">
        <f ca="1">IF(AND($BY$55&lt;&gt;"",$JB$59&lt;&gt;""),IF(OR('Outfall 1 Limits'!$AX$32="C1",'Outfall 1 Limits'!$AX$32="L"),$JB$59),"")</f>
        <v/>
      </c>
      <c r="R61" s="64" t="str">
        <f ca="1">IF($BZ$55&lt;&gt;"",IF(OR('Outfall 1 Limits'!$AX$36="C1",'Outfall 1 Limits'!$AX$36="L"),IF($JC$60="Y","&lt;",""),""),"")</f>
        <v/>
      </c>
      <c r="S61" s="64" t="str">
        <f ca="1">IF(AND($BZ$55&lt;&gt;"",$JC$59&lt;&gt;""),IF(OR('Outfall 1 Limits'!$AX$36="C1",'Outfall 1 Limits'!$AX$36="L"),$JC$59),"")</f>
        <v/>
      </c>
      <c r="T61" s="64" t="str">
        <f ca="1">IF($CA$55&lt;&gt;"",IF(OR('Outfall 1 Limits'!$AX$40="C1",'Outfall 1 Limits'!$AX$40="L"),IF($JD$60="Y","&lt;",""),""),"")</f>
        <v/>
      </c>
      <c r="U61" s="64" t="str">
        <f ca="1">IF(AND($CA$55&lt;&gt;"",$JD$59&lt;&gt;""),IF(OR('Outfall 1 Limits'!$AX$40="C1",'Outfall 1 Limits'!$AX$40="L"),$JD$59),"")</f>
        <v/>
      </c>
      <c r="V61" s="64" t="str">
        <f ca="1">IF($CB$55&lt;&gt;"",IF(OR('Outfall 1 Limits'!$AX$44="C1",'Outfall 1 Limits'!$AX$44="L"),IF($JE$60="Y","&lt;",""),""),"")</f>
        <v/>
      </c>
      <c r="W61" s="64" t="str">
        <f ca="1">IF(AND($CB$55&lt;&gt;"",$JE$59&lt;&gt;""),IF(OR('Outfall 1 Limits'!$AX$44="C1",'Outfall 1 Limits'!$AX$44="L"),$JE$59),"")</f>
        <v/>
      </c>
      <c r="X61" s="279" t="str">
        <f ca="1">IF($CC$55&lt;&gt;"",IF(OR('Outfall 1 Limits'!$AX$48="C1",'Outfall 1 Limits'!$AX$48="L"),IF($JF$60="Y","&lt;",""),""),"")</f>
        <v/>
      </c>
      <c r="Y61" s="64" t="str">
        <f ca="1">IF(AND($CC$55&lt;&gt;"",$JF$59&lt;&gt;""),IF(OR('Outfall 1 Limits'!$AX$48="C1",'Outfall 1 Limits'!$AX$48="L"),$JF$59),"")</f>
        <v/>
      </c>
      <c r="Z61" s="64" t="str">
        <f ca="1">IF($CD$55&lt;&gt;"",IF(OR('Outfall 1 Limits'!$AX$52="C1",'Outfall 1 Limits'!$AX$52="L"),IF($JG$60="Y","&lt;",""),""),"")</f>
        <v/>
      </c>
      <c r="AA61" s="64" t="str">
        <f ca="1">IF(AND($CD$55&lt;&gt;"",$JG$59&lt;&gt;""),IF(OR('Outfall 1 Limits'!$AX$52="C1",'Outfall 1 Limits'!$AX$52="L"),$JG$59),"")</f>
        <v/>
      </c>
      <c r="AB61" s="64" t="str">
        <f ca="1">IF($CE$55&lt;&gt;"",IF(OR('Outfall 1 Limits'!$AX$56="C1",'Outfall 1 Limits'!$AX$56="L"),IF($JH$60="Y","&lt;",""),""),"")</f>
        <v/>
      </c>
      <c r="AC61" s="64" t="str">
        <f ca="1">IF(AND($CE$55&lt;&gt;"",$JH$59&lt;&gt;""),IF(OR('Outfall 1 Limits'!$AX$56="C1",'Outfall 1 Limits'!$AX$56="L"),$JH$59),"")</f>
        <v/>
      </c>
      <c r="AD61" s="64" t="str">
        <f ca="1">IF($CF$55&lt;&gt;"",IF(OR('Outfall 1 Limits'!$AX$60="C1",'Outfall 1 Limits'!$AX$60="L"),IF($JI$60="Y","&lt;",""),""),"")</f>
        <v/>
      </c>
      <c r="AE61" s="64" t="str">
        <f ca="1">IF(AND($CF$55&lt;&gt;"",$JI$59&lt;&gt;""),IF(OR('Outfall 1 Limits'!$AX$60="C1",'Outfall 1 Limits'!$AX$60="L"),$JI$59),"")</f>
        <v/>
      </c>
      <c r="AF61" s="64" t="str">
        <f ca="1">IF($CG$55&lt;&gt;"",IF(OR('Outfall 1 Limits'!$AX$64="C1",'Outfall 1 Limits'!$AX$64="L"),IF($JJ$60="Y","&lt;",""),""),"")</f>
        <v/>
      </c>
      <c r="AG61" s="64" t="str">
        <f ca="1">IF(AND($CG$55&lt;&gt;"",$JJ$59&lt;&gt;""),IF(OR('Outfall 1 Limits'!$AX$64="C1",'Outfall 1 Limits'!$AX$64="L"),$JJ$59),"")</f>
        <v/>
      </c>
      <c r="AH61" s="64" t="str">
        <f ca="1">IF($CH$55&lt;&gt;"",IF(OR('Outfall 1 Limits'!$AX$68="C1",'Outfall 1 Limits'!$AX$68="L"),IF($JK$60="Y","&lt;",""),""),"")</f>
        <v/>
      </c>
      <c r="AI61" s="64" t="str">
        <f ca="1">IF(AND($CH$55&lt;&gt;"",$JK$59&lt;&gt;""),IF(OR('Outfall 1 Limits'!$AX$68="C1",'Outfall 1 Limits'!$AX$68="L"),$JK$59),"")</f>
        <v/>
      </c>
      <c r="AJ61" s="64" t="str">
        <f ca="1">IF($CI$55&lt;&gt;"",IF(OR('Outfall 1 Limits'!$AX$72="C1",'Outfall 1 Limits'!$AX$72="L"),IF($JL$60="Y","&lt;",""),""),"")</f>
        <v/>
      </c>
      <c r="AK61" s="64" t="str">
        <f ca="1">IF(AND($CI$55&lt;&gt;"",$JL$59&lt;&gt;""),IF(OR('Outfall 1 Limits'!$AX$72="C1",'Outfall 1 Limits'!$AX$72="L"),$JL$59),"")</f>
        <v/>
      </c>
      <c r="AL61" s="64" t="str">
        <f ca="1">IF($CJ$55&lt;&gt;"",IF(OR('Outfall 1 Limits'!$AX$76="C1",'Outfall 1 Limits'!$AX$76="L"),IF($JM$60="Y","&lt;",""),""),"")</f>
        <v/>
      </c>
      <c r="AM61" s="64" t="str">
        <f ca="1">IF(AND($CJ$55&lt;&gt;"",$JM$59&lt;&gt;""),IF(OR('Outfall 1 Limits'!$AX$76="C1",'Outfall 1 Limits'!$AX$76="L"),$JM$59),"")</f>
        <v/>
      </c>
      <c r="AN61" s="144" t="str">
        <f ca="1">IF($CK$55&lt;&gt;"",IF(OR('Outfall 1 Limits'!$AX$80="C1",'Outfall 1 Limits'!$AX$80="L"),IF($JN$60="Y","&lt;",""),""),"")</f>
        <v/>
      </c>
      <c r="AO61" s="64" t="str">
        <f ca="1">IF(AND($CK$55&lt;&gt;"",$JN$59&lt;&gt;""),IF(OR('Outfall 1 Limits'!$AX$80="C1",'Outfall 1 Limits'!$AX$80="L"),$JN$59),"")</f>
        <v/>
      </c>
      <c r="AP61" s="144" t="str">
        <f ca="1">IF($CL$55&lt;&gt;"",IF(OR('Outfall 1 Limits'!$AX$84="C1",'Outfall 1 Limits'!$AX$84="L"),IF($JO$60="Y","&lt;",""),""),"")</f>
        <v/>
      </c>
      <c r="AQ61" s="64" t="str">
        <f ca="1">IF(AND($CL$55&lt;&gt;"",$JO$59&lt;&gt;""),IF(OR('Outfall 1 Limits'!$AX$84="C1",'Outfall 1 Limits'!$AX$84="L"),$JO$59),"")</f>
        <v/>
      </c>
      <c r="AR61" s="144" t="str">
        <f ca="1">IF($CM$55&lt;&gt;"",IF(OR('Outfall 1 Limits'!$AX$88="C1",'Outfall 1 Limits'!$AX$88="L"),IF($JP$60="Y","&lt;",""),""),"")</f>
        <v/>
      </c>
      <c r="AS61" s="64" t="str">
        <f ca="1">IF(AND($CM$55&lt;&gt;"",$JP$59&lt;&gt;""),IF(OR('Outfall 1 Limits'!$AX$88="C1",'Outfall 1 Limits'!$AX$88="L"),$JP$59),"")</f>
        <v/>
      </c>
      <c r="AT61" s="144" t="str">
        <f ca="1">IF($CN$55&lt;&gt;"",IF(OR('Outfall 1 Limits'!$AX$92="C1",'Outfall 1 Limits'!$AX$92="L"),IF($JQ$60="Y","&lt;",""),""),"")</f>
        <v/>
      </c>
      <c r="AU61" s="64" t="str">
        <f ca="1">IF(AND($CN$55&lt;&gt;"",$JQ$59&lt;&gt;""),IF(OR('Outfall 1 Limits'!$AX$92="C1",'Outfall 1 Limits'!$AX$92="L"),$JQ$59),"")</f>
        <v/>
      </c>
      <c r="AV61" s="144" t="str">
        <f ca="1">IF($CO$55&lt;&gt;"",IF(OR('Outfall 1 Limits'!$AX$96="C1",'Outfall 1 Limits'!$AX$96="L"),IF($JR$60="Y","&lt;",""),""),"")</f>
        <v/>
      </c>
      <c r="AW61" s="64" t="str">
        <f ca="1">IF(AND($CO$55&lt;&gt;"",$JR$59&lt;&gt;""),IF(OR('Outfall 1 Limits'!$AX$96="C1",'Outfall 1 Limits'!$AX$96="L"),$JR$59),"")</f>
        <v/>
      </c>
      <c r="AX61" s="144" t="str">
        <f ca="1">IF($CP$55&lt;&gt;"",IF(OR('Outfall 1 Limits'!$AX$100="C1",'Outfall 1 Limits'!$AX$100="L"),IF($JS$60="Y","&lt;",""),""),"")</f>
        <v/>
      </c>
      <c r="AY61" s="64" t="str">
        <f ca="1">IF(AND($CP$55&lt;&gt;"",$JS$59&lt;&gt;""),IF(OR('Outfall 1 Limits'!$AX$100="C1",'Outfall 1 Limits'!$AX$100="L"),$JS$59),"")</f>
        <v/>
      </c>
      <c r="AZ61" s="144" t="str">
        <f ca="1">IF($CQ$55&lt;&gt;"",IF(OR('Outfall 1 Limits'!$AX$104="C1",'Outfall 1 Limits'!$AX$104="L"),IF($JT$60="Y","&lt;",""),""),"")</f>
        <v/>
      </c>
      <c r="BA61" s="64" t="str">
        <f ca="1">IF(AND($CQ$55&lt;&gt;"",$JT$59&lt;&gt;""),IF(OR('Outfall 1 Limits'!$AX$104="C1",'Outfall 1 Limits'!$AX$104="L"),$JT$59),"")</f>
        <v/>
      </c>
      <c r="BB61" s="144" t="str">
        <f ca="1">IF($CR$55&lt;&gt;"",IF(OR('Outfall 1 Limits'!$AX$108="C1",'Outfall 1 Limits'!$AX$108="L"),IF($JU$60="Y","&lt;",""),""),"")</f>
        <v/>
      </c>
      <c r="BC61" s="64" t="str">
        <f ca="1">IF(AND($CR$55&lt;&gt;"",$JU$59&lt;&gt;""),IF(OR('Outfall 1 Limits'!$AX$108="C1",'Outfall 1 Limits'!$AX$108="L"),$JU$59),"")</f>
        <v/>
      </c>
      <c r="BD61" s="144" t="str">
        <f ca="1">IF($CS$55&lt;&gt;"",IF(OR('Outfall 1 Limits'!$AX$112="C1",'Outfall 1 Limits'!$AX$112="L"),IF($JV$60="Y","&lt;",""),""),"")</f>
        <v/>
      </c>
      <c r="BE61" s="64" t="str">
        <f ca="1">IF(AND($CS$55&lt;&gt;"",$JV$59&lt;&gt;""),IF(OR('Outfall 1 Limits'!$AX$112="C1",'Outfall 1 Limits'!$AX$112="L"),$JV$59),"")</f>
        <v/>
      </c>
      <c r="BF61" s="144" t="str">
        <f ca="1">IF($CT$55&lt;&gt;"",IF(OR('Outfall 1 Limits'!$AX$116="C1",'Outfall 1 Limits'!$AX$116="L"),IF($JW$60="Y","&lt;",""),""),"")</f>
        <v/>
      </c>
      <c r="BG61" s="64" t="str">
        <f ca="1">IF(AND($CT$55&lt;&gt;"",$JW$59&lt;&gt;""),IF(OR('Outfall 1 Limits'!$AX$116="C1",'Outfall 1 Limits'!$AX$116="L"),$JW$59),"")</f>
        <v/>
      </c>
      <c r="BH61" s="144" t="str">
        <f ca="1">IF($CU$55&lt;&gt;"",IF(OR('Outfall 1 Limits'!$AX$120="C1",'Outfall 1 Limits'!$AX$120="L"),IF($JX$60="Y","&lt;",""),""),"")</f>
        <v/>
      </c>
      <c r="BI61" s="64" t="str">
        <f ca="1">IF(AND($CU$55&lt;&gt;"",$JX$59&lt;&gt;""),IF(OR('Outfall 1 Limits'!$AX$120="C1",'Outfall 1 Limits'!$AX$120="L"),$JX$59),"")</f>
        <v/>
      </c>
      <c r="BJ61" s="144" t="str">
        <f ca="1">IF($CV$55&lt;&gt;"",IF(OR('Outfall 1 Limits'!$AX$124="C1",'Outfall 1 Limits'!$AX$124="L"),IF($JY$60="Y","&lt;",""),""),"")</f>
        <v/>
      </c>
      <c r="BK61" s="64" t="str">
        <f ca="1">IF(AND($CV$55&lt;&gt;"",$JY$59&lt;&gt;""),IF(OR('Outfall 1 Limits'!$AX$124="C1",'Outfall 1 Limits'!$AX$124="L"),$JY$59),"")</f>
        <v/>
      </c>
      <c r="BL61" s="144" t="str">
        <f ca="1">IF($CW$55&lt;&gt;"",IF(OR('Outfall 1 Limits'!$AX$128="C1",'Outfall 1 Limits'!$AX$128="L"),IF($JZ$60="Y","&lt;",""),""),"")</f>
        <v/>
      </c>
      <c r="BM61" s="118" t="str">
        <f ca="1">IF(AND($CW$55&lt;&gt;"",$JZ$59&lt;&gt;""),IF(OR('Outfall 1 Limits'!$AX$128="C1",'Outfall 1 Limits'!$AX$128="L"),$JZ$59),"")</f>
        <v/>
      </c>
      <c r="BO61" s="174"/>
      <c r="BP61" s="174">
        <v>2080</v>
      </c>
      <c r="BQ61" s="179" t="s">
        <v>75</v>
      </c>
      <c r="BR61" s="174"/>
      <c r="BS61" s="174"/>
      <c r="BT61" s="242" t="s">
        <v>835</v>
      </c>
      <c r="BU61" s="202">
        <f>SUM(BU31:BU37)</f>
        <v>0</v>
      </c>
      <c r="BV61" s="196">
        <f>SUM(BV31:BV37)</f>
        <v>0</v>
      </c>
      <c r="BW61" s="196">
        <f t="shared" ref="BW61:CW61" si="212">SUM(BW31:BW37)</f>
        <v>0</v>
      </c>
      <c r="BX61" s="196">
        <f t="shared" si="212"/>
        <v>0</v>
      </c>
      <c r="BY61" s="196">
        <f t="shared" si="212"/>
        <v>0</v>
      </c>
      <c r="BZ61" s="196">
        <f t="shared" si="212"/>
        <v>0</v>
      </c>
      <c r="CA61" s="196">
        <f t="shared" si="212"/>
        <v>0</v>
      </c>
      <c r="CB61" s="196">
        <f t="shared" si="212"/>
        <v>0</v>
      </c>
      <c r="CC61" s="196">
        <f t="shared" si="212"/>
        <v>0</v>
      </c>
      <c r="CD61" s="196">
        <f t="shared" si="212"/>
        <v>0</v>
      </c>
      <c r="CE61" s="196">
        <f t="shared" si="212"/>
        <v>0</v>
      </c>
      <c r="CF61" s="196">
        <f t="shared" si="212"/>
        <v>0</v>
      </c>
      <c r="CG61" s="196">
        <f t="shared" si="212"/>
        <v>0</v>
      </c>
      <c r="CH61" s="196">
        <f t="shared" si="212"/>
        <v>0</v>
      </c>
      <c r="CI61" s="196">
        <f t="shared" si="212"/>
        <v>0</v>
      </c>
      <c r="CJ61" s="196">
        <f t="shared" si="212"/>
        <v>0</v>
      </c>
      <c r="CK61" s="196">
        <f t="shared" si="212"/>
        <v>0</v>
      </c>
      <c r="CL61" s="196">
        <f t="shared" si="212"/>
        <v>0</v>
      </c>
      <c r="CM61" s="196">
        <f t="shared" si="212"/>
        <v>0</v>
      </c>
      <c r="CN61" s="196">
        <f t="shared" si="212"/>
        <v>0</v>
      </c>
      <c r="CO61" s="196">
        <f t="shared" si="212"/>
        <v>0</v>
      </c>
      <c r="CP61" s="196">
        <f t="shared" si="212"/>
        <v>0</v>
      </c>
      <c r="CQ61" s="196">
        <f t="shared" si="212"/>
        <v>0</v>
      </c>
      <c r="CR61" s="196">
        <f t="shared" si="212"/>
        <v>0</v>
      </c>
      <c r="CS61" s="196">
        <f t="shared" si="212"/>
        <v>0</v>
      </c>
      <c r="CT61" s="196">
        <f t="shared" si="212"/>
        <v>0</v>
      </c>
      <c r="CU61" s="196">
        <f t="shared" si="212"/>
        <v>0</v>
      </c>
      <c r="CV61" s="196">
        <f t="shared" si="212"/>
        <v>0</v>
      </c>
      <c r="CW61" s="210">
        <f t="shared" si="212"/>
        <v>0</v>
      </c>
      <c r="CX61" s="242" t="s">
        <v>370</v>
      </c>
      <c r="CY61" s="257" t="str">
        <f ca="1">IF(ROWS(INDIRECT("I"&amp;$D$10):INDIRECT("I"&amp;$B$10))-COUNTIF(INDIRECT("I"&amp;$D$10):INDIRECT("I"&amp;$B$10),"")&gt;0,GEOMEAN(INDIRECT("I"&amp;$D$10):INDIRECT("I"&amp;$B$10)),"")</f>
        <v/>
      </c>
      <c r="CZ61" s="258" t="str">
        <f ca="1">IF(ROWS(INDIRECT("K"&amp;$D$10):INDIRECT("K"&amp;$B$10))-COUNTIF(INDIRECT("K"&amp;$D$10):INDIRECT("K"&amp;$B$10),"")&gt;0,GEOMEAN(INDIRECT("K"&amp;$D$10):INDIRECT("K"&amp;$B$10)),"")</f>
        <v/>
      </c>
      <c r="DA61" s="258" t="str">
        <f ca="1">IF(ROWS(INDIRECT("M"&amp;$D$10):INDIRECT("M"&amp;$B$10))-COUNTIF(INDIRECT("M"&amp;$D$10):INDIRECT("M"&amp;$B$10),"")&gt;0,GEOMEAN(INDIRECT("M"&amp;$D$10):INDIRECT("M"&amp;$B$10)),"")</f>
        <v/>
      </c>
      <c r="DB61" s="258" t="str">
        <f ca="1">IF(ROWS(INDIRECT("O"&amp;$D$10):INDIRECT("O"&amp;$B$10))-COUNTIF(INDIRECT("O"&amp;$D$10):INDIRECT("O"&amp;$B$10),"")&gt;0,GEOMEAN(INDIRECT("O"&amp;$D$10):INDIRECT("O"&amp;$B$10)),"")</f>
        <v/>
      </c>
      <c r="DC61" s="258" t="str">
        <f ca="1">IF(ROWS(INDIRECT("Q"&amp;$D$10):INDIRECT("Q"&amp;$B$10))-COUNTIF(INDIRECT("Q"&amp;$D$10):INDIRECT("Q"&amp;$B$10),"")&gt;0,GEOMEAN(INDIRECT("Q"&amp;$D$10):INDIRECT("Q"&amp;$B$10)),"")</f>
        <v/>
      </c>
      <c r="DD61" s="258" t="str">
        <f ca="1">IF(ROWS(INDIRECT("S"&amp;$D$10):INDIRECT("S"&amp;$B$10))-COUNTIF(INDIRECT("S"&amp;$D$10):INDIRECT("S"&amp;$B$10),"")&gt;0,GEOMEAN(INDIRECT("S"&amp;$D$10):INDIRECT("S"&amp;$B$10)),"")</f>
        <v/>
      </c>
      <c r="DE61" s="258" t="str">
        <f ca="1">IF(ROWS(INDIRECT("U"&amp;$D$10):INDIRECT("U"&amp;$B$10))-COUNTIF(INDIRECT("U"&amp;$D$10):INDIRECT("U"&amp;$B$10),"")&gt;0,GEOMEAN(INDIRECT("U"&amp;$D$10):INDIRECT("U"&amp;$B$10)),"")</f>
        <v/>
      </c>
      <c r="DF61" s="258" t="str">
        <f ca="1">IF(ROWS(INDIRECT("W"&amp;$D$10):INDIRECT("W"&amp;$B$10))-COUNTIF(INDIRECT("W"&amp;$D$10):INDIRECT("W"&amp;$B$10),"")&gt;0,GEOMEAN(INDIRECT("W"&amp;$D$10):INDIRECT("W"&amp;$B$10)),"")</f>
        <v/>
      </c>
      <c r="DG61" s="258" t="str">
        <f ca="1">IF(ROWS(INDIRECT("Y"&amp;$D$10):INDIRECT("Y"&amp;$B$10))-COUNTIF(INDIRECT("Y"&amp;$D$10):INDIRECT("Y"&amp;$B$10),"")&gt;0,GEOMEAN(INDIRECT("Y"&amp;$D$10):INDIRECT("Y"&amp;$B$10)),"")</f>
        <v/>
      </c>
      <c r="DH61" s="258" t="str">
        <f ca="1">IF(ROWS(INDIRECT("AA"&amp;$D$10):INDIRECT("AA"&amp;$B$10))-COUNTIF(INDIRECT("AA"&amp;$D$10):INDIRECT("AA"&amp;$B$10),"")&gt;0,GEOMEAN(INDIRECT("AA"&amp;$D$10):INDIRECT("AA"&amp;$B$10)),"")</f>
        <v/>
      </c>
      <c r="DI61" s="258" t="str">
        <f ca="1">IF(ROWS(INDIRECT("AC"&amp;$D$10):INDIRECT("AC"&amp;$B$10))-COUNTIF(INDIRECT("AC"&amp;$D$10):INDIRECT("AC"&amp;$B$10),"")&gt;0,GEOMEAN(INDIRECT("AC"&amp;$D$10):INDIRECT("AC"&amp;$B$10)),"")</f>
        <v/>
      </c>
      <c r="DJ61" s="258" t="str">
        <f ca="1">IF(ROWS(INDIRECT("AE"&amp;$D$10):INDIRECT("AE"&amp;$B$10))-COUNTIF(INDIRECT("AE"&amp;$D$10):INDIRECT("AE"&amp;$B$10),"")&gt;0,GEOMEAN(INDIRECT("AE"&amp;$D$10):INDIRECT("AE"&amp;$B$10)),"")</f>
        <v/>
      </c>
      <c r="DK61" s="258" t="str">
        <f ca="1">IF(ROWS(INDIRECT("AG"&amp;$D$10):INDIRECT("AG"&amp;$B$10))-COUNTIF(INDIRECT("AG"&amp;$D$10):INDIRECT("AG"&amp;$B$10),"")&gt;0,GEOMEAN(INDIRECT("AG"&amp;$D$10):INDIRECT("AG"&amp;$B$10)),"")</f>
        <v/>
      </c>
      <c r="DL61" s="258" t="str">
        <f ca="1">IF(ROWS(INDIRECT("AI"&amp;$D$10):INDIRECT("AI"&amp;$B$10))-COUNTIF(INDIRECT("AI"&amp;$D$10):INDIRECT("AI"&amp;$B$10),"")&gt;0,GEOMEAN(INDIRECT("AI"&amp;$D$10):INDIRECT("AI"&amp;$B$10)),"")</f>
        <v/>
      </c>
      <c r="DM61" s="258" t="str">
        <f ca="1">IF(ROWS(INDIRECT("AK"&amp;$D$10):INDIRECT("AK"&amp;$B$10))-COUNTIF(INDIRECT("AK"&amp;$D$10):INDIRECT("AK"&amp;$B$10),"")&gt;0,GEOMEAN(INDIRECT("AK"&amp;$D$10):INDIRECT("AK"&amp;$B$10)),"")</f>
        <v/>
      </c>
      <c r="DN61" s="258" t="str">
        <f ca="1">IF(ROWS(INDIRECT("AM"&amp;$D$10):INDIRECT("AM"&amp;$B$10))-COUNTIF(INDIRECT("AM"&amp;$D$10):INDIRECT("AM"&amp;$B$10),"")&gt;0,GEOMEAN(INDIRECT("AM"&amp;$D$10):INDIRECT("AM"&amp;$B$10)),"")</f>
        <v/>
      </c>
      <c r="DO61" s="258" t="str">
        <f ca="1">IF(ROWS(INDIRECT("AO"&amp;$D$10):INDIRECT("AO"&amp;$B$10))-COUNTIF(INDIRECT("AO"&amp;$D$10):INDIRECT("AO"&amp;$B$10),"")&gt;0,GEOMEAN(INDIRECT("AO"&amp;$D$10):INDIRECT("AO"&amp;$B$10)),"")</f>
        <v/>
      </c>
      <c r="DP61" s="258" t="str">
        <f ca="1">IF(ROWS(INDIRECT("AQ"&amp;$D$10):INDIRECT("AQ"&amp;$B$10))-COUNTIF(INDIRECT("AQ"&amp;$D$10):INDIRECT("AQ"&amp;$B$10),"")&gt;0,GEOMEAN(INDIRECT("AQ"&amp;$D$10):INDIRECT("AQ"&amp;$B$10)),"")</f>
        <v/>
      </c>
      <c r="DQ61" s="258" t="str">
        <f ca="1">IF(ROWS(INDIRECT("AS"&amp;$D$10):INDIRECT("AS"&amp;$B$10))-COUNTIF(INDIRECT("AS"&amp;$D$10):INDIRECT("AS"&amp;$B$10),"")&gt;0,GEOMEAN(INDIRECT("AS"&amp;$D$10):INDIRECT("AS"&amp;$B$10)),"")</f>
        <v/>
      </c>
      <c r="DR61" s="258" t="str">
        <f ca="1">IF(ROWS(INDIRECT("AU"&amp;$D$10):INDIRECT("AU"&amp;$B$10))-COUNTIF(INDIRECT("AU"&amp;$D$10):INDIRECT("AU"&amp;$B$10),"")&gt;0,GEOMEAN(INDIRECT("AU"&amp;$D$10):INDIRECT("AU"&amp;$B$10)),"")</f>
        <v/>
      </c>
      <c r="DS61" s="258" t="str">
        <f ca="1">IF(ROWS(INDIRECT("AW"&amp;$D$10):INDIRECT("AW"&amp;$B$10))-COUNTIF(INDIRECT("AW"&amp;$D$10):INDIRECT("AW"&amp;$B$10),"")&gt;0,GEOMEAN(INDIRECT("AW"&amp;$D$10):INDIRECT("AW"&amp;$B$10)),"")</f>
        <v/>
      </c>
      <c r="DT61" s="258" t="str">
        <f ca="1">IF(ROWS(INDIRECT("AY"&amp;$D$10):INDIRECT("AY"&amp;$B$10))-COUNTIF(INDIRECT("AY"&amp;$D$10):INDIRECT("AY"&amp;$B$10),"")&gt;0,GEOMEAN(INDIRECT("AY"&amp;$D$10):INDIRECT("AY"&amp;$B$10)),"")</f>
        <v/>
      </c>
      <c r="DU61" s="258" t="str">
        <f ca="1">IF(ROWS(INDIRECT("BA"&amp;$D$10):INDIRECT("BA"&amp;$B$10))-COUNTIF(INDIRECT("BA"&amp;$D$10):INDIRECT("BA"&amp;$B$10),"")&gt;0,GEOMEAN(INDIRECT("BA"&amp;$D$10):INDIRECT("BA"&amp;$B$10)),"")</f>
        <v/>
      </c>
      <c r="DV61" s="258" t="str">
        <f ca="1">IF(ROWS(INDIRECT("BC"&amp;$D$10):INDIRECT("BC"&amp;$B$10))-COUNTIF(INDIRECT("BC"&amp;$D$10):INDIRECT("BC"&amp;$B$10),"")&gt;0,GEOMEAN(INDIRECT("BC"&amp;$D$10):INDIRECT("BC"&amp;$B$10)),"")</f>
        <v/>
      </c>
      <c r="DW61" s="258" t="str">
        <f ca="1">IF(ROWS(INDIRECT("BE"&amp;$D$10):INDIRECT("BE"&amp;$B$10))-COUNTIF(INDIRECT("BE"&amp;$D$10):INDIRECT("BE"&amp;$B$10),"")&gt;0,GEOMEAN(INDIRECT("BE"&amp;$D$10):INDIRECT("BE"&amp;$B$10)),"")</f>
        <v/>
      </c>
      <c r="DX61" s="258" t="str">
        <f ca="1">IF(ROWS(INDIRECT("BG"&amp;$D$10):INDIRECT("BG"&amp;$B$10))-COUNTIF(INDIRECT("BG"&amp;$D$10):INDIRECT("BG"&amp;$B$10),"")&gt;0,GEOMEAN(INDIRECT("BG"&amp;$D$10):INDIRECT("BG"&amp;$B$10)),"")</f>
        <v/>
      </c>
      <c r="DY61" s="258" t="str">
        <f ca="1">IF(ROWS(INDIRECT("BI"&amp;$D$10):INDIRECT("BI"&amp;$B$10))-COUNTIF(INDIRECT("BI"&amp;$D$10):INDIRECT("BI"&amp;$B$10),"")&gt;0,GEOMEAN(INDIRECT("BI"&amp;$D$10):INDIRECT("BI"&amp;$B$10)),"")</f>
        <v/>
      </c>
      <c r="DZ61" s="258" t="str">
        <f ca="1">IF(ROWS(INDIRECT("BK"&amp;$D$10):INDIRECT("BK"&amp;$B$10))-COUNTIF(INDIRECT("BK"&amp;$D$10):INDIRECT("BK"&amp;$B$10),"")&gt;0,GEOMEAN(INDIRECT("BK"&amp;$D$10):INDIRECT("BK"&amp;$B$10)),"")</f>
        <v/>
      </c>
      <c r="EA61" s="259" t="str">
        <f ca="1">IF(ROWS(INDIRECT("BM"&amp;$D$10):INDIRECT("BM"&amp;$B$10))-COUNTIF(INDIRECT("BM"&amp;$D$10):INDIRECT("BM"&amp;$B$10),"")&gt;0,GEOMEAN(INDIRECT("BM"&amp;$D$10):INDIRECT("BM"&amp;$B$10)),"")</f>
        <v/>
      </c>
      <c r="EB61" s="176"/>
      <c r="GJ61" s="245"/>
      <c r="GK61" s="260"/>
      <c r="GL61" s="206"/>
      <c r="GM61" s="206"/>
      <c r="GN61" s="206"/>
      <c r="GO61" s="206"/>
      <c r="GP61" s="206"/>
      <c r="GQ61" s="206"/>
      <c r="GR61" s="206"/>
      <c r="GS61" s="206"/>
      <c r="GT61" s="206"/>
      <c r="GU61" s="206"/>
      <c r="GV61" s="206"/>
      <c r="GW61" s="206"/>
      <c r="GX61" s="206"/>
      <c r="GY61" s="206"/>
      <c r="GZ61" s="206"/>
      <c r="HA61" s="206"/>
      <c r="HB61" s="206"/>
      <c r="HC61" s="206"/>
      <c r="HD61" s="206"/>
      <c r="HE61" s="206"/>
      <c r="HF61" s="206"/>
      <c r="HG61" s="206"/>
      <c r="HH61" s="206"/>
      <c r="HI61" s="206"/>
      <c r="HJ61" s="206"/>
      <c r="HK61" s="206"/>
      <c r="HL61" s="206"/>
      <c r="HM61" s="206"/>
      <c r="HN61" s="174"/>
      <c r="HO61" s="174"/>
      <c r="HP61" s="174"/>
      <c r="HQ61" s="174"/>
      <c r="HR61" s="174"/>
      <c r="HS61" s="174"/>
      <c r="HT61" s="174"/>
      <c r="HU61" s="174"/>
      <c r="HV61" s="174"/>
      <c r="HW61" s="174"/>
      <c r="HX61" s="174"/>
      <c r="HY61" s="174"/>
      <c r="HZ61" s="174"/>
      <c r="IA61" s="174"/>
      <c r="IB61" s="174"/>
      <c r="IC61" s="174"/>
      <c r="ID61" s="174"/>
      <c r="IE61" s="174"/>
      <c r="IF61" s="174"/>
      <c r="IG61" s="174"/>
      <c r="IH61" s="174"/>
      <c r="II61" s="174"/>
      <c r="IJ61" s="174"/>
      <c r="IK61" s="174"/>
      <c r="IL61" s="174"/>
      <c r="IM61" s="174"/>
      <c r="IN61" s="174"/>
      <c r="IO61" s="174"/>
      <c r="IP61" s="174"/>
      <c r="IQ61" s="174"/>
      <c r="IR61" s="174"/>
      <c r="IS61" s="174"/>
      <c r="IT61" s="174"/>
      <c r="IU61" s="174"/>
      <c r="IX61" s="174"/>
      <c r="IY61" s="174"/>
      <c r="IZ61" s="174"/>
      <c r="JA61" s="174"/>
      <c r="JB61" s="174"/>
      <c r="JC61" s="174"/>
      <c r="JD61" s="174"/>
      <c r="JE61" s="174"/>
      <c r="JF61" s="174"/>
      <c r="JG61" s="174"/>
      <c r="JH61" s="174"/>
      <c r="JI61" s="174"/>
      <c r="JJ61" s="174"/>
      <c r="JK61" s="174"/>
      <c r="JL61" s="174"/>
      <c r="JM61" s="174"/>
      <c r="JN61" s="174"/>
      <c r="JO61" s="174"/>
      <c r="JP61" s="174"/>
      <c r="JQ61" s="174"/>
      <c r="JR61" s="174"/>
      <c r="JS61" s="174"/>
      <c r="JT61" s="174"/>
      <c r="JU61" s="174"/>
      <c r="JV61" s="174"/>
      <c r="JW61" s="174"/>
      <c r="JX61" s="174"/>
      <c r="JY61" s="174"/>
      <c r="JZ61" s="174"/>
      <c r="KA61" s="174"/>
      <c r="KB61" s="176"/>
      <c r="KC61" s="248" t="s">
        <v>1171</v>
      </c>
      <c r="KD61" s="174">
        <f t="shared" ref="KD61:LF61" si="213">IF(EC18=EC13,1,IF(EC18=EC14,2,IF(EC18=EC15,3,IF(EC18=EC16,4,IF(EC18=EC17,5)))))</f>
        <v>1</v>
      </c>
      <c r="KE61" s="174">
        <f t="shared" si="213"/>
        <v>1</v>
      </c>
      <c r="KF61" s="174">
        <f t="shared" si="213"/>
        <v>1</v>
      </c>
      <c r="KG61" s="174">
        <f t="shared" si="213"/>
        <v>1</v>
      </c>
      <c r="KH61" s="174">
        <f t="shared" si="213"/>
        <v>1</v>
      </c>
      <c r="KI61" s="174">
        <f t="shared" si="213"/>
        <v>1</v>
      </c>
      <c r="KJ61" s="174">
        <f t="shared" si="213"/>
        <v>1</v>
      </c>
      <c r="KK61" s="174">
        <f t="shared" si="213"/>
        <v>1</v>
      </c>
      <c r="KL61" s="174">
        <f t="shared" si="213"/>
        <v>1</v>
      </c>
      <c r="KM61" s="174">
        <f t="shared" si="213"/>
        <v>1</v>
      </c>
      <c r="KN61" s="174">
        <f t="shared" si="213"/>
        <v>1</v>
      </c>
      <c r="KO61" s="174">
        <f t="shared" si="213"/>
        <v>1</v>
      </c>
      <c r="KP61" s="174">
        <f t="shared" si="213"/>
        <v>1</v>
      </c>
      <c r="KQ61" s="174">
        <f t="shared" si="213"/>
        <v>1</v>
      </c>
      <c r="KR61" s="174">
        <f t="shared" si="213"/>
        <v>1</v>
      </c>
      <c r="KS61" s="174">
        <f t="shared" si="213"/>
        <v>1</v>
      </c>
      <c r="KT61" s="174">
        <f t="shared" si="213"/>
        <v>1</v>
      </c>
      <c r="KU61" s="174">
        <f t="shared" si="213"/>
        <v>1</v>
      </c>
      <c r="KV61" s="174">
        <f t="shared" si="213"/>
        <v>1</v>
      </c>
      <c r="KW61" s="174">
        <f t="shared" si="213"/>
        <v>1</v>
      </c>
      <c r="KX61" s="174">
        <f t="shared" si="213"/>
        <v>1</v>
      </c>
      <c r="KY61" s="174">
        <f t="shared" si="213"/>
        <v>1</v>
      </c>
      <c r="KZ61" s="174">
        <f t="shared" si="213"/>
        <v>1</v>
      </c>
      <c r="LA61" s="174">
        <f t="shared" si="213"/>
        <v>1</v>
      </c>
      <c r="LB61" s="174">
        <f t="shared" si="213"/>
        <v>1</v>
      </c>
      <c r="LC61" s="174">
        <f t="shared" si="213"/>
        <v>1</v>
      </c>
      <c r="LD61" s="174">
        <f t="shared" si="213"/>
        <v>1</v>
      </c>
      <c r="LE61" s="174">
        <f t="shared" si="213"/>
        <v>1</v>
      </c>
      <c r="LF61" s="174">
        <f t="shared" si="213"/>
        <v>1</v>
      </c>
    </row>
    <row r="62" spans="1:318" s="172" customFormat="1" ht="11.25" customHeight="1" thickTop="1" thickBot="1" x14ac:dyDescent="0.25">
      <c r="A62" s="35"/>
      <c r="B62" s="439" t="s">
        <v>1131</v>
      </c>
      <c r="C62" s="439"/>
      <c r="D62" s="439"/>
      <c r="E62" s="439"/>
      <c r="F62" s="440"/>
      <c r="G62" s="65" t="str">
        <f ca="1">IF(ROWS(INDIRECT("G"&amp;$D$10):INDIRECT("G"&amp;$B$10))-COUNTIF(INDIRECT("G"&amp;$D$10):INDIRECT("G"&amp;$B$10),"")&gt;0,MAX(INDIRECT("G"&amp;$D$10):INDIRECT("G"&amp;$B$10)),"")</f>
        <v/>
      </c>
      <c r="H62" s="66" t="str">
        <f ca="1">IF($BU$55&lt;&gt;"",IF(OR('Outfall 1 Limits'!$AX$16="C1",'Outfall 1 Limits'!$AX$16="L"),IF($IX$56="Y","&lt;",""),""),"")</f>
        <v/>
      </c>
      <c r="I62" s="66" t="str">
        <f ca="1">IF(AND($BU$55&lt;&gt;"",$IX$55&lt;&gt;""),IF(OR('Outfall 1 Limits'!$AX$16="C1",'Outfall 1 Limits'!$AX$16="L"),$IX$55),"")</f>
        <v/>
      </c>
      <c r="J62" s="116" t="str">
        <f ca="1">IF($BV$55&lt;&gt;"",IF(OR('Outfall 1 Limits'!$AX$20="C1",'Outfall 1 Limits'!$AX$20="L"),IF($IY$56="Y","&lt;",""),""),"")</f>
        <v/>
      </c>
      <c r="K62" s="66" t="str">
        <f ca="1">IF(AND($BV$55&lt;&gt;"",$IY$55&lt;&gt;""),IF(OR('Outfall 1 Limits'!$AX$20="C1",'Outfall 1 Limits'!$AX$20="L"),$IY$55),"")</f>
        <v/>
      </c>
      <c r="L62" s="66" t="str">
        <f ca="1">IF($BW$55&lt;&gt;"",IF(OR('Outfall 1 Limits'!$AX$24="C1",'Outfall 1 Limits'!$AX$24="L"),IF($IZ$56="Y","&lt;",""),""),"")</f>
        <v/>
      </c>
      <c r="M62" s="66" t="str">
        <f ca="1">IF(AND($BW$55&lt;&gt;"",$IZ$55&lt;&gt;""),IF(OR('Outfall 1 Limits'!$AX$24="C1",'Outfall 1 Limits'!$AX$24="L"),$IZ$55),"")</f>
        <v/>
      </c>
      <c r="N62" s="66" t="str">
        <f ca="1">IF($BX$55&lt;&gt;"",IF(OR('Outfall 1 Limits'!$AX$28="C1",'Outfall 1 Limits'!$AX$28="L"),IF($JA$56="Y","&lt;",""),""),"")</f>
        <v/>
      </c>
      <c r="O62" s="66" t="str">
        <f ca="1">IF(AND($BX$55&lt;&gt;"",$JA$55&lt;&gt;""),IF(OR('Outfall 1 Limits'!$AX$28="C1",'Outfall 1 Limits'!$AX$28="L"),$JA$55),"")</f>
        <v/>
      </c>
      <c r="P62" s="66" t="str">
        <f ca="1">IF($BY$55&lt;&gt;"",IF(OR('Outfall 1 Limits'!$AX$32="C1",'Outfall 1 Limits'!$AX$32="L"),IF($JB$56="Y","&lt;",""),""),"")</f>
        <v/>
      </c>
      <c r="Q62" s="66" t="str">
        <f ca="1">IF(AND($BY$55&lt;&gt;"",$JB$55&lt;&gt;""),IF(OR('Outfall 1 Limits'!$AX$32="C1",'Outfall 1 Limits'!$AX$32="L"),$JB$55),"")</f>
        <v/>
      </c>
      <c r="R62" s="66" t="str">
        <f ca="1">IF($BZ$55&lt;&gt;"",IF(OR('Outfall 1 Limits'!$AX$36="C1",'Outfall 1 Limits'!$AX$36="L"),IF($JC$56="Y","&lt;",""),""),"")</f>
        <v/>
      </c>
      <c r="S62" s="66" t="str">
        <f ca="1">IF(AND($BZ$55&lt;&gt;"",$JC$55&lt;&gt;""),IF(OR('Outfall 1 Limits'!$AX$36="C1",'Outfall 1 Limits'!$AX$36="L"),$JC$55),"")</f>
        <v/>
      </c>
      <c r="T62" s="66" t="str">
        <f ca="1">IF($CA$55&lt;&gt;"",IF(OR('Outfall 1 Limits'!$AX$40="C1",'Outfall 1 Limits'!$AX$40="L"),IF($JD$56="Y","&lt;",""),""),"")</f>
        <v/>
      </c>
      <c r="U62" s="66" t="str">
        <f ca="1">IF(AND($CA$55&lt;&gt;"",$JD$55&lt;&gt;""),IF(OR('Outfall 1 Limits'!$AX$40="C1",'Outfall 1 Limits'!$AX$40="L"),$JD$55),"")</f>
        <v/>
      </c>
      <c r="V62" s="66" t="str">
        <f ca="1">IF($CB$55&lt;&gt;"",IF(OR('Outfall 1 Limits'!$AX$44="C1",'Outfall 1 Limits'!$AX$44="L"),IF($JE$56="Y","&lt;",""),""),"")</f>
        <v/>
      </c>
      <c r="W62" s="66" t="str">
        <f ca="1">IF(AND($CB$55&lt;&gt;"",$JE$55&lt;&gt;""),IF(OR('Outfall 1 Limits'!$AX$44="C1",'Outfall 1 Limits'!$AX$44="L"),$JE$55),"")</f>
        <v/>
      </c>
      <c r="X62" s="280" t="str">
        <f ca="1">IF($CC$55&lt;&gt;"",IF(OR('Outfall 1 Limits'!$AX$48="C1",'Outfall 1 Limits'!$AX$48="L"),IF($JF$56="Y","&lt;",""),""),"")</f>
        <v/>
      </c>
      <c r="Y62" s="66" t="str">
        <f ca="1">IF(AND($CC$55&lt;&gt;"",$JF$55&lt;&gt;""),IF(OR('Outfall 1 Limits'!$AX$48="C1",'Outfall 1 Limits'!$AX$48="L"),$JF$55),"")</f>
        <v/>
      </c>
      <c r="Z62" s="66" t="str">
        <f ca="1">IF($CD$55&lt;&gt;"",IF(OR('Outfall 1 Limits'!$AX$52="C1",'Outfall 1 Limits'!$AX$52="L"),IF($JG$56="Y","&lt;",""),""),"")</f>
        <v/>
      </c>
      <c r="AA62" s="66" t="str">
        <f ca="1">IF(AND($CD$55&lt;&gt;"",$JG$55&lt;&gt;""),IF(OR('Outfall 1 Limits'!$AX$52="C1",'Outfall 1 Limits'!$AX$52="L"),$JG$55),"")</f>
        <v/>
      </c>
      <c r="AB62" s="66" t="str">
        <f ca="1">IF($CE$55&lt;&gt;"",IF(OR('Outfall 1 Limits'!$AX$56="C1",'Outfall 1 Limits'!$AX$56="L"),IF($JH$56="Y","&lt;",""),""),"")</f>
        <v/>
      </c>
      <c r="AC62" s="66" t="str">
        <f ca="1">IF(AND($CE$55&lt;&gt;"",$JH$55&lt;&gt;""),IF(OR('Outfall 1 Limits'!$AX$56="C1",'Outfall 1 Limits'!$AX$56="L"),$JH$55),"")</f>
        <v/>
      </c>
      <c r="AD62" s="66" t="str">
        <f ca="1">IF($CF$55&lt;&gt;"",IF(OR('Outfall 1 Limits'!$AX$60="C1",'Outfall 1 Limits'!$AX$60="L"),IF($JI$56="Y","&lt;",""),""),"")</f>
        <v/>
      </c>
      <c r="AE62" s="66" t="str">
        <f ca="1">IF(AND($CF$55&lt;&gt;"",$JI$55&lt;&gt;""),IF(OR('Outfall 1 Limits'!$AX$60="C1",'Outfall 1 Limits'!$AX$60="L"),$JI$55),"")</f>
        <v/>
      </c>
      <c r="AF62" s="66" t="str">
        <f ca="1">IF($CG$55&lt;&gt;"",IF(OR('Outfall 1 Limits'!$AX$64="C1",'Outfall 1 Limits'!$AX$64="L"),IF($JJ$56="Y","&lt;",""),""),"")</f>
        <v/>
      </c>
      <c r="AG62" s="66" t="str">
        <f ca="1">IF(AND($CG$55&lt;&gt;"",$JJ$55&lt;&gt;""),IF(OR('Outfall 1 Limits'!$AX$64="C1",'Outfall 1 Limits'!$AX$64="L"),$JJ$55),"")</f>
        <v/>
      </c>
      <c r="AH62" s="66" t="str">
        <f ca="1">IF($CH$55&lt;&gt;"",IF(OR('Outfall 1 Limits'!$AX$68="C1",'Outfall 1 Limits'!$AX$68="L"),IF($JK$56="Y","&lt;",""),""),"")</f>
        <v/>
      </c>
      <c r="AI62" s="66" t="str">
        <f ca="1">IF(AND($CH$55&lt;&gt;"",$JK$55&lt;&gt;""),IF(OR('Outfall 1 Limits'!$AX$68="C1",'Outfall 1 Limits'!$AX$68="L"),$JK$55),"")</f>
        <v/>
      </c>
      <c r="AJ62" s="66" t="str">
        <f ca="1">IF($CI$55&lt;&gt;"",IF(OR('Outfall 1 Limits'!$AX$72="C1",'Outfall 1 Limits'!$AX$72="L"),IF($JL$56="Y","&lt;",""),""),"")</f>
        <v/>
      </c>
      <c r="AK62" s="66" t="str">
        <f ca="1">IF(AND($CI$55&lt;&gt;"",$JL$55&lt;&gt;""),IF(OR('Outfall 1 Limits'!$AX$72="C1",'Outfall 1 Limits'!$AX$72="L"),$JL$55),"")</f>
        <v/>
      </c>
      <c r="AL62" s="66" t="str">
        <f ca="1">IF($CJ$55&lt;&gt;"",IF(OR('Outfall 1 Limits'!$AX$76="C1",'Outfall 1 Limits'!$AX$76="L"),IF($JM$56="Y","&lt;",""),""),"")</f>
        <v/>
      </c>
      <c r="AM62" s="66" t="str">
        <f ca="1">IF(AND($CJ$55&lt;&gt;"",$JM$55&lt;&gt;""),IF(OR('Outfall 1 Limits'!$AX$76="C1",'Outfall 1 Limits'!$AX$76="L"),$JM$55),"")</f>
        <v/>
      </c>
      <c r="AN62" s="146" t="str">
        <f ca="1">IF($CK$55&lt;&gt;"",IF(OR('Outfall 1 Limits'!$AX$80="C1",'Outfall 1 Limits'!$AX$80="L"),IF($JN$56="Y","&lt;",""),""),"")</f>
        <v/>
      </c>
      <c r="AO62" s="66" t="str">
        <f ca="1">IF(AND($CK$55&lt;&gt;"",$JN$55&lt;&gt;""),IF(OR('Outfall 1 Limits'!$AX$80="C1",'Outfall 1 Limits'!$AX$80="L"),$JN$55),"")</f>
        <v/>
      </c>
      <c r="AP62" s="146" t="str">
        <f ca="1">IF($CL$55&lt;&gt;"",IF(OR('Outfall 1 Limits'!$AX$84="C1",'Outfall 1 Limits'!$AX$84="L"),IF($JO$56="Y","&lt;",""),""),"")</f>
        <v/>
      </c>
      <c r="AQ62" s="66" t="str">
        <f ca="1">IF(AND($CL$55&lt;&gt;"",$JO$55&lt;&gt;""),IF(OR('Outfall 1 Limits'!$AX$84="C1",'Outfall 1 Limits'!$AX$84="L"),$JO$55),"")</f>
        <v/>
      </c>
      <c r="AR62" s="146" t="str">
        <f ca="1">IF($CM$55&lt;&gt;"",IF(OR('Outfall 1 Limits'!$AX$88="C1",'Outfall 1 Limits'!$AX$88="L"),IF($JP$56="Y","&lt;",""),""),"")</f>
        <v/>
      </c>
      <c r="AS62" s="66" t="str">
        <f ca="1">IF(AND($CM$55&lt;&gt;"",$JP$55&lt;&gt;""),IF(OR('Outfall 1 Limits'!$AX$88="C1",'Outfall 1 Limits'!$AX$88="L"),$JP$55),"")</f>
        <v/>
      </c>
      <c r="AT62" s="146" t="str">
        <f ca="1">IF($CN$55&lt;&gt;"",IF(OR('Outfall 1 Limits'!$AX$92="C1",'Outfall 1 Limits'!$AX$92="L"),IF($JQ$56="Y","&lt;",""),""),"")</f>
        <v/>
      </c>
      <c r="AU62" s="66" t="str">
        <f ca="1">IF(AND($CN$55&lt;&gt;"",$JQ$55&lt;&gt;""),IF(OR('Outfall 1 Limits'!$AX$92="C1",'Outfall 1 Limits'!$AX$92="L"),$JQ$55),"")</f>
        <v/>
      </c>
      <c r="AV62" s="146" t="str">
        <f ca="1">IF($CO$55&lt;&gt;"",IF(OR('Outfall 1 Limits'!$AX$96="C1",'Outfall 1 Limits'!$AX$96="L"),IF($JR$56="Y","&lt;",""),""),"")</f>
        <v/>
      </c>
      <c r="AW62" s="66" t="str">
        <f ca="1">IF(AND($CO$55&lt;&gt;"",$JR$55&lt;&gt;""),IF(OR('Outfall 1 Limits'!$AX$96="C1",'Outfall 1 Limits'!$AX$96="L"),$JR$55),"")</f>
        <v/>
      </c>
      <c r="AX62" s="146" t="str">
        <f ca="1">IF($CP$55&lt;&gt;"",IF(OR('Outfall 1 Limits'!$AX$100="C1",'Outfall 1 Limits'!$AX$100="L"),IF($JS$56="Y","&lt;",""),""),"")</f>
        <v/>
      </c>
      <c r="AY62" s="66" t="str">
        <f ca="1">IF(AND($CP$55&lt;&gt;"",$JS$55&lt;&gt;""),IF(OR('Outfall 1 Limits'!$AX$100="C1",'Outfall 1 Limits'!$AX$100="L"),$JS$55),"")</f>
        <v/>
      </c>
      <c r="AZ62" s="146" t="str">
        <f ca="1">IF($CQ$55&lt;&gt;"",IF(OR('Outfall 1 Limits'!$AX$104="C1",'Outfall 1 Limits'!$AX$104="L"),IF($JT$56="Y","&lt;",""),""),"")</f>
        <v/>
      </c>
      <c r="BA62" s="66" t="str">
        <f ca="1">IF(AND($CQ$55&lt;&gt;"",$JT$55&lt;&gt;""),IF(OR('Outfall 1 Limits'!$AX$104="C1",'Outfall 1 Limits'!$AX$104="L"),$JT$55),"")</f>
        <v/>
      </c>
      <c r="BB62" s="146" t="str">
        <f ca="1">IF($CR$55&lt;&gt;"",IF(OR('Outfall 1 Limits'!$AX$108="C1",'Outfall 1 Limits'!$AX$108="L"),IF($JU$56="Y","&lt;",""),""),"")</f>
        <v/>
      </c>
      <c r="BC62" s="66" t="str">
        <f ca="1">IF(AND($CR$55&lt;&gt;"",$JU$55&lt;&gt;""),IF(OR('Outfall 1 Limits'!$AX$108="C1",'Outfall 1 Limits'!$AX$108="L"),$JU$55),"")</f>
        <v/>
      </c>
      <c r="BD62" s="146" t="str">
        <f ca="1">IF($CS$55&lt;&gt;"",IF(OR('Outfall 1 Limits'!$AX$112="C1",'Outfall 1 Limits'!$AX$112="L"),IF($JV$56="Y","&lt;",""),""),"")</f>
        <v/>
      </c>
      <c r="BE62" s="66" t="str">
        <f ca="1">IF(AND($CS$55&lt;&gt;"",$JV$55&lt;&gt;""),IF(OR('Outfall 1 Limits'!$AX$112="C1",'Outfall 1 Limits'!$AX$112="L"),$JV$55),"")</f>
        <v/>
      </c>
      <c r="BF62" s="146" t="str">
        <f ca="1">IF($CT$55&lt;&gt;"",IF(OR('Outfall 1 Limits'!$AX$116="C1",'Outfall 1 Limits'!$AX$116="L"),IF($JW$56="Y","&lt;",""),""),"")</f>
        <v/>
      </c>
      <c r="BG62" s="66" t="str">
        <f ca="1">IF(AND($CT$55&lt;&gt;"",$JW$55&lt;&gt;""),IF(OR('Outfall 1 Limits'!$AX$116="C1",'Outfall 1 Limits'!$AX$116="L"),$JW$55),"")</f>
        <v/>
      </c>
      <c r="BH62" s="146" t="str">
        <f ca="1">IF($CU$55&lt;&gt;"",IF(OR('Outfall 1 Limits'!$AX$120="C1",'Outfall 1 Limits'!$AX$120="L"),IF($JX$56="Y","&lt;",""),""),"")</f>
        <v/>
      </c>
      <c r="BI62" s="66" t="str">
        <f ca="1">IF(AND($CU$55&lt;&gt;"",$JX$55&lt;&gt;""),IF(OR('Outfall 1 Limits'!$AX$120="C1",'Outfall 1 Limits'!$AX$120="L"),$JX$55),"")</f>
        <v/>
      </c>
      <c r="BJ62" s="146" t="str">
        <f ca="1">IF($CV$55&lt;&gt;"",IF(OR('Outfall 1 Limits'!$AX$124="C1",'Outfall 1 Limits'!$AX$124="L"),IF($JY$56="Y","&lt;",""),""),"")</f>
        <v/>
      </c>
      <c r="BK62" s="66" t="str">
        <f ca="1">IF(AND($CV$55&lt;&gt;"",$JY$55&lt;&gt;""),IF(OR('Outfall 1 Limits'!$AX$124="C1",'Outfall 1 Limits'!$AX$124="L"),$JY$55),"")</f>
        <v/>
      </c>
      <c r="BL62" s="146" t="str">
        <f ca="1">IF($CW$55&lt;&gt;"",IF(OR('Outfall 1 Limits'!$AX$128="C1",'Outfall 1 Limits'!$AX$128="L"),IF($JZ$56="Y","&lt;",""),""),"")</f>
        <v/>
      </c>
      <c r="BM62" s="119" t="str">
        <f ca="1">IF(AND($CW$55&lt;&gt;"",$JZ$55&lt;&gt;""),IF(OR('Outfall 1 Limits'!$AX$128="C1",'Outfall 1 Limits'!$AX$128="L"),$JZ$55),"")</f>
        <v/>
      </c>
      <c r="BO62" s="174"/>
      <c r="BP62" s="174">
        <v>2081</v>
      </c>
      <c r="BQ62" s="179" t="s">
        <v>1158</v>
      </c>
      <c r="BR62" s="174"/>
      <c r="BS62" s="174"/>
      <c r="BT62" s="242" t="s">
        <v>1136</v>
      </c>
      <c r="BU62" s="202" t="str">
        <f>IF(BU61&lt;&gt;0,IF(INT(BU61)=BU61,"N","Y"),"")</f>
        <v/>
      </c>
      <c r="BV62" s="196" t="str">
        <f t="shared" ref="BV62:CW62" si="214">IF(BV61&lt;&gt;0,IF(INT(BV61)=BV61,"N","Y"),"")</f>
        <v/>
      </c>
      <c r="BW62" s="196" t="str">
        <f t="shared" si="214"/>
        <v/>
      </c>
      <c r="BX62" s="196" t="str">
        <f t="shared" si="214"/>
        <v/>
      </c>
      <c r="BY62" s="196" t="str">
        <f t="shared" si="214"/>
        <v/>
      </c>
      <c r="BZ62" s="196" t="str">
        <f t="shared" si="214"/>
        <v/>
      </c>
      <c r="CA62" s="196" t="str">
        <f t="shared" si="214"/>
        <v/>
      </c>
      <c r="CB62" s="196" t="str">
        <f t="shared" si="214"/>
        <v/>
      </c>
      <c r="CC62" s="196" t="str">
        <f t="shared" si="214"/>
        <v/>
      </c>
      <c r="CD62" s="196" t="str">
        <f t="shared" si="214"/>
        <v/>
      </c>
      <c r="CE62" s="196" t="str">
        <f t="shared" si="214"/>
        <v/>
      </c>
      <c r="CF62" s="196" t="str">
        <f t="shared" si="214"/>
        <v/>
      </c>
      <c r="CG62" s="196" t="str">
        <f t="shared" si="214"/>
        <v/>
      </c>
      <c r="CH62" s="196" t="str">
        <f t="shared" si="214"/>
        <v/>
      </c>
      <c r="CI62" s="196" t="str">
        <f t="shared" si="214"/>
        <v/>
      </c>
      <c r="CJ62" s="196" t="str">
        <f t="shared" si="214"/>
        <v/>
      </c>
      <c r="CK62" s="196" t="str">
        <f t="shared" si="214"/>
        <v/>
      </c>
      <c r="CL62" s="196" t="str">
        <f t="shared" si="214"/>
        <v/>
      </c>
      <c r="CM62" s="196" t="str">
        <f t="shared" si="214"/>
        <v/>
      </c>
      <c r="CN62" s="196" t="str">
        <f t="shared" si="214"/>
        <v/>
      </c>
      <c r="CO62" s="196" t="str">
        <f t="shared" si="214"/>
        <v/>
      </c>
      <c r="CP62" s="196" t="str">
        <f t="shared" si="214"/>
        <v/>
      </c>
      <c r="CQ62" s="196" t="str">
        <f t="shared" si="214"/>
        <v/>
      </c>
      <c r="CR62" s="196" t="str">
        <f t="shared" si="214"/>
        <v/>
      </c>
      <c r="CS62" s="196" t="str">
        <f t="shared" si="214"/>
        <v/>
      </c>
      <c r="CT62" s="196" t="str">
        <f t="shared" si="214"/>
        <v/>
      </c>
      <c r="CU62" s="196" t="str">
        <f t="shared" si="214"/>
        <v/>
      </c>
      <c r="CV62" s="196" t="str">
        <f t="shared" si="214"/>
        <v/>
      </c>
      <c r="CW62" s="210" t="str">
        <f t="shared" si="214"/>
        <v/>
      </c>
      <c r="CY62" s="175"/>
      <c r="CZ62" s="175"/>
      <c r="DA62" s="175"/>
      <c r="DB62" s="175"/>
      <c r="DC62" s="175"/>
      <c r="DD62" s="175"/>
      <c r="DE62" s="175"/>
      <c r="DF62" s="175"/>
      <c r="DG62" s="175"/>
      <c r="DH62" s="175"/>
      <c r="DI62" s="175"/>
      <c r="DJ62" s="175"/>
      <c r="DK62" s="175"/>
      <c r="DL62" s="175"/>
      <c r="DM62" s="175"/>
      <c r="DN62" s="175"/>
      <c r="DO62" s="175"/>
      <c r="DP62" s="175"/>
      <c r="DQ62" s="175"/>
      <c r="DR62" s="175"/>
      <c r="DS62" s="175"/>
      <c r="DT62" s="175"/>
      <c r="DU62" s="175"/>
      <c r="DV62" s="175"/>
      <c r="DW62" s="175"/>
      <c r="DX62" s="175"/>
      <c r="DY62" s="175"/>
      <c r="DZ62" s="175"/>
      <c r="EA62" s="175"/>
      <c r="EB62" s="176"/>
      <c r="GJ62" s="245"/>
      <c r="GK62" s="206"/>
      <c r="GL62" s="206"/>
      <c r="GM62" s="206"/>
      <c r="GN62" s="206"/>
      <c r="GO62" s="206"/>
      <c r="GP62" s="206"/>
      <c r="GQ62" s="206"/>
      <c r="GR62" s="206"/>
      <c r="GS62" s="206"/>
      <c r="GT62" s="206"/>
      <c r="GU62" s="206"/>
      <c r="GV62" s="206"/>
      <c r="GW62" s="206"/>
      <c r="GX62" s="206"/>
      <c r="GY62" s="206"/>
      <c r="GZ62" s="206"/>
      <c r="HA62" s="206"/>
      <c r="HB62" s="206"/>
      <c r="HC62" s="206"/>
      <c r="HD62" s="206"/>
      <c r="HE62" s="206"/>
      <c r="HF62" s="206"/>
      <c r="HG62" s="206"/>
      <c r="HH62" s="206"/>
      <c r="HI62" s="206"/>
      <c r="HJ62" s="206"/>
      <c r="HK62" s="206"/>
      <c r="HL62" s="206"/>
      <c r="HM62" s="206"/>
      <c r="HN62" s="174"/>
      <c r="HO62" s="174"/>
      <c r="HP62" s="174"/>
      <c r="HQ62" s="174"/>
      <c r="HR62" s="174"/>
      <c r="HS62" s="174"/>
      <c r="HT62" s="174"/>
      <c r="HU62" s="174"/>
      <c r="HV62" s="174"/>
      <c r="HW62" s="174"/>
      <c r="HX62" s="174"/>
      <c r="HY62" s="174"/>
      <c r="HZ62" s="174"/>
      <c r="IA62" s="174"/>
      <c r="IB62" s="174"/>
      <c r="IC62" s="174"/>
      <c r="ID62" s="174"/>
      <c r="IE62" s="174"/>
      <c r="IF62" s="174"/>
      <c r="IG62" s="174"/>
      <c r="IH62" s="174"/>
      <c r="II62" s="174"/>
      <c r="IJ62" s="174"/>
      <c r="IK62" s="174"/>
      <c r="IL62" s="174"/>
      <c r="IM62" s="174"/>
      <c r="IN62" s="174"/>
      <c r="IO62" s="174"/>
      <c r="IP62" s="174"/>
      <c r="IQ62" s="174"/>
      <c r="IR62" s="174"/>
      <c r="IS62" s="174"/>
      <c r="IT62" s="174"/>
      <c r="IU62" s="174"/>
      <c r="IX62" s="174"/>
      <c r="IY62" s="174"/>
      <c r="IZ62" s="174"/>
      <c r="JA62" s="174"/>
      <c r="JB62" s="174"/>
      <c r="JC62" s="174"/>
      <c r="JD62" s="174"/>
      <c r="JE62" s="174"/>
      <c r="JF62" s="174"/>
      <c r="JG62" s="174"/>
      <c r="JH62" s="174"/>
      <c r="JI62" s="174"/>
      <c r="JJ62" s="174"/>
      <c r="JK62" s="174"/>
      <c r="JL62" s="174"/>
      <c r="JM62" s="174"/>
      <c r="JN62" s="174"/>
      <c r="JO62" s="174"/>
      <c r="JP62" s="174"/>
      <c r="JQ62" s="174"/>
      <c r="JR62" s="174"/>
      <c r="JS62" s="174"/>
      <c r="JT62" s="174"/>
      <c r="JU62" s="174"/>
      <c r="JV62" s="174"/>
      <c r="JW62" s="174"/>
      <c r="JX62" s="174"/>
      <c r="JY62" s="174"/>
      <c r="JZ62" s="174"/>
      <c r="KA62" s="174"/>
      <c r="KB62" s="176"/>
      <c r="KC62" s="248" t="s">
        <v>1186</v>
      </c>
      <c r="KD62" s="174">
        <f t="shared" ref="KD62:LF62" si="215">IF(KD61=1,COUNTIF(KD17:KD23,"A"),IF(KD61=2,COUNTIF(KD24:KD30,"A"),IF(KD61=3,COUNTIF(KD31:KD37,"A"),IF(KD61=4,COUNTIF(KD38:KD44,"A"),COUNTIF(KD45:KD51,"A")))))</f>
        <v>0</v>
      </c>
      <c r="KE62" s="174">
        <f t="shared" si="215"/>
        <v>0</v>
      </c>
      <c r="KF62" s="174">
        <f t="shared" si="215"/>
        <v>0</v>
      </c>
      <c r="KG62" s="174">
        <f t="shared" si="215"/>
        <v>0</v>
      </c>
      <c r="KH62" s="174">
        <f t="shared" si="215"/>
        <v>0</v>
      </c>
      <c r="KI62" s="174">
        <f t="shared" si="215"/>
        <v>0</v>
      </c>
      <c r="KJ62" s="174">
        <f t="shared" si="215"/>
        <v>0</v>
      </c>
      <c r="KK62" s="174">
        <f t="shared" si="215"/>
        <v>0</v>
      </c>
      <c r="KL62" s="174">
        <f t="shared" si="215"/>
        <v>0</v>
      </c>
      <c r="KM62" s="174">
        <f t="shared" si="215"/>
        <v>0</v>
      </c>
      <c r="KN62" s="174">
        <f t="shared" si="215"/>
        <v>0</v>
      </c>
      <c r="KO62" s="174">
        <f t="shared" si="215"/>
        <v>0</v>
      </c>
      <c r="KP62" s="174">
        <f t="shared" si="215"/>
        <v>0</v>
      </c>
      <c r="KQ62" s="174">
        <f t="shared" si="215"/>
        <v>0</v>
      </c>
      <c r="KR62" s="174">
        <f t="shared" si="215"/>
        <v>0</v>
      </c>
      <c r="KS62" s="174">
        <f t="shared" si="215"/>
        <v>0</v>
      </c>
      <c r="KT62" s="174">
        <f t="shared" si="215"/>
        <v>0</v>
      </c>
      <c r="KU62" s="174">
        <f t="shared" si="215"/>
        <v>0</v>
      </c>
      <c r="KV62" s="174">
        <f t="shared" si="215"/>
        <v>0</v>
      </c>
      <c r="KW62" s="174">
        <f t="shared" si="215"/>
        <v>0</v>
      </c>
      <c r="KX62" s="174">
        <f t="shared" si="215"/>
        <v>0</v>
      </c>
      <c r="KY62" s="174">
        <f t="shared" si="215"/>
        <v>0</v>
      </c>
      <c r="KZ62" s="174">
        <f t="shared" si="215"/>
        <v>0</v>
      </c>
      <c r="LA62" s="174">
        <f t="shared" si="215"/>
        <v>0</v>
      </c>
      <c r="LB62" s="174">
        <f t="shared" si="215"/>
        <v>0</v>
      </c>
      <c r="LC62" s="174">
        <f t="shared" si="215"/>
        <v>0</v>
      </c>
      <c r="LD62" s="174">
        <f t="shared" si="215"/>
        <v>0</v>
      </c>
      <c r="LE62" s="174">
        <f t="shared" si="215"/>
        <v>0</v>
      </c>
      <c r="LF62" s="174">
        <f t="shared" si="215"/>
        <v>0</v>
      </c>
    </row>
    <row r="63" spans="1:318" s="172" customFormat="1" ht="11.25" customHeight="1" thickTop="1" x14ac:dyDescent="0.2">
      <c r="A63" s="35"/>
      <c r="B63" s="88"/>
      <c r="C63" s="7"/>
      <c r="D63" s="7"/>
      <c r="E63" s="89"/>
      <c r="F63" s="89"/>
      <c r="G63" s="90"/>
      <c r="H63" s="90"/>
      <c r="I63" s="90"/>
      <c r="J63" s="90"/>
      <c r="K63" s="90"/>
      <c r="L63" s="90"/>
      <c r="M63" s="90"/>
      <c r="N63" s="90"/>
      <c r="O63" s="90"/>
      <c r="P63" s="90"/>
      <c r="Q63" s="90"/>
      <c r="R63" s="90"/>
      <c r="S63" s="90"/>
      <c r="T63" s="90"/>
      <c r="U63" s="90"/>
      <c r="V63" s="90"/>
      <c r="W63" s="90"/>
      <c r="X63" s="281"/>
      <c r="Y63" s="90"/>
      <c r="Z63" s="90"/>
      <c r="AA63" s="90"/>
      <c r="AB63" s="91"/>
      <c r="AC63" s="91"/>
      <c r="AD63" s="91"/>
      <c r="AE63" s="91"/>
      <c r="AF63" s="91"/>
      <c r="AG63" s="91"/>
      <c r="AH63" s="91"/>
      <c r="AI63" s="91"/>
      <c r="AJ63" s="91"/>
      <c r="AK63" s="91"/>
      <c r="AL63" s="3"/>
      <c r="AM63" s="7"/>
      <c r="AN63" s="102"/>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103"/>
      <c r="BO63" s="174"/>
      <c r="BP63" s="174">
        <v>2082</v>
      </c>
      <c r="BQ63" s="179" t="s">
        <v>76</v>
      </c>
      <c r="BR63" s="174"/>
      <c r="BS63" s="174"/>
      <c r="BT63" s="242" t="s">
        <v>836</v>
      </c>
      <c r="BU63" s="202">
        <f>SUM(BU38:BU44)</f>
        <v>0</v>
      </c>
      <c r="BV63" s="196">
        <f>SUM(BV38:BV44)</f>
        <v>0</v>
      </c>
      <c r="BW63" s="196">
        <f t="shared" ref="BW63:CW63" si="216">SUM(BW38:BW44)</f>
        <v>0</v>
      </c>
      <c r="BX63" s="196">
        <f t="shared" si="216"/>
        <v>0</v>
      </c>
      <c r="BY63" s="196">
        <f t="shared" si="216"/>
        <v>0</v>
      </c>
      <c r="BZ63" s="196">
        <f t="shared" si="216"/>
        <v>0</v>
      </c>
      <c r="CA63" s="196">
        <f t="shared" si="216"/>
        <v>0</v>
      </c>
      <c r="CB63" s="196">
        <f t="shared" si="216"/>
        <v>0</v>
      </c>
      <c r="CC63" s="196">
        <f t="shared" si="216"/>
        <v>0</v>
      </c>
      <c r="CD63" s="196">
        <f t="shared" si="216"/>
        <v>0</v>
      </c>
      <c r="CE63" s="196">
        <f t="shared" si="216"/>
        <v>0</v>
      </c>
      <c r="CF63" s="196">
        <f t="shared" si="216"/>
        <v>0</v>
      </c>
      <c r="CG63" s="196">
        <f t="shared" si="216"/>
        <v>0</v>
      </c>
      <c r="CH63" s="196">
        <f t="shared" si="216"/>
        <v>0</v>
      </c>
      <c r="CI63" s="196">
        <f t="shared" si="216"/>
        <v>0</v>
      </c>
      <c r="CJ63" s="196">
        <f t="shared" si="216"/>
        <v>0</v>
      </c>
      <c r="CK63" s="196">
        <f t="shared" si="216"/>
        <v>0</v>
      </c>
      <c r="CL63" s="196">
        <f t="shared" si="216"/>
        <v>0</v>
      </c>
      <c r="CM63" s="196">
        <f t="shared" si="216"/>
        <v>0</v>
      </c>
      <c r="CN63" s="196">
        <f t="shared" si="216"/>
        <v>0</v>
      </c>
      <c r="CO63" s="196">
        <f t="shared" si="216"/>
        <v>0</v>
      </c>
      <c r="CP63" s="196">
        <f t="shared" si="216"/>
        <v>0</v>
      </c>
      <c r="CQ63" s="196">
        <f t="shared" si="216"/>
        <v>0</v>
      </c>
      <c r="CR63" s="196">
        <f t="shared" si="216"/>
        <v>0</v>
      </c>
      <c r="CS63" s="196">
        <f t="shared" si="216"/>
        <v>0</v>
      </c>
      <c r="CT63" s="196">
        <f t="shared" si="216"/>
        <v>0</v>
      </c>
      <c r="CU63" s="196">
        <f t="shared" si="216"/>
        <v>0</v>
      </c>
      <c r="CV63" s="196">
        <f t="shared" si="216"/>
        <v>0</v>
      </c>
      <c r="CW63" s="210">
        <f t="shared" si="216"/>
        <v>0</v>
      </c>
      <c r="CY63" s="175"/>
      <c r="CZ63" s="175"/>
      <c r="DA63" s="175"/>
      <c r="DB63" s="175"/>
      <c r="DC63" s="175"/>
      <c r="DD63" s="175"/>
      <c r="DE63" s="175"/>
      <c r="DF63" s="175"/>
      <c r="DG63" s="175"/>
      <c r="DH63" s="175"/>
      <c r="DI63" s="175"/>
      <c r="DJ63" s="175"/>
      <c r="DK63" s="175"/>
      <c r="DL63" s="175"/>
      <c r="DM63" s="175"/>
      <c r="DN63" s="175"/>
      <c r="DO63" s="175"/>
      <c r="DP63" s="175"/>
      <c r="DQ63" s="175"/>
      <c r="DR63" s="175"/>
      <c r="DS63" s="175"/>
      <c r="DT63" s="175"/>
      <c r="DU63" s="175"/>
      <c r="DV63" s="175"/>
      <c r="DW63" s="175"/>
      <c r="DX63" s="175"/>
      <c r="DY63" s="175"/>
      <c r="DZ63" s="175"/>
      <c r="EA63" s="175"/>
      <c r="EB63" s="176"/>
      <c r="GJ63" s="245"/>
      <c r="GK63" s="206"/>
      <c r="GL63" s="206"/>
      <c r="GM63" s="206"/>
      <c r="GN63" s="206"/>
      <c r="GO63" s="206"/>
      <c r="GP63" s="206"/>
      <c r="GQ63" s="206"/>
      <c r="GR63" s="206"/>
      <c r="GS63" s="206"/>
      <c r="GT63" s="206"/>
      <c r="GU63" s="206"/>
      <c r="GV63" s="206"/>
      <c r="GW63" s="206"/>
      <c r="GX63" s="206"/>
      <c r="GY63" s="206"/>
      <c r="GZ63" s="206"/>
      <c r="HA63" s="206"/>
      <c r="HB63" s="206"/>
      <c r="HC63" s="206"/>
      <c r="HD63" s="206"/>
      <c r="HE63" s="206"/>
      <c r="HF63" s="206"/>
      <c r="HG63" s="206"/>
      <c r="HH63" s="206"/>
      <c r="HI63" s="206"/>
      <c r="HJ63" s="206"/>
      <c r="HK63" s="206"/>
      <c r="HL63" s="206"/>
      <c r="HM63" s="206"/>
      <c r="HN63" s="174"/>
      <c r="HO63" s="174"/>
      <c r="HP63" s="174"/>
      <c r="HQ63" s="174"/>
      <c r="HR63" s="174"/>
      <c r="HS63" s="174"/>
      <c r="HT63" s="174"/>
      <c r="HU63" s="174"/>
      <c r="HV63" s="174"/>
      <c r="HW63" s="174"/>
      <c r="HX63" s="174"/>
      <c r="HY63" s="174"/>
      <c r="HZ63" s="174"/>
      <c r="IA63" s="174"/>
      <c r="IB63" s="174"/>
      <c r="IC63" s="174"/>
      <c r="ID63" s="174"/>
      <c r="IE63" s="174"/>
      <c r="IF63" s="174"/>
      <c r="IG63" s="174"/>
      <c r="IH63" s="174"/>
      <c r="II63" s="174"/>
      <c r="IJ63" s="174"/>
      <c r="IK63" s="174"/>
      <c r="IL63" s="174"/>
      <c r="IM63" s="174"/>
      <c r="IN63" s="174"/>
      <c r="IO63" s="174"/>
      <c r="IP63" s="174"/>
      <c r="IQ63" s="174"/>
      <c r="IR63" s="174"/>
      <c r="IS63" s="174"/>
      <c r="IT63" s="174"/>
      <c r="IU63" s="174"/>
      <c r="IX63" s="174"/>
      <c r="IY63" s="174"/>
      <c r="IZ63" s="174"/>
      <c r="JA63" s="174"/>
      <c r="JB63" s="174"/>
      <c r="JC63" s="174"/>
      <c r="JD63" s="174"/>
      <c r="JE63" s="174"/>
      <c r="JF63" s="174"/>
      <c r="JG63" s="174"/>
      <c r="JH63" s="174"/>
      <c r="JI63" s="174"/>
      <c r="JJ63" s="174"/>
      <c r="JK63" s="174"/>
      <c r="JL63" s="174"/>
      <c r="JM63" s="174"/>
      <c r="JN63" s="174"/>
      <c r="JO63" s="174"/>
      <c r="JP63" s="174"/>
      <c r="JQ63" s="174"/>
      <c r="JR63" s="174"/>
      <c r="JS63" s="174"/>
      <c r="JT63" s="174"/>
      <c r="JU63" s="174"/>
      <c r="JV63" s="174"/>
      <c r="JW63" s="174"/>
      <c r="JX63" s="174"/>
      <c r="JY63" s="174"/>
      <c r="JZ63" s="174"/>
      <c r="KA63" s="174"/>
      <c r="KB63" s="176"/>
      <c r="KC63" s="248" t="s">
        <v>1187</v>
      </c>
      <c r="KD63" s="174">
        <f t="shared" ref="KD63:LF63" si="217">IF(KD61=1,COUNTIF(KD17:KD23,"B"),IF(KD61=2,COUNTIF(KD24:KD30,"B"),IF(KD61=3,COUNTIF(KD31:KD37,"B"),IF(KD61=4,COUNTIF(KD38:KD44,"B"),COUNTIF(KD45:KD51,"B")))))</f>
        <v>0</v>
      </c>
      <c r="KE63" s="174">
        <f t="shared" si="217"/>
        <v>0</v>
      </c>
      <c r="KF63" s="174">
        <f t="shared" si="217"/>
        <v>0</v>
      </c>
      <c r="KG63" s="174">
        <f t="shared" si="217"/>
        <v>0</v>
      </c>
      <c r="KH63" s="174">
        <f t="shared" si="217"/>
        <v>0</v>
      </c>
      <c r="KI63" s="174">
        <f t="shared" si="217"/>
        <v>0</v>
      </c>
      <c r="KJ63" s="174">
        <f t="shared" si="217"/>
        <v>0</v>
      </c>
      <c r="KK63" s="174">
        <f t="shared" si="217"/>
        <v>0</v>
      </c>
      <c r="KL63" s="174">
        <f t="shared" si="217"/>
        <v>0</v>
      </c>
      <c r="KM63" s="174">
        <f t="shared" si="217"/>
        <v>0</v>
      </c>
      <c r="KN63" s="174">
        <f t="shared" si="217"/>
        <v>0</v>
      </c>
      <c r="KO63" s="174">
        <f t="shared" si="217"/>
        <v>0</v>
      </c>
      <c r="KP63" s="174">
        <f t="shared" si="217"/>
        <v>0</v>
      </c>
      <c r="KQ63" s="174">
        <f t="shared" si="217"/>
        <v>0</v>
      </c>
      <c r="KR63" s="174">
        <f t="shared" si="217"/>
        <v>0</v>
      </c>
      <c r="KS63" s="174">
        <f t="shared" si="217"/>
        <v>0</v>
      </c>
      <c r="KT63" s="174">
        <f t="shared" si="217"/>
        <v>0</v>
      </c>
      <c r="KU63" s="174">
        <f t="shared" si="217"/>
        <v>0</v>
      </c>
      <c r="KV63" s="174">
        <f t="shared" si="217"/>
        <v>0</v>
      </c>
      <c r="KW63" s="174">
        <f t="shared" si="217"/>
        <v>0</v>
      </c>
      <c r="KX63" s="174">
        <f t="shared" si="217"/>
        <v>0</v>
      </c>
      <c r="KY63" s="174">
        <f t="shared" si="217"/>
        <v>0</v>
      </c>
      <c r="KZ63" s="174">
        <f t="shared" si="217"/>
        <v>0</v>
      </c>
      <c r="LA63" s="174">
        <f t="shared" si="217"/>
        <v>0</v>
      </c>
      <c r="LB63" s="174">
        <f t="shared" si="217"/>
        <v>0</v>
      </c>
      <c r="LC63" s="174">
        <f t="shared" si="217"/>
        <v>0</v>
      </c>
      <c r="LD63" s="174">
        <f t="shared" si="217"/>
        <v>0</v>
      </c>
      <c r="LE63" s="174">
        <f t="shared" si="217"/>
        <v>0</v>
      </c>
      <c r="LF63" s="174">
        <f t="shared" si="217"/>
        <v>0</v>
      </c>
    </row>
    <row r="64" spans="1:318" s="172" customFormat="1" ht="11.25" customHeight="1" x14ac:dyDescent="0.2">
      <c r="A64" s="35"/>
      <c r="B64" s="432" t="s">
        <v>300</v>
      </c>
      <c r="C64" s="432"/>
      <c r="D64" s="432"/>
      <c r="E64" s="432"/>
      <c r="F64" s="432"/>
      <c r="G64" s="432"/>
      <c r="H64" s="432"/>
      <c r="I64" s="432"/>
      <c r="J64" s="432"/>
      <c r="K64" s="432"/>
      <c r="L64" s="432"/>
      <c r="M64" s="432"/>
      <c r="N64" s="432"/>
      <c r="O64" s="432"/>
      <c r="P64" s="432"/>
      <c r="Q64" s="432"/>
      <c r="R64" s="432"/>
      <c r="S64" s="432"/>
      <c r="T64" s="432"/>
      <c r="U64" s="432"/>
      <c r="V64" s="92"/>
      <c r="W64" s="92"/>
      <c r="X64" s="282"/>
      <c r="Y64" s="92"/>
      <c r="Z64" s="92"/>
      <c r="AA64" s="92"/>
      <c r="AB64" s="92"/>
      <c r="AC64" s="92"/>
      <c r="AD64" s="92"/>
      <c r="AE64" s="92"/>
      <c r="AF64" s="92"/>
      <c r="AG64" s="92"/>
      <c r="AH64" s="92"/>
      <c r="AI64" s="92"/>
      <c r="AJ64" s="92"/>
      <c r="AK64" s="92"/>
      <c r="AL64" s="92"/>
      <c r="AM64" s="92"/>
      <c r="AN64" s="13"/>
      <c r="AO64" s="7"/>
      <c r="AP64" s="7"/>
      <c r="AQ64" s="7"/>
      <c r="AR64" s="7"/>
      <c r="AS64" s="7"/>
      <c r="AT64" s="7"/>
      <c r="AU64" s="7"/>
      <c r="AV64" s="7"/>
      <c r="AW64" s="7"/>
      <c r="AX64" s="7"/>
      <c r="AY64" s="7"/>
      <c r="AZ64" s="7"/>
      <c r="BA64" s="7"/>
      <c r="BB64" s="7"/>
      <c r="BC64" s="7"/>
      <c r="BD64" s="7"/>
      <c r="BE64" s="7"/>
      <c r="BF64" s="7"/>
      <c r="BG64" s="7"/>
      <c r="BH64" s="7"/>
      <c r="BI64" s="7"/>
      <c r="BJ64" s="7"/>
      <c r="BK64" s="7"/>
      <c r="BL64" s="7"/>
      <c r="BM64" s="104"/>
      <c r="BO64" s="174"/>
      <c r="BP64" s="174">
        <v>2083</v>
      </c>
      <c r="BQ64" s="179" t="s">
        <v>1159</v>
      </c>
      <c r="BR64" s="174"/>
      <c r="BS64" s="174"/>
      <c r="BT64" s="242" t="s">
        <v>1137</v>
      </c>
      <c r="BU64" s="202" t="str">
        <f>IF(BU63&lt;&gt;0,IF(INT(BU63)=BU63,"N","Y"),"")</f>
        <v/>
      </c>
      <c r="BV64" s="196" t="str">
        <f t="shared" ref="BV64:CW64" si="218">IF(BV63&lt;&gt;0,IF(INT(BV63)=BV63,"N","Y"),"")</f>
        <v/>
      </c>
      <c r="BW64" s="196" t="str">
        <f t="shared" si="218"/>
        <v/>
      </c>
      <c r="BX64" s="196" t="str">
        <f t="shared" si="218"/>
        <v/>
      </c>
      <c r="BY64" s="196" t="str">
        <f t="shared" si="218"/>
        <v/>
      </c>
      <c r="BZ64" s="196" t="str">
        <f t="shared" si="218"/>
        <v/>
      </c>
      <c r="CA64" s="196" t="str">
        <f t="shared" si="218"/>
        <v/>
      </c>
      <c r="CB64" s="196" t="str">
        <f t="shared" si="218"/>
        <v/>
      </c>
      <c r="CC64" s="196" t="str">
        <f t="shared" si="218"/>
        <v/>
      </c>
      <c r="CD64" s="196" t="str">
        <f t="shared" si="218"/>
        <v/>
      </c>
      <c r="CE64" s="196" t="str">
        <f t="shared" si="218"/>
        <v/>
      </c>
      <c r="CF64" s="196" t="str">
        <f t="shared" si="218"/>
        <v/>
      </c>
      <c r="CG64" s="196" t="str">
        <f t="shared" si="218"/>
        <v/>
      </c>
      <c r="CH64" s="196" t="str">
        <f t="shared" si="218"/>
        <v/>
      </c>
      <c r="CI64" s="196" t="str">
        <f t="shared" si="218"/>
        <v/>
      </c>
      <c r="CJ64" s="196" t="str">
        <f t="shared" si="218"/>
        <v/>
      </c>
      <c r="CK64" s="196" t="str">
        <f t="shared" si="218"/>
        <v/>
      </c>
      <c r="CL64" s="196" t="str">
        <f t="shared" si="218"/>
        <v/>
      </c>
      <c r="CM64" s="196" t="str">
        <f t="shared" si="218"/>
        <v/>
      </c>
      <c r="CN64" s="196" t="str">
        <f t="shared" si="218"/>
        <v/>
      </c>
      <c r="CO64" s="196" t="str">
        <f t="shared" si="218"/>
        <v/>
      </c>
      <c r="CP64" s="196" t="str">
        <f t="shared" si="218"/>
        <v/>
      </c>
      <c r="CQ64" s="196" t="str">
        <f t="shared" si="218"/>
        <v/>
      </c>
      <c r="CR64" s="196" t="str">
        <f t="shared" si="218"/>
        <v/>
      </c>
      <c r="CS64" s="196" t="str">
        <f t="shared" si="218"/>
        <v/>
      </c>
      <c r="CT64" s="196" t="str">
        <f t="shared" si="218"/>
        <v/>
      </c>
      <c r="CU64" s="196" t="str">
        <f t="shared" si="218"/>
        <v/>
      </c>
      <c r="CV64" s="196" t="str">
        <f t="shared" si="218"/>
        <v/>
      </c>
      <c r="CW64" s="210" t="str">
        <f t="shared" si="218"/>
        <v/>
      </c>
      <c r="CY64" s="175"/>
      <c r="CZ64" s="175"/>
      <c r="DA64" s="175"/>
      <c r="DB64" s="175"/>
      <c r="DC64" s="175"/>
      <c r="DD64" s="175"/>
      <c r="DE64" s="175"/>
      <c r="DF64" s="175"/>
      <c r="DG64" s="175"/>
      <c r="DH64" s="175"/>
      <c r="DI64" s="175"/>
      <c r="DJ64" s="175"/>
      <c r="DK64" s="175"/>
      <c r="DL64" s="175"/>
      <c r="DM64" s="175"/>
      <c r="DN64" s="175"/>
      <c r="DO64" s="175"/>
      <c r="DP64" s="175"/>
      <c r="DQ64" s="175"/>
      <c r="DR64" s="175"/>
      <c r="DS64" s="175"/>
      <c r="DT64" s="175"/>
      <c r="DU64" s="175"/>
      <c r="DV64" s="175"/>
      <c r="DW64" s="175"/>
      <c r="DX64" s="175"/>
      <c r="DY64" s="175"/>
      <c r="DZ64" s="175"/>
      <c r="EA64" s="175"/>
      <c r="EB64" s="176"/>
      <c r="GK64" s="177"/>
      <c r="GL64" s="177"/>
      <c r="GM64" s="177"/>
      <c r="GN64" s="177"/>
      <c r="GO64" s="177"/>
      <c r="GP64" s="177"/>
      <c r="GQ64" s="177"/>
      <c r="GR64" s="177"/>
      <c r="GS64" s="177"/>
      <c r="GT64" s="177"/>
      <c r="GU64" s="177"/>
      <c r="GV64" s="177"/>
      <c r="GW64" s="177"/>
      <c r="GX64" s="177"/>
      <c r="GY64" s="177"/>
      <c r="GZ64" s="177"/>
      <c r="HA64" s="177"/>
      <c r="HB64" s="177"/>
      <c r="HC64" s="177"/>
      <c r="HD64" s="177"/>
      <c r="HE64" s="177"/>
      <c r="HF64" s="177"/>
      <c r="HG64" s="177"/>
      <c r="HH64" s="177"/>
      <c r="HI64" s="177"/>
      <c r="HJ64" s="177"/>
      <c r="HK64" s="177"/>
      <c r="HL64" s="177"/>
      <c r="HM64" s="177"/>
      <c r="HN64" s="174"/>
      <c r="HO64" s="174"/>
      <c r="HP64" s="174"/>
      <c r="HQ64" s="174"/>
      <c r="HR64" s="174"/>
      <c r="HS64" s="174"/>
      <c r="HT64" s="174"/>
      <c r="HU64" s="174"/>
      <c r="HV64" s="174"/>
      <c r="HW64" s="174"/>
      <c r="HX64" s="174"/>
      <c r="HY64" s="174"/>
      <c r="HZ64" s="174"/>
      <c r="IA64" s="174"/>
      <c r="IB64" s="174"/>
      <c r="IC64" s="174"/>
      <c r="ID64" s="174"/>
      <c r="IE64" s="174"/>
      <c r="IF64" s="174"/>
      <c r="IG64" s="174"/>
      <c r="IH64" s="174"/>
      <c r="II64" s="174"/>
      <c r="IJ64" s="174"/>
      <c r="IK64" s="174"/>
      <c r="IL64" s="174"/>
      <c r="IM64" s="174"/>
      <c r="IN64" s="174"/>
      <c r="IO64" s="174"/>
      <c r="IP64" s="174"/>
      <c r="IQ64" s="174"/>
      <c r="IR64" s="174"/>
      <c r="IS64" s="174"/>
      <c r="IT64" s="174"/>
      <c r="IU64" s="174"/>
      <c r="IX64" s="174"/>
      <c r="IY64" s="174"/>
      <c r="IZ64" s="174"/>
      <c r="JA64" s="174"/>
      <c r="JB64" s="174"/>
      <c r="JC64" s="174"/>
      <c r="JD64" s="174"/>
      <c r="JE64" s="174"/>
      <c r="JF64" s="174"/>
      <c r="JG64" s="174"/>
      <c r="JH64" s="174"/>
      <c r="JI64" s="174"/>
      <c r="JJ64" s="174"/>
      <c r="JK64" s="174"/>
      <c r="JL64" s="174"/>
      <c r="JM64" s="174"/>
      <c r="JN64" s="174"/>
      <c r="JO64" s="174"/>
      <c r="JP64" s="174"/>
      <c r="JQ64" s="174"/>
      <c r="JR64" s="174"/>
      <c r="JS64" s="174"/>
      <c r="JT64" s="174"/>
      <c r="JU64" s="174"/>
      <c r="JV64" s="174"/>
      <c r="JW64" s="174"/>
      <c r="JX64" s="174"/>
      <c r="JY64" s="174"/>
      <c r="JZ64" s="174"/>
      <c r="KA64" s="174"/>
      <c r="KB64" s="176"/>
      <c r="KC64" s="248" t="s">
        <v>1188</v>
      </c>
      <c r="KD64" s="174">
        <f t="shared" ref="KD64:LF64" si="219">IF(KD61=1,COUNTIF(KD17:KD23,"C"),IF(KD61=2,COUNTIF(KD24:KD30,"A"),IF(KD61=3,COUNTIF(KD31:KD37,"C"),IF(KD61=4,COUNTIF(KD38:KD44,"C"),COUNTIF(KD45:KD51,"C")))))</f>
        <v>0</v>
      </c>
      <c r="KE64" s="174">
        <f t="shared" si="219"/>
        <v>0</v>
      </c>
      <c r="KF64" s="174">
        <f t="shared" si="219"/>
        <v>0</v>
      </c>
      <c r="KG64" s="174">
        <f t="shared" si="219"/>
        <v>0</v>
      </c>
      <c r="KH64" s="174">
        <f t="shared" si="219"/>
        <v>0</v>
      </c>
      <c r="KI64" s="174">
        <f t="shared" si="219"/>
        <v>0</v>
      </c>
      <c r="KJ64" s="174">
        <f t="shared" si="219"/>
        <v>0</v>
      </c>
      <c r="KK64" s="174">
        <f t="shared" si="219"/>
        <v>0</v>
      </c>
      <c r="KL64" s="174">
        <f t="shared" si="219"/>
        <v>0</v>
      </c>
      <c r="KM64" s="174">
        <f t="shared" si="219"/>
        <v>0</v>
      </c>
      <c r="KN64" s="174">
        <f t="shared" si="219"/>
        <v>0</v>
      </c>
      <c r="KO64" s="174">
        <f t="shared" si="219"/>
        <v>0</v>
      </c>
      <c r="KP64" s="174">
        <f t="shared" si="219"/>
        <v>0</v>
      </c>
      <c r="KQ64" s="174">
        <f t="shared" si="219"/>
        <v>0</v>
      </c>
      <c r="KR64" s="174">
        <f t="shared" si="219"/>
        <v>0</v>
      </c>
      <c r="KS64" s="174">
        <f t="shared" si="219"/>
        <v>0</v>
      </c>
      <c r="KT64" s="174">
        <f t="shared" si="219"/>
        <v>0</v>
      </c>
      <c r="KU64" s="174">
        <f t="shared" si="219"/>
        <v>0</v>
      </c>
      <c r="KV64" s="174">
        <f t="shared" si="219"/>
        <v>0</v>
      </c>
      <c r="KW64" s="174">
        <f t="shared" si="219"/>
        <v>0</v>
      </c>
      <c r="KX64" s="174">
        <f t="shared" si="219"/>
        <v>0</v>
      </c>
      <c r="KY64" s="174">
        <f t="shared" si="219"/>
        <v>0</v>
      </c>
      <c r="KZ64" s="174">
        <f t="shared" si="219"/>
        <v>0</v>
      </c>
      <c r="LA64" s="174">
        <f t="shared" si="219"/>
        <v>0</v>
      </c>
      <c r="LB64" s="174">
        <f t="shared" si="219"/>
        <v>0</v>
      </c>
      <c r="LC64" s="174">
        <f t="shared" si="219"/>
        <v>0</v>
      </c>
      <c r="LD64" s="174">
        <f t="shared" si="219"/>
        <v>0</v>
      </c>
      <c r="LE64" s="174">
        <f t="shared" si="219"/>
        <v>0</v>
      </c>
      <c r="LF64" s="174">
        <f t="shared" si="219"/>
        <v>0</v>
      </c>
    </row>
    <row r="65" spans="1:318" s="172" customFormat="1" ht="9" customHeight="1" x14ac:dyDescent="0.2">
      <c r="A65" s="35"/>
      <c r="B65" s="432"/>
      <c r="C65" s="432"/>
      <c r="D65" s="432"/>
      <c r="E65" s="432"/>
      <c r="F65" s="432"/>
      <c r="G65" s="432"/>
      <c r="H65" s="432"/>
      <c r="I65" s="432"/>
      <c r="J65" s="432"/>
      <c r="K65" s="432"/>
      <c r="L65" s="432"/>
      <c r="M65" s="432"/>
      <c r="N65" s="432"/>
      <c r="O65" s="432"/>
      <c r="P65" s="432"/>
      <c r="Q65" s="432"/>
      <c r="R65" s="432"/>
      <c r="S65" s="432"/>
      <c r="T65" s="432"/>
      <c r="U65" s="432"/>
      <c r="V65" s="92"/>
      <c r="W65" s="92"/>
      <c r="X65" s="282"/>
      <c r="Y65" s="92"/>
      <c r="Z65" s="92"/>
      <c r="AA65" s="92"/>
      <c r="AB65" s="92"/>
      <c r="AC65" s="92"/>
      <c r="AD65" s="92"/>
      <c r="AE65" s="92"/>
      <c r="AF65" s="92"/>
      <c r="AG65" s="92"/>
      <c r="AH65" s="92"/>
      <c r="AI65" s="92"/>
      <c r="AJ65" s="92"/>
      <c r="AK65" s="92"/>
      <c r="AL65" s="92"/>
      <c r="AM65" s="92"/>
      <c r="AN65" s="13"/>
      <c r="AO65" s="7"/>
      <c r="AP65" s="7"/>
      <c r="AQ65" s="7"/>
      <c r="AR65" s="7"/>
      <c r="AS65" s="7"/>
      <c r="AT65" s="7"/>
      <c r="AU65" s="7"/>
      <c r="AV65" s="7"/>
      <c r="AW65" s="7"/>
      <c r="AX65" s="7"/>
      <c r="AY65" s="7"/>
      <c r="AZ65" s="7"/>
      <c r="BA65" s="7"/>
      <c r="BB65" s="7"/>
      <c r="BC65" s="7"/>
      <c r="BD65" s="7"/>
      <c r="BE65" s="7"/>
      <c r="BF65" s="7"/>
      <c r="BG65" s="7"/>
      <c r="BH65" s="7"/>
      <c r="BI65" s="7"/>
      <c r="BJ65" s="7"/>
      <c r="BK65" s="7"/>
      <c r="BL65" s="7"/>
      <c r="BM65" s="104"/>
      <c r="BO65" s="174"/>
      <c r="BP65" s="174">
        <v>2084</v>
      </c>
      <c r="BQ65" s="179" t="s">
        <v>77</v>
      </c>
      <c r="BR65" s="174"/>
      <c r="BS65" s="174"/>
      <c r="BT65" s="242" t="s">
        <v>837</v>
      </c>
      <c r="BU65" s="202">
        <f>SUM(BU45:BU51)</f>
        <v>0</v>
      </c>
      <c r="BV65" s="196">
        <f>SUM(BV45:BV51)</f>
        <v>0</v>
      </c>
      <c r="BW65" s="196">
        <f t="shared" ref="BW65:CW65" si="220">SUM(BW45:BW51)</f>
        <v>0</v>
      </c>
      <c r="BX65" s="196">
        <f t="shared" si="220"/>
        <v>0</v>
      </c>
      <c r="BY65" s="196">
        <f t="shared" si="220"/>
        <v>0</v>
      </c>
      <c r="BZ65" s="196">
        <f t="shared" si="220"/>
        <v>0</v>
      </c>
      <c r="CA65" s="196">
        <f t="shared" si="220"/>
        <v>0</v>
      </c>
      <c r="CB65" s="196">
        <f t="shared" si="220"/>
        <v>0</v>
      </c>
      <c r="CC65" s="196">
        <f t="shared" si="220"/>
        <v>0</v>
      </c>
      <c r="CD65" s="196">
        <f t="shared" si="220"/>
        <v>0</v>
      </c>
      <c r="CE65" s="196">
        <f t="shared" si="220"/>
        <v>0</v>
      </c>
      <c r="CF65" s="196">
        <f t="shared" si="220"/>
        <v>0</v>
      </c>
      <c r="CG65" s="196">
        <f t="shared" si="220"/>
        <v>0</v>
      </c>
      <c r="CH65" s="196">
        <f t="shared" si="220"/>
        <v>0</v>
      </c>
      <c r="CI65" s="196">
        <f t="shared" si="220"/>
        <v>0</v>
      </c>
      <c r="CJ65" s="196">
        <f t="shared" si="220"/>
        <v>0</v>
      </c>
      <c r="CK65" s="196">
        <f t="shared" si="220"/>
        <v>0</v>
      </c>
      <c r="CL65" s="196">
        <f t="shared" si="220"/>
        <v>0</v>
      </c>
      <c r="CM65" s="196">
        <f t="shared" si="220"/>
        <v>0</v>
      </c>
      <c r="CN65" s="196">
        <f t="shared" si="220"/>
        <v>0</v>
      </c>
      <c r="CO65" s="196">
        <f t="shared" si="220"/>
        <v>0</v>
      </c>
      <c r="CP65" s="196">
        <f t="shared" si="220"/>
        <v>0</v>
      </c>
      <c r="CQ65" s="196">
        <f t="shared" si="220"/>
        <v>0</v>
      </c>
      <c r="CR65" s="196">
        <f t="shared" si="220"/>
        <v>0</v>
      </c>
      <c r="CS65" s="196">
        <f t="shared" si="220"/>
        <v>0</v>
      </c>
      <c r="CT65" s="196">
        <f t="shared" si="220"/>
        <v>0</v>
      </c>
      <c r="CU65" s="196">
        <f t="shared" si="220"/>
        <v>0</v>
      </c>
      <c r="CV65" s="196">
        <f t="shared" si="220"/>
        <v>0</v>
      </c>
      <c r="CW65" s="210">
        <f t="shared" si="220"/>
        <v>0</v>
      </c>
      <c r="CY65" s="175"/>
      <c r="CZ65" s="175"/>
      <c r="DA65" s="175"/>
      <c r="DB65" s="175"/>
      <c r="DC65" s="175"/>
      <c r="DD65" s="175"/>
      <c r="DE65" s="175"/>
      <c r="DF65" s="175"/>
      <c r="DG65" s="175"/>
      <c r="DH65" s="175"/>
      <c r="DI65" s="175"/>
      <c r="DJ65" s="175"/>
      <c r="DK65" s="175"/>
      <c r="DL65" s="175"/>
      <c r="DM65" s="175"/>
      <c r="DN65" s="175"/>
      <c r="DO65" s="175"/>
      <c r="DP65" s="175"/>
      <c r="DQ65" s="175"/>
      <c r="DR65" s="175"/>
      <c r="DS65" s="175"/>
      <c r="DT65" s="175"/>
      <c r="DU65" s="175"/>
      <c r="DV65" s="175"/>
      <c r="DW65" s="175"/>
      <c r="DX65" s="175"/>
      <c r="DY65" s="175"/>
      <c r="DZ65" s="175"/>
      <c r="EA65" s="175"/>
      <c r="EB65" s="176"/>
      <c r="GK65" s="177"/>
      <c r="GL65" s="177"/>
      <c r="GM65" s="177"/>
      <c r="GN65" s="177"/>
      <c r="GO65" s="177"/>
      <c r="GP65" s="177"/>
      <c r="GQ65" s="177"/>
      <c r="GR65" s="177"/>
      <c r="GS65" s="177"/>
      <c r="GT65" s="177"/>
      <c r="GU65" s="177"/>
      <c r="GV65" s="177"/>
      <c r="GW65" s="177"/>
      <c r="GX65" s="177"/>
      <c r="GY65" s="177"/>
      <c r="GZ65" s="177"/>
      <c r="HA65" s="177"/>
      <c r="HB65" s="177"/>
      <c r="HC65" s="177"/>
      <c r="HD65" s="177"/>
      <c r="HE65" s="177"/>
      <c r="HF65" s="177"/>
      <c r="HG65" s="177"/>
      <c r="HH65" s="177"/>
      <c r="HI65" s="177"/>
      <c r="HJ65" s="177"/>
      <c r="HK65" s="177"/>
      <c r="HL65" s="177"/>
      <c r="HM65" s="177"/>
      <c r="HN65" s="174"/>
      <c r="HO65" s="174"/>
      <c r="HP65" s="174"/>
      <c r="HQ65" s="174"/>
      <c r="HR65" s="174"/>
      <c r="HS65" s="174"/>
      <c r="HT65" s="174"/>
      <c r="HU65" s="174"/>
      <c r="HV65" s="174"/>
      <c r="HW65" s="174"/>
      <c r="HX65" s="174"/>
      <c r="HY65" s="174"/>
      <c r="HZ65" s="174"/>
      <c r="IA65" s="174"/>
      <c r="IB65" s="174"/>
      <c r="IC65" s="174"/>
      <c r="ID65" s="174"/>
      <c r="IE65" s="174"/>
      <c r="IF65" s="174"/>
      <c r="IG65" s="174"/>
      <c r="IH65" s="174"/>
      <c r="II65" s="174"/>
      <c r="IJ65" s="174"/>
      <c r="IK65" s="174"/>
      <c r="IL65" s="174"/>
      <c r="IM65" s="174"/>
      <c r="IN65" s="174"/>
      <c r="IO65" s="174"/>
      <c r="IP65" s="174"/>
      <c r="IQ65" s="174"/>
      <c r="IR65" s="174"/>
      <c r="IS65" s="174"/>
      <c r="IT65" s="174"/>
      <c r="IU65" s="174"/>
      <c r="IX65" s="174"/>
      <c r="IY65" s="174"/>
      <c r="IZ65" s="174"/>
      <c r="JA65" s="174"/>
      <c r="JB65" s="174"/>
      <c r="JC65" s="174"/>
      <c r="JD65" s="174"/>
      <c r="JE65" s="174"/>
      <c r="JF65" s="174"/>
      <c r="JG65" s="174"/>
      <c r="JH65" s="174"/>
      <c r="JI65" s="174"/>
      <c r="JJ65" s="174"/>
      <c r="JK65" s="174"/>
      <c r="JL65" s="174"/>
      <c r="JM65" s="174"/>
      <c r="JN65" s="174"/>
      <c r="JO65" s="174"/>
      <c r="JP65" s="174"/>
      <c r="JQ65" s="174"/>
      <c r="JR65" s="174"/>
      <c r="JS65" s="174"/>
      <c r="JT65" s="174"/>
      <c r="JU65" s="174"/>
      <c r="JV65" s="174"/>
      <c r="JW65" s="174"/>
      <c r="JX65" s="174"/>
      <c r="JY65" s="174"/>
      <c r="JZ65" s="174"/>
      <c r="KA65" s="174"/>
      <c r="KB65" s="176"/>
      <c r="KC65" s="248" t="s">
        <v>839</v>
      </c>
      <c r="KD65" s="174">
        <f>SUM(KD62:KD64)</f>
        <v>0</v>
      </c>
      <c r="KE65" s="174">
        <f t="shared" ref="KE65:LF65" si="221">SUM(KE62:KE64)</f>
        <v>0</v>
      </c>
      <c r="KF65" s="174">
        <f t="shared" si="221"/>
        <v>0</v>
      </c>
      <c r="KG65" s="174">
        <f t="shared" si="221"/>
        <v>0</v>
      </c>
      <c r="KH65" s="174">
        <f t="shared" si="221"/>
        <v>0</v>
      </c>
      <c r="KI65" s="174">
        <f t="shared" si="221"/>
        <v>0</v>
      </c>
      <c r="KJ65" s="174">
        <f t="shared" si="221"/>
        <v>0</v>
      </c>
      <c r="KK65" s="174">
        <f t="shared" si="221"/>
        <v>0</v>
      </c>
      <c r="KL65" s="174">
        <f t="shared" si="221"/>
        <v>0</v>
      </c>
      <c r="KM65" s="174">
        <f t="shared" si="221"/>
        <v>0</v>
      </c>
      <c r="KN65" s="174">
        <f t="shared" si="221"/>
        <v>0</v>
      </c>
      <c r="KO65" s="174">
        <f t="shared" si="221"/>
        <v>0</v>
      </c>
      <c r="KP65" s="174">
        <f t="shared" si="221"/>
        <v>0</v>
      </c>
      <c r="KQ65" s="174">
        <f t="shared" si="221"/>
        <v>0</v>
      </c>
      <c r="KR65" s="174">
        <f t="shared" si="221"/>
        <v>0</v>
      </c>
      <c r="KS65" s="174">
        <f t="shared" si="221"/>
        <v>0</v>
      </c>
      <c r="KT65" s="174">
        <f t="shared" si="221"/>
        <v>0</v>
      </c>
      <c r="KU65" s="174">
        <f t="shared" si="221"/>
        <v>0</v>
      </c>
      <c r="KV65" s="174">
        <f t="shared" si="221"/>
        <v>0</v>
      </c>
      <c r="KW65" s="174">
        <f t="shared" si="221"/>
        <v>0</v>
      </c>
      <c r="KX65" s="174">
        <f t="shared" si="221"/>
        <v>0</v>
      </c>
      <c r="KY65" s="174">
        <f t="shared" si="221"/>
        <v>0</v>
      </c>
      <c r="KZ65" s="174">
        <f t="shared" si="221"/>
        <v>0</v>
      </c>
      <c r="LA65" s="174">
        <f t="shared" si="221"/>
        <v>0</v>
      </c>
      <c r="LB65" s="174">
        <f t="shared" si="221"/>
        <v>0</v>
      </c>
      <c r="LC65" s="174">
        <f t="shared" si="221"/>
        <v>0</v>
      </c>
      <c r="LD65" s="174">
        <f t="shared" si="221"/>
        <v>0</v>
      </c>
      <c r="LE65" s="174">
        <f t="shared" si="221"/>
        <v>0</v>
      </c>
      <c r="LF65" s="174">
        <f t="shared" si="221"/>
        <v>0</v>
      </c>
    </row>
    <row r="66" spans="1:318" s="172" customFormat="1" ht="13.5" thickBot="1" x14ac:dyDescent="0.25">
      <c r="A66" s="35"/>
      <c r="B66" s="432"/>
      <c r="C66" s="432"/>
      <c r="D66" s="432"/>
      <c r="E66" s="432"/>
      <c r="F66" s="432"/>
      <c r="G66" s="432"/>
      <c r="H66" s="432"/>
      <c r="I66" s="432"/>
      <c r="J66" s="432"/>
      <c r="K66" s="432"/>
      <c r="L66" s="432"/>
      <c r="M66" s="432"/>
      <c r="N66" s="432"/>
      <c r="O66" s="432"/>
      <c r="P66" s="432"/>
      <c r="Q66" s="432"/>
      <c r="R66" s="432"/>
      <c r="S66" s="432"/>
      <c r="T66" s="432"/>
      <c r="U66" s="432"/>
      <c r="V66" s="92"/>
      <c r="W66" s="92"/>
      <c r="X66" s="282"/>
      <c r="Y66" s="92"/>
      <c r="Z66" s="92"/>
      <c r="AA66" s="92"/>
      <c r="AB66" s="92"/>
      <c r="AC66" s="92"/>
      <c r="AD66" s="92"/>
      <c r="AE66" s="92"/>
      <c r="AF66" s="92"/>
      <c r="AG66" s="92"/>
      <c r="AH66" s="92"/>
      <c r="AI66" s="92"/>
      <c r="AJ66" s="92"/>
      <c r="AK66" s="92"/>
      <c r="AL66" s="92"/>
      <c r="AM66" s="92"/>
      <c r="AN66" s="13"/>
      <c r="AO66" s="7"/>
      <c r="AP66" s="7"/>
      <c r="AQ66" s="7"/>
      <c r="AR66" s="7"/>
      <c r="AS66" s="7"/>
      <c r="AT66" s="7"/>
      <c r="AU66" s="7"/>
      <c r="AV66" s="7"/>
      <c r="AW66" s="7"/>
      <c r="AX66" s="7"/>
      <c r="AY66" s="7"/>
      <c r="AZ66" s="7"/>
      <c r="BA66" s="7"/>
      <c r="BB66" s="7"/>
      <c r="BC66" s="7"/>
      <c r="BD66" s="7"/>
      <c r="BE66" s="7"/>
      <c r="BF66" s="7"/>
      <c r="BG66" s="7"/>
      <c r="BH66" s="7"/>
      <c r="BI66" s="7"/>
      <c r="BJ66" s="7"/>
      <c r="BK66" s="7"/>
      <c r="BL66" s="7"/>
      <c r="BM66" s="104"/>
      <c r="BO66" s="174"/>
      <c r="BP66" s="174">
        <v>2085</v>
      </c>
      <c r="BQ66" s="179" t="s">
        <v>1156</v>
      </c>
      <c r="BR66" s="174"/>
      <c r="BS66" s="174"/>
      <c r="BT66" s="242" t="s">
        <v>1138</v>
      </c>
      <c r="BU66" s="250" t="str">
        <f>IF(BU65&lt;&gt;0,IF(INT(BU65)=BU65,"N","Y"),"")</f>
        <v/>
      </c>
      <c r="BV66" s="251" t="str">
        <f t="shared" ref="BV66:CW66" si="222">IF(BV65&lt;&gt;0,IF(INT(BV65)=BV65,"N","Y"),"")</f>
        <v/>
      </c>
      <c r="BW66" s="251" t="str">
        <f t="shared" si="222"/>
        <v/>
      </c>
      <c r="BX66" s="251" t="str">
        <f t="shared" si="222"/>
        <v/>
      </c>
      <c r="BY66" s="251" t="str">
        <f t="shared" si="222"/>
        <v/>
      </c>
      <c r="BZ66" s="251" t="str">
        <f t="shared" si="222"/>
        <v/>
      </c>
      <c r="CA66" s="251" t="str">
        <f t="shared" si="222"/>
        <v/>
      </c>
      <c r="CB66" s="251" t="str">
        <f t="shared" si="222"/>
        <v/>
      </c>
      <c r="CC66" s="251" t="str">
        <f t="shared" si="222"/>
        <v/>
      </c>
      <c r="CD66" s="251" t="str">
        <f t="shared" si="222"/>
        <v/>
      </c>
      <c r="CE66" s="251" t="str">
        <f t="shared" si="222"/>
        <v/>
      </c>
      <c r="CF66" s="251" t="str">
        <f t="shared" si="222"/>
        <v/>
      </c>
      <c r="CG66" s="251" t="str">
        <f t="shared" si="222"/>
        <v/>
      </c>
      <c r="CH66" s="251" t="str">
        <f t="shared" si="222"/>
        <v/>
      </c>
      <c r="CI66" s="251" t="str">
        <f t="shared" si="222"/>
        <v/>
      </c>
      <c r="CJ66" s="251" t="str">
        <f t="shared" si="222"/>
        <v/>
      </c>
      <c r="CK66" s="251" t="str">
        <f t="shared" si="222"/>
        <v/>
      </c>
      <c r="CL66" s="251" t="str">
        <f t="shared" si="222"/>
        <v/>
      </c>
      <c r="CM66" s="251" t="str">
        <f t="shared" si="222"/>
        <v/>
      </c>
      <c r="CN66" s="251" t="str">
        <f t="shared" si="222"/>
        <v/>
      </c>
      <c r="CO66" s="251" t="str">
        <f t="shared" si="222"/>
        <v/>
      </c>
      <c r="CP66" s="251" t="str">
        <f t="shared" si="222"/>
        <v/>
      </c>
      <c r="CQ66" s="251" t="str">
        <f t="shared" si="222"/>
        <v/>
      </c>
      <c r="CR66" s="251" t="str">
        <f t="shared" si="222"/>
        <v/>
      </c>
      <c r="CS66" s="251" t="str">
        <f t="shared" si="222"/>
        <v/>
      </c>
      <c r="CT66" s="251" t="str">
        <f t="shared" si="222"/>
        <v/>
      </c>
      <c r="CU66" s="251" t="str">
        <f t="shared" si="222"/>
        <v/>
      </c>
      <c r="CV66" s="251" t="str">
        <f t="shared" si="222"/>
        <v/>
      </c>
      <c r="CW66" s="252" t="str">
        <f t="shared" si="222"/>
        <v/>
      </c>
      <c r="CY66" s="175"/>
      <c r="CZ66" s="175"/>
      <c r="DA66" s="175"/>
      <c r="DB66" s="175"/>
      <c r="DC66" s="175"/>
      <c r="DD66" s="175"/>
      <c r="DE66" s="175"/>
      <c r="DF66" s="175"/>
      <c r="DG66" s="175"/>
      <c r="DH66" s="175"/>
      <c r="DI66" s="175"/>
      <c r="DJ66" s="175"/>
      <c r="DK66" s="175"/>
      <c r="DL66" s="175"/>
      <c r="DM66" s="175"/>
      <c r="DN66" s="175"/>
      <c r="DO66" s="175"/>
      <c r="DP66" s="175"/>
      <c r="DQ66" s="175"/>
      <c r="DR66" s="175"/>
      <c r="DS66" s="175"/>
      <c r="DT66" s="175"/>
      <c r="DU66" s="175"/>
      <c r="DV66" s="175"/>
      <c r="DW66" s="175"/>
      <c r="DX66" s="175"/>
      <c r="DY66" s="175"/>
      <c r="DZ66" s="175"/>
      <c r="EA66" s="175"/>
      <c r="EB66" s="176"/>
      <c r="GK66" s="185"/>
      <c r="GL66" s="177"/>
      <c r="GM66" s="177"/>
      <c r="GN66" s="177"/>
      <c r="GO66" s="177"/>
      <c r="GP66" s="177"/>
      <c r="GQ66" s="177"/>
      <c r="GR66" s="177"/>
      <c r="GS66" s="177"/>
      <c r="GT66" s="177"/>
      <c r="GU66" s="177"/>
      <c r="GV66" s="177"/>
      <c r="GW66" s="177"/>
      <c r="GX66" s="177"/>
      <c r="GY66" s="177"/>
      <c r="GZ66" s="177"/>
      <c r="HA66" s="177"/>
      <c r="HB66" s="177"/>
      <c r="HC66" s="177"/>
      <c r="HD66" s="177"/>
      <c r="HE66" s="177"/>
      <c r="HF66" s="177"/>
      <c r="HG66" s="177"/>
      <c r="HH66" s="177"/>
      <c r="HI66" s="177"/>
      <c r="HJ66" s="177"/>
      <c r="HK66" s="177"/>
      <c r="HL66" s="177"/>
      <c r="HM66" s="177"/>
      <c r="HN66" s="174"/>
      <c r="HO66" s="174"/>
      <c r="HP66" s="174"/>
      <c r="HQ66" s="174"/>
      <c r="HR66" s="174"/>
      <c r="HS66" s="174"/>
      <c r="HT66" s="174"/>
      <c r="HU66" s="174"/>
      <c r="HV66" s="174"/>
      <c r="HW66" s="174"/>
      <c r="HX66" s="174"/>
      <c r="HY66" s="174"/>
      <c r="HZ66" s="174"/>
      <c r="IA66" s="174"/>
      <c r="IB66" s="174"/>
      <c r="IC66" s="174"/>
      <c r="ID66" s="174"/>
      <c r="IE66" s="174"/>
      <c r="IF66" s="174"/>
      <c r="IG66" s="174"/>
      <c r="IH66" s="174"/>
      <c r="II66" s="174"/>
      <c r="IJ66" s="174"/>
      <c r="IK66" s="174"/>
      <c r="IL66" s="174"/>
      <c r="IM66" s="174"/>
      <c r="IN66" s="174"/>
      <c r="IO66" s="174"/>
      <c r="IP66" s="174"/>
      <c r="IQ66" s="174"/>
      <c r="IR66" s="174"/>
      <c r="IS66" s="174"/>
      <c r="IT66" s="174"/>
      <c r="IU66" s="174"/>
      <c r="IX66" s="174"/>
      <c r="IY66" s="174"/>
      <c r="IZ66" s="174"/>
      <c r="JA66" s="174"/>
      <c r="JB66" s="174"/>
      <c r="JC66" s="174"/>
      <c r="JD66" s="174"/>
      <c r="JE66" s="174"/>
      <c r="JF66" s="174"/>
      <c r="JG66" s="174"/>
      <c r="JH66" s="174"/>
      <c r="JI66" s="174"/>
      <c r="JJ66" s="174"/>
      <c r="JK66" s="174"/>
      <c r="JL66" s="174"/>
      <c r="JM66" s="174"/>
      <c r="JN66" s="174"/>
      <c r="JO66" s="174"/>
      <c r="JP66" s="174"/>
      <c r="JQ66" s="174"/>
      <c r="JR66" s="174"/>
      <c r="JS66" s="174"/>
      <c r="JT66" s="174"/>
      <c r="JU66" s="174"/>
      <c r="JV66" s="174"/>
      <c r="JW66" s="174"/>
      <c r="JX66" s="174"/>
      <c r="JY66" s="174"/>
      <c r="JZ66" s="174"/>
      <c r="KA66" s="174"/>
      <c r="KB66" s="176"/>
      <c r="KC66" s="248" t="s">
        <v>1182</v>
      </c>
      <c r="KD66" s="174" t="str">
        <f>IF(OR(KD62=KD65,(KD62+KD63)=KD65),"Y",IF(OR(AND(KD63=0,KD64&gt;0),KD64=KD65),"N","Y"))</f>
        <v>Y</v>
      </c>
      <c r="KE66" s="174" t="str">
        <f t="shared" ref="KE66:LF66" si="223">IF(OR(KE62=KE65,(KE62+KE63)=KE65),"Y",IF(OR(AND(KE63=0,KE64&gt;0),KE64=KE65),"N","Y"))</f>
        <v>Y</v>
      </c>
      <c r="KF66" s="174" t="str">
        <f t="shared" si="223"/>
        <v>Y</v>
      </c>
      <c r="KG66" s="174" t="str">
        <f t="shared" si="223"/>
        <v>Y</v>
      </c>
      <c r="KH66" s="174" t="str">
        <f t="shared" si="223"/>
        <v>Y</v>
      </c>
      <c r="KI66" s="174" t="str">
        <f t="shared" si="223"/>
        <v>Y</v>
      </c>
      <c r="KJ66" s="174" t="str">
        <f t="shared" si="223"/>
        <v>Y</v>
      </c>
      <c r="KK66" s="174" t="str">
        <f t="shared" si="223"/>
        <v>Y</v>
      </c>
      <c r="KL66" s="174" t="str">
        <f t="shared" si="223"/>
        <v>Y</v>
      </c>
      <c r="KM66" s="174" t="str">
        <f t="shared" si="223"/>
        <v>Y</v>
      </c>
      <c r="KN66" s="174" t="str">
        <f t="shared" si="223"/>
        <v>Y</v>
      </c>
      <c r="KO66" s="174" t="str">
        <f t="shared" si="223"/>
        <v>Y</v>
      </c>
      <c r="KP66" s="174" t="str">
        <f t="shared" si="223"/>
        <v>Y</v>
      </c>
      <c r="KQ66" s="174" t="str">
        <f t="shared" si="223"/>
        <v>Y</v>
      </c>
      <c r="KR66" s="174" t="str">
        <f t="shared" si="223"/>
        <v>Y</v>
      </c>
      <c r="KS66" s="174" t="str">
        <f t="shared" si="223"/>
        <v>Y</v>
      </c>
      <c r="KT66" s="174" t="str">
        <f t="shared" si="223"/>
        <v>Y</v>
      </c>
      <c r="KU66" s="174" t="str">
        <f t="shared" si="223"/>
        <v>Y</v>
      </c>
      <c r="KV66" s="174" t="str">
        <f t="shared" si="223"/>
        <v>Y</v>
      </c>
      <c r="KW66" s="174" t="str">
        <f t="shared" si="223"/>
        <v>Y</v>
      </c>
      <c r="KX66" s="174" t="str">
        <f t="shared" si="223"/>
        <v>Y</v>
      </c>
      <c r="KY66" s="174" t="str">
        <f t="shared" si="223"/>
        <v>Y</v>
      </c>
      <c r="KZ66" s="174" t="str">
        <f t="shared" si="223"/>
        <v>Y</v>
      </c>
      <c r="LA66" s="174" t="str">
        <f t="shared" si="223"/>
        <v>Y</v>
      </c>
      <c r="LB66" s="174" t="str">
        <f t="shared" si="223"/>
        <v>Y</v>
      </c>
      <c r="LC66" s="174" t="str">
        <f t="shared" si="223"/>
        <v>Y</v>
      </c>
      <c r="LD66" s="174" t="str">
        <f t="shared" si="223"/>
        <v>Y</v>
      </c>
      <c r="LE66" s="174" t="str">
        <f t="shared" si="223"/>
        <v>Y</v>
      </c>
      <c r="LF66" s="174" t="str">
        <f t="shared" si="223"/>
        <v>Y</v>
      </c>
    </row>
    <row r="67" spans="1:318" s="172" customFormat="1" ht="13.5" thickTop="1" x14ac:dyDescent="0.2">
      <c r="A67" s="35"/>
      <c r="B67" s="93"/>
      <c r="C67" s="94"/>
      <c r="D67" s="94"/>
      <c r="E67" s="93"/>
      <c r="F67" s="93"/>
      <c r="G67" s="93"/>
      <c r="H67" s="93"/>
      <c r="I67" s="93"/>
      <c r="J67" s="93"/>
      <c r="K67" s="93"/>
      <c r="L67" s="93"/>
      <c r="M67" s="93"/>
      <c r="N67" s="93"/>
      <c r="O67" s="93"/>
      <c r="P67" s="93"/>
      <c r="Q67" s="93"/>
      <c r="R67" s="93"/>
      <c r="S67" s="93"/>
      <c r="T67" s="93"/>
      <c r="U67" s="93"/>
      <c r="V67" s="93"/>
      <c r="W67" s="93"/>
      <c r="X67" s="283"/>
      <c r="Y67" s="93"/>
      <c r="Z67" s="93"/>
      <c r="AA67" s="93"/>
      <c r="AB67" s="93"/>
      <c r="AC67" s="93"/>
      <c r="AD67" s="93"/>
      <c r="AE67" s="93"/>
      <c r="AF67" s="93"/>
      <c r="AG67" s="93"/>
      <c r="AH67" s="93"/>
      <c r="AI67" s="93"/>
      <c r="AJ67" s="93"/>
      <c r="AK67" s="93"/>
      <c r="AL67" s="3"/>
      <c r="AM67" s="7"/>
      <c r="AN67" s="13"/>
      <c r="AO67" s="7"/>
      <c r="AP67" s="7"/>
      <c r="AQ67" s="7"/>
      <c r="AR67" s="7"/>
      <c r="AS67" s="7"/>
      <c r="AT67" s="7"/>
      <c r="AU67" s="7"/>
      <c r="AV67" s="7"/>
      <c r="AW67" s="7"/>
      <c r="AX67" s="7"/>
      <c r="AY67" s="7"/>
      <c r="AZ67" s="7"/>
      <c r="BA67" s="7"/>
      <c r="BB67" s="7"/>
      <c r="BC67" s="7"/>
      <c r="BD67" s="7"/>
      <c r="BE67" s="7"/>
      <c r="BF67" s="7"/>
      <c r="BG67" s="7"/>
      <c r="BH67" s="7"/>
      <c r="BI67" s="7"/>
      <c r="BJ67" s="7"/>
      <c r="BK67" s="7"/>
      <c r="BL67" s="7"/>
      <c r="BM67" s="104"/>
      <c r="BO67" s="174"/>
      <c r="BP67" s="174">
        <v>2086</v>
      </c>
      <c r="BQ67" s="179" t="s">
        <v>78</v>
      </c>
      <c r="BR67" s="174"/>
      <c r="BS67" s="174"/>
      <c r="BT67" s="248" t="s">
        <v>1172</v>
      </c>
      <c r="BU67" s="174">
        <f>ROWS(BU17:BU23)-COUNTIF(BU17:BU23,"")</f>
        <v>0</v>
      </c>
      <c r="BV67" s="174">
        <f t="shared" ref="BV67:BX67" si="224">ROWS(BV17:BV23)-COUNTIF(BV17:BV23,"")</f>
        <v>0</v>
      </c>
      <c r="BW67" s="174">
        <f t="shared" si="224"/>
        <v>0</v>
      </c>
      <c r="BX67" s="174">
        <f t="shared" si="224"/>
        <v>0</v>
      </c>
      <c r="BY67" s="174">
        <f t="shared" ref="BY67:CW67" si="225">ROWS(BY17:BY23)-COUNTIF(BY17:BY23,"")</f>
        <v>0</v>
      </c>
      <c r="BZ67" s="174">
        <f t="shared" si="225"/>
        <v>0</v>
      </c>
      <c r="CA67" s="174">
        <f t="shared" si="225"/>
        <v>0</v>
      </c>
      <c r="CB67" s="174">
        <f t="shared" si="225"/>
        <v>0</v>
      </c>
      <c r="CC67" s="174">
        <f t="shared" si="225"/>
        <v>0</v>
      </c>
      <c r="CD67" s="174">
        <f t="shared" si="225"/>
        <v>0</v>
      </c>
      <c r="CE67" s="174">
        <f t="shared" si="225"/>
        <v>0</v>
      </c>
      <c r="CF67" s="174">
        <f t="shared" si="225"/>
        <v>0</v>
      </c>
      <c r="CG67" s="174">
        <f t="shared" si="225"/>
        <v>0</v>
      </c>
      <c r="CH67" s="174">
        <f t="shared" si="225"/>
        <v>0</v>
      </c>
      <c r="CI67" s="174">
        <f t="shared" si="225"/>
        <v>0</v>
      </c>
      <c r="CJ67" s="174">
        <f t="shared" si="225"/>
        <v>0</v>
      </c>
      <c r="CK67" s="174">
        <f t="shared" si="225"/>
        <v>0</v>
      </c>
      <c r="CL67" s="174">
        <f t="shared" si="225"/>
        <v>0</v>
      </c>
      <c r="CM67" s="174">
        <f t="shared" si="225"/>
        <v>0</v>
      </c>
      <c r="CN67" s="174">
        <f t="shared" si="225"/>
        <v>0</v>
      </c>
      <c r="CO67" s="174">
        <f t="shared" si="225"/>
        <v>0</v>
      </c>
      <c r="CP67" s="174">
        <f t="shared" si="225"/>
        <v>0</v>
      </c>
      <c r="CQ67" s="174">
        <f t="shared" si="225"/>
        <v>0</v>
      </c>
      <c r="CR67" s="174">
        <f t="shared" si="225"/>
        <v>0</v>
      </c>
      <c r="CS67" s="174">
        <f t="shared" si="225"/>
        <v>0</v>
      </c>
      <c r="CT67" s="174">
        <f t="shared" si="225"/>
        <v>0</v>
      </c>
      <c r="CU67" s="174">
        <f t="shared" si="225"/>
        <v>0</v>
      </c>
      <c r="CV67" s="174">
        <f t="shared" si="225"/>
        <v>0</v>
      </c>
      <c r="CW67" s="174">
        <f t="shared" si="225"/>
        <v>0</v>
      </c>
      <c r="CY67" s="175"/>
      <c r="CZ67" s="175"/>
      <c r="DA67" s="175"/>
      <c r="DB67" s="175"/>
      <c r="DC67" s="175"/>
      <c r="DD67" s="175"/>
      <c r="DE67" s="175"/>
      <c r="DF67" s="175"/>
      <c r="DG67" s="175"/>
      <c r="DH67" s="175"/>
      <c r="DI67" s="175"/>
      <c r="DJ67" s="175"/>
      <c r="DK67" s="175"/>
      <c r="DL67" s="175"/>
      <c r="DM67" s="175"/>
      <c r="DN67" s="175"/>
      <c r="DO67" s="175"/>
      <c r="DP67" s="175"/>
      <c r="DQ67" s="175"/>
      <c r="DR67" s="175"/>
      <c r="DS67" s="175"/>
      <c r="DT67" s="175"/>
      <c r="DU67" s="175"/>
      <c r="DV67" s="175"/>
      <c r="DW67" s="175"/>
      <c r="DX67" s="175"/>
      <c r="DY67" s="175"/>
      <c r="DZ67" s="175"/>
      <c r="EA67" s="175"/>
      <c r="EB67" s="176"/>
      <c r="GJ67" s="176"/>
      <c r="GK67" s="206"/>
      <c r="GL67" s="206"/>
      <c r="GM67" s="206"/>
      <c r="GN67" s="206"/>
      <c r="GO67" s="206"/>
      <c r="GP67" s="206"/>
      <c r="GQ67" s="206"/>
      <c r="GR67" s="206"/>
      <c r="GS67" s="206"/>
      <c r="GT67" s="206"/>
      <c r="GU67" s="206"/>
      <c r="GV67" s="206"/>
      <c r="GW67" s="206"/>
      <c r="GX67" s="206"/>
      <c r="GY67" s="206"/>
      <c r="GZ67" s="206"/>
      <c r="HA67" s="206"/>
      <c r="HB67" s="206"/>
      <c r="HC67" s="206"/>
      <c r="HD67" s="206"/>
      <c r="HE67" s="206"/>
      <c r="HF67" s="206"/>
      <c r="HG67" s="206"/>
      <c r="HH67" s="206"/>
      <c r="HI67" s="206"/>
      <c r="HJ67" s="206"/>
      <c r="HK67" s="206"/>
      <c r="HL67" s="206"/>
      <c r="HM67" s="206"/>
      <c r="HN67" s="174" t="s">
        <v>1088</v>
      </c>
      <c r="HO67" s="174"/>
      <c r="HP67" s="174"/>
      <c r="HQ67" s="174"/>
      <c r="HR67" s="174"/>
      <c r="HS67" s="174"/>
      <c r="HT67" s="174"/>
      <c r="HU67" s="174"/>
      <c r="HV67" s="174"/>
      <c r="HW67" s="174"/>
      <c r="HX67" s="174"/>
      <c r="HY67" s="174"/>
      <c r="HZ67" s="174"/>
      <c r="IA67" s="174"/>
      <c r="IB67" s="174"/>
      <c r="IC67" s="174"/>
      <c r="ID67" s="174"/>
      <c r="IE67" s="174"/>
      <c r="IF67" s="174"/>
      <c r="IG67" s="174"/>
      <c r="IH67" s="174"/>
      <c r="II67" s="174"/>
      <c r="IJ67" s="174"/>
      <c r="IK67" s="174"/>
      <c r="IL67" s="174"/>
      <c r="IM67" s="174"/>
      <c r="IN67" s="174"/>
      <c r="IO67" s="174"/>
      <c r="IP67" s="174"/>
      <c r="IQ67" s="174"/>
      <c r="IR67" s="174"/>
      <c r="IS67" s="174"/>
      <c r="IT67" s="174"/>
      <c r="IU67" s="174"/>
      <c r="IX67" s="174"/>
      <c r="IY67" s="174"/>
      <c r="IZ67" s="174"/>
      <c r="JA67" s="174"/>
      <c r="JB67" s="174"/>
      <c r="JC67" s="174"/>
      <c r="JD67" s="174"/>
      <c r="JE67" s="174"/>
      <c r="JF67" s="174"/>
      <c r="JG67" s="174"/>
      <c r="JH67" s="174"/>
      <c r="JI67" s="174"/>
      <c r="JJ67" s="174"/>
      <c r="JK67" s="174"/>
      <c r="JL67" s="174"/>
      <c r="JM67" s="174"/>
      <c r="JN67" s="174"/>
      <c r="JO67" s="174"/>
      <c r="JP67" s="174"/>
      <c r="JQ67" s="174"/>
      <c r="JR67" s="174"/>
      <c r="JS67" s="174"/>
      <c r="JT67" s="174"/>
      <c r="JU67" s="174"/>
      <c r="JV67" s="174"/>
      <c r="JW67" s="174"/>
      <c r="JX67" s="174"/>
      <c r="JY67" s="174"/>
      <c r="JZ67" s="174"/>
      <c r="KA67" s="174"/>
      <c r="KB67" s="176"/>
      <c r="KC67" s="248" t="s">
        <v>1189</v>
      </c>
      <c r="KD67" s="256" t="e">
        <f t="shared" ref="KD67:LF67" ca="1" si="226">IF(KD53="Y",KD66,IF(BU54="Y","Y",IF(EC27="Y","Y")))</f>
        <v>#VALUE!</v>
      </c>
      <c r="KE67" s="174" t="e">
        <f t="shared" ca="1" si="226"/>
        <v>#VALUE!</v>
      </c>
      <c r="KF67" s="174" t="e">
        <f t="shared" ca="1" si="226"/>
        <v>#VALUE!</v>
      </c>
      <c r="KG67" s="174" t="e">
        <f t="shared" ca="1" si="226"/>
        <v>#VALUE!</v>
      </c>
      <c r="KH67" s="174" t="e">
        <f t="shared" ca="1" si="226"/>
        <v>#VALUE!</v>
      </c>
      <c r="KI67" s="174" t="e">
        <f t="shared" ca="1" si="226"/>
        <v>#VALUE!</v>
      </c>
      <c r="KJ67" s="174" t="e">
        <f t="shared" ca="1" si="226"/>
        <v>#VALUE!</v>
      </c>
      <c r="KK67" s="174" t="e">
        <f t="shared" ca="1" si="226"/>
        <v>#VALUE!</v>
      </c>
      <c r="KL67" s="174" t="e">
        <f t="shared" ca="1" si="226"/>
        <v>#VALUE!</v>
      </c>
      <c r="KM67" s="174" t="e">
        <f t="shared" ca="1" si="226"/>
        <v>#VALUE!</v>
      </c>
      <c r="KN67" s="174" t="e">
        <f t="shared" ca="1" si="226"/>
        <v>#VALUE!</v>
      </c>
      <c r="KO67" s="174" t="e">
        <f t="shared" ca="1" si="226"/>
        <v>#VALUE!</v>
      </c>
      <c r="KP67" s="174" t="e">
        <f t="shared" ca="1" si="226"/>
        <v>#VALUE!</v>
      </c>
      <c r="KQ67" s="174" t="e">
        <f t="shared" ca="1" si="226"/>
        <v>#VALUE!</v>
      </c>
      <c r="KR67" s="174" t="e">
        <f t="shared" ca="1" si="226"/>
        <v>#VALUE!</v>
      </c>
      <c r="KS67" s="174" t="e">
        <f t="shared" ca="1" si="226"/>
        <v>#VALUE!</v>
      </c>
      <c r="KT67" s="174" t="e">
        <f t="shared" ca="1" si="226"/>
        <v>#VALUE!</v>
      </c>
      <c r="KU67" s="174" t="e">
        <f t="shared" ca="1" si="226"/>
        <v>#VALUE!</v>
      </c>
      <c r="KV67" s="174" t="e">
        <f t="shared" ca="1" si="226"/>
        <v>#VALUE!</v>
      </c>
      <c r="KW67" s="174" t="e">
        <f t="shared" ca="1" si="226"/>
        <v>#VALUE!</v>
      </c>
      <c r="KX67" s="174" t="e">
        <f t="shared" ca="1" si="226"/>
        <v>#VALUE!</v>
      </c>
      <c r="KY67" s="174" t="e">
        <f t="shared" ca="1" si="226"/>
        <v>#VALUE!</v>
      </c>
      <c r="KZ67" s="174" t="e">
        <f t="shared" ca="1" si="226"/>
        <v>#VALUE!</v>
      </c>
      <c r="LA67" s="174" t="e">
        <f t="shared" ca="1" si="226"/>
        <v>#VALUE!</v>
      </c>
      <c r="LB67" s="174" t="e">
        <f t="shared" ca="1" si="226"/>
        <v>#VALUE!</v>
      </c>
      <c r="LC67" s="174" t="e">
        <f t="shared" ca="1" si="226"/>
        <v>#VALUE!</v>
      </c>
      <c r="LD67" s="174" t="e">
        <f t="shared" ca="1" si="226"/>
        <v>#VALUE!</v>
      </c>
      <c r="LE67" s="174" t="e">
        <f t="shared" ca="1" si="226"/>
        <v>#VALUE!</v>
      </c>
      <c r="LF67" s="174" t="e">
        <f t="shared" ca="1" si="226"/>
        <v>#VALUE!</v>
      </c>
    </row>
    <row r="68" spans="1:318" s="172" customFormat="1" ht="12.75" customHeight="1" x14ac:dyDescent="0.2">
      <c r="A68" s="35"/>
      <c r="B68" s="435"/>
      <c r="C68" s="435"/>
      <c r="D68" s="435"/>
      <c r="E68" s="435"/>
      <c r="F68" s="95" t="s">
        <v>1078</v>
      </c>
      <c r="G68" s="95"/>
      <c r="H68" s="434"/>
      <c r="I68" s="434"/>
      <c r="J68" s="434"/>
      <c r="K68" s="434"/>
      <c r="L68" s="434"/>
      <c r="M68" s="434"/>
      <c r="N68" s="96"/>
      <c r="O68" s="97" t="s">
        <v>1079</v>
      </c>
      <c r="P68" s="433"/>
      <c r="Q68" s="433"/>
      <c r="R68" s="433"/>
      <c r="S68" s="433"/>
      <c r="T68" s="433"/>
      <c r="U68" s="433"/>
      <c r="V68" s="44"/>
      <c r="W68" s="97"/>
      <c r="X68" s="284"/>
      <c r="Y68" s="96"/>
      <c r="Z68" s="96"/>
      <c r="AA68" s="96"/>
      <c r="AB68" s="96"/>
      <c r="AC68" s="96"/>
      <c r="AD68" s="96"/>
      <c r="AE68" s="96"/>
      <c r="AF68" s="96"/>
      <c r="AG68" s="96"/>
      <c r="AH68" s="98"/>
      <c r="AI68" s="98"/>
      <c r="AJ68" s="98"/>
      <c r="AK68" s="98"/>
      <c r="AL68" s="3"/>
      <c r="AM68" s="7"/>
      <c r="AN68" s="13"/>
      <c r="AO68" s="7"/>
      <c r="AP68" s="7"/>
      <c r="AQ68" s="7"/>
      <c r="AR68" s="7"/>
      <c r="AS68" s="7"/>
      <c r="AT68" s="7"/>
      <c r="AU68" s="7"/>
      <c r="AV68" s="7"/>
      <c r="AW68" s="7"/>
      <c r="AX68" s="7"/>
      <c r="AY68" s="7"/>
      <c r="AZ68" s="7"/>
      <c r="BA68" s="7"/>
      <c r="BB68" s="7"/>
      <c r="BC68" s="7"/>
      <c r="BD68" s="7"/>
      <c r="BE68" s="7"/>
      <c r="BF68" s="7"/>
      <c r="BG68" s="7"/>
      <c r="BH68" s="7"/>
      <c r="BI68" s="7"/>
      <c r="BJ68" s="7"/>
      <c r="BK68" s="7"/>
      <c r="BL68" s="7"/>
      <c r="BM68" s="104"/>
      <c r="BO68" s="174"/>
      <c r="BP68" s="174">
        <v>2087</v>
      </c>
      <c r="BQ68" s="179" t="s">
        <v>1162</v>
      </c>
      <c r="BR68" s="174"/>
      <c r="BS68" s="174"/>
      <c r="BT68" s="255" t="s">
        <v>1173</v>
      </c>
      <c r="BU68" s="174" t="str">
        <f>IF(BU67&gt;0,IF(BU67=(BU57+(BU67*0.01)),"Y","N"),"")</f>
        <v/>
      </c>
      <c r="BV68" s="174" t="str">
        <f t="shared" ref="BV68:BX68" si="227">IF(BV67&gt;0,IF(BV67=(BV57+(BV67*0.01)),"Y","N"),"")</f>
        <v/>
      </c>
      <c r="BW68" s="174" t="str">
        <f t="shared" si="227"/>
        <v/>
      </c>
      <c r="BX68" s="174" t="str">
        <f t="shared" si="227"/>
        <v/>
      </c>
      <c r="BY68" s="174" t="str">
        <f t="shared" ref="BY68:CW68" si="228">IF(BY67&gt;0,IF(BY67=(BY57+(BY67*0.01)),"Y","N"),"")</f>
        <v/>
      </c>
      <c r="BZ68" s="174" t="str">
        <f t="shared" si="228"/>
        <v/>
      </c>
      <c r="CA68" s="174" t="str">
        <f t="shared" si="228"/>
        <v/>
      </c>
      <c r="CB68" s="174" t="str">
        <f t="shared" si="228"/>
        <v/>
      </c>
      <c r="CC68" s="174" t="str">
        <f t="shared" si="228"/>
        <v/>
      </c>
      <c r="CD68" s="174" t="str">
        <f t="shared" si="228"/>
        <v/>
      </c>
      <c r="CE68" s="174" t="str">
        <f t="shared" si="228"/>
        <v/>
      </c>
      <c r="CF68" s="174" t="str">
        <f t="shared" si="228"/>
        <v/>
      </c>
      <c r="CG68" s="174" t="str">
        <f t="shared" si="228"/>
        <v/>
      </c>
      <c r="CH68" s="174" t="str">
        <f t="shared" si="228"/>
        <v/>
      </c>
      <c r="CI68" s="174" t="str">
        <f t="shared" si="228"/>
        <v/>
      </c>
      <c r="CJ68" s="174" t="str">
        <f t="shared" si="228"/>
        <v/>
      </c>
      <c r="CK68" s="174" t="str">
        <f t="shared" si="228"/>
        <v/>
      </c>
      <c r="CL68" s="174" t="str">
        <f t="shared" si="228"/>
        <v/>
      </c>
      <c r="CM68" s="174" t="str">
        <f t="shared" si="228"/>
        <v/>
      </c>
      <c r="CN68" s="174" t="str">
        <f t="shared" si="228"/>
        <v/>
      </c>
      <c r="CO68" s="174" t="str">
        <f t="shared" si="228"/>
        <v/>
      </c>
      <c r="CP68" s="174" t="str">
        <f t="shared" si="228"/>
        <v/>
      </c>
      <c r="CQ68" s="174" t="str">
        <f t="shared" si="228"/>
        <v/>
      </c>
      <c r="CR68" s="174" t="str">
        <f t="shared" si="228"/>
        <v/>
      </c>
      <c r="CS68" s="174" t="str">
        <f t="shared" si="228"/>
        <v/>
      </c>
      <c r="CT68" s="174" t="str">
        <f t="shared" si="228"/>
        <v/>
      </c>
      <c r="CU68" s="174" t="str">
        <f t="shared" si="228"/>
        <v/>
      </c>
      <c r="CV68" s="174" t="str">
        <f t="shared" si="228"/>
        <v/>
      </c>
      <c r="CW68" s="174" t="str">
        <f t="shared" si="228"/>
        <v/>
      </c>
      <c r="CY68" s="175"/>
      <c r="CZ68" s="175"/>
      <c r="DA68" s="175"/>
      <c r="DB68" s="175"/>
      <c r="DC68" s="175"/>
      <c r="DD68" s="175"/>
      <c r="DE68" s="175"/>
      <c r="DF68" s="175"/>
      <c r="DG68" s="175"/>
      <c r="DH68" s="175"/>
      <c r="DI68" s="175"/>
      <c r="DJ68" s="175"/>
      <c r="DK68" s="175"/>
      <c r="DL68" s="175"/>
      <c r="DM68" s="175"/>
      <c r="DN68" s="175"/>
      <c r="DO68" s="175"/>
      <c r="DP68" s="175"/>
      <c r="DQ68" s="175"/>
      <c r="DR68" s="175"/>
      <c r="DS68" s="175"/>
      <c r="DT68" s="175"/>
      <c r="DU68" s="175"/>
      <c r="DV68" s="175"/>
      <c r="DW68" s="175"/>
      <c r="DX68" s="175"/>
      <c r="DY68" s="175"/>
      <c r="DZ68" s="175"/>
      <c r="EA68" s="175"/>
      <c r="EB68" s="176"/>
      <c r="GJ68" s="261"/>
      <c r="GK68" s="206"/>
      <c r="GL68" s="206"/>
      <c r="GM68" s="206"/>
      <c r="GN68" s="206"/>
      <c r="GO68" s="206"/>
      <c r="GP68" s="206"/>
      <c r="GQ68" s="206"/>
      <c r="GR68" s="206"/>
      <c r="GS68" s="206"/>
      <c r="GT68" s="206"/>
      <c r="GU68" s="206"/>
      <c r="GV68" s="206"/>
      <c r="GW68" s="206"/>
      <c r="GX68" s="206"/>
      <c r="GY68" s="206"/>
      <c r="GZ68" s="206"/>
      <c r="HA68" s="206"/>
      <c r="HB68" s="206"/>
      <c r="HC68" s="206"/>
      <c r="HD68" s="206"/>
      <c r="HE68" s="206"/>
      <c r="HF68" s="206"/>
      <c r="HG68" s="206"/>
      <c r="HH68" s="206"/>
      <c r="HI68" s="206"/>
      <c r="HJ68" s="206"/>
      <c r="HK68" s="206"/>
      <c r="HL68" s="206"/>
      <c r="HM68" s="206"/>
      <c r="HN68" s="174" t="str">
        <f>IF(SUM(G17:G23)&gt;0,AVERAGE(G17:G23),"")</f>
        <v/>
      </c>
      <c r="HO68" s="174"/>
      <c r="HP68" s="174"/>
      <c r="HQ68" s="174"/>
      <c r="HR68" s="174"/>
      <c r="HS68" s="174"/>
      <c r="HT68" s="174"/>
      <c r="HU68" s="174"/>
      <c r="HV68" s="174"/>
      <c r="HW68" s="174"/>
      <c r="HX68" s="174"/>
      <c r="HY68" s="174"/>
      <c r="HZ68" s="174"/>
      <c r="IA68" s="174"/>
      <c r="IB68" s="174"/>
      <c r="IC68" s="174"/>
      <c r="ID68" s="174"/>
      <c r="IE68" s="174"/>
      <c r="IF68" s="174"/>
      <c r="IG68" s="174"/>
      <c r="IH68" s="174"/>
      <c r="II68" s="174"/>
      <c r="IJ68" s="174"/>
      <c r="IK68" s="174"/>
      <c r="IL68" s="174"/>
      <c r="IM68" s="174"/>
      <c r="IN68" s="174"/>
      <c r="IO68" s="174"/>
      <c r="IP68" s="174"/>
      <c r="IQ68" s="174"/>
      <c r="IR68" s="174"/>
      <c r="IS68" s="174"/>
      <c r="IT68" s="174"/>
      <c r="IU68" s="174"/>
      <c r="IX68" s="174"/>
      <c r="IY68" s="174"/>
      <c r="IZ68" s="174"/>
      <c r="JA68" s="174"/>
      <c r="JB68" s="174"/>
      <c r="JC68" s="174"/>
      <c r="JD68" s="174"/>
      <c r="JE68" s="174"/>
      <c r="JF68" s="174"/>
      <c r="JG68" s="174"/>
      <c r="JH68" s="174"/>
      <c r="JI68" s="174"/>
      <c r="JJ68" s="174"/>
      <c r="JK68" s="174"/>
      <c r="JL68" s="174"/>
      <c r="JM68" s="174"/>
      <c r="JN68" s="174"/>
      <c r="JO68" s="174"/>
      <c r="JP68" s="174"/>
      <c r="JQ68" s="174"/>
      <c r="JR68" s="174"/>
      <c r="JS68" s="174"/>
      <c r="JT68" s="174"/>
      <c r="JU68" s="174"/>
      <c r="JV68" s="174"/>
      <c r="JW68" s="174"/>
      <c r="JX68" s="174"/>
      <c r="JY68" s="174"/>
      <c r="JZ68" s="174"/>
      <c r="KA68" s="174"/>
      <c r="KB68" s="176"/>
      <c r="KC68" s="248" t="s">
        <v>1190</v>
      </c>
      <c r="KD68" s="174">
        <f t="shared" ref="KD68:LF68" si="229">IF(EC36=EC31,1,IF(EC36=EC32,2,IF(EC36=EC33,3,IF(EC36=EC34,4,IF(EC36=EC35,5)))))</f>
        <v>1</v>
      </c>
      <c r="KE68" s="174">
        <f t="shared" si="229"/>
        <v>1</v>
      </c>
      <c r="KF68" s="174">
        <f t="shared" si="229"/>
        <v>1</v>
      </c>
      <c r="KG68" s="174">
        <f t="shared" si="229"/>
        <v>1</v>
      </c>
      <c r="KH68" s="174">
        <f t="shared" si="229"/>
        <v>1</v>
      </c>
      <c r="KI68" s="174">
        <f t="shared" si="229"/>
        <v>1</v>
      </c>
      <c r="KJ68" s="174">
        <f t="shared" si="229"/>
        <v>1</v>
      </c>
      <c r="KK68" s="174">
        <f t="shared" si="229"/>
        <v>1</v>
      </c>
      <c r="KL68" s="174">
        <f t="shared" si="229"/>
        <v>1</v>
      </c>
      <c r="KM68" s="174">
        <f t="shared" si="229"/>
        <v>1</v>
      </c>
      <c r="KN68" s="174">
        <f t="shared" si="229"/>
        <v>1</v>
      </c>
      <c r="KO68" s="174">
        <f t="shared" si="229"/>
        <v>1</v>
      </c>
      <c r="KP68" s="174">
        <f t="shared" si="229"/>
        <v>1</v>
      </c>
      <c r="KQ68" s="174">
        <f t="shared" si="229"/>
        <v>1</v>
      </c>
      <c r="KR68" s="174">
        <f t="shared" si="229"/>
        <v>1</v>
      </c>
      <c r="KS68" s="174">
        <f t="shared" si="229"/>
        <v>1</v>
      </c>
      <c r="KT68" s="174">
        <f t="shared" si="229"/>
        <v>1</v>
      </c>
      <c r="KU68" s="174">
        <f t="shared" si="229"/>
        <v>1</v>
      </c>
      <c r="KV68" s="174">
        <f t="shared" si="229"/>
        <v>1</v>
      </c>
      <c r="KW68" s="174">
        <f t="shared" si="229"/>
        <v>1</v>
      </c>
      <c r="KX68" s="174">
        <f t="shared" si="229"/>
        <v>1</v>
      </c>
      <c r="KY68" s="174">
        <f t="shared" si="229"/>
        <v>1</v>
      </c>
      <c r="KZ68" s="174">
        <f t="shared" si="229"/>
        <v>1</v>
      </c>
      <c r="LA68" s="174">
        <f t="shared" si="229"/>
        <v>1</v>
      </c>
      <c r="LB68" s="174">
        <f t="shared" si="229"/>
        <v>1</v>
      </c>
      <c r="LC68" s="174">
        <f t="shared" si="229"/>
        <v>1</v>
      </c>
      <c r="LD68" s="174">
        <f t="shared" si="229"/>
        <v>1</v>
      </c>
      <c r="LE68" s="174">
        <f t="shared" si="229"/>
        <v>1</v>
      </c>
      <c r="LF68" s="174">
        <f t="shared" si="229"/>
        <v>1</v>
      </c>
    </row>
    <row r="69" spans="1:318" s="172" customFormat="1" ht="12.75" customHeight="1" x14ac:dyDescent="0.2">
      <c r="A69" s="35"/>
      <c r="B69" s="435"/>
      <c r="C69" s="435"/>
      <c r="D69" s="435"/>
      <c r="E69" s="435"/>
      <c r="F69" s="97" t="s">
        <v>1080</v>
      </c>
      <c r="G69" s="97"/>
      <c r="H69" s="441"/>
      <c r="I69" s="441"/>
      <c r="J69" s="441"/>
      <c r="K69" s="441"/>
      <c r="L69" s="441"/>
      <c r="M69" s="441"/>
      <c r="N69" s="96"/>
      <c r="O69" s="97" t="s">
        <v>1081</v>
      </c>
      <c r="P69" s="427"/>
      <c r="Q69" s="427"/>
      <c r="R69" s="427"/>
      <c r="S69" s="427"/>
      <c r="T69" s="427"/>
      <c r="U69" s="427"/>
      <c r="V69" s="44"/>
      <c r="W69" s="97"/>
      <c r="X69" s="284"/>
      <c r="Y69" s="108"/>
      <c r="Z69" s="96"/>
      <c r="AA69" s="96"/>
      <c r="AB69" s="96"/>
      <c r="AC69" s="96"/>
      <c r="AD69" s="96"/>
      <c r="AE69" s="96"/>
      <c r="AF69" s="96"/>
      <c r="AG69" s="96"/>
      <c r="AH69" s="98"/>
      <c r="AI69" s="98"/>
      <c r="AJ69" s="98"/>
      <c r="AK69" s="98"/>
      <c r="AL69" s="3"/>
      <c r="AM69" s="7"/>
      <c r="AN69" s="13"/>
      <c r="AO69" s="7"/>
      <c r="AP69" s="7"/>
      <c r="AQ69" s="7"/>
      <c r="AR69" s="7"/>
      <c r="AS69" s="7"/>
      <c r="AT69" s="7"/>
      <c r="AU69" s="7"/>
      <c r="AV69" s="7"/>
      <c r="AW69" s="7"/>
      <c r="AX69" s="7"/>
      <c r="AY69" s="7"/>
      <c r="AZ69" s="7"/>
      <c r="BA69" s="7"/>
      <c r="BB69" s="7"/>
      <c r="BC69" s="7"/>
      <c r="BD69" s="7"/>
      <c r="BE69" s="7"/>
      <c r="BF69" s="7"/>
      <c r="BG69" s="7"/>
      <c r="BH69" s="7"/>
      <c r="BI69" s="7"/>
      <c r="BJ69" s="7"/>
      <c r="BK69" s="7"/>
      <c r="BL69" s="7"/>
      <c r="BM69" s="104"/>
      <c r="BO69" s="174"/>
      <c r="BP69" s="174">
        <v>2088</v>
      </c>
      <c r="BQ69" s="174"/>
      <c r="BR69" s="174"/>
      <c r="BS69" s="174"/>
      <c r="BT69" s="248" t="s">
        <v>1174</v>
      </c>
      <c r="BU69" s="174">
        <f>ROWS(BU24:BU30)-COUNTIF(BU24:BU30,"")</f>
        <v>0</v>
      </c>
      <c r="BV69" s="174">
        <f t="shared" ref="BV69:BX69" si="230">ROWS(BV24:BV30)-COUNTIF(BV24:BV30,"")</f>
        <v>0</v>
      </c>
      <c r="BW69" s="174">
        <f t="shared" si="230"/>
        <v>0</v>
      </c>
      <c r="BX69" s="174">
        <f t="shared" si="230"/>
        <v>0</v>
      </c>
      <c r="BY69" s="174">
        <f t="shared" ref="BY69:CW69" si="231">ROWS(BY24:BY30)-COUNTIF(BY24:BY30,"")</f>
        <v>0</v>
      </c>
      <c r="BZ69" s="174">
        <f t="shared" si="231"/>
        <v>0</v>
      </c>
      <c r="CA69" s="174">
        <f t="shared" si="231"/>
        <v>0</v>
      </c>
      <c r="CB69" s="174">
        <f t="shared" si="231"/>
        <v>0</v>
      </c>
      <c r="CC69" s="174">
        <f t="shared" si="231"/>
        <v>0</v>
      </c>
      <c r="CD69" s="174">
        <f t="shared" si="231"/>
        <v>0</v>
      </c>
      <c r="CE69" s="174">
        <f t="shared" si="231"/>
        <v>0</v>
      </c>
      <c r="CF69" s="174">
        <f t="shared" si="231"/>
        <v>0</v>
      </c>
      <c r="CG69" s="174">
        <f t="shared" si="231"/>
        <v>0</v>
      </c>
      <c r="CH69" s="174">
        <f t="shared" si="231"/>
        <v>0</v>
      </c>
      <c r="CI69" s="174">
        <f t="shared" si="231"/>
        <v>0</v>
      </c>
      <c r="CJ69" s="174">
        <f t="shared" si="231"/>
        <v>0</v>
      </c>
      <c r="CK69" s="174">
        <f t="shared" si="231"/>
        <v>0</v>
      </c>
      <c r="CL69" s="174">
        <f t="shared" si="231"/>
        <v>0</v>
      </c>
      <c r="CM69" s="174">
        <f t="shared" si="231"/>
        <v>0</v>
      </c>
      <c r="CN69" s="174">
        <f t="shared" si="231"/>
        <v>0</v>
      </c>
      <c r="CO69" s="174">
        <f t="shared" si="231"/>
        <v>0</v>
      </c>
      <c r="CP69" s="174">
        <f t="shared" si="231"/>
        <v>0</v>
      </c>
      <c r="CQ69" s="174">
        <f t="shared" si="231"/>
        <v>0</v>
      </c>
      <c r="CR69" s="174">
        <f t="shared" si="231"/>
        <v>0</v>
      </c>
      <c r="CS69" s="174">
        <f t="shared" si="231"/>
        <v>0</v>
      </c>
      <c r="CT69" s="174">
        <f t="shared" si="231"/>
        <v>0</v>
      </c>
      <c r="CU69" s="174">
        <f t="shared" si="231"/>
        <v>0</v>
      </c>
      <c r="CV69" s="174">
        <f t="shared" si="231"/>
        <v>0</v>
      </c>
      <c r="CW69" s="174">
        <f t="shared" si="231"/>
        <v>0</v>
      </c>
      <c r="CY69" s="175"/>
      <c r="CZ69" s="175"/>
      <c r="DA69" s="175"/>
      <c r="DB69" s="175"/>
      <c r="DC69" s="175"/>
      <c r="DD69" s="175"/>
      <c r="DE69" s="175"/>
      <c r="DF69" s="175"/>
      <c r="DG69" s="175"/>
      <c r="DH69" s="175"/>
      <c r="DI69" s="175"/>
      <c r="DJ69" s="175"/>
      <c r="DK69" s="175"/>
      <c r="DL69" s="175"/>
      <c r="DM69" s="175"/>
      <c r="DN69" s="175"/>
      <c r="DO69" s="175"/>
      <c r="DP69" s="175"/>
      <c r="DQ69" s="175"/>
      <c r="DR69" s="175"/>
      <c r="DS69" s="175"/>
      <c r="DT69" s="175"/>
      <c r="DU69" s="175"/>
      <c r="DV69" s="175"/>
      <c r="DW69" s="175"/>
      <c r="DX69" s="175"/>
      <c r="DY69" s="175"/>
      <c r="DZ69" s="175"/>
      <c r="EA69" s="175"/>
      <c r="EB69" s="176"/>
      <c r="GJ69" s="261"/>
      <c r="GK69" s="206"/>
      <c r="GL69" s="206"/>
      <c r="GM69" s="206"/>
      <c r="GN69" s="206"/>
      <c r="GO69" s="206"/>
      <c r="GP69" s="206"/>
      <c r="GQ69" s="206"/>
      <c r="GR69" s="206"/>
      <c r="GS69" s="206"/>
      <c r="GT69" s="206"/>
      <c r="GU69" s="206"/>
      <c r="GV69" s="206"/>
      <c r="GW69" s="206"/>
      <c r="GX69" s="206"/>
      <c r="GY69" s="206"/>
      <c r="GZ69" s="206"/>
      <c r="HA69" s="206"/>
      <c r="HB69" s="206"/>
      <c r="HC69" s="206"/>
      <c r="HD69" s="206"/>
      <c r="HE69" s="206"/>
      <c r="HF69" s="206"/>
      <c r="HG69" s="206"/>
      <c r="HH69" s="206"/>
      <c r="HI69" s="206"/>
      <c r="HJ69" s="206"/>
      <c r="HK69" s="206"/>
      <c r="HL69" s="206"/>
      <c r="HM69" s="206"/>
      <c r="HN69" s="174" t="str">
        <f>IF(SUM(G24:G30)&gt;0,AVERAGE(G24:G30),"")</f>
        <v/>
      </c>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X69" s="174"/>
      <c r="IY69" s="174"/>
      <c r="IZ69" s="174"/>
      <c r="JA69" s="174"/>
      <c r="JB69" s="174"/>
      <c r="JC69" s="174"/>
      <c r="JD69" s="174"/>
      <c r="JE69" s="174"/>
      <c r="JF69" s="174"/>
      <c r="JG69" s="174"/>
      <c r="JH69" s="174"/>
      <c r="JI69" s="174"/>
      <c r="JJ69" s="174"/>
      <c r="JK69" s="174"/>
      <c r="JL69" s="174"/>
      <c r="JM69" s="174"/>
      <c r="JN69" s="174"/>
      <c r="JO69" s="174"/>
      <c r="JP69" s="174"/>
      <c r="JQ69" s="174"/>
      <c r="JR69" s="174"/>
      <c r="JS69" s="174"/>
      <c r="JT69" s="174"/>
      <c r="JU69" s="174"/>
      <c r="JV69" s="174"/>
      <c r="JW69" s="174"/>
      <c r="JX69" s="174"/>
      <c r="JY69" s="174"/>
      <c r="JZ69" s="174"/>
      <c r="KA69" s="174"/>
      <c r="KB69" s="176"/>
      <c r="KC69" s="248" t="s">
        <v>1186</v>
      </c>
      <c r="KD69" s="174">
        <f t="shared" ref="KD69:LF69" si="232">IF(KD68=1,COUNTIF(KD17:KD23,"A"),IF(KD68=2,COUNTIF(KD24:KD30,"A"),IF(KD68=3,COUNTIF(KD31:KD37,"A"),IF(KD68=4,COUNTIF(KD38:KD44,"A"),COUNTIF(KD45:KD51,"A")))))</f>
        <v>0</v>
      </c>
      <c r="KE69" s="256">
        <f t="shared" si="232"/>
        <v>0</v>
      </c>
      <c r="KF69" s="174">
        <f t="shared" si="232"/>
        <v>0</v>
      </c>
      <c r="KG69" s="174">
        <f t="shared" si="232"/>
        <v>0</v>
      </c>
      <c r="KH69" s="174">
        <f t="shared" si="232"/>
        <v>0</v>
      </c>
      <c r="KI69" s="174">
        <f t="shared" si="232"/>
        <v>0</v>
      </c>
      <c r="KJ69" s="174">
        <f t="shared" si="232"/>
        <v>0</v>
      </c>
      <c r="KK69" s="174">
        <f t="shared" si="232"/>
        <v>0</v>
      </c>
      <c r="KL69" s="174">
        <f t="shared" si="232"/>
        <v>0</v>
      </c>
      <c r="KM69" s="174">
        <f t="shared" si="232"/>
        <v>0</v>
      </c>
      <c r="KN69" s="174">
        <f t="shared" si="232"/>
        <v>0</v>
      </c>
      <c r="KO69" s="174">
        <f t="shared" si="232"/>
        <v>0</v>
      </c>
      <c r="KP69" s="174">
        <f t="shared" si="232"/>
        <v>0</v>
      </c>
      <c r="KQ69" s="174">
        <f t="shared" si="232"/>
        <v>0</v>
      </c>
      <c r="KR69" s="174">
        <f t="shared" si="232"/>
        <v>0</v>
      </c>
      <c r="KS69" s="174">
        <f t="shared" si="232"/>
        <v>0</v>
      </c>
      <c r="KT69" s="174">
        <f t="shared" si="232"/>
        <v>0</v>
      </c>
      <c r="KU69" s="174">
        <f t="shared" si="232"/>
        <v>0</v>
      </c>
      <c r="KV69" s="174">
        <f t="shared" si="232"/>
        <v>0</v>
      </c>
      <c r="KW69" s="174">
        <f t="shared" si="232"/>
        <v>0</v>
      </c>
      <c r="KX69" s="174">
        <f t="shared" si="232"/>
        <v>0</v>
      </c>
      <c r="KY69" s="174">
        <f t="shared" si="232"/>
        <v>0</v>
      </c>
      <c r="KZ69" s="174">
        <f t="shared" si="232"/>
        <v>0</v>
      </c>
      <c r="LA69" s="174">
        <f t="shared" si="232"/>
        <v>0</v>
      </c>
      <c r="LB69" s="174">
        <f t="shared" si="232"/>
        <v>0</v>
      </c>
      <c r="LC69" s="174">
        <f t="shared" si="232"/>
        <v>0</v>
      </c>
      <c r="LD69" s="174">
        <f t="shared" si="232"/>
        <v>0</v>
      </c>
      <c r="LE69" s="174">
        <f t="shared" si="232"/>
        <v>0</v>
      </c>
      <c r="LF69" s="174">
        <f t="shared" si="232"/>
        <v>0</v>
      </c>
    </row>
    <row r="70" spans="1:318" s="172" customFormat="1" ht="13.5" thickBot="1" x14ac:dyDescent="0.25">
      <c r="A70" s="35"/>
      <c r="B70" s="99"/>
      <c r="C70" s="73"/>
      <c r="D70" s="73"/>
      <c r="E70" s="99"/>
      <c r="F70" s="99"/>
      <c r="G70" s="99"/>
      <c r="H70" s="99"/>
      <c r="I70" s="99"/>
      <c r="J70" s="99"/>
      <c r="K70" s="99"/>
      <c r="L70" s="99"/>
      <c r="M70" s="99"/>
      <c r="N70" s="99"/>
      <c r="O70" s="99"/>
      <c r="P70" s="99"/>
      <c r="Q70" s="99"/>
      <c r="R70" s="99"/>
      <c r="S70" s="99"/>
      <c r="T70" s="99"/>
      <c r="U70" s="99"/>
      <c r="V70" s="99"/>
      <c r="W70" s="99"/>
      <c r="X70" s="285"/>
      <c r="Y70" s="99"/>
      <c r="Z70" s="99"/>
      <c r="AA70" s="99"/>
      <c r="AB70" s="99"/>
      <c r="AC70" s="99"/>
      <c r="AD70" s="99"/>
      <c r="AE70" s="99"/>
      <c r="AF70" s="99"/>
      <c r="AG70" s="99"/>
      <c r="AH70" s="99"/>
      <c r="AI70" s="99"/>
      <c r="AJ70" s="99"/>
      <c r="AK70" s="99"/>
      <c r="AL70" s="100"/>
      <c r="AM70" s="100"/>
      <c r="AN70" s="105"/>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7"/>
      <c r="BO70" s="174"/>
      <c r="BP70" s="174">
        <v>2089</v>
      </c>
      <c r="BQ70" s="174"/>
      <c r="BR70" s="174"/>
      <c r="BS70" s="174"/>
      <c r="BT70" s="255" t="s">
        <v>1175</v>
      </c>
      <c r="BU70" s="174" t="str">
        <f>IF(BU69&gt;0,IF(BU69=(BU59+(BU69*0.01)),"Y","N"),"")</f>
        <v/>
      </c>
      <c r="BV70" s="174" t="str">
        <f t="shared" ref="BV70:BX70" si="233">IF(BV69&gt;0,IF(BV69=(BV59+(BV69*0.01)),"Y","N"),"")</f>
        <v/>
      </c>
      <c r="BW70" s="174" t="str">
        <f t="shared" si="233"/>
        <v/>
      </c>
      <c r="BX70" s="174" t="str">
        <f t="shared" si="233"/>
        <v/>
      </c>
      <c r="BY70" s="174" t="str">
        <f t="shared" ref="BY70:CW70" si="234">IF(BY69&gt;0,IF(BY69=(BY59+(BY69*0.01)),"Y","N"),"")</f>
        <v/>
      </c>
      <c r="BZ70" s="174" t="str">
        <f t="shared" si="234"/>
        <v/>
      </c>
      <c r="CA70" s="174" t="str">
        <f t="shared" si="234"/>
        <v/>
      </c>
      <c r="CB70" s="174" t="str">
        <f t="shared" si="234"/>
        <v/>
      </c>
      <c r="CC70" s="174" t="str">
        <f t="shared" si="234"/>
        <v/>
      </c>
      <c r="CD70" s="174" t="str">
        <f t="shared" si="234"/>
        <v/>
      </c>
      <c r="CE70" s="174" t="str">
        <f t="shared" si="234"/>
        <v/>
      </c>
      <c r="CF70" s="174" t="str">
        <f t="shared" si="234"/>
        <v/>
      </c>
      <c r="CG70" s="174" t="str">
        <f t="shared" si="234"/>
        <v/>
      </c>
      <c r="CH70" s="174" t="str">
        <f t="shared" si="234"/>
        <v/>
      </c>
      <c r="CI70" s="174" t="str">
        <f t="shared" si="234"/>
        <v/>
      </c>
      <c r="CJ70" s="174" t="str">
        <f t="shared" si="234"/>
        <v/>
      </c>
      <c r="CK70" s="174" t="str">
        <f t="shared" si="234"/>
        <v/>
      </c>
      <c r="CL70" s="174" t="str">
        <f t="shared" si="234"/>
        <v/>
      </c>
      <c r="CM70" s="174" t="str">
        <f t="shared" si="234"/>
        <v/>
      </c>
      <c r="CN70" s="174" t="str">
        <f t="shared" si="234"/>
        <v/>
      </c>
      <c r="CO70" s="174" t="str">
        <f t="shared" si="234"/>
        <v/>
      </c>
      <c r="CP70" s="174" t="str">
        <f t="shared" si="234"/>
        <v/>
      </c>
      <c r="CQ70" s="174" t="str">
        <f t="shared" si="234"/>
        <v/>
      </c>
      <c r="CR70" s="174" t="str">
        <f t="shared" si="234"/>
        <v/>
      </c>
      <c r="CS70" s="174" t="str">
        <f t="shared" si="234"/>
        <v/>
      </c>
      <c r="CT70" s="174" t="str">
        <f t="shared" si="234"/>
        <v/>
      </c>
      <c r="CU70" s="174" t="str">
        <f t="shared" si="234"/>
        <v/>
      </c>
      <c r="CV70" s="174" t="str">
        <f t="shared" si="234"/>
        <v/>
      </c>
      <c r="CW70" s="174" t="str">
        <f t="shared" si="234"/>
        <v/>
      </c>
      <c r="CY70" s="175"/>
      <c r="CZ70" s="175"/>
      <c r="DA70" s="175"/>
      <c r="DB70" s="175"/>
      <c r="DC70" s="175"/>
      <c r="DD70" s="175"/>
      <c r="DE70" s="175"/>
      <c r="DF70" s="175"/>
      <c r="DG70" s="175"/>
      <c r="DH70" s="175"/>
      <c r="DI70" s="175"/>
      <c r="DJ70" s="175"/>
      <c r="DK70" s="175"/>
      <c r="DL70" s="175"/>
      <c r="DM70" s="175"/>
      <c r="DN70" s="175"/>
      <c r="DO70" s="175"/>
      <c r="DP70" s="175"/>
      <c r="DQ70" s="175"/>
      <c r="DR70" s="175"/>
      <c r="DS70" s="175"/>
      <c r="DT70" s="175"/>
      <c r="DU70" s="175"/>
      <c r="DV70" s="175"/>
      <c r="DW70" s="175"/>
      <c r="DX70" s="175"/>
      <c r="DY70" s="175"/>
      <c r="DZ70" s="175"/>
      <c r="EA70" s="175"/>
      <c r="EB70" s="176"/>
      <c r="GJ70" s="261"/>
      <c r="GK70" s="206"/>
      <c r="GL70" s="206"/>
      <c r="GM70" s="206"/>
      <c r="GN70" s="206"/>
      <c r="GO70" s="206"/>
      <c r="GP70" s="206"/>
      <c r="GQ70" s="206"/>
      <c r="GR70" s="206"/>
      <c r="GS70" s="206"/>
      <c r="GT70" s="206"/>
      <c r="GU70" s="206"/>
      <c r="GV70" s="206"/>
      <c r="GW70" s="206"/>
      <c r="GX70" s="206"/>
      <c r="GY70" s="206"/>
      <c r="GZ70" s="206"/>
      <c r="HA70" s="206"/>
      <c r="HB70" s="206"/>
      <c r="HC70" s="206"/>
      <c r="HD70" s="206"/>
      <c r="HE70" s="206"/>
      <c r="HF70" s="206"/>
      <c r="HG70" s="206"/>
      <c r="HH70" s="206"/>
      <c r="HI70" s="206"/>
      <c r="HJ70" s="206"/>
      <c r="HK70" s="206"/>
      <c r="HL70" s="206"/>
      <c r="HM70" s="206"/>
      <c r="HN70" s="174" t="str">
        <f>IF(SUM(G31:G37)&gt;0,AVERAGE(G31:G37),"")</f>
        <v/>
      </c>
      <c r="HO70" s="174"/>
      <c r="HP70" s="174"/>
      <c r="HQ70" s="174"/>
      <c r="HR70" s="174"/>
      <c r="HS70" s="174"/>
      <c r="HT70" s="174"/>
      <c r="HU70" s="174"/>
      <c r="HV70" s="174"/>
      <c r="HW70" s="174"/>
      <c r="HX70" s="174"/>
      <c r="HY70" s="174"/>
      <c r="HZ70" s="174"/>
      <c r="IA70" s="174"/>
      <c r="IB70" s="174"/>
      <c r="IC70" s="174"/>
      <c r="ID70" s="174"/>
      <c r="IE70" s="174"/>
      <c r="IF70" s="174"/>
      <c r="IG70" s="174"/>
      <c r="IH70" s="174"/>
      <c r="II70" s="174"/>
      <c r="IJ70" s="174"/>
      <c r="IK70" s="174"/>
      <c r="IL70" s="174"/>
      <c r="IM70" s="174"/>
      <c r="IN70" s="174"/>
      <c r="IO70" s="174"/>
      <c r="IP70" s="174"/>
      <c r="IQ70" s="174"/>
      <c r="IR70" s="174"/>
      <c r="IS70" s="174"/>
      <c r="IT70" s="174"/>
      <c r="IU70" s="174"/>
      <c r="IX70" s="174"/>
      <c r="IY70" s="174"/>
      <c r="IZ70" s="174"/>
      <c r="JA70" s="174"/>
      <c r="JB70" s="174"/>
      <c r="JC70" s="174"/>
      <c r="JD70" s="174"/>
      <c r="JE70" s="174"/>
      <c r="JF70" s="174"/>
      <c r="JG70" s="174"/>
      <c r="JH70" s="174"/>
      <c r="JI70" s="174"/>
      <c r="JJ70" s="174"/>
      <c r="JK70" s="174"/>
      <c r="JL70" s="174"/>
      <c r="JM70" s="174"/>
      <c r="JN70" s="174"/>
      <c r="JO70" s="174"/>
      <c r="JP70" s="174"/>
      <c r="JQ70" s="174"/>
      <c r="JR70" s="174"/>
      <c r="JS70" s="174"/>
      <c r="JT70" s="174"/>
      <c r="JU70" s="174"/>
      <c r="JV70" s="174"/>
      <c r="JW70" s="174"/>
      <c r="JX70" s="174"/>
      <c r="JY70" s="174"/>
      <c r="JZ70" s="174"/>
      <c r="KA70" s="174"/>
      <c r="KB70" s="176"/>
      <c r="KC70" s="248" t="s">
        <v>1187</v>
      </c>
      <c r="KD70" s="174">
        <f t="shared" ref="KD70:LF70" si="235">IF(KD68=1,COUNTIF(KD17:KD23,"B"),IF(KD68=2,COUNTIF(KD24:KD30,"B"),IF(KD68=3,COUNTIF(KD31:KD37,"B"),IF(KD68=4,COUNTIF(KD38:KD44,"B"),COUNTIF(KD45:KD51,"B")))))</f>
        <v>0</v>
      </c>
      <c r="KE70" s="174">
        <f t="shared" si="235"/>
        <v>0</v>
      </c>
      <c r="KF70" s="174">
        <f t="shared" si="235"/>
        <v>0</v>
      </c>
      <c r="KG70" s="174">
        <f t="shared" si="235"/>
        <v>0</v>
      </c>
      <c r="KH70" s="174">
        <f t="shared" si="235"/>
        <v>0</v>
      </c>
      <c r="KI70" s="174">
        <f t="shared" si="235"/>
        <v>0</v>
      </c>
      <c r="KJ70" s="174">
        <f t="shared" si="235"/>
        <v>0</v>
      </c>
      <c r="KK70" s="174">
        <f t="shared" si="235"/>
        <v>0</v>
      </c>
      <c r="KL70" s="174">
        <f t="shared" si="235"/>
        <v>0</v>
      </c>
      <c r="KM70" s="174">
        <f t="shared" si="235"/>
        <v>0</v>
      </c>
      <c r="KN70" s="174">
        <f t="shared" si="235"/>
        <v>0</v>
      </c>
      <c r="KO70" s="174">
        <f t="shared" si="235"/>
        <v>0</v>
      </c>
      <c r="KP70" s="174">
        <f t="shared" si="235"/>
        <v>0</v>
      </c>
      <c r="KQ70" s="174">
        <f t="shared" si="235"/>
        <v>0</v>
      </c>
      <c r="KR70" s="174">
        <f t="shared" si="235"/>
        <v>0</v>
      </c>
      <c r="KS70" s="174">
        <f t="shared" si="235"/>
        <v>0</v>
      </c>
      <c r="KT70" s="174">
        <f t="shared" si="235"/>
        <v>0</v>
      </c>
      <c r="KU70" s="174">
        <f t="shared" si="235"/>
        <v>0</v>
      </c>
      <c r="KV70" s="174">
        <f t="shared" si="235"/>
        <v>0</v>
      </c>
      <c r="KW70" s="174">
        <f t="shared" si="235"/>
        <v>0</v>
      </c>
      <c r="KX70" s="174">
        <f t="shared" si="235"/>
        <v>0</v>
      </c>
      <c r="KY70" s="174">
        <f t="shared" si="235"/>
        <v>0</v>
      </c>
      <c r="KZ70" s="174">
        <f t="shared" si="235"/>
        <v>0</v>
      </c>
      <c r="LA70" s="174">
        <f t="shared" si="235"/>
        <v>0</v>
      </c>
      <c r="LB70" s="174">
        <f t="shared" si="235"/>
        <v>0</v>
      </c>
      <c r="LC70" s="174">
        <f t="shared" si="235"/>
        <v>0</v>
      </c>
      <c r="LD70" s="174">
        <f t="shared" si="235"/>
        <v>0</v>
      </c>
      <c r="LE70" s="174">
        <f t="shared" si="235"/>
        <v>0</v>
      </c>
      <c r="LF70" s="174">
        <f t="shared" si="235"/>
        <v>0</v>
      </c>
    </row>
    <row r="71" spans="1:318" s="172" customFormat="1" ht="13.5" thickTop="1" x14ac:dyDescent="0.2">
      <c r="A71" s="289"/>
      <c r="B71" s="176"/>
      <c r="C71" s="174"/>
      <c r="D71" s="174"/>
      <c r="E71" s="176"/>
      <c r="F71" s="176"/>
      <c r="G71" s="176"/>
      <c r="H71" s="176"/>
      <c r="I71" s="176"/>
      <c r="J71" s="176"/>
      <c r="K71" s="176"/>
      <c r="L71" s="176"/>
      <c r="M71" s="428"/>
      <c r="N71" s="428"/>
      <c r="O71" s="428"/>
      <c r="P71" s="429"/>
      <c r="Q71" s="429"/>
      <c r="R71" s="429"/>
      <c r="S71" s="176"/>
      <c r="T71" s="176"/>
      <c r="U71" s="176"/>
      <c r="V71" s="176"/>
      <c r="W71" s="176"/>
      <c r="X71" s="176"/>
      <c r="Y71" s="176"/>
      <c r="Z71" s="176"/>
      <c r="AA71" s="176"/>
      <c r="AB71" s="176"/>
      <c r="AC71" s="176"/>
      <c r="AD71" s="176"/>
      <c r="AE71" s="176"/>
      <c r="AF71" s="176"/>
      <c r="AG71" s="176"/>
      <c r="AH71" s="176"/>
      <c r="AI71" s="176"/>
      <c r="AJ71" s="176"/>
      <c r="AK71" s="176"/>
      <c r="AN71" s="290"/>
      <c r="AO71" s="203"/>
      <c r="AP71" s="203"/>
      <c r="AQ71" s="203"/>
      <c r="AR71" s="203"/>
      <c r="AS71" s="203"/>
      <c r="AT71" s="203"/>
      <c r="AU71" s="203"/>
      <c r="AV71" s="203"/>
      <c r="AW71" s="203"/>
      <c r="AX71" s="203"/>
      <c r="AY71" s="203"/>
      <c r="AZ71" s="203"/>
      <c r="BA71" s="203"/>
      <c r="BB71" s="203"/>
      <c r="BC71" s="203"/>
      <c r="BD71" s="203"/>
      <c r="BE71" s="203"/>
      <c r="BF71" s="203"/>
      <c r="BG71" s="203"/>
      <c r="BH71" s="203"/>
      <c r="BI71" s="203"/>
      <c r="BJ71" s="203"/>
      <c r="BK71" s="203"/>
      <c r="BL71" s="203"/>
      <c r="BM71" s="203"/>
      <c r="BO71" s="174"/>
      <c r="BP71" s="174">
        <v>2090</v>
      </c>
      <c r="BQ71" s="174"/>
      <c r="BR71" s="174"/>
      <c r="BS71" s="174"/>
      <c r="BT71" s="248" t="s">
        <v>1177</v>
      </c>
      <c r="BU71" s="174">
        <f>ROWS(BU31:BU37)-COUNTIF(BU31:BU37,"")</f>
        <v>0</v>
      </c>
      <c r="BV71" s="174">
        <f t="shared" ref="BV71:BX71" si="236">ROWS(BV31:BV37)-COUNTIF(BV31:BV37,"")</f>
        <v>0</v>
      </c>
      <c r="BW71" s="174">
        <f t="shared" si="236"/>
        <v>0</v>
      </c>
      <c r="BX71" s="174">
        <f t="shared" si="236"/>
        <v>0</v>
      </c>
      <c r="BY71" s="174">
        <f t="shared" ref="BY71:CW71" si="237">ROWS(BY31:BY37)-COUNTIF(BY31:BY37,"")</f>
        <v>0</v>
      </c>
      <c r="BZ71" s="174">
        <f t="shared" si="237"/>
        <v>0</v>
      </c>
      <c r="CA71" s="174">
        <f t="shared" si="237"/>
        <v>0</v>
      </c>
      <c r="CB71" s="174">
        <f t="shared" si="237"/>
        <v>0</v>
      </c>
      <c r="CC71" s="174">
        <f t="shared" si="237"/>
        <v>0</v>
      </c>
      <c r="CD71" s="174">
        <f t="shared" si="237"/>
        <v>0</v>
      </c>
      <c r="CE71" s="174">
        <f t="shared" si="237"/>
        <v>0</v>
      </c>
      <c r="CF71" s="174">
        <f t="shared" si="237"/>
        <v>0</v>
      </c>
      <c r="CG71" s="174">
        <f t="shared" si="237"/>
        <v>0</v>
      </c>
      <c r="CH71" s="174">
        <f t="shared" si="237"/>
        <v>0</v>
      </c>
      <c r="CI71" s="174">
        <f t="shared" si="237"/>
        <v>0</v>
      </c>
      <c r="CJ71" s="174">
        <f t="shared" si="237"/>
        <v>0</v>
      </c>
      <c r="CK71" s="174">
        <f t="shared" si="237"/>
        <v>0</v>
      </c>
      <c r="CL71" s="174">
        <f t="shared" si="237"/>
        <v>0</v>
      </c>
      <c r="CM71" s="174">
        <f t="shared" si="237"/>
        <v>0</v>
      </c>
      <c r="CN71" s="174">
        <f t="shared" si="237"/>
        <v>0</v>
      </c>
      <c r="CO71" s="174">
        <f t="shared" si="237"/>
        <v>0</v>
      </c>
      <c r="CP71" s="174">
        <f t="shared" si="237"/>
        <v>0</v>
      </c>
      <c r="CQ71" s="174">
        <f t="shared" si="237"/>
        <v>0</v>
      </c>
      <c r="CR71" s="174">
        <f t="shared" si="237"/>
        <v>0</v>
      </c>
      <c r="CS71" s="174">
        <f t="shared" si="237"/>
        <v>0</v>
      </c>
      <c r="CT71" s="174">
        <f t="shared" si="237"/>
        <v>0</v>
      </c>
      <c r="CU71" s="174">
        <f t="shared" si="237"/>
        <v>0</v>
      </c>
      <c r="CV71" s="174">
        <f t="shared" si="237"/>
        <v>0</v>
      </c>
      <c r="CW71" s="174">
        <f t="shared" si="237"/>
        <v>0</v>
      </c>
      <c r="CY71" s="175"/>
      <c r="CZ71" s="175"/>
      <c r="DA71" s="175"/>
      <c r="DB71" s="175"/>
      <c r="DC71" s="175"/>
      <c r="DD71" s="175"/>
      <c r="DE71" s="175"/>
      <c r="DF71" s="175"/>
      <c r="DG71" s="175"/>
      <c r="DH71" s="175"/>
      <c r="DI71" s="175"/>
      <c r="DJ71" s="175"/>
      <c r="DK71" s="175"/>
      <c r="DL71" s="175"/>
      <c r="DM71" s="175"/>
      <c r="DN71" s="175"/>
      <c r="DO71" s="175"/>
      <c r="DP71" s="175"/>
      <c r="DQ71" s="175"/>
      <c r="DR71" s="175"/>
      <c r="DS71" s="175"/>
      <c r="DT71" s="175"/>
      <c r="DU71" s="175"/>
      <c r="DV71" s="175"/>
      <c r="DW71" s="175"/>
      <c r="DX71" s="175"/>
      <c r="DY71" s="175"/>
      <c r="DZ71" s="175"/>
      <c r="EA71" s="175"/>
      <c r="EB71" s="176"/>
      <c r="GJ71" s="261"/>
      <c r="GK71" s="206"/>
      <c r="GL71" s="206"/>
      <c r="GM71" s="206"/>
      <c r="GN71" s="206"/>
      <c r="GO71" s="206"/>
      <c r="GP71" s="206"/>
      <c r="GQ71" s="206"/>
      <c r="GR71" s="206"/>
      <c r="GS71" s="206"/>
      <c r="GT71" s="206"/>
      <c r="GU71" s="206"/>
      <c r="GV71" s="206"/>
      <c r="GW71" s="206"/>
      <c r="GX71" s="206"/>
      <c r="GY71" s="206"/>
      <c r="GZ71" s="206"/>
      <c r="HA71" s="206"/>
      <c r="HB71" s="206"/>
      <c r="HC71" s="206"/>
      <c r="HD71" s="206"/>
      <c r="HE71" s="206"/>
      <c r="HF71" s="206"/>
      <c r="HG71" s="206"/>
      <c r="HH71" s="206"/>
      <c r="HI71" s="206"/>
      <c r="HJ71" s="206"/>
      <c r="HK71" s="206"/>
      <c r="HL71" s="206"/>
      <c r="HM71" s="206"/>
      <c r="HN71" s="174" t="str">
        <f>IF(SUM(G38:G44)&gt;0,AVERAGE(G38:G44),"")</f>
        <v/>
      </c>
      <c r="HO71" s="174"/>
      <c r="HP71" s="174"/>
      <c r="HQ71" s="174"/>
      <c r="HR71" s="174"/>
      <c r="HS71" s="174"/>
      <c r="HT71" s="174"/>
      <c r="HU71" s="174"/>
      <c r="HV71" s="174"/>
      <c r="HW71" s="174"/>
      <c r="HX71" s="174"/>
      <c r="HY71" s="174"/>
      <c r="HZ71" s="174"/>
      <c r="IA71" s="174"/>
      <c r="IB71" s="174"/>
      <c r="IC71" s="174"/>
      <c r="ID71" s="174"/>
      <c r="IE71" s="174"/>
      <c r="IF71" s="174"/>
      <c r="IG71" s="174"/>
      <c r="IH71" s="174"/>
      <c r="II71" s="174"/>
      <c r="IJ71" s="174"/>
      <c r="IK71" s="174"/>
      <c r="IL71" s="174"/>
      <c r="IM71" s="174"/>
      <c r="IN71" s="174"/>
      <c r="IO71" s="174"/>
      <c r="IP71" s="174"/>
      <c r="IQ71" s="174"/>
      <c r="IR71" s="174"/>
      <c r="IS71" s="174"/>
      <c r="IT71" s="174"/>
      <c r="IU71" s="174"/>
      <c r="IX71" s="174"/>
      <c r="IY71" s="174"/>
      <c r="IZ71" s="174"/>
      <c r="JA71" s="174"/>
      <c r="JB71" s="174"/>
      <c r="JC71" s="174"/>
      <c r="JD71" s="174"/>
      <c r="JE71" s="174"/>
      <c r="JF71" s="174"/>
      <c r="JG71" s="174"/>
      <c r="JH71" s="174"/>
      <c r="JI71" s="174"/>
      <c r="JJ71" s="174"/>
      <c r="JK71" s="174"/>
      <c r="JL71" s="174"/>
      <c r="JM71" s="174"/>
      <c r="JN71" s="174"/>
      <c r="JO71" s="174"/>
      <c r="JP71" s="174"/>
      <c r="JQ71" s="174"/>
      <c r="JR71" s="174"/>
      <c r="JS71" s="174"/>
      <c r="JT71" s="174"/>
      <c r="JU71" s="174"/>
      <c r="JV71" s="174"/>
      <c r="JW71" s="174"/>
      <c r="JX71" s="174"/>
      <c r="JY71" s="174"/>
      <c r="JZ71" s="174"/>
      <c r="KA71" s="174"/>
      <c r="KB71" s="176"/>
      <c r="KC71" s="248" t="s">
        <v>1188</v>
      </c>
      <c r="KD71" s="174">
        <f t="shared" ref="KD71:LF71" si="238">IF(KD68=1,COUNTIF(KD17:KD23,"C"),IF(KD68=2,COUNTIF(KD24:KD30,"A"),IF(KD68=3,COUNTIF(KD31:KD37,"C"),IF(KD68=4,COUNTIF(KD38:KD44,"C"),COUNTIF(KD45:KD51,"C")))))</f>
        <v>0</v>
      </c>
      <c r="KE71" s="256">
        <f t="shared" si="238"/>
        <v>0</v>
      </c>
      <c r="KF71" s="174">
        <f t="shared" si="238"/>
        <v>0</v>
      </c>
      <c r="KG71" s="174">
        <f t="shared" si="238"/>
        <v>0</v>
      </c>
      <c r="KH71" s="174">
        <f t="shared" si="238"/>
        <v>0</v>
      </c>
      <c r="KI71" s="174">
        <f t="shared" si="238"/>
        <v>0</v>
      </c>
      <c r="KJ71" s="174">
        <f t="shared" si="238"/>
        <v>0</v>
      </c>
      <c r="KK71" s="174">
        <f t="shared" si="238"/>
        <v>0</v>
      </c>
      <c r="KL71" s="174">
        <f t="shared" si="238"/>
        <v>0</v>
      </c>
      <c r="KM71" s="174">
        <f t="shared" si="238"/>
        <v>0</v>
      </c>
      <c r="KN71" s="174">
        <f t="shared" si="238"/>
        <v>0</v>
      </c>
      <c r="KO71" s="174">
        <f t="shared" si="238"/>
        <v>0</v>
      </c>
      <c r="KP71" s="174">
        <f t="shared" si="238"/>
        <v>0</v>
      </c>
      <c r="KQ71" s="174">
        <f t="shared" si="238"/>
        <v>0</v>
      </c>
      <c r="KR71" s="174">
        <f t="shared" si="238"/>
        <v>0</v>
      </c>
      <c r="KS71" s="174">
        <f t="shared" si="238"/>
        <v>0</v>
      </c>
      <c r="KT71" s="174">
        <f t="shared" si="238"/>
        <v>0</v>
      </c>
      <c r="KU71" s="174">
        <f t="shared" si="238"/>
        <v>0</v>
      </c>
      <c r="KV71" s="174">
        <f t="shared" si="238"/>
        <v>0</v>
      </c>
      <c r="KW71" s="174">
        <f t="shared" si="238"/>
        <v>0</v>
      </c>
      <c r="KX71" s="174">
        <f t="shared" si="238"/>
        <v>0</v>
      </c>
      <c r="KY71" s="174">
        <f t="shared" si="238"/>
        <v>0</v>
      </c>
      <c r="KZ71" s="174">
        <f t="shared" si="238"/>
        <v>0</v>
      </c>
      <c r="LA71" s="174">
        <f t="shared" si="238"/>
        <v>0</v>
      </c>
      <c r="LB71" s="174">
        <f t="shared" si="238"/>
        <v>0</v>
      </c>
      <c r="LC71" s="174">
        <f t="shared" si="238"/>
        <v>0</v>
      </c>
      <c r="LD71" s="174">
        <f t="shared" si="238"/>
        <v>0</v>
      </c>
      <c r="LE71" s="174">
        <f t="shared" si="238"/>
        <v>0</v>
      </c>
      <c r="LF71" s="174">
        <f t="shared" si="238"/>
        <v>0</v>
      </c>
    </row>
    <row r="72" spans="1:318" s="172" customFormat="1" x14ac:dyDescent="0.2">
      <c r="A72" s="291"/>
      <c r="B72" s="471" t="s">
        <v>952</v>
      </c>
      <c r="C72" s="471"/>
      <c r="D72" s="471"/>
      <c r="E72" s="471"/>
      <c r="F72" s="471"/>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c r="AH72" s="287"/>
      <c r="AI72" s="287"/>
      <c r="AJ72" s="287"/>
      <c r="AK72" s="287"/>
      <c r="AL72" s="287"/>
      <c r="AM72" s="287"/>
      <c r="AN72" s="292"/>
      <c r="AO72" s="287"/>
      <c r="AP72" s="287"/>
      <c r="AQ72" s="287"/>
      <c r="AR72" s="287"/>
      <c r="AS72" s="287"/>
      <c r="AT72" s="287"/>
      <c r="AU72" s="287"/>
      <c r="AV72" s="287"/>
      <c r="AW72" s="287"/>
      <c r="AX72" s="287"/>
      <c r="AY72" s="287"/>
      <c r="AZ72" s="287"/>
      <c r="BA72" s="287"/>
      <c r="BB72" s="287"/>
      <c r="BC72" s="287"/>
      <c r="BD72" s="287"/>
      <c r="BE72" s="287"/>
      <c r="BF72" s="287"/>
      <c r="BG72" s="287"/>
      <c r="BH72" s="287"/>
      <c r="BI72" s="287"/>
      <c r="BJ72" s="287"/>
      <c r="BK72" s="287"/>
      <c r="BL72" s="287"/>
      <c r="BM72" s="287"/>
      <c r="BO72" s="174"/>
      <c r="BP72" s="174">
        <v>2091</v>
      </c>
      <c r="BQ72" s="174"/>
      <c r="BR72" s="174"/>
      <c r="BS72" s="174"/>
      <c r="BT72" s="255" t="s">
        <v>1176</v>
      </c>
      <c r="BU72" s="174" t="str">
        <f>IF(BU71&gt;0,IF(BU71=(BU61+(BU71*0.01)),"Y","N"),"")</f>
        <v/>
      </c>
      <c r="BV72" s="174" t="str">
        <f t="shared" ref="BV72:BX72" si="239">IF(BV71&gt;0,IF(BV71=(BV61+(BV71*0.01)),"Y","N"),"")</f>
        <v/>
      </c>
      <c r="BW72" s="174" t="str">
        <f t="shared" si="239"/>
        <v/>
      </c>
      <c r="BX72" s="174" t="str">
        <f t="shared" si="239"/>
        <v/>
      </c>
      <c r="BY72" s="174" t="str">
        <f t="shared" ref="BY72:CW72" si="240">IF(BY71&gt;0,IF(BY71=(BY61+(BY71*0.01)),"Y","N"),"")</f>
        <v/>
      </c>
      <c r="BZ72" s="174" t="str">
        <f t="shared" si="240"/>
        <v/>
      </c>
      <c r="CA72" s="174" t="str">
        <f t="shared" si="240"/>
        <v/>
      </c>
      <c r="CB72" s="174" t="str">
        <f t="shared" si="240"/>
        <v/>
      </c>
      <c r="CC72" s="174" t="str">
        <f t="shared" si="240"/>
        <v/>
      </c>
      <c r="CD72" s="174" t="str">
        <f t="shared" si="240"/>
        <v/>
      </c>
      <c r="CE72" s="174" t="str">
        <f t="shared" si="240"/>
        <v/>
      </c>
      <c r="CF72" s="174" t="str">
        <f t="shared" si="240"/>
        <v/>
      </c>
      <c r="CG72" s="174" t="str">
        <f t="shared" si="240"/>
        <v/>
      </c>
      <c r="CH72" s="174" t="str">
        <f t="shared" si="240"/>
        <v/>
      </c>
      <c r="CI72" s="174" t="str">
        <f t="shared" si="240"/>
        <v/>
      </c>
      <c r="CJ72" s="174" t="str">
        <f t="shared" si="240"/>
        <v/>
      </c>
      <c r="CK72" s="174" t="str">
        <f t="shared" si="240"/>
        <v/>
      </c>
      <c r="CL72" s="174" t="str">
        <f t="shared" si="240"/>
        <v/>
      </c>
      <c r="CM72" s="174" t="str">
        <f t="shared" si="240"/>
        <v/>
      </c>
      <c r="CN72" s="174" t="str">
        <f t="shared" si="240"/>
        <v/>
      </c>
      <c r="CO72" s="174" t="str">
        <f t="shared" si="240"/>
        <v/>
      </c>
      <c r="CP72" s="174" t="str">
        <f t="shared" si="240"/>
        <v/>
      </c>
      <c r="CQ72" s="174" t="str">
        <f t="shared" si="240"/>
        <v/>
      </c>
      <c r="CR72" s="174" t="str">
        <f t="shared" si="240"/>
        <v/>
      </c>
      <c r="CS72" s="174" t="str">
        <f t="shared" si="240"/>
        <v/>
      </c>
      <c r="CT72" s="174" t="str">
        <f t="shared" si="240"/>
        <v/>
      </c>
      <c r="CU72" s="174" t="str">
        <f t="shared" si="240"/>
        <v/>
      </c>
      <c r="CV72" s="174" t="str">
        <f t="shared" si="240"/>
        <v/>
      </c>
      <c r="CW72" s="174" t="str">
        <f t="shared" si="240"/>
        <v/>
      </c>
      <c r="CY72" s="175"/>
      <c r="CZ72" s="175"/>
      <c r="DA72" s="175"/>
      <c r="DB72" s="175"/>
      <c r="DC72" s="175"/>
      <c r="DD72" s="175"/>
      <c r="DE72" s="175"/>
      <c r="DF72" s="175"/>
      <c r="DG72" s="175"/>
      <c r="DH72" s="175"/>
      <c r="DI72" s="175"/>
      <c r="DJ72" s="175"/>
      <c r="DK72" s="175"/>
      <c r="DL72" s="175"/>
      <c r="DM72" s="175"/>
      <c r="DN72" s="175"/>
      <c r="DO72" s="175"/>
      <c r="DP72" s="175"/>
      <c r="DQ72" s="175"/>
      <c r="DR72" s="175"/>
      <c r="DS72" s="175"/>
      <c r="DT72" s="175"/>
      <c r="DU72" s="175"/>
      <c r="DV72" s="175"/>
      <c r="DW72" s="175"/>
      <c r="DX72" s="175"/>
      <c r="DY72" s="175"/>
      <c r="DZ72" s="175"/>
      <c r="EA72" s="175"/>
      <c r="EB72" s="176"/>
      <c r="GJ72" s="261"/>
      <c r="GK72" s="206"/>
      <c r="GL72" s="206"/>
      <c r="GM72" s="206"/>
      <c r="GN72" s="206"/>
      <c r="GO72" s="206"/>
      <c r="GP72" s="206"/>
      <c r="GQ72" s="206"/>
      <c r="GR72" s="206"/>
      <c r="GS72" s="206"/>
      <c r="GT72" s="206"/>
      <c r="GU72" s="206"/>
      <c r="GV72" s="206"/>
      <c r="GW72" s="206"/>
      <c r="GX72" s="206"/>
      <c r="GY72" s="206"/>
      <c r="GZ72" s="206"/>
      <c r="HA72" s="206"/>
      <c r="HB72" s="206"/>
      <c r="HC72" s="206"/>
      <c r="HD72" s="206"/>
      <c r="HE72" s="206"/>
      <c r="HF72" s="206"/>
      <c r="HG72" s="206"/>
      <c r="HH72" s="206"/>
      <c r="HI72" s="206"/>
      <c r="HJ72" s="206"/>
      <c r="HK72" s="206"/>
      <c r="HL72" s="206"/>
      <c r="HM72" s="206"/>
      <c r="HN72" s="174" t="str">
        <f>IF(SUM(G45:G51)&gt;0,AVERAGE(G45:G51),"")</f>
        <v/>
      </c>
      <c r="HO72" s="174"/>
      <c r="HP72" s="174"/>
      <c r="HQ72" s="174"/>
      <c r="HR72" s="174"/>
      <c r="HS72" s="174"/>
      <c r="HT72" s="174"/>
      <c r="HU72" s="174"/>
      <c r="HV72" s="174"/>
      <c r="HW72" s="174"/>
      <c r="HX72" s="174"/>
      <c r="HY72" s="174"/>
      <c r="HZ72" s="174"/>
      <c r="IA72" s="174"/>
      <c r="IB72" s="174"/>
      <c r="IC72" s="174"/>
      <c r="ID72" s="174"/>
      <c r="IE72" s="174"/>
      <c r="IF72" s="174"/>
      <c r="IG72" s="174"/>
      <c r="IH72" s="174"/>
      <c r="II72" s="174"/>
      <c r="IJ72" s="174"/>
      <c r="IK72" s="174"/>
      <c r="IL72" s="174"/>
      <c r="IM72" s="174"/>
      <c r="IN72" s="174"/>
      <c r="IO72" s="174"/>
      <c r="IP72" s="174"/>
      <c r="IQ72" s="174"/>
      <c r="IR72" s="174"/>
      <c r="IS72" s="174"/>
      <c r="IT72" s="174"/>
      <c r="IU72" s="174"/>
      <c r="IX72" s="174"/>
      <c r="IY72" s="174"/>
      <c r="IZ72" s="174"/>
      <c r="JA72" s="174"/>
      <c r="JB72" s="174"/>
      <c r="JC72" s="174"/>
      <c r="JD72" s="174"/>
      <c r="JE72" s="174"/>
      <c r="JF72" s="174"/>
      <c r="JG72" s="174"/>
      <c r="JH72" s="174"/>
      <c r="JI72" s="174"/>
      <c r="JJ72" s="174"/>
      <c r="JK72" s="174"/>
      <c r="JL72" s="174"/>
      <c r="JM72" s="174"/>
      <c r="JN72" s="174"/>
      <c r="JO72" s="174"/>
      <c r="JP72" s="174"/>
      <c r="JQ72" s="174"/>
      <c r="JR72" s="174"/>
      <c r="JS72" s="174"/>
      <c r="JT72" s="174"/>
      <c r="JU72" s="174"/>
      <c r="JV72" s="174"/>
      <c r="JW72" s="174"/>
      <c r="JX72" s="174"/>
      <c r="JY72" s="174"/>
      <c r="JZ72" s="174"/>
      <c r="KA72" s="174"/>
      <c r="KB72" s="176"/>
      <c r="KC72" s="248" t="s">
        <v>839</v>
      </c>
      <c r="KD72" s="174">
        <f>SUM(KD69:KD71)</f>
        <v>0</v>
      </c>
      <c r="KE72" s="174">
        <f t="shared" ref="KE72:LF72" si="241">SUM(KE69:KE71)</f>
        <v>0</v>
      </c>
      <c r="KF72" s="174">
        <f t="shared" si="241"/>
        <v>0</v>
      </c>
      <c r="KG72" s="174">
        <f t="shared" si="241"/>
        <v>0</v>
      </c>
      <c r="KH72" s="174">
        <f t="shared" si="241"/>
        <v>0</v>
      </c>
      <c r="KI72" s="174">
        <f t="shared" si="241"/>
        <v>0</v>
      </c>
      <c r="KJ72" s="174">
        <f t="shared" si="241"/>
        <v>0</v>
      </c>
      <c r="KK72" s="174">
        <f t="shared" si="241"/>
        <v>0</v>
      </c>
      <c r="KL72" s="174">
        <f t="shared" si="241"/>
        <v>0</v>
      </c>
      <c r="KM72" s="174">
        <f t="shared" si="241"/>
        <v>0</v>
      </c>
      <c r="KN72" s="174">
        <f t="shared" si="241"/>
        <v>0</v>
      </c>
      <c r="KO72" s="174">
        <f t="shared" si="241"/>
        <v>0</v>
      </c>
      <c r="KP72" s="174">
        <f t="shared" si="241"/>
        <v>0</v>
      </c>
      <c r="KQ72" s="174">
        <f t="shared" si="241"/>
        <v>0</v>
      </c>
      <c r="KR72" s="174">
        <f t="shared" si="241"/>
        <v>0</v>
      </c>
      <c r="KS72" s="174">
        <f t="shared" si="241"/>
        <v>0</v>
      </c>
      <c r="KT72" s="174">
        <f t="shared" si="241"/>
        <v>0</v>
      </c>
      <c r="KU72" s="174">
        <f t="shared" si="241"/>
        <v>0</v>
      </c>
      <c r="KV72" s="174">
        <f t="shared" si="241"/>
        <v>0</v>
      </c>
      <c r="KW72" s="174">
        <f t="shared" si="241"/>
        <v>0</v>
      </c>
      <c r="KX72" s="174">
        <f t="shared" si="241"/>
        <v>0</v>
      </c>
      <c r="KY72" s="174">
        <f t="shared" si="241"/>
        <v>0</v>
      </c>
      <c r="KZ72" s="174">
        <f t="shared" si="241"/>
        <v>0</v>
      </c>
      <c r="LA72" s="174">
        <f t="shared" si="241"/>
        <v>0</v>
      </c>
      <c r="LB72" s="174">
        <f t="shared" si="241"/>
        <v>0</v>
      </c>
      <c r="LC72" s="174">
        <f t="shared" si="241"/>
        <v>0</v>
      </c>
      <c r="LD72" s="174">
        <f t="shared" si="241"/>
        <v>0</v>
      </c>
      <c r="LE72" s="174">
        <f t="shared" si="241"/>
        <v>0</v>
      </c>
      <c r="LF72" s="174">
        <f t="shared" si="241"/>
        <v>0</v>
      </c>
    </row>
    <row r="73" spans="1:318" s="172" customFormat="1" ht="12.75" customHeight="1" x14ac:dyDescent="0.2">
      <c r="B73" s="470" t="s">
        <v>953</v>
      </c>
      <c r="C73" s="470"/>
      <c r="D73" s="470"/>
      <c r="E73" s="470"/>
      <c r="F73" s="470"/>
      <c r="G73" s="288"/>
      <c r="H73" s="288" t="str">
        <f>IF(KD$81="Y","&lt;","")</f>
        <v/>
      </c>
      <c r="I73" s="288" t="str">
        <f>IF(SUM(I17:I23)&lt;&gt;0,IF(OR('Outfall 1 Limits'!$AX$16="C1",'Outfall 1 Limits'!$AX$16="C3"),IF('Outfall 1 Limits'!$AR$16&lt;&gt;0,TEXT(EC13,"0."&amp;REPT("0",LEN('Outfall 1 Limits'!$AD$16)-FIND(".",'Outfall 1 Limits'!$AD$16))),ROUND(EC13,$I$126)),""),"")</f>
        <v/>
      </c>
      <c r="J73" s="288" t="str">
        <f>IF(KE$81="Y","&lt;","")</f>
        <v/>
      </c>
      <c r="K73" s="288" t="str">
        <f>IF(SUM(K17:K23)&lt;&gt;0,IF(OR('Outfall 1 Limits'!$AX$20="C1",'Outfall 1 Limits'!$AX$20="C3"),IF('Outfall 1 Limits'!$AR$20&lt;&gt;0,TEXT(ED13,"0."&amp;REPT("0",LEN('Outfall 1 Limits'!$AD$20)-FIND(".",'Outfall 1 Limits'!$AD$20))),ROUND(ED13,$K$126)),""),"")</f>
        <v/>
      </c>
      <c r="L73" s="288" t="str">
        <f>IF(KF$81="Y","&lt;","")</f>
        <v/>
      </c>
      <c r="M73" s="288" t="str">
        <f>IF(SUM(M17:M23)&lt;&gt;0,IF(OR('Outfall 1 Limits'!$AX$24="C1",'Outfall 1 Limits'!$AX$24="C3"),IF('Outfall 1 Limits'!$AR$24&lt;&gt;0,TEXT(EE13,"0."&amp;REPT("0",LEN('Outfall 1 Limits'!$AD$24)-FIND(".",'Outfall 1 Limits'!$AD$24))),ROUND(EE13,M126)),""),"")</f>
        <v/>
      </c>
      <c r="N73" s="288" t="str">
        <f>IF(KG$81="Y","&lt;","")</f>
        <v/>
      </c>
      <c r="O73" s="288" t="str">
        <f>IF(SUM(O17:O23)&lt;&gt;0,IF(OR('Outfall 1 Limits'!$AX$28="C1",'Outfall 1 Limits'!$AX$28="C3"),IF('Outfall 1 Limits'!$AR$28&lt;&gt;0,TEXT(EF13,"0."&amp;REPT("0",LEN('Outfall 1 Limits'!$AD$28)-FIND(".",'Outfall 1 Limits'!$AD$28))),ROUND(EF13,O126)),""),"")</f>
        <v/>
      </c>
      <c r="P73" s="288" t="str">
        <f>IF(KH$81="Y","&lt;","")</f>
        <v/>
      </c>
      <c r="Q73" s="288" t="str">
        <f>IF(SUM(Q17:Q23)&lt;&gt;0,IF(OR('Outfall 1 Limits'!$AX$32="C1",'Outfall 1 Limits'!$AX$32="C3"),IF('Outfall 1 Limits'!$AR$32&lt;&gt;0,TEXT(EG13,"0."&amp;REPT("0",LEN('Outfall 1 Limits'!$AD$32)-FIND(".",'Outfall 1 Limits'!$AD$32))),ROUND(EG13,Q126)),""),"")</f>
        <v/>
      </c>
      <c r="R73" s="288" t="str">
        <f>IF(KI$81="Y","&lt;","")</f>
        <v/>
      </c>
      <c r="S73" s="288" t="str">
        <f>IF(SUM(S17:S23)&lt;&gt;0,IF(OR('Outfall 1 Limits'!$AX$36="C1",'Outfall 1 Limits'!$AX$36="C3"),IF('Outfall 1 Limits'!$AR$36&lt;&gt;0,TEXT(EH13,"0."&amp;REPT("0",LEN('Outfall 1 Limits'!$AD$36)-FIND(".",'Outfall 1 Limits'!$AD$36))),ROUND(EH13,S126)),""),"")</f>
        <v/>
      </c>
      <c r="T73" s="288" t="str">
        <f>IF(KJ$81="Y","&lt;","")</f>
        <v/>
      </c>
      <c r="U73" s="288" t="str">
        <f>IF(SUM(U17:U23)&lt;&gt;0,IF(OR('Outfall 1 Limits'!$AX$40="C1",'Outfall 1 Limits'!$AX$40="C3"),IF('Outfall 1 Limits'!$AR$40&lt;&gt;0,TEXT(EI13,"0."&amp;REPT("0",LEN('Outfall 1 Limits'!$AD$40)-FIND(".",'Outfall 1 Limits'!$AD$40))),ROUND(EI13,U126)),""),"")</f>
        <v/>
      </c>
      <c r="V73" s="288" t="str">
        <f>IF(KK$81="Y","&lt;","")</f>
        <v/>
      </c>
      <c r="W73" s="288" t="str">
        <f>IF(SUM(W17:W23)&lt;&gt;0,IF(OR('Outfall 1 Limits'!$AX$44="C1",'Outfall 1 Limits'!$AX$44="C3"),IF('Outfall 1 Limits'!$AR$44&lt;&gt;0,TEXT(EJ13,"0."&amp;REPT("0",LEN('Outfall 1 Limits'!$AD$44)-FIND(".",'Outfall 1 Limits'!$AD$44))),ROUND(EJ13,W126)),""),"")</f>
        <v/>
      </c>
      <c r="X73" s="288" t="str">
        <f>IF(KL$81="Y","&lt;","")</f>
        <v/>
      </c>
      <c r="Y73" s="288" t="str">
        <f>IF(SUM(Y17:Y23)&lt;&gt;0,IF(OR('Outfall 1 Limits'!$AX$48="C1",'Outfall 1 Limits'!$AX$48="C3"),IF('Outfall 1 Limits'!$AR$48&lt;&gt;0,TEXT(EK13,"0."&amp;REPT("0",LEN('Outfall 1 Limits'!$AD$48)-FIND(".",'Outfall 1 Limits'!$AD$48))),ROUND(EK13,Y126)),""),"")</f>
        <v/>
      </c>
      <c r="Z73" s="288" t="str">
        <f>IF(KM$81="Y","&lt;","")</f>
        <v/>
      </c>
      <c r="AA73" s="288" t="str">
        <f>IF(SUM(AA17:AA23)&lt;&gt;0,IF(OR('Outfall 1 Limits'!$AX$52="C1",'Outfall 1 Limits'!$AX$52="C3"),IF('Outfall 1 Limits'!$AR$52&lt;&gt;0,TEXT(EL13,"0."&amp;REPT("0",LEN('Outfall 1 Limits'!$AD$52)-FIND(".",'Outfall 1 Limits'!$AD$52))),ROUND(EL13,AA126)),""),"")</f>
        <v/>
      </c>
      <c r="AB73" s="288" t="str">
        <f>IF(KN$81="Y","&lt;","")</f>
        <v/>
      </c>
      <c r="AC73" s="288" t="str">
        <f>IF(SUM(AC17:AC23)&lt;&gt;0,IF(OR('Outfall 1 Limits'!$AX$56="C1",'Outfall 1 Limits'!$AX$56="C3"),IF('Outfall 1 Limits'!$AR$56&lt;&gt;0,TEXT(EM13,"0."&amp;REPT("0",LEN('Outfall 1 Limits'!$AD$56)-FIND(".",'Outfall 1 Limits'!$AD$56))),ROUND(EM13,AC126)),""),"")</f>
        <v/>
      </c>
      <c r="AD73" s="288" t="str">
        <f>IF(KO$81="Y","&lt;","")</f>
        <v/>
      </c>
      <c r="AE73" s="288" t="str">
        <f>IF(SUM(AE17:AE23)&lt;&gt;0,IF(OR('Outfall 1 Limits'!$AX$60="C1",'Outfall 1 Limits'!$AX$60="C3"),IF('Outfall 1 Limits'!$AR$60&lt;&gt;0,TEXT(EN13,"0."&amp;REPT("0",LEN('Outfall 1 Limits'!$AD$60)-FIND(".",'Outfall 1 Limits'!$AD$60))),ROUND(EN13,AE126)),""),"")</f>
        <v/>
      </c>
      <c r="AF73" s="288" t="str">
        <f>IF(KP$81="Y","&lt;","")</f>
        <v/>
      </c>
      <c r="AG73" s="288" t="str">
        <f>IF(SUM(AG17:AG23)&lt;&gt;0,IF(OR('Outfall 1 Limits'!$AX$64="C1",'Outfall 1 Limits'!$AX$64="C3"),IF('Outfall 1 Limits'!$AR$64&lt;&gt;0,TEXT(EO13,"0."&amp;REPT("0",LEN('Outfall 1 Limits'!$AD$64)-FIND(".",'Outfall 1 Limits'!$AD$64))),ROUND(EO13,AG126)),""),"")</f>
        <v/>
      </c>
      <c r="AH73" s="288" t="str">
        <f>IF(KQ$81="Y","&lt;","")</f>
        <v/>
      </c>
      <c r="AI73" s="288" t="str">
        <f>IF(SUM(AI17:AI23)&lt;&gt;0,IF(OR('Outfall 1 Limits'!$AX$68="C1",'Outfall 1 Limits'!$AX$68="C3"),IF('Outfall 1 Limits'!$AR$68&lt;&gt;0,TEXT(EP13,"0."&amp;REPT("0",LEN('Outfall 1 Limits'!$AD$68)-FIND(".",'Outfall 1 Limits'!$AD$68))),ROUND(EP13,AI126)),""),"")</f>
        <v/>
      </c>
      <c r="AJ73" s="288" t="str">
        <f>IF(KR$81="Y","&lt;","")</f>
        <v/>
      </c>
      <c r="AK73" s="288" t="str">
        <f>IF(SUM(AK17:AK23)&lt;&gt;0,IF(OR('Outfall 1 Limits'!$AX$72="C1",'Outfall 1 Limits'!$AX$72="C3"),IF('Outfall 1 Limits'!$AR$72&lt;&gt;0,TEXT(EQ13,"0."&amp;REPT("0",LEN('Outfall 1 Limits'!$AD$72)-FIND(".",'Outfall 1 Limits'!$AD$72))),ROUND(EQ13,AK126)),""),"")</f>
        <v/>
      </c>
      <c r="AL73" s="288" t="str">
        <f>IF(KS$81="Y","&lt;","")</f>
        <v/>
      </c>
      <c r="AM73" s="288" t="str">
        <f>IF(SUM(AM17:AM23)&lt;&gt;0,IF(OR('Outfall 1 Limits'!$AX$76="C1",'Outfall 1 Limits'!$AX$76="C3"),IF('Outfall 1 Limits'!$AR$76&lt;&gt;0,TEXT(ER13,"0."&amp;REPT("0",LEN('Outfall 1 Limits'!$AD$76)-FIND(".",'Outfall 1 Limits'!$AD$76))),ROUND(ER13,AM126)),""),"")</f>
        <v/>
      </c>
      <c r="AN73" s="288" t="str">
        <f>IF(KT$81="Y","&lt;","")</f>
        <v/>
      </c>
      <c r="AO73" s="288" t="str">
        <f>IF(SUM(AO17:AO23)&lt;&gt;0,IF(OR('Outfall 1 Limits'!$AX$80="C1",'Outfall 1 Limits'!$AX$80="C3"),IF('Outfall 1 Limits'!$AR$80&lt;&gt;0,TEXT(ES13,"0."&amp;REPT("0",LEN('Outfall 1 Limits'!$AD$80)-FIND(".",'Outfall 1 Limits'!$AD$80))),ROUND(ES13,AO126)),""),"")</f>
        <v/>
      </c>
      <c r="AP73" s="288" t="str">
        <f>IF(KU$81="Y","&lt;","")</f>
        <v/>
      </c>
      <c r="AQ73" s="288" t="str">
        <f>IF(SUM(AQ17:AQ23)&lt;&gt;0,IF(OR('Outfall 1 Limits'!$AX$84="C1",'Outfall 1 Limits'!$AX$84="C3"),IF('Outfall 1 Limits'!$AR$84&lt;&gt;0,TEXT(ET13,"0."&amp;REPT("0",LEN('Outfall 1 Limits'!$AD$84)-FIND(".",'Outfall 1 Limits'!$AD$84))),ROUND(ET13,AQ126)),""),"")</f>
        <v/>
      </c>
      <c r="AR73" s="288" t="str">
        <f>IF(KV$81="Y","&lt;","")</f>
        <v/>
      </c>
      <c r="AS73" s="288" t="str">
        <f>IF(SUM(AS17:AS23)&lt;&gt;0,IF(OR('Outfall 1 Limits'!$AX$88="C1",'Outfall 1 Limits'!$AX$88="C3"),IF('Outfall 1 Limits'!$AR$88&lt;&gt;0,TEXT(EU13,"0."&amp;REPT("0",LEN('Outfall 1 Limits'!$AD$88)-FIND(".",'Outfall 1 Limits'!$AD$88))),ROUND(EU13,AS126)),""),"")</f>
        <v/>
      </c>
      <c r="AT73" s="288" t="str">
        <f>IF(KW$81="Y","&lt;","")</f>
        <v/>
      </c>
      <c r="AU73" s="288" t="str">
        <f>IF(SUM(AU17:AU23)&lt;&gt;0,IF(OR('Outfall 1 Limits'!$AX$92="C1",'Outfall 1 Limits'!$AX$92="C3"),IF('Outfall 1 Limits'!$AR$92&lt;&gt;0,TEXT(EV13,"0."&amp;REPT("0",LEN('Outfall 1 Limits'!$AD$92)-FIND(".",'Outfall 1 Limits'!$AD$92))),ROUND(EV13,AU126)),""),"")</f>
        <v/>
      </c>
      <c r="AV73" s="288" t="str">
        <f>IF(KX$81="Y","&lt;","")</f>
        <v/>
      </c>
      <c r="AW73" s="288" t="str">
        <f>IF(SUM(AW17:AW23)&lt;&gt;0,IF(OR('Outfall 1 Limits'!$AX$96="C1",'Outfall 1 Limits'!$AX$96="C3"),IF('Outfall 1 Limits'!$AR$96&lt;&gt;0,TEXT(EW13,"0."&amp;REPT("0",LEN('Outfall 1 Limits'!$AD$96)-FIND(".",'Outfall 1 Limits'!$AD$96))),ROUND(EW13,AW126)),""),"")</f>
        <v/>
      </c>
      <c r="AX73" s="288" t="str">
        <f>IF(KY$81="Y","&lt;","")</f>
        <v/>
      </c>
      <c r="AY73" s="288" t="str">
        <f>IF(SUM(AY17:AY23)&lt;&gt;0,IF(OR('Outfall 1 Limits'!$AX$100="C1",'Outfall 1 Limits'!$AX$100="C3"),IF('Outfall 1 Limits'!$AR$100&lt;&gt;0,TEXT(EX13,"0."&amp;REPT("0",LEN('Outfall 1 Limits'!$AD$100)-FIND(".",'Outfall 1 Limits'!$AD$100))),ROUND(EX13,AY126)),""),"")</f>
        <v/>
      </c>
      <c r="AZ73" s="288" t="str">
        <f>IF(KZ$81="Y","&lt;","")</f>
        <v/>
      </c>
      <c r="BA73" s="288" t="str">
        <f>IF(SUM(BA17:BA23)&lt;&gt;0,IF(OR('Outfall 1 Limits'!$AX$104="C1",'Outfall 1 Limits'!$AX$104="C3"),IF('Outfall 1 Limits'!$AR$104&lt;&gt;0,TEXT(EY13,"0."&amp;REPT("0",LEN('Outfall 1 Limits'!$AD$104)-FIND(".",'Outfall 1 Limits'!$AD$104))),ROUND(EY13,BA126)),""),"")</f>
        <v/>
      </c>
      <c r="BB73" s="288" t="str">
        <f>IF(LA$81="Y","&lt;","")</f>
        <v/>
      </c>
      <c r="BC73" s="288" t="str">
        <f>IF(SUM(BC17:BC23)&lt;&gt;0,IF(OR('Outfall 1 Limits'!$AX$108="C1",'Outfall 1 Limits'!$AX$108="C3"),IF('Outfall 1 Limits'!$AR$108&lt;&gt;0,TEXT(EZ13,"0."&amp;REPT("0",LEN('Outfall 1 Limits'!$AD$108)-FIND(".",'Outfall 1 Limits'!$AD$108))),ROUND(EZ13,BC126)),""),"")</f>
        <v/>
      </c>
      <c r="BD73" s="288" t="str">
        <f>IF(LB$81="Y","&lt;","")</f>
        <v/>
      </c>
      <c r="BE73" s="288" t="str">
        <f>IF(SUM(BE17:BE23)&lt;&gt;0,IF(OR('Outfall 1 Limits'!$AX$112="C1",'Outfall 1 Limits'!$AX$112="C3"),IF('Outfall 1 Limits'!$AR$112&lt;&gt;0,TEXT(FA13,"0."&amp;REPT("0",LEN('Outfall 1 Limits'!$AD$112)-FIND(".",'Outfall 1 Limits'!$AD$112))),ROUND(FA13,BE126)),""),"")</f>
        <v/>
      </c>
      <c r="BF73" s="288" t="str">
        <f>IF(LC$81="Y","&lt;","")</f>
        <v/>
      </c>
      <c r="BG73" s="288" t="str">
        <f>IF(SUM(BG17:BG23)&lt;&gt;0,IF(OR('Outfall 1 Limits'!$AX$116="C1",'Outfall 1 Limits'!$AX$116="C3"),IF('Outfall 1 Limits'!$AR$116&lt;&gt;0,TEXT(FB13,"0."&amp;REPT("0",LEN('Outfall 1 Limits'!$AD$116)-FIND(".",'Outfall 1 Limits'!$AD$116))),ROUND(FB13,BG126)),""),"")</f>
        <v/>
      </c>
      <c r="BH73" s="288" t="str">
        <f>IF(LD$81="Y","&lt;","")</f>
        <v/>
      </c>
      <c r="BI73" s="288" t="str">
        <f>IF(SUM(BI17:BI23)&lt;&gt;0,IF(OR('Outfall 1 Limits'!$AX$120="C1",'Outfall 1 Limits'!$AX$120="C3"),IF('Outfall 1 Limits'!$AR$120&lt;&gt;0,TEXT(FC13,"0."&amp;REPT("0",LEN('Outfall 1 Limits'!$AD$120)-FIND(".",'Outfall 1 Limits'!$AD$120))),ROUND(FC13,BI126)),""),"")</f>
        <v/>
      </c>
      <c r="BJ73" s="288" t="str">
        <f>IF(LE$81="Y","&lt;","")</f>
        <v/>
      </c>
      <c r="BK73" s="288" t="str">
        <f>IF(SUM(BK17:BK23)&lt;&gt;0,IF(OR('Outfall 1 Limits'!$AX$124="C1",'Outfall 1 Limits'!$AX$124="C3"),IF('Outfall 1 Limits'!$AR$124&lt;&gt;0,TEXT(FD13,"0."&amp;REPT("0",LEN('Outfall 1 Limits'!$AD$124)-FIND(".",'Outfall 1 Limits'!$AD$124))),ROUND(FD13,BK126)),""),"")</f>
        <v/>
      </c>
      <c r="BL73" s="288" t="str">
        <f>IF(LF$81="Y","&lt;","")</f>
        <v/>
      </c>
      <c r="BM73" s="288" t="str">
        <f>IF(SUM(BM17:BM23)&lt;&gt;0,IF(OR('Outfall 1 Limits'!$AX$128="C1",'Outfall 1 Limits'!$AX$128="C3"),IF('Outfall 1 Limits'!$AR$128&lt;&gt;0,TEXT(FE13,"0."&amp;REPT("0",LEN('Outfall 1 Limits'!$AD$128)-FIND(".",'Outfall 1 Limits'!$AD$128))),ROUND(FE13,BM126)),""),"")</f>
        <v/>
      </c>
      <c r="BO73" s="174"/>
      <c r="BP73" s="174">
        <v>2092</v>
      </c>
      <c r="BQ73" s="174"/>
      <c r="BR73" s="174"/>
      <c r="BS73" s="174"/>
      <c r="BT73" s="248" t="s">
        <v>1178</v>
      </c>
      <c r="BU73" s="174">
        <f>ROWS(BU38:BU44)-COUNTIF(BU38:BU44,"")</f>
        <v>0</v>
      </c>
      <c r="BV73" s="174">
        <f t="shared" ref="BV73:BX73" si="242">ROWS(BV38:BV44)-COUNTIF(BV38:BV44,"")</f>
        <v>0</v>
      </c>
      <c r="BW73" s="174">
        <f t="shared" si="242"/>
        <v>0</v>
      </c>
      <c r="BX73" s="174">
        <f t="shared" si="242"/>
        <v>0</v>
      </c>
      <c r="BY73" s="174">
        <f t="shared" ref="BY73:CW73" si="243">ROWS(BY38:BY44)-COUNTIF(BY38:BY44,"")</f>
        <v>0</v>
      </c>
      <c r="BZ73" s="174">
        <f t="shared" si="243"/>
        <v>0</v>
      </c>
      <c r="CA73" s="174">
        <f t="shared" si="243"/>
        <v>0</v>
      </c>
      <c r="CB73" s="174">
        <f t="shared" si="243"/>
        <v>0</v>
      </c>
      <c r="CC73" s="174">
        <f t="shared" si="243"/>
        <v>0</v>
      </c>
      <c r="CD73" s="174">
        <f t="shared" si="243"/>
        <v>0</v>
      </c>
      <c r="CE73" s="174">
        <f t="shared" si="243"/>
        <v>0</v>
      </c>
      <c r="CF73" s="174">
        <f t="shared" si="243"/>
        <v>0</v>
      </c>
      <c r="CG73" s="174">
        <f t="shared" si="243"/>
        <v>0</v>
      </c>
      <c r="CH73" s="174">
        <f t="shared" si="243"/>
        <v>0</v>
      </c>
      <c r="CI73" s="174">
        <f t="shared" si="243"/>
        <v>0</v>
      </c>
      <c r="CJ73" s="174">
        <f t="shared" si="243"/>
        <v>0</v>
      </c>
      <c r="CK73" s="174">
        <f t="shared" si="243"/>
        <v>0</v>
      </c>
      <c r="CL73" s="174">
        <f t="shared" si="243"/>
        <v>0</v>
      </c>
      <c r="CM73" s="174">
        <f t="shared" si="243"/>
        <v>0</v>
      </c>
      <c r="CN73" s="174">
        <f t="shared" si="243"/>
        <v>0</v>
      </c>
      <c r="CO73" s="174">
        <f t="shared" si="243"/>
        <v>0</v>
      </c>
      <c r="CP73" s="174">
        <f t="shared" si="243"/>
        <v>0</v>
      </c>
      <c r="CQ73" s="174">
        <f t="shared" si="243"/>
        <v>0</v>
      </c>
      <c r="CR73" s="174">
        <f t="shared" si="243"/>
        <v>0</v>
      </c>
      <c r="CS73" s="174">
        <f t="shared" si="243"/>
        <v>0</v>
      </c>
      <c r="CT73" s="174">
        <f t="shared" si="243"/>
        <v>0</v>
      </c>
      <c r="CU73" s="174">
        <f t="shared" si="243"/>
        <v>0</v>
      </c>
      <c r="CV73" s="174">
        <f t="shared" si="243"/>
        <v>0</v>
      </c>
      <c r="CW73" s="174">
        <f t="shared" si="243"/>
        <v>0</v>
      </c>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5"/>
      <c r="DU73" s="175"/>
      <c r="DV73" s="175"/>
      <c r="DW73" s="175"/>
      <c r="DX73" s="175"/>
      <c r="DY73" s="175"/>
      <c r="DZ73" s="175"/>
      <c r="EA73" s="175"/>
      <c r="EB73" s="176"/>
      <c r="GJ73" s="261"/>
      <c r="GK73" s="262"/>
      <c r="GL73" s="262"/>
      <c r="GM73" s="262"/>
      <c r="GN73" s="262"/>
      <c r="GO73" s="262"/>
      <c r="GP73" s="262"/>
      <c r="GQ73" s="262"/>
      <c r="GR73" s="262"/>
      <c r="GS73" s="262"/>
      <c r="GT73" s="262"/>
      <c r="GU73" s="262"/>
      <c r="GV73" s="262"/>
      <c r="GW73" s="262"/>
      <c r="GX73" s="262"/>
      <c r="GY73" s="262"/>
      <c r="GZ73" s="262"/>
      <c r="HA73" s="262"/>
      <c r="HB73" s="262"/>
      <c r="HC73" s="262"/>
      <c r="HD73" s="262"/>
      <c r="HE73" s="262"/>
      <c r="HF73" s="262"/>
      <c r="HG73" s="262"/>
      <c r="HH73" s="262"/>
      <c r="HI73" s="262"/>
      <c r="HJ73" s="262"/>
      <c r="HK73" s="262"/>
      <c r="HL73" s="262"/>
      <c r="HM73" s="262"/>
      <c r="HN73" s="263" t="str">
        <f>IF(SUM(HN68:HN72)&gt;0,IF(E51&lt;&gt;"",MAX(HN68:HN72),MAX(HN68:HN71)),"")</f>
        <v/>
      </c>
      <c r="HO73" s="174"/>
      <c r="HP73" s="174"/>
      <c r="HQ73" s="174"/>
      <c r="HR73" s="174"/>
      <c r="HS73" s="174"/>
      <c r="HT73" s="174"/>
      <c r="HU73" s="174"/>
      <c r="HV73" s="174"/>
      <c r="HW73" s="174"/>
      <c r="HX73" s="174"/>
      <c r="HY73" s="174"/>
      <c r="HZ73" s="174"/>
      <c r="IA73" s="174"/>
      <c r="IB73" s="174"/>
      <c r="IC73" s="174"/>
      <c r="ID73" s="174"/>
      <c r="IE73" s="174"/>
      <c r="IF73" s="174"/>
      <c r="IG73" s="174"/>
      <c r="IH73" s="174"/>
      <c r="II73" s="174"/>
      <c r="IJ73" s="174"/>
      <c r="IK73" s="174"/>
      <c r="IL73" s="174"/>
      <c r="IM73" s="174"/>
      <c r="IN73" s="174"/>
      <c r="IO73" s="174"/>
      <c r="IP73" s="174"/>
      <c r="IQ73" s="174"/>
      <c r="IR73" s="174"/>
      <c r="IS73" s="174"/>
      <c r="IT73" s="174"/>
      <c r="IU73" s="174"/>
      <c r="IX73" s="174"/>
      <c r="IY73" s="174"/>
      <c r="IZ73" s="174"/>
      <c r="JA73" s="174"/>
      <c r="JB73" s="174"/>
      <c r="JC73" s="174"/>
      <c r="JD73" s="174"/>
      <c r="JE73" s="174"/>
      <c r="JF73" s="174"/>
      <c r="JG73" s="174"/>
      <c r="JH73" s="174"/>
      <c r="JI73" s="174"/>
      <c r="JJ73" s="174"/>
      <c r="JK73" s="174"/>
      <c r="JL73" s="174"/>
      <c r="JM73" s="174"/>
      <c r="JN73" s="174"/>
      <c r="JO73" s="174"/>
      <c r="JP73" s="174"/>
      <c r="JQ73" s="174"/>
      <c r="JR73" s="174"/>
      <c r="JS73" s="174"/>
      <c r="JT73" s="174"/>
      <c r="JU73" s="174"/>
      <c r="JV73" s="174"/>
      <c r="JW73" s="174"/>
      <c r="JX73" s="174"/>
      <c r="JY73" s="174"/>
      <c r="JZ73" s="174"/>
      <c r="KA73" s="174"/>
      <c r="KB73" s="176"/>
      <c r="KC73" s="248" t="s">
        <v>1182</v>
      </c>
      <c r="KD73" s="174" t="str">
        <f>IF(OR(KD69=KD72,(KD69+KD70)=KD72),"Y",IF(OR(AND(KD70=0,KD71&gt;0),KD71=KD72),"N","Y"))</f>
        <v>Y</v>
      </c>
      <c r="KE73" s="174" t="str">
        <f t="shared" ref="KE73:LF73" si="244">IF(OR(KE69=KE72,(KE69+KE70)=KE72),"Y",IF(OR(AND(KE70=0,KE71&gt;0),KE71=KE72),"N","Y"))</f>
        <v>Y</v>
      </c>
      <c r="KF73" s="174" t="str">
        <f t="shared" si="244"/>
        <v>Y</v>
      </c>
      <c r="KG73" s="174" t="str">
        <f t="shared" si="244"/>
        <v>Y</v>
      </c>
      <c r="KH73" s="174" t="str">
        <f t="shared" si="244"/>
        <v>Y</v>
      </c>
      <c r="KI73" s="174" t="str">
        <f t="shared" si="244"/>
        <v>Y</v>
      </c>
      <c r="KJ73" s="174" t="str">
        <f t="shared" si="244"/>
        <v>Y</v>
      </c>
      <c r="KK73" s="174" t="str">
        <f t="shared" si="244"/>
        <v>Y</v>
      </c>
      <c r="KL73" s="174" t="str">
        <f t="shared" si="244"/>
        <v>Y</v>
      </c>
      <c r="KM73" s="174" t="str">
        <f t="shared" si="244"/>
        <v>Y</v>
      </c>
      <c r="KN73" s="174" t="str">
        <f t="shared" si="244"/>
        <v>Y</v>
      </c>
      <c r="KO73" s="174" t="str">
        <f t="shared" si="244"/>
        <v>Y</v>
      </c>
      <c r="KP73" s="174" t="str">
        <f t="shared" si="244"/>
        <v>Y</v>
      </c>
      <c r="KQ73" s="174" t="str">
        <f t="shared" si="244"/>
        <v>Y</v>
      </c>
      <c r="KR73" s="174" t="str">
        <f t="shared" si="244"/>
        <v>Y</v>
      </c>
      <c r="KS73" s="174" t="str">
        <f t="shared" si="244"/>
        <v>Y</v>
      </c>
      <c r="KT73" s="174" t="str">
        <f t="shared" si="244"/>
        <v>Y</v>
      </c>
      <c r="KU73" s="174" t="str">
        <f t="shared" si="244"/>
        <v>Y</v>
      </c>
      <c r="KV73" s="174" t="str">
        <f t="shared" si="244"/>
        <v>Y</v>
      </c>
      <c r="KW73" s="174" t="str">
        <f t="shared" si="244"/>
        <v>Y</v>
      </c>
      <c r="KX73" s="174" t="str">
        <f t="shared" si="244"/>
        <v>Y</v>
      </c>
      <c r="KY73" s="174" t="str">
        <f t="shared" si="244"/>
        <v>Y</v>
      </c>
      <c r="KZ73" s="174" t="str">
        <f t="shared" si="244"/>
        <v>Y</v>
      </c>
      <c r="LA73" s="174" t="str">
        <f t="shared" si="244"/>
        <v>Y</v>
      </c>
      <c r="LB73" s="174" t="str">
        <f t="shared" si="244"/>
        <v>Y</v>
      </c>
      <c r="LC73" s="174" t="str">
        <f t="shared" si="244"/>
        <v>Y</v>
      </c>
      <c r="LD73" s="174" t="str">
        <f t="shared" si="244"/>
        <v>Y</v>
      </c>
      <c r="LE73" s="174" t="str">
        <f t="shared" si="244"/>
        <v>Y</v>
      </c>
      <c r="LF73" s="174" t="str">
        <f t="shared" si="244"/>
        <v>Y</v>
      </c>
    </row>
    <row r="74" spans="1:318" s="174" customFormat="1" ht="12.75" customHeight="1" x14ac:dyDescent="0.2">
      <c r="A74" s="172"/>
      <c r="B74" s="470" t="s">
        <v>954</v>
      </c>
      <c r="C74" s="470"/>
      <c r="D74" s="470"/>
      <c r="E74" s="470"/>
      <c r="F74" s="470"/>
      <c r="G74" s="288"/>
      <c r="H74" s="288" t="str">
        <f>IF(KD$87="Y","&lt;","")</f>
        <v/>
      </c>
      <c r="I74" s="288" t="str">
        <f>IF(SUM(I24:I30)&lt;&gt;0,IF(OR('Outfall 1 Limits'!$AX$16="C1",'Outfall 1 Limits'!$AX$16="C3"),IF('Outfall 1 Limits'!$AR$16&lt;&gt;0,TEXT(EC14,"0."&amp;REPT("0",LEN('Outfall 1 Limits'!$AD$16)-FIND(".",'Outfall 1 Limits'!$AD$16))),ROUND(EC14,$I$126)),""),"")</f>
        <v/>
      </c>
      <c r="J74" s="288" t="str">
        <f>IF(KE$87="Y","&lt;","")</f>
        <v/>
      </c>
      <c r="K74" s="288" t="str">
        <f>IF(SUM(K24:K30)&lt;&gt;0,IF(OR('Outfall 1 Limits'!$AX$20="C1",'Outfall 1 Limits'!$AX$20="C3"),IF('Outfall 1 Limits'!$AR$20&lt;&gt;0,TEXT(ED14,"0."&amp;REPT("0",LEN('Outfall 1 Limits'!$AD$20)-FIND(".",'Outfall 1 Limits'!$AD$20))),ROUND(ED14,$K$126)),""),"")</f>
        <v/>
      </c>
      <c r="L74" s="288" t="str">
        <f>IF(KF$87="Y","&lt;","")</f>
        <v/>
      </c>
      <c r="M74" s="288" t="str">
        <f>IF(SUM(M24:M30)&lt;&gt;0,IF(OR('Outfall 1 Limits'!$AX$24="C1",'Outfall 1 Limits'!$AX$24="C3"),IF('Outfall 1 Limits'!$AR$24&lt;&gt;0,TEXT(EE14,"0."&amp;REPT("0",LEN('Outfall 1 Limits'!$AD$24)-FIND(".",'Outfall 1 Limits'!$AD$24))),ROUND(EE14,M126)),""),"")</f>
        <v/>
      </c>
      <c r="N74" s="288" t="str">
        <f>IF(KG$87="Y","&lt;","")</f>
        <v/>
      </c>
      <c r="O74" s="288" t="str">
        <f>IF(SUM(O24:O30)&lt;&gt;0,IF(OR('Outfall 1 Limits'!$AX$28="C1",'Outfall 1 Limits'!$AX$28="C3"),IF('Outfall 1 Limits'!$AR$28&lt;&gt;0,TEXT(EF14,"0."&amp;REPT("0",LEN('Outfall 1 Limits'!$AD$28)-FIND(".",'Outfall 1 Limits'!$AD$28))),ROUND(EF14,O126)),""),"")</f>
        <v/>
      </c>
      <c r="P74" s="288" t="str">
        <f>IF(KH$87="Y","&lt;","")</f>
        <v/>
      </c>
      <c r="Q74" s="288" t="str">
        <f>IF(SUM(Q24:Q30)&lt;&gt;0,IF(OR('Outfall 1 Limits'!$AX$32="C1",'Outfall 1 Limits'!$AX$32="C3"),IF('Outfall 1 Limits'!$AR$32&lt;&gt;0,TEXT(EG14,"0."&amp;REPT("0",LEN('Outfall 1 Limits'!$AD$32)-FIND(".",'Outfall 1 Limits'!$AD$32))),ROUND(EG14,Q126)),""),"")</f>
        <v/>
      </c>
      <c r="R74" s="288" t="str">
        <f>IF(KI$87="Y","&lt;","")</f>
        <v/>
      </c>
      <c r="S74" s="288" t="str">
        <f>IF(SUM(S24:S30)&lt;&gt;0,IF(OR('Outfall 1 Limits'!$AX$36="C1",'Outfall 1 Limits'!$AX$36="C3"),IF('Outfall 1 Limits'!$AR$36&lt;&gt;0,TEXT(EH14,"0."&amp;REPT("0",LEN('Outfall 1 Limits'!$AD$36)-FIND(".",'Outfall 1 Limits'!$AD$36))),ROUND(EH14,S126)),""),"")</f>
        <v/>
      </c>
      <c r="T74" s="288" t="str">
        <f>IF(KJ$87="Y","&lt;","")</f>
        <v/>
      </c>
      <c r="U74" s="288" t="str">
        <f>IF(SUM(U24:U30)&lt;&gt;0,IF(OR('Outfall 1 Limits'!$AX$40="C1",'Outfall 1 Limits'!$AX$40="C3"),IF('Outfall 1 Limits'!$AR$40&lt;&gt;0,TEXT(EI14,"0."&amp;REPT("0",LEN('Outfall 1 Limits'!$AD$40)-FIND(".",'Outfall 1 Limits'!$AD$40))),ROUND(EI14,U126)),""),"")</f>
        <v/>
      </c>
      <c r="V74" s="288" t="str">
        <f>IF(KK$87="Y","&lt;","")</f>
        <v/>
      </c>
      <c r="W74" s="288" t="str">
        <f>IF(SUM(W24:W30)&lt;&gt;0,IF(OR('Outfall 1 Limits'!$AX$44="C1",'Outfall 1 Limits'!$AX$44="C3"),IF('Outfall 1 Limits'!$AR$44&lt;&gt;0,TEXT(EJ14,"0."&amp;REPT("0",LEN('Outfall 1 Limits'!$AD$44)-FIND(".",'Outfall 1 Limits'!$AD$44))),ROUND(EJ14,W126)),""),"")</f>
        <v/>
      </c>
      <c r="X74" s="288" t="str">
        <f>IF(KL$87="Y","&lt;","")</f>
        <v/>
      </c>
      <c r="Y74" s="288" t="str">
        <f>IF(SUM(Y24:Y30)&lt;&gt;0,IF(OR('Outfall 1 Limits'!$AX$48="C1",'Outfall 1 Limits'!$AX$48="C3"),IF('Outfall 1 Limits'!$AR$48&lt;&gt;0,TEXT(EK14,"0."&amp;REPT("0",LEN('Outfall 1 Limits'!$AD$48)-FIND(".",'Outfall 1 Limits'!$AD$48))),ROUND(EK14,Y126)),""),"")</f>
        <v/>
      </c>
      <c r="Z74" s="288" t="str">
        <f>IF(KM$87="Y","&lt;","")</f>
        <v/>
      </c>
      <c r="AA74" s="288" t="str">
        <f>IF(SUM(AA24:AA30)&lt;&gt;0,IF(OR('Outfall 1 Limits'!$AX$52="C1",'Outfall 1 Limits'!$AX$52="C3"),IF('Outfall 1 Limits'!$AR$52&lt;&gt;0,TEXT(EL14,"0."&amp;REPT("0",LEN('Outfall 1 Limits'!$AD$52)-FIND(".",'Outfall 1 Limits'!$AD$52))),ROUND(EL14,AA126)),""),"")</f>
        <v/>
      </c>
      <c r="AB74" s="288" t="str">
        <f>IF(KN$87="Y","&lt;","")</f>
        <v/>
      </c>
      <c r="AC74" s="288" t="str">
        <f>IF(SUM(AC24:AC30)&lt;&gt;0,IF(OR('Outfall 1 Limits'!$AX$56="C1",'Outfall 1 Limits'!$AX$56="C3"),IF('Outfall 1 Limits'!$AR$56&lt;&gt;0,TEXT(EM14,"0."&amp;REPT("0",LEN('Outfall 1 Limits'!$AD$56)-FIND(".",'Outfall 1 Limits'!$AD$56))),ROUND(EM14,AC126)),""),"")</f>
        <v/>
      </c>
      <c r="AD74" s="288" t="str">
        <f>IF(KO$87="Y","&lt;","")</f>
        <v/>
      </c>
      <c r="AE74" s="288" t="str">
        <f>IF(SUM(AE24:AE30)&lt;&gt;0,IF(OR('Outfall 1 Limits'!$AX$60="C1",'Outfall 1 Limits'!$AX$60="C3"),IF('Outfall 1 Limits'!$AR$60&lt;&gt;0,TEXT(EN14,"0."&amp;REPT("0",LEN('Outfall 1 Limits'!$AD$60)-FIND(".",'Outfall 1 Limits'!$AD$60))),ROUND(EN14,AE126)),""),"")</f>
        <v/>
      </c>
      <c r="AF74" s="288" t="str">
        <f>IF(KP$87="Y","&lt;","")</f>
        <v/>
      </c>
      <c r="AG74" s="288" t="str">
        <f>IF(SUM(AG24:AG30)&lt;&gt;0,IF(OR('Outfall 1 Limits'!$AX$64="C1",'Outfall 1 Limits'!$AX$64="C3"),IF('Outfall 1 Limits'!$AR$64&lt;&gt;0,TEXT(EO14,"0."&amp;REPT("0",LEN('Outfall 1 Limits'!$AD$64)-FIND(".",'Outfall 1 Limits'!$AD$64))),ROUND(EO14,AG126)),""),"")</f>
        <v/>
      </c>
      <c r="AH74" s="288" t="str">
        <f>IF(KQ$87="Y","&lt;","")</f>
        <v/>
      </c>
      <c r="AI74" s="288" t="str">
        <f>IF(SUM(AI24:AI30)&lt;&gt;0,IF(OR('Outfall 1 Limits'!$AX$68="C1",'Outfall 1 Limits'!$AX$68="C3"),IF('Outfall 1 Limits'!$AR$68&lt;&gt;0,TEXT(EP14,"0."&amp;REPT("0",LEN('Outfall 1 Limits'!$AD$68)-FIND(".",'Outfall 1 Limits'!$AD$68))),ROUND(EP14,AI126)),""),"")</f>
        <v/>
      </c>
      <c r="AJ74" s="288" t="str">
        <f>IF(KR$87="Y","&lt;","")</f>
        <v/>
      </c>
      <c r="AK74" s="288" t="str">
        <f>IF(SUM(AK24:AK30)&lt;&gt;0,IF(OR('Outfall 1 Limits'!$AX$72="C1",'Outfall 1 Limits'!$AX$72="C3"),IF('Outfall 1 Limits'!$AR$72&lt;&gt;0,TEXT(EQ14,"0."&amp;REPT("0",LEN('Outfall 1 Limits'!$AD$72)-FIND(".",'Outfall 1 Limits'!$AD$72))),ROUND(EQ14,AK126)),""),"")</f>
        <v/>
      </c>
      <c r="AL74" s="288" t="str">
        <f>IF(KS$87="Y","&lt;","")</f>
        <v/>
      </c>
      <c r="AM74" s="288" t="str">
        <f>IF(SUM(AM24:AM30)&lt;&gt;0,IF(OR('Outfall 1 Limits'!$AX$76="C1",'Outfall 1 Limits'!$AX$76="C3"),IF('Outfall 1 Limits'!$AR$76&lt;&gt;0,TEXT(ER14,"0."&amp;REPT("0",LEN('Outfall 1 Limits'!$AD$76)-FIND(".",'Outfall 1 Limits'!$AD$76))),ROUND(ER14,AM126)),""),"")</f>
        <v/>
      </c>
      <c r="AN74" s="288" t="str">
        <f>IF(KT$87="Y","&lt;","")</f>
        <v/>
      </c>
      <c r="AO74" s="288" t="str">
        <f>IF(SUM(AO24:AO30)&lt;&gt;0,IF(OR('Outfall 1 Limits'!$AX$80="C1",'Outfall 1 Limits'!$AX$80="C3"),IF('Outfall 1 Limits'!$AR$80&lt;&gt;0,TEXT(ES14,"0."&amp;REPT("0",LEN('Outfall 1 Limits'!$AD$80)-FIND(".",'Outfall 1 Limits'!$AD$80))),ROUND(ES14,AO126)),""),"")</f>
        <v/>
      </c>
      <c r="AP74" s="288" t="str">
        <f>IF(KU$87="Y","&lt;","")</f>
        <v/>
      </c>
      <c r="AQ74" s="288" t="str">
        <f>IF(SUM(AQ24:AQ30)&lt;&gt;0,IF(OR('Outfall 1 Limits'!$AX$84="C1",'Outfall 1 Limits'!$AX$84="C3"),IF('Outfall 1 Limits'!$AR$84&lt;&gt;0,TEXT(ET14,"0."&amp;REPT("0",LEN('Outfall 1 Limits'!$AD$84)-FIND(".",'Outfall 1 Limits'!$AD$84))),ROUND(ET14,AQ126)),""),"")</f>
        <v/>
      </c>
      <c r="AR74" s="288" t="str">
        <f>IF(KV$87="Y","&lt;","")</f>
        <v/>
      </c>
      <c r="AS74" s="288" t="str">
        <f>IF(SUM(AS24:AS30)&lt;&gt;0,IF(OR('Outfall 1 Limits'!$AX$88="C1",'Outfall 1 Limits'!$AX$88="C3"),IF('Outfall 1 Limits'!$AR$88&lt;&gt;0,TEXT(EU14,"0."&amp;REPT("0",LEN('Outfall 1 Limits'!$AD$88)-FIND(".",'Outfall 1 Limits'!$AD$88))),ROUND(EU14,AS126)),""),"")</f>
        <v/>
      </c>
      <c r="AT74" s="288" t="str">
        <f>IF(KW$87="Y","&lt;","")</f>
        <v/>
      </c>
      <c r="AU74" s="288" t="str">
        <f>IF(SUM(AU24:AU30)&lt;&gt;0,IF(OR('Outfall 1 Limits'!$AX$92="C1",'Outfall 1 Limits'!$AX$92="C3"),IF('Outfall 1 Limits'!$AR$92&lt;&gt;0,TEXT(EV14,"0."&amp;REPT("0",LEN('Outfall 1 Limits'!$AD$92)-FIND(".",'Outfall 1 Limits'!$AD$92))),ROUND(EV14,AU126)),""),"")</f>
        <v/>
      </c>
      <c r="AV74" s="288" t="str">
        <f>IF(KX$87="Y","&lt;","")</f>
        <v/>
      </c>
      <c r="AW74" s="288" t="str">
        <f>IF(SUM(AW24:AW30)&lt;&gt;0,IF(OR('Outfall 1 Limits'!$AX$96="C1",'Outfall 1 Limits'!$AX$96="C3"),IF('Outfall 1 Limits'!$AR$96&lt;&gt;0,TEXT(EW14,"0."&amp;REPT("0",LEN('Outfall 1 Limits'!$AD$96)-FIND(".",'Outfall 1 Limits'!$AD$96))),ROUND(EW14,AW126)),""),"")</f>
        <v/>
      </c>
      <c r="AX74" s="288" t="str">
        <f>IF(KY$87="Y","&lt;","")</f>
        <v/>
      </c>
      <c r="AY74" s="288" t="str">
        <f>IF(SUM(AY24:AY30)&lt;&gt;0,IF(OR('Outfall 1 Limits'!$AX$100="C1",'Outfall 1 Limits'!$AX$100="C3"),IF('Outfall 1 Limits'!$AR$100&lt;&gt;0,TEXT(EX14,"0."&amp;REPT("0",LEN('Outfall 1 Limits'!$AD$100)-FIND(".",'Outfall 1 Limits'!$AD$100))),ROUND(EX14,AY126)),""),"")</f>
        <v/>
      </c>
      <c r="AZ74" s="288" t="str">
        <f>IF(KZ$87="Y","&lt;","")</f>
        <v/>
      </c>
      <c r="BA74" s="288" t="str">
        <f>IF(SUM(BA24:BA30)&lt;&gt;0,IF(OR('Outfall 1 Limits'!$AX$104="C1",'Outfall 1 Limits'!$AX$104="C3"),IF('Outfall 1 Limits'!$AR$104&lt;&gt;0,TEXT(EY14,"0."&amp;REPT("0",LEN('Outfall 1 Limits'!$AD$104)-FIND(".",'Outfall 1 Limits'!$AD$104))),ROUND(EY14,BA126)),""),"")</f>
        <v/>
      </c>
      <c r="BB74" s="288" t="str">
        <f>IF(LA$87="Y","&lt;","")</f>
        <v/>
      </c>
      <c r="BC74" s="288" t="str">
        <f>IF(SUM(BC24:BC30)&lt;&gt;0,IF(OR('Outfall 1 Limits'!$AX$108="C1",'Outfall 1 Limits'!$AX$108="C3"),IF('Outfall 1 Limits'!$AR$108&lt;&gt;0,TEXT(EZ14,"0."&amp;REPT("0",LEN('Outfall 1 Limits'!$AD$108)-FIND(".",'Outfall 1 Limits'!$AD$108))),ROUND(EZ14,BC126)),""),"")</f>
        <v/>
      </c>
      <c r="BD74" s="288" t="str">
        <f>IF(LB$87="Y","&lt;","")</f>
        <v/>
      </c>
      <c r="BE74" s="288" t="str">
        <f>IF(SUM(BE24:BE30)&lt;&gt;0,IF(OR('Outfall 1 Limits'!$AX$112="C1",'Outfall 1 Limits'!$AX$112="C3"),IF('Outfall 1 Limits'!$AR$112&lt;&gt;0,TEXT(FA14,"0."&amp;REPT("0",LEN('Outfall 1 Limits'!$AD$112)-FIND(".",'Outfall 1 Limits'!$AD$112))),ROUND(FA14,BE126)),""),"")</f>
        <v/>
      </c>
      <c r="BF74" s="288" t="str">
        <f>IF(LC$87="Y","&lt;","")</f>
        <v/>
      </c>
      <c r="BG74" s="288" t="str">
        <f>IF(SUM(BG24:BG30)&lt;&gt;0,IF(OR('Outfall 1 Limits'!$AX$116="C1",'Outfall 1 Limits'!$AX$116="C3"),IF('Outfall 1 Limits'!$AR$116&lt;&gt;0,TEXT(FB14,"0."&amp;REPT("0",LEN('Outfall 1 Limits'!$AD$116)-FIND(".",'Outfall 1 Limits'!$AD$116))),ROUND(FB14,BG126)),""),"")</f>
        <v/>
      </c>
      <c r="BH74" s="288" t="str">
        <f>IF(LD$87="Y","&lt;","")</f>
        <v/>
      </c>
      <c r="BI74" s="288" t="str">
        <f>IF(SUM(BI24:BI30)&lt;&gt;0,IF(OR('Outfall 1 Limits'!$AX$120="C1",'Outfall 1 Limits'!$AX$120="C3"),IF('Outfall 1 Limits'!$AR$120&lt;&gt;0,TEXT(FC14,"0."&amp;REPT("0",LEN('Outfall 1 Limits'!$AD$120)-FIND(".",'Outfall 1 Limits'!$AD$120))),ROUND(FC14,BI126)),""),"")</f>
        <v/>
      </c>
      <c r="BJ74" s="288" t="str">
        <f>IF(LE$87="Y","&lt;","")</f>
        <v/>
      </c>
      <c r="BK74" s="288" t="str">
        <f>IF(SUM(BK24:BK30)&lt;&gt;0,IF(OR('Outfall 1 Limits'!$AX$124="C1",'Outfall 1 Limits'!$AX$124="C3"),IF('Outfall 1 Limits'!$AR$124&lt;&gt;0,TEXT(FD14,"0."&amp;REPT("0",LEN('Outfall 1 Limits'!$AD$124)-FIND(".",'Outfall 1 Limits'!$AD$124))),ROUND(FD14,BK126)),""),"")</f>
        <v/>
      </c>
      <c r="BL74" s="288" t="str">
        <f>IF(LF$87="Y","&lt;","")</f>
        <v/>
      </c>
      <c r="BM74" s="288" t="str">
        <f>IF(SUM(BM24:BM30)&lt;&gt;0,IF(OR('Outfall 1 Limits'!$AX$128="C1",'Outfall 1 Limits'!$AX$128="C3"),IF('Outfall 1 Limits'!$AR$128&lt;&gt;0,TEXT(FE14,"0."&amp;REPT("0",LEN('Outfall 1 Limits'!$AD$128)-FIND(".",'Outfall 1 Limits'!$AD$128))),ROUND(FE14,BM126)),""),"")</f>
        <v/>
      </c>
      <c r="BP74" s="174">
        <v>2093</v>
      </c>
      <c r="BT74" s="255" t="s">
        <v>1179</v>
      </c>
      <c r="BU74" s="174" t="str">
        <f>IF(BU73&gt;0,IF(BU73=(BU63+(BU73*0.01)),"Y","N"),"")</f>
        <v/>
      </c>
      <c r="BV74" s="174" t="str">
        <f t="shared" ref="BV74:BX74" si="245">IF(BV73&gt;0,IF(BV73=(BV63+(BV73*0.01)),"Y","N"),"")</f>
        <v/>
      </c>
      <c r="BW74" s="174" t="str">
        <f t="shared" si="245"/>
        <v/>
      </c>
      <c r="BX74" s="174" t="str">
        <f t="shared" si="245"/>
        <v/>
      </c>
      <c r="BY74" s="174" t="str">
        <f t="shared" ref="BY74:CW74" si="246">IF(BY73&gt;0,IF(BY73=(BY63+(BY73*0.01)),"Y","N"),"")</f>
        <v/>
      </c>
      <c r="BZ74" s="174" t="str">
        <f t="shared" si="246"/>
        <v/>
      </c>
      <c r="CA74" s="174" t="str">
        <f t="shared" si="246"/>
        <v/>
      </c>
      <c r="CB74" s="174" t="str">
        <f t="shared" si="246"/>
        <v/>
      </c>
      <c r="CC74" s="174" t="str">
        <f t="shared" si="246"/>
        <v/>
      </c>
      <c r="CD74" s="174" t="str">
        <f t="shared" si="246"/>
        <v/>
      </c>
      <c r="CE74" s="174" t="str">
        <f t="shared" si="246"/>
        <v/>
      </c>
      <c r="CF74" s="174" t="str">
        <f t="shared" si="246"/>
        <v/>
      </c>
      <c r="CG74" s="174" t="str">
        <f t="shared" si="246"/>
        <v/>
      </c>
      <c r="CH74" s="174" t="str">
        <f t="shared" si="246"/>
        <v/>
      </c>
      <c r="CI74" s="174" t="str">
        <f t="shared" si="246"/>
        <v/>
      </c>
      <c r="CJ74" s="174" t="str">
        <f t="shared" si="246"/>
        <v/>
      </c>
      <c r="CK74" s="174" t="str">
        <f t="shared" si="246"/>
        <v/>
      </c>
      <c r="CL74" s="174" t="str">
        <f t="shared" si="246"/>
        <v/>
      </c>
      <c r="CM74" s="174" t="str">
        <f t="shared" si="246"/>
        <v/>
      </c>
      <c r="CN74" s="174" t="str">
        <f t="shared" si="246"/>
        <v/>
      </c>
      <c r="CO74" s="174" t="str">
        <f t="shared" si="246"/>
        <v/>
      </c>
      <c r="CP74" s="174" t="str">
        <f t="shared" si="246"/>
        <v/>
      </c>
      <c r="CQ74" s="174" t="str">
        <f t="shared" si="246"/>
        <v/>
      </c>
      <c r="CR74" s="174" t="str">
        <f t="shared" si="246"/>
        <v/>
      </c>
      <c r="CS74" s="174" t="str">
        <f t="shared" si="246"/>
        <v/>
      </c>
      <c r="CT74" s="174" t="str">
        <f t="shared" si="246"/>
        <v/>
      </c>
      <c r="CU74" s="174" t="str">
        <f t="shared" si="246"/>
        <v/>
      </c>
      <c r="CV74" s="174" t="str">
        <f t="shared" si="246"/>
        <v/>
      </c>
      <c r="CW74" s="174" t="str">
        <f t="shared" si="246"/>
        <v/>
      </c>
      <c r="CX74" s="172"/>
      <c r="CY74" s="175"/>
      <c r="CZ74" s="175"/>
      <c r="DA74" s="175"/>
      <c r="DB74" s="175"/>
      <c r="DC74" s="175"/>
      <c r="DD74" s="175"/>
      <c r="DE74" s="175"/>
      <c r="DF74" s="175"/>
      <c r="DG74" s="175"/>
      <c r="DH74" s="175"/>
      <c r="DI74" s="175"/>
      <c r="DJ74" s="175"/>
      <c r="DK74" s="175"/>
      <c r="DL74" s="175"/>
      <c r="DM74" s="175"/>
      <c r="DN74" s="175"/>
      <c r="DO74" s="175"/>
      <c r="DP74" s="175"/>
      <c r="DQ74" s="175"/>
      <c r="DR74" s="175"/>
      <c r="DS74" s="175"/>
      <c r="DT74" s="175"/>
      <c r="DU74" s="175"/>
      <c r="DV74" s="175"/>
      <c r="DW74" s="175"/>
      <c r="DX74" s="175"/>
      <c r="DY74" s="175"/>
      <c r="DZ74" s="175"/>
      <c r="EA74" s="175"/>
      <c r="EB74" s="176"/>
      <c r="EC74" s="172"/>
      <c r="ED74" s="172"/>
      <c r="EE74" s="172"/>
      <c r="EF74" s="172"/>
      <c r="EG74" s="172"/>
      <c r="EH74" s="172"/>
      <c r="EI74" s="172"/>
      <c r="EJ74" s="172"/>
      <c r="EK74" s="172"/>
      <c r="EL74" s="172"/>
      <c r="EM74" s="172"/>
      <c r="EN74" s="172"/>
      <c r="EO74" s="172"/>
      <c r="EP74" s="172"/>
      <c r="EQ74" s="172"/>
      <c r="ER74" s="172"/>
      <c r="ES74" s="172"/>
      <c r="ET74" s="172"/>
      <c r="EU74" s="172"/>
      <c r="EV74" s="172"/>
      <c r="EW74" s="172"/>
      <c r="EX74" s="172"/>
      <c r="EY74" s="172"/>
      <c r="EZ74" s="172"/>
      <c r="FA74" s="172"/>
      <c r="FB74" s="172"/>
      <c r="FC74" s="172"/>
      <c r="FD74" s="172"/>
      <c r="FE74" s="172"/>
      <c r="FF74" s="172"/>
      <c r="FG74" s="172"/>
      <c r="FH74" s="172"/>
      <c r="FI74" s="172"/>
      <c r="FJ74" s="172"/>
      <c r="FK74" s="172"/>
      <c r="FL74" s="172"/>
      <c r="FM74" s="172"/>
      <c r="FN74" s="172"/>
      <c r="FO74" s="172"/>
      <c r="FP74" s="172"/>
      <c r="FQ74" s="172"/>
      <c r="FR74" s="172"/>
      <c r="FS74" s="172"/>
      <c r="FT74" s="172"/>
      <c r="FU74" s="172"/>
      <c r="FV74" s="172"/>
      <c r="FW74" s="172"/>
      <c r="FX74" s="172"/>
      <c r="FY74" s="172"/>
      <c r="FZ74" s="172"/>
      <c r="GA74" s="172"/>
      <c r="GB74" s="172"/>
      <c r="GC74" s="172"/>
      <c r="GD74" s="172"/>
      <c r="GE74" s="172"/>
      <c r="GF74" s="172"/>
      <c r="GG74" s="172"/>
      <c r="GH74" s="172"/>
      <c r="GI74" s="172"/>
      <c r="GJ74" s="261"/>
      <c r="GK74" s="206"/>
      <c r="GL74" s="206"/>
      <c r="GM74" s="206"/>
      <c r="GN74" s="206"/>
      <c r="GO74" s="206"/>
      <c r="GP74" s="206"/>
      <c r="GQ74" s="206"/>
      <c r="GR74" s="206"/>
      <c r="GS74" s="206"/>
      <c r="GT74" s="206"/>
      <c r="GU74" s="206"/>
      <c r="GV74" s="206"/>
      <c r="GW74" s="206"/>
      <c r="GX74" s="206"/>
      <c r="GY74" s="206"/>
      <c r="GZ74" s="206"/>
      <c r="HA74" s="206"/>
      <c r="HB74" s="206"/>
      <c r="HC74" s="206"/>
      <c r="HD74" s="206"/>
      <c r="HE74" s="206"/>
      <c r="HF74" s="206"/>
      <c r="HG74" s="206"/>
      <c r="HH74" s="206"/>
      <c r="HI74" s="206"/>
      <c r="HJ74" s="206"/>
      <c r="HK74" s="206"/>
      <c r="HL74" s="206"/>
      <c r="HM74" s="206"/>
      <c r="KC74" s="248" t="s">
        <v>1191</v>
      </c>
      <c r="KD74" s="256" t="e">
        <f t="shared" ref="KD74:LF74" ca="1" si="247">IF(KD53="Y",KD73,IF(BU54="Y","Y",IF(EC45="Y","Y")))</f>
        <v>#VALUE!</v>
      </c>
      <c r="KE74" s="174" t="e">
        <f t="shared" ca="1" si="247"/>
        <v>#VALUE!</v>
      </c>
      <c r="KF74" s="174" t="e">
        <f t="shared" ca="1" si="247"/>
        <v>#VALUE!</v>
      </c>
      <c r="KG74" s="174" t="e">
        <f t="shared" ca="1" si="247"/>
        <v>#VALUE!</v>
      </c>
      <c r="KH74" s="174" t="e">
        <f t="shared" ca="1" si="247"/>
        <v>#VALUE!</v>
      </c>
      <c r="KI74" s="174" t="e">
        <f t="shared" ca="1" si="247"/>
        <v>#VALUE!</v>
      </c>
      <c r="KJ74" s="174" t="e">
        <f t="shared" ca="1" si="247"/>
        <v>#VALUE!</v>
      </c>
      <c r="KK74" s="174" t="e">
        <f t="shared" ca="1" si="247"/>
        <v>#VALUE!</v>
      </c>
      <c r="KL74" s="174" t="e">
        <f t="shared" ca="1" si="247"/>
        <v>#VALUE!</v>
      </c>
      <c r="KM74" s="174" t="e">
        <f t="shared" ca="1" si="247"/>
        <v>#VALUE!</v>
      </c>
      <c r="KN74" s="174" t="e">
        <f t="shared" ca="1" si="247"/>
        <v>#VALUE!</v>
      </c>
      <c r="KO74" s="174" t="e">
        <f t="shared" ca="1" si="247"/>
        <v>#VALUE!</v>
      </c>
      <c r="KP74" s="174" t="e">
        <f t="shared" ca="1" si="247"/>
        <v>#VALUE!</v>
      </c>
      <c r="KQ74" s="174" t="e">
        <f t="shared" ca="1" si="247"/>
        <v>#VALUE!</v>
      </c>
      <c r="KR74" s="174" t="e">
        <f t="shared" ca="1" si="247"/>
        <v>#VALUE!</v>
      </c>
      <c r="KS74" s="174" t="e">
        <f t="shared" ca="1" si="247"/>
        <v>#VALUE!</v>
      </c>
      <c r="KT74" s="174" t="e">
        <f t="shared" ca="1" si="247"/>
        <v>#VALUE!</v>
      </c>
      <c r="KU74" s="174" t="e">
        <f t="shared" ca="1" si="247"/>
        <v>#VALUE!</v>
      </c>
      <c r="KV74" s="174" t="e">
        <f t="shared" ca="1" si="247"/>
        <v>#VALUE!</v>
      </c>
      <c r="KW74" s="174" t="e">
        <f t="shared" ca="1" si="247"/>
        <v>#VALUE!</v>
      </c>
      <c r="KX74" s="174" t="e">
        <f t="shared" ca="1" si="247"/>
        <v>#VALUE!</v>
      </c>
      <c r="KY74" s="174" t="e">
        <f t="shared" ca="1" si="247"/>
        <v>#VALUE!</v>
      </c>
      <c r="KZ74" s="174" t="e">
        <f t="shared" ca="1" si="247"/>
        <v>#VALUE!</v>
      </c>
      <c r="LA74" s="174" t="e">
        <f t="shared" ca="1" si="247"/>
        <v>#VALUE!</v>
      </c>
      <c r="LB74" s="174" t="e">
        <f t="shared" ca="1" si="247"/>
        <v>#VALUE!</v>
      </c>
      <c r="LC74" s="174" t="e">
        <f t="shared" ca="1" si="247"/>
        <v>#VALUE!</v>
      </c>
      <c r="LD74" s="174" t="e">
        <f t="shared" ca="1" si="247"/>
        <v>#VALUE!</v>
      </c>
      <c r="LE74" s="174" t="e">
        <f t="shared" ca="1" si="247"/>
        <v>#VALUE!</v>
      </c>
      <c r="LF74" s="174" t="e">
        <f t="shared" ca="1" si="247"/>
        <v>#VALUE!</v>
      </c>
    </row>
    <row r="75" spans="1:318" s="174" customFormat="1" x14ac:dyDescent="0.2">
      <c r="A75" s="172"/>
      <c r="B75" s="470" t="s">
        <v>955</v>
      </c>
      <c r="C75" s="470"/>
      <c r="D75" s="470"/>
      <c r="E75" s="470"/>
      <c r="F75" s="470"/>
      <c r="G75" s="288"/>
      <c r="H75" s="288" t="str">
        <f>IF(KD$93="Y","&lt;","")</f>
        <v/>
      </c>
      <c r="I75" s="288" t="str">
        <f>IF(SUM(I31:I37)&lt;&gt;0,IF(OR('Outfall 1 Limits'!$AX$16="C1",'Outfall 1 Limits'!$AX$16="C3"),IF('Outfall 1 Limits'!$AR$16&lt;&gt;0,TEXT(EC15,"0."&amp;REPT("0",LEN('Outfall 1 Limits'!$AD$16)-FIND(".",'Outfall 1 Limits'!$AD$16))),ROUND(EC15,$I$126)),""),"")</f>
        <v/>
      </c>
      <c r="J75" s="288" t="str">
        <f>IF(KE$93="Y","&lt;","")</f>
        <v/>
      </c>
      <c r="K75" s="288" t="str">
        <f>IF(SUM(K31:K37)&lt;&gt;0,IF(OR('Outfall 1 Limits'!$AX$20="C1",'Outfall 1 Limits'!$AX$20="C3"),IF('Outfall 1 Limits'!$AR$20&lt;&gt;0,TEXT(ED15,"0."&amp;REPT("0",LEN('Outfall 1 Limits'!$AD$20)-FIND(".",'Outfall 1 Limits'!$AD$20))),ROUND(ED15,$K$126)),""),"")</f>
        <v/>
      </c>
      <c r="L75" s="288" t="str">
        <f>IF(KF$93="Y","&lt;","")</f>
        <v/>
      </c>
      <c r="M75" s="288" t="str">
        <f>IF(SUM(M31:M37)&lt;&gt;0,IF(OR('Outfall 1 Limits'!$AX$24="C1",'Outfall 1 Limits'!$AX$24="C3"),IF('Outfall 1 Limits'!$AR$24&lt;&gt;0,TEXT(EE15,"0."&amp;REPT("0",LEN('Outfall 1 Limits'!$AD$24)-FIND(".",'Outfall 1 Limits'!$AD$24))),ROUND(EE15,M126)),""),"")</f>
        <v/>
      </c>
      <c r="N75" s="288" t="str">
        <f>IF(KG$93="Y","&lt;","")</f>
        <v/>
      </c>
      <c r="O75" s="288" t="str">
        <f>IF(SUM(O31:O37)&lt;&gt;0,IF(OR('Outfall 1 Limits'!$AX$28="C1",'Outfall 1 Limits'!$AX$28="C3"),IF('Outfall 1 Limits'!$AR$28&lt;&gt;0,TEXT(EF15,"0."&amp;REPT("0",LEN('Outfall 1 Limits'!$AD$28)-FIND(".",'Outfall 1 Limits'!$AD$28))),ROUND(EF15,O126)),""),"")</f>
        <v/>
      </c>
      <c r="P75" s="288" t="str">
        <f>IF(KH$93="Y","&lt;","")</f>
        <v/>
      </c>
      <c r="Q75" s="288" t="str">
        <f>IF(SUM(Q31:Q37)&lt;&gt;0,IF(OR('Outfall 1 Limits'!$AX$32="C1",'Outfall 1 Limits'!$AX$32="C3"),IF('Outfall 1 Limits'!$AR$32&lt;&gt;0,TEXT(EG15,"0."&amp;REPT("0",LEN('Outfall 1 Limits'!$AD$32)-FIND(".",'Outfall 1 Limits'!$AD$32))),ROUND(EG15,Q126)),""),"")</f>
        <v/>
      </c>
      <c r="R75" s="288" t="str">
        <f>IF(KI$93="Y","&lt;","")</f>
        <v/>
      </c>
      <c r="S75" s="288" t="str">
        <f>IF(SUM(S31:S37)&lt;&gt;0,IF(OR('Outfall 1 Limits'!$AX$36="C1",'Outfall 1 Limits'!$AX$36="C3"),IF('Outfall 1 Limits'!$AR$36&lt;&gt;0,TEXT(EH15,"0."&amp;REPT("0",LEN('Outfall 1 Limits'!$AD$36)-FIND(".",'Outfall 1 Limits'!$AD$36))),ROUND(EH15,S126)),""),"")</f>
        <v/>
      </c>
      <c r="T75" s="288" t="str">
        <f>IF(KJ$93="Y","&lt;","")</f>
        <v/>
      </c>
      <c r="U75" s="288" t="str">
        <f>IF(SUM(U31:U37)&lt;&gt;0,IF(OR('Outfall 1 Limits'!$AX$40="C1",'Outfall 1 Limits'!$AX$40="C3"),IF('Outfall 1 Limits'!$AR$40&lt;&gt;0,TEXT(EI15,"0."&amp;REPT("0",LEN('Outfall 1 Limits'!$AD$40)-FIND(".",'Outfall 1 Limits'!$AD$40))),ROUND(EI15,U126)),""),"")</f>
        <v/>
      </c>
      <c r="V75" s="288" t="str">
        <f>IF(KK$93="Y","&lt;","")</f>
        <v/>
      </c>
      <c r="W75" s="288" t="str">
        <f>IF(SUM(W31:W37)&lt;&gt;0,IF(OR('Outfall 1 Limits'!$AX$44="C1",'Outfall 1 Limits'!$AX$44="C3"),IF('Outfall 1 Limits'!$AR$44&lt;&gt;0,TEXT(EJ15,"0."&amp;REPT("0",LEN('Outfall 1 Limits'!$AD$44)-FIND(".",'Outfall 1 Limits'!$AD$44))),ROUND(EJ15,W126)),""),"")</f>
        <v/>
      </c>
      <c r="X75" s="288" t="str">
        <f>IF(KL$93="Y","&lt;","")</f>
        <v/>
      </c>
      <c r="Y75" s="288" t="str">
        <f>IF(SUM(Y31:Y37)&lt;&gt;0,IF(OR('Outfall 1 Limits'!$AX$48="C1",'Outfall 1 Limits'!$AX$48="C3"),IF('Outfall 1 Limits'!$AR$48&lt;&gt;0,TEXT(EK15,"0."&amp;REPT("0",LEN('Outfall 1 Limits'!$AD$48)-FIND(".",'Outfall 1 Limits'!$AD$48))),ROUND(EK15,Y126)),""),"")</f>
        <v/>
      </c>
      <c r="Z75" s="288" t="str">
        <f>IF(KM$93="Y","&lt;","")</f>
        <v/>
      </c>
      <c r="AA75" s="288" t="str">
        <f>IF(SUM(AA31:AA37)&lt;&gt;0,IF(OR('Outfall 1 Limits'!$AX$52="C1",'Outfall 1 Limits'!$AX$52="C3"),IF('Outfall 1 Limits'!$AR$52&lt;&gt;0,TEXT(EL15,"0."&amp;REPT("0",LEN('Outfall 1 Limits'!$AD$52)-FIND(".",'Outfall 1 Limits'!$AD$52))),ROUND(EL15,AA126)),""),"")</f>
        <v/>
      </c>
      <c r="AB75" s="288" t="str">
        <f>IF(KN$93="Y","&lt;","")</f>
        <v/>
      </c>
      <c r="AC75" s="288" t="str">
        <f>IF(SUM(AC31:AC37)&lt;&gt;0,IF(OR('Outfall 1 Limits'!$AX$56="C1",'Outfall 1 Limits'!$AX$56="C3"),IF('Outfall 1 Limits'!$AR$56&lt;&gt;0,TEXT(EM15,"0."&amp;REPT("0",LEN('Outfall 1 Limits'!$AD$56)-FIND(".",'Outfall 1 Limits'!$AD$56))),ROUND(EM15,AC126)),""),"")</f>
        <v/>
      </c>
      <c r="AD75" s="288" t="str">
        <f>IF(KO$93="Y","&lt;","")</f>
        <v/>
      </c>
      <c r="AE75" s="288" t="str">
        <f>IF(SUM(AE31:AE37)&lt;&gt;0,IF(OR('Outfall 1 Limits'!$AX$60="C1",'Outfall 1 Limits'!$AX$60="C3"),IF('Outfall 1 Limits'!$AR$60&lt;&gt;0,TEXT(EN15,"0."&amp;REPT("0",LEN('Outfall 1 Limits'!$AD$60)-FIND(".",'Outfall 1 Limits'!$AD$60))),ROUND(EN15,AE126)),""),"")</f>
        <v/>
      </c>
      <c r="AF75" s="288" t="str">
        <f>IF(KP$93="Y","&lt;","")</f>
        <v/>
      </c>
      <c r="AG75" s="288" t="str">
        <f>IF(SUM(AG31:AG37)&lt;&gt;0,IF(OR('Outfall 1 Limits'!$AX$64="C1",'Outfall 1 Limits'!$AX$64="C3"),IF('Outfall 1 Limits'!$AR$64&lt;&gt;0,TEXT(EO15,"0."&amp;REPT("0",LEN('Outfall 1 Limits'!$AD$64)-FIND(".",'Outfall 1 Limits'!$AD$64))),ROUND(EO15,AG126)),""),"")</f>
        <v/>
      </c>
      <c r="AH75" s="288" t="str">
        <f>IF(KQ$93="Y","&lt;","")</f>
        <v/>
      </c>
      <c r="AI75" s="288" t="str">
        <f>IF(SUM(AI31:AI37)&lt;&gt;0,IF(OR('Outfall 1 Limits'!$AX$68="C1",'Outfall 1 Limits'!$AX$68="C3"),IF('Outfall 1 Limits'!$AR$68&lt;&gt;0,TEXT(EP15,"0."&amp;REPT("0",LEN('Outfall 1 Limits'!$AD$68)-FIND(".",'Outfall 1 Limits'!$AD$68))),ROUND(EP15,AI126)),""),"")</f>
        <v/>
      </c>
      <c r="AJ75" s="288" t="str">
        <f>IF(KR$93="Y","&lt;","")</f>
        <v/>
      </c>
      <c r="AK75" s="288" t="str">
        <f>IF(SUM(AK31:AK37)&lt;&gt;0,IF(OR('Outfall 1 Limits'!$AX$72="C1",'Outfall 1 Limits'!$AX$72="C3"),IF('Outfall 1 Limits'!$AR$72&lt;&gt;0,TEXT(EQ15,"0."&amp;REPT("0",LEN('Outfall 1 Limits'!$AD$72)-FIND(".",'Outfall 1 Limits'!$AD$72))),ROUND(EQ15,AK126)),""),"")</f>
        <v/>
      </c>
      <c r="AL75" s="288" t="str">
        <f>IF(KS$93="Y","&lt;","")</f>
        <v/>
      </c>
      <c r="AM75" s="288" t="str">
        <f>IF(SUM(AM31:AM37)&lt;&gt;0,IF(OR('Outfall 1 Limits'!$AX$76="C1",'Outfall 1 Limits'!$AX$76="C3"),IF('Outfall 1 Limits'!$AR$76&lt;&gt;0,TEXT(ER15,"0."&amp;REPT("0",LEN('Outfall 1 Limits'!$AD$76)-FIND(".",'Outfall 1 Limits'!$AD$76))),ROUND(ER15,AM126)),""),"")</f>
        <v/>
      </c>
      <c r="AN75" s="288" t="str">
        <f>IF(KT$93="Y","&lt;","")</f>
        <v/>
      </c>
      <c r="AO75" s="288" t="str">
        <f>IF(SUM(AO31:AO37)&lt;&gt;0,IF(OR('Outfall 1 Limits'!$AX$80="C1",'Outfall 1 Limits'!$AX$80="C3"),IF('Outfall 1 Limits'!$AR$80&lt;&gt;0,TEXT(ES15,"0."&amp;REPT("0",LEN('Outfall 1 Limits'!$AD$80)-FIND(".",'Outfall 1 Limits'!$AD$80))),ROUND(ES15,AO126)),""),"")</f>
        <v/>
      </c>
      <c r="AP75" s="288" t="str">
        <f>IF(KU$93="Y","&lt;","")</f>
        <v/>
      </c>
      <c r="AQ75" s="288" t="str">
        <f>IF(SUM(AQ31:AQ37)&lt;&gt;0,IF(OR('Outfall 1 Limits'!$AX$84="C1",'Outfall 1 Limits'!$AX$84="C3"),IF('Outfall 1 Limits'!$AR$84&lt;&gt;0,TEXT(ET15,"0."&amp;REPT("0",LEN('Outfall 1 Limits'!$AD$84)-FIND(".",'Outfall 1 Limits'!$AD$84))),ROUND(ET15,AQ126)),""),"")</f>
        <v/>
      </c>
      <c r="AR75" s="288" t="str">
        <f>IF(KV$93="Y","&lt;","")</f>
        <v/>
      </c>
      <c r="AS75" s="288" t="str">
        <f>IF(SUM(AS31:AS37)&lt;&gt;0,IF(OR('Outfall 1 Limits'!$AX$88="C1",'Outfall 1 Limits'!$AX$88="C3"),IF('Outfall 1 Limits'!$AR$88&lt;&gt;0,TEXT(EU15,"0."&amp;REPT("0",LEN('Outfall 1 Limits'!$AD$88)-FIND(".",'Outfall 1 Limits'!$AD$88))),ROUND(EU15,AS126)),""),"")</f>
        <v/>
      </c>
      <c r="AT75" s="288" t="str">
        <f>IF(KW$93="Y","&lt;","")</f>
        <v/>
      </c>
      <c r="AU75" s="288" t="str">
        <f>IF(SUM(AU31:AU37)&lt;&gt;0,IF(OR('Outfall 1 Limits'!$AX$92="C1",'Outfall 1 Limits'!$AX$92="C3"),IF('Outfall 1 Limits'!$AR$92&lt;&gt;0,TEXT(EV15,"0."&amp;REPT("0",LEN('Outfall 1 Limits'!$AD$92)-FIND(".",'Outfall 1 Limits'!$AD$92))),ROUND(EV15,AU126)),""),"")</f>
        <v/>
      </c>
      <c r="AV75" s="288" t="str">
        <f>IF(KX$93="Y","&lt;","")</f>
        <v/>
      </c>
      <c r="AW75" s="288" t="str">
        <f>IF(SUM(AW31:AW37)&lt;&gt;0,IF(OR('Outfall 1 Limits'!$AX$96="C1",'Outfall 1 Limits'!$AX$96="C3"),IF('Outfall 1 Limits'!$AR$96&lt;&gt;0,TEXT(EW15,"0."&amp;REPT("0",LEN('Outfall 1 Limits'!$AD$96)-FIND(".",'Outfall 1 Limits'!$AD$96))),ROUND(EW15,AW126)),""),"")</f>
        <v/>
      </c>
      <c r="AX75" s="288" t="str">
        <f>IF(KY$93="Y","&lt;","")</f>
        <v/>
      </c>
      <c r="AY75" s="288" t="str">
        <f>IF(SUM(AY31:AY37)&lt;&gt;0,IF(OR('Outfall 1 Limits'!$AX$100="C1",'Outfall 1 Limits'!$AX$100="C3"),IF('Outfall 1 Limits'!$AR$100&lt;&gt;0,TEXT(EX15,"0."&amp;REPT("0",LEN('Outfall 1 Limits'!$AD$100)-FIND(".",'Outfall 1 Limits'!$AD$100))),ROUND(EX15,AY126)),""),"")</f>
        <v/>
      </c>
      <c r="AZ75" s="288" t="str">
        <f>IF(KZ$93="Y","&lt;","")</f>
        <v/>
      </c>
      <c r="BA75" s="288" t="str">
        <f>IF(SUM(BA31:BA37)&lt;&gt;0,IF(OR('Outfall 1 Limits'!$AX$104="C1",'Outfall 1 Limits'!$AX$104="C3"),IF('Outfall 1 Limits'!$AR$104&lt;&gt;0,TEXT(EY15,"0."&amp;REPT("0",LEN('Outfall 1 Limits'!$AD$104)-FIND(".",'Outfall 1 Limits'!$AD$104))),ROUND(EY15,BA126)),""),"")</f>
        <v/>
      </c>
      <c r="BB75" s="288" t="str">
        <f>IF(LA$93="Y","&lt;","")</f>
        <v/>
      </c>
      <c r="BC75" s="288" t="str">
        <f>IF(SUM(BC31:BC37)&lt;&gt;0,IF(OR('Outfall 1 Limits'!$AX$108="C1",'Outfall 1 Limits'!$AX$108="C3"),IF('Outfall 1 Limits'!$AR$108&lt;&gt;0,TEXT(EZ15,"0."&amp;REPT("0",LEN('Outfall 1 Limits'!$AD$108)-FIND(".",'Outfall 1 Limits'!$AD$108))),ROUND(EZ15,BC126)),""),"")</f>
        <v/>
      </c>
      <c r="BD75" s="288" t="str">
        <f>IF(LB$93="Y","&lt;","")</f>
        <v/>
      </c>
      <c r="BE75" s="288" t="str">
        <f>IF(SUM(BE31:BE37)&lt;&gt;0,IF(OR('Outfall 1 Limits'!$AX$112="C1",'Outfall 1 Limits'!$AX$112="C3"),IF('Outfall 1 Limits'!$AR$112&lt;&gt;0,TEXT(FA15,"0."&amp;REPT("0",LEN('Outfall 1 Limits'!$AD$112)-FIND(".",'Outfall 1 Limits'!$AD$112))),ROUND(FA15,BE126)),""),"")</f>
        <v/>
      </c>
      <c r="BF75" s="288" t="str">
        <f>IF(LC$93="Y","&lt;","")</f>
        <v/>
      </c>
      <c r="BG75" s="288" t="str">
        <f>IF(SUM(BG31:BG37)&lt;&gt;0,IF(OR('Outfall 1 Limits'!$AX$116="C1",'Outfall 1 Limits'!$AX$116="C3"),IF('Outfall 1 Limits'!$AR$116&lt;&gt;0,TEXT(FB15,"0."&amp;REPT("0",LEN('Outfall 1 Limits'!$AD$116)-FIND(".",'Outfall 1 Limits'!$AD$116))),ROUND(FB15,BG126)),""),"")</f>
        <v/>
      </c>
      <c r="BH75" s="288" t="str">
        <f>IF(LD$93="Y","&lt;","")</f>
        <v/>
      </c>
      <c r="BI75" s="288" t="str">
        <f>IF(SUM(BI31:BI37)&lt;&gt;0,IF(OR('Outfall 1 Limits'!$AX$120="C1",'Outfall 1 Limits'!$AX$120="C3"),IF('Outfall 1 Limits'!$AR$120&lt;&gt;0,TEXT(FC15,"0."&amp;REPT("0",LEN('Outfall 1 Limits'!$AD$120)-FIND(".",'Outfall 1 Limits'!$AD$120))),ROUND(FC15,BI126)),""),"")</f>
        <v/>
      </c>
      <c r="BJ75" s="288" t="str">
        <f>IF(LE$93="Y","&lt;","")</f>
        <v/>
      </c>
      <c r="BK75" s="288" t="str">
        <f>IF(SUM(BK31:BK38)&lt;&gt;0,IF(OR('Outfall 1 Limits'!$AX$124="C1",'Outfall 1 Limits'!$AX$124="C3"),IF('Outfall 1 Limits'!$AR$124&lt;&gt;0,TEXT(FD15,"0."&amp;REPT("0",LEN('Outfall 1 Limits'!$AD$124)-FIND(".",'Outfall 1 Limits'!$AD$124))),ROUND(FD15,BK126)),""),"")</f>
        <v/>
      </c>
      <c r="BL75" s="288" t="str">
        <f>IF(LF$93="Y","&lt;","")</f>
        <v/>
      </c>
      <c r="BM75" s="288" t="str">
        <f>IF(SUM(BM31:BM37)&lt;&gt;0,IF(OR('Outfall 1 Limits'!$AX$128="C1",'Outfall 1 Limits'!$AX$128="C3"),IF('Outfall 1 Limits'!$AR$128&lt;&gt;0,TEXT(FE15,"0."&amp;REPT("0",LEN('Outfall 1 Limits'!$AD$128)-FIND(".",'Outfall 1 Limits'!$AD$128))),ROUND(FE15,BM126)),""),"")</f>
        <v/>
      </c>
      <c r="BP75" s="174">
        <v>2094</v>
      </c>
      <c r="BT75" s="248" t="s">
        <v>1180</v>
      </c>
      <c r="BU75" s="174">
        <f>ROWS(BU45:BU51)-COUNTIF(BU45:BU51,"")</f>
        <v>0</v>
      </c>
      <c r="BV75" s="174">
        <f t="shared" ref="BV75:BX75" si="248">ROWS(BV45:BV51)-COUNTIF(BV45:BV51,"")</f>
        <v>0</v>
      </c>
      <c r="BW75" s="174">
        <f t="shared" si="248"/>
        <v>0</v>
      </c>
      <c r="BX75" s="174">
        <f t="shared" si="248"/>
        <v>0</v>
      </c>
      <c r="BY75" s="174">
        <f t="shared" ref="BY75:CW75" si="249">ROWS(BY45:BY51)-COUNTIF(BY45:BY51,"")</f>
        <v>0</v>
      </c>
      <c r="BZ75" s="174">
        <f t="shared" si="249"/>
        <v>0</v>
      </c>
      <c r="CA75" s="174">
        <f t="shared" si="249"/>
        <v>0</v>
      </c>
      <c r="CB75" s="174">
        <f t="shared" si="249"/>
        <v>0</v>
      </c>
      <c r="CC75" s="174">
        <f t="shared" si="249"/>
        <v>0</v>
      </c>
      <c r="CD75" s="174">
        <f t="shared" si="249"/>
        <v>0</v>
      </c>
      <c r="CE75" s="174">
        <f t="shared" si="249"/>
        <v>0</v>
      </c>
      <c r="CF75" s="174">
        <f t="shared" si="249"/>
        <v>0</v>
      </c>
      <c r="CG75" s="174">
        <f t="shared" si="249"/>
        <v>0</v>
      </c>
      <c r="CH75" s="174">
        <f t="shared" si="249"/>
        <v>0</v>
      </c>
      <c r="CI75" s="174">
        <f t="shared" si="249"/>
        <v>0</v>
      </c>
      <c r="CJ75" s="174">
        <f t="shared" si="249"/>
        <v>0</v>
      </c>
      <c r="CK75" s="174">
        <f t="shared" si="249"/>
        <v>0</v>
      </c>
      <c r="CL75" s="174">
        <f t="shared" si="249"/>
        <v>0</v>
      </c>
      <c r="CM75" s="174">
        <f t="shared" si="249"/>
        <v>0</v>
      </c>
      <c r="CN75" s="174">
        <f t="shared" si="249"/>
        <v>0</v>
      </c>
      <c r="CO75" s="174">
        <f t="shared" si="249"/>
        <v>0</v>
      </c>
      <c r="CP75" s="174">
        <f t="shared" si="249"/>
        <v>0</v>
      </c>
      <c r="CQ75" s="174">
        <f t="shared" si="249"/>
        <v>0</v>
      </c>
      <c r="CR75" s="174">
        <f t="shared" si="249"/>
        <v>0</v>
      </c>
      <c r="CS75" s="174">
        <f t="shared" si="249"/>
        <v>0</v>
      </c>
      <c r="CT75" s="174">
        <f t="shared" si="249"/>
        <v>0</v>
      </c>
      <c r="CU75" s="174">
        <f t="shared" si="249"/>
        <v>0</v>
      </c>
      <c r="CV75" s="174">
        <f t="shared" si="249"/>
        <v>0</v>
      </c>
      <c r="CW75" s="174">
        <f t="shared" si="249"/>
        <v>0</v>
      </c>
      <c r="CX75" s="172"/>
      <c r="CY75" s="175"/>
      <c r="CZ75" s="175"/>
      <c r="DA75" s="175"/>
      <c r="DB75" s="175"/>
      <c r="DC75" s="175"/>
      <c r="DD75" s="175"/>
      <c r="DE75" s="175"/>
      <c r="DF75" s="175"/>
      <c r="DG75" s="175"/>
      <c r="DH75" s="175"/>
      <c r="DI75" s="175"/>
      <c r="DJ75" s="175"/>
      <c r="DK75" s="175"/>
      <c r="DL75" s="175"/>
      <c r="DM75" s="175"/>
      <c r="DN75" s="175"/>
      <c r="DO75" s="175"/>
      <c r="DP75" s="175"/>
      <c r="DQ75" s="175"/>
      <c r="DR75" s="175"/>
      <c r="DS75" s="175"/>
      <c r="DT75" s="175"/>
      <c r="DU75" s="175"/>
      <c r="DV75" s="175"/>
      <c r="DW75" s="175"/>
      <c r="DX75" s="175"/>
      <c r="DY75" s="175"/>
      <c r="DZ75" s="175"/>
      <c r="EA75" s="175"/>
      <c r="EB75" s="176"/>
      <c r="EC75" s="172"/>
      <c r="ED75" s="172"/>
      <c r="EE75" s="172"/>
      <c r="EF75" s="172"/>
      <c r="EG75" s="172"/>
      <c r="EH75" s="172"/>
      <c r="EI75" s="172"/>
      <c r="EJ75" s="172"/>
      <c r="EK75" s="172"/>
      <c r="EL75" s="172"/>
      <c r="EM75" s="172"/>
      <c r="EN75" s="172"/>
      <c r="EO75" s="172"/>
      <c r="EP75" s="172"/>
      <c r="EQ75" s="172"/>
      <c r="ER75" s="172"/>
      <c r="ES75" s="172"/>
      <c r="ET75" s="172"/>
      <c r="EU75" s="172"/>
      <c r="EV75" s="172"/>
      <c r="EW75" s="172"/>
      <c r="EX75" s="172"/>
      <c r="EY75" s="172"/>
      <c r="EZ75" s="172"/>
      <c r="FA75" s="172"/>
      <c r="FB75" s="172"/>
      <c r="FC75" s="172"/>
      <c r="FD75" s="172"/>
      <c r="FE75" s="172"/>
      <c r="FF75" s="172"/>
      <c r="FG75" s="172"/>
      <c r="FH75" s="172"/>
      <c r="FI75" s="172"/>
      <c r="FJ75" s="172"/>
      <c r="FK75" s="172"/>
      <c r="FL75" s="172"/>
      <c r="FM75" s="172"/>
      <c r="FN75" s="172"/>
      <c r="FO75" s="172"/>
      <c r="FP75" s="172"/>
      <c r="FQ75" s="172"/>
      <c r="FR75" s="172"/>
      <c r="FS75" s="172"/>
      <c r="FT75" s="172"/>
      <c r="FU75" s="172"/>
      <c r="FV75" s="172"/>
      <c r="FW75" s="172"/>
      <c r="FX75" s="172"/>
      <c r="FY75" s="172"/>
      <c r="FZ75" s="172"/>
      <c r="GA75" s="172"/>
      <c r="GB75" s="172"/>
      <c r="GC75" s="172"/>
      <c r="GD75" s="172"/>
      <c r="GE75" s="172"/>
      <c r="GF75" s="172"/>
      <c r="GG75" s="172"/>
      <c r="GH75" s="172"/>
      <c r="GI75" s="172"/>
      <c r="GJ75" s="261"/>
      <c r="GK75" s="264"/>
      <c r="GL75" s="264"/>
      <c r="GM75" s="264"/>
      <c r="GN75" s="264"/>
      <c r="GO75" s="264"/>
      <c r="GP75" s="264"/>
      <c r="GQ75" s="264"/>
      <c r="GR75" s="264"/>
      <c r="GS75" s="264"/>
      <c r="GT75" s="264"/>
      <c r="GU75" s="264"/>
      <c r="GV75" s="264"/>
      <c r="GW75" s="264"/>
      <c r="GX75" s="264"/>
      <c r="GY75" s="264"/>
      <c r="GZ75" s="264"/>
      <c r="HA75" s="264"/>
      <c r="HB75" s="264"/>
      <c r="HC75" s="264"/>
      <c r="HD75" s="264"/>
      <c r="HE75" s="264"/>
      <c r="HF75" s="264"/>
      <c r="HG75" s="264"/>
      <c r="HH75" s="264"/>
      <c r="HI75" s="264"/>
      <c r="HJ75" s="264"/>
      <c r="HK75" s="264"/>
      <c r="HL75" s="264"/>
      <c r="HM75" s="264"/>
      <c r="KC75" s="265" t="s">
        <v>1192</v>
      </c>
    </row>
    <row r="76" spans="1:318" s="174" customFormat="1" x14ac:dyDescent="0.2">
      <c r="A76" s="172"/>
      <c r="B76" s="470" t="s">
        <v>956</v>
      </c>
      <c r="C76" s="470"/>
      <c r="D76" s="470"/>
      <c r="E76" s="470"/>
      <c r="F76" s="470"/>
      <c r="G76" s="288"/>
      <c r="H76" s="288" t="str">
        <f>IF(KD$99="Y","&lt;","")</f>
        <v/>
      </c>
      <c r="I76" s="288" t="str">
        <f>IF(SUM(I38:I44)&lt;&gt;0,IF(OR('Outfall 1 Limits'!$AX$16="C1",'Outfall 1 Limits'!$AX$16="C3"),IF('Outfall 1 Limits'!$AR$16&lt;&gt;0,TEXT(EC16,"0."&amp;REPT("0",LEN('Outfall 1 Limits'!$AD$16)-FIND(".",'Outfall 1 Limits'!$AD$16))),ROUND(EC16,$I$126)),""),"")</f>
        <v/>
      </c>
      <c r="J76" s="293" t="str">
        <f>IF(KE$99="Y","&lt;","")</f>
        <v/>
      </c>
      <c r="K76" s="288" t="str">
        <f>IF(SUM(K38:K44)&lt;&gt;0,IF(OR('Outfall 1 Limits'!$AX$20="C1",'Outfall 1 Limits'!$AX$20="C3"),IF('Outfall 1 Limits'!$AR$20&lt;&gt;0,TEXT(ED16,"0."&amp;REPT("0",LEN('Outfall 1 Limits'!$AD$20)-FIND(".",'Outfall 1 Limits'!$AD$20))),ROUND(ED16,$K$126)),""),"")</f>
        <v/>
      </c>
      <c r="L76" s="288" t="str">
        <f>IF(KF$99="Y","&lt;","")</f>
        <v/>
      </c>
      <c r="M76" s="288" t="str">
        <f>IF(SUM(M38:M44)&lt;&gt;0,IF(OR('Outfall 1 Limits'!$AX$24="C1",'Outfall 1 Limits'!$AX$24="C3"),IF('Outfall 1 Limits'!$AR$24&lt;&gt;0,TEXT(EE16,"0."&amp;REPT("0",LEN('Outfall 1 Limits'!$AD$24)-FIND(".",'Outfall 1 Limits'!$AD$24))),ROUND(EE16,M126)),""),"")</f>
        <v/>
      </c>
      <c r="N76" s="288" t="str">
        <f>IF(KG$99="Y","&lt;","")</f>
        <v/>
      </c>
      <c r="O76" s="288" t="str">
        <f>IF(SUM(O38:O44)&lt;&gt;0,IF(OR('Outfall 1 Limits'!$AX$28="C1",'Outfall 1 Limits'!$AX$28="C3"),IF('Outfall 1 Limits'!$AR$28&lt;&gt;0,TEXT(EF16,"0."&amp;REPT("0",LEN('Outfall 1 Limits'!$AD$28)-FIND(".",'Outfall 1 Limits'!$AD$28))),ROUND(EF16,O126)),""),"")</f>
        <v/>
      </c>
      <c r="P76" s="288" t="str">
        <f>IF(KH$99="Y","&lt;","")</f>
        <v/>
      </c>
      <c r="Q76" s="288" t="str">
        <f>IF(SUM(Q38:Q44)&lt;&gt;0,IF(OR('Outfall 1 Limits'!$AX$32="C1",'Outfall 1 Limits'!$AX$32="C3"),IF('Outfall 1 Limits'!$AR$32&lt;&gt;0,TEXT(EG16,"0."&amp;REPT("0",LEN('Outfall 1 Limits'!$AD$32)-FIND(".",'Outfall 1 Limits'!$AD$32))),ROUND(EG16,Q126)),""),"")</f>
        <v/>
      </c>
      <c r="R76" s="288" t="str">
        <f>IF(KI$99="Y","&lt;","")</f>
        <v/>
      </c>
      <c r="S76" s="288" t="str">
        <f>IF(SUM(S38:S44)&lt;&gt;0,IF(OR('Outfall 1 Limits'!$AX$36="C1",'Outfall 1 Limits'!$AX$36="C3"),IF('Outfall 1 Limits'!$AR$36&lt;&gt;0,TEXT(EH16,"0."&amp;REPT("0",LEN('Outfall 1 Limits'!$AD$36)-FIND(".",'Outfall 1 Limits'!$AD$36))),ROUND(EH16,S126)),""),"")</f>
        <v/>
      </c>
      <c r="T76" s="288" t="str">
        <f>IF(KJ$99="Y","&lt;","")</f>
        <v/>
      </c>
      <c r="U76" s="288" t="str">
        <f>IF(SUM(U38:U44)&lt;&gt;0,IF(OR('Outfall 1 Limits'!$AX$40="C1",'Outfall 1 Limits'!$AX$40="C3"),IF('Outfall 1 Limits'!$AR$40&lt;&gt;0,TEXT(EI16,"0."&amp;REPT("0",LEN('Outfall 1 Limits'!$AD$40)-FIND(".",'Outfall 1 Limits'!$AD$40))),ROUND(EI16,U126)),""),"")</f>
        <v/>
      </c>
      <c r="V76" s="288" t="str">
        <f>IF(KK$99="Y","&lt;","")</f>
        <v/>
      </c>
      <c r="W76" s="288" t="str">
        <f>IF(SUM(W38:W44)&lt;&gt;0,IF(OR('Outfall 1 Limits'!$AX$44="C1",'Outfall 1 Limits'!$AX$44="C3"),IF('Outfall 1 Limits'!$AR$44&lt;&gt;0,TEXT(EJ16,"0."&amp;REPT("0",LEN('Outfall 1 Limits'!$AD$44)-FIND(".",'Outfall 1 Limits'!$AD$44))),ROUND(EJ16,W126)),""),"")</f>
        <v/>
      </c>
      <c r="X76" s="288" t="str">
        <f>IF(KL$99="Y","&lt;","")</f>
        <v/>
      </c>
      <c r="Y76" s="288" t="str">
        <f>IF(SUM(Y38:Y44)&lt;&gt;0,IF(OR('Outfall 1 Limits'!$AX$48="C1",'Outfall 1 Limits'!$AX$48="C3"),IF('Outfall 1 Limits'!$AR$48&lt;&gt;0,TEXT(EK16,"0."&amp;REPT("0",LEN('Outfall 1 Limits'!$AD$48)-FIND(".",'Outfall 1 Limits'!$AD$48))),ROUND(EK16,Y126)),""),"")</f>
        <v/>
      </c>
      <c r="Z76" s="288" t="str">
        <f>IF(KM$99="Y","&lt;","")</f>
        <v/>
      </c>
      <c r="AA76" s="288" t="str">
        <f>IF(SUM(AA38:AA44)&lt;&gt;0,IF(OR('Outfall 1 Limits'!$AX$52="C1",'Outfall 1 Limits'!$AX$52="C3"),IF('Outfall 1 Limits'!$AR$52&lt;&gt;0,TEXT(EL16,"0."&amp;REPT("0",LEN('Outfall 1 Limits'!$AD$52)-FIND(".",'Outfall 1 Limits'!$AD$52))),ROUND(EL16,AA126)),""),"")</f>
        <v/>
      </c>
      <c r="AB76" s="288" t="str">
        <f>IF(KN$99="Y","&lt;","")</f>
        <v/>
      </c>
      <c r="AC76" s="288" t="str">
        <f>IF(SUM(AC38:AC44)&lt;&gt;0,IF(OR('Outfall 1 Limits'!$AX$56="C1",'Outfall 1 Limits'!$AX$56="C3"),IF('Outfall 1 Limits'!$AR$56&lt;&gt;0,TEXT(EM16,"0."&amp;REPT("0",LEN('Outfall 1 Limits'!$AD$56)-FIND(".",'Outfall 1 Limits'!$AD$56))),ROUND(EM16,AC126)),""),"")</f>
        <v/>
      </c>
      <c r="AD76" s="288" t="str">
        <f>IF(KO$99="Y","&lt;","")</f>
        <v/>
      </c>
      <c r="AE76" s="288" t="str">
        <f>IF(SUM(AE38:AE44)&lt;&gt;0,IF(OR('Outfall 1 Limits'!$AX$60="C1",'Outfall 1 Limits'!$AX$60="C3"),IF('Outfall 1 Limits'!$AR$60&lt;&gt;0,TEXT(EN16,"0."&amp;REPT("0",LEN('Outfall 1 Limits'!$AD$60)-FIND(".",'Outfall 1 Limits'!$AD$60))),ROUND(EN16,AE126)),""),"")</f>
        <v/>
      </c>
      <c r="AF76" s="288" t="str">
        <f>IF(KP$99="Y","&lt;","")</f>
        <v/>
      </c>
      <c r="AG76" s="288" t="str">
        <f>IF(SUM(AG38:AG44)&lt;&gt;0,IF(OR('Outfall 1 Limits'!$AX$64="C1",'Outfall 1 Limits'!$AX$64="C3"),IF('Outfall 1 Limits'!$AR$64&lt;&gt;0,TEXT(EO16,"0."&amp;REPT("0",LEN('Outfall 1 Limits'!$AD$64)-FIND(".",'Outfall 1 Limits'!$AD$64))),ROUND(EO16,AG126)),""),"")</f>
        <v/>
      </c>
      <c r="AH76" s="288" t="str">
        <f>IF(KQ$99="Y","&lt;","")</f>
        <v/>
      </c>
      <c r="AI76" s="288" t="str">
        <f>IF(SUM(AI38:AI44)&lt;&gt;0,IF(OR('Outfall 1 Limits'!$AX$68="C1",'Outfall 1 Limits'!$AX$68="C3"),IF('Outfall 1 Limits'!$AR$68&lt;&gt;0,TEXT(EP16,"0."&amp;REPT("0",LEN('Outfall 1 Limits'!$AD$68)-FIND(".",'Outfall 1 Limits'!$AD$68))),ROUND(EP16,AI126)),""),"")</f>
        <v/>
      </c>
      <c r="AJ76" s="288" t="str">
        <f>IF(KR$99="Y","&lt;","")</f>
        <v/>
      </c>
      <c r="AK76" s="288" t="str">
        <f>IF(SUM(AK38:AK44)&lt;&gt;0,IF(OR('Outfall 1 Limits'!$AX$72="C1",'Outfall 1 Limits'!$AX$72="C3"),IF('Outfall 1 Limits'!$AR$72&lt;&gt;0,TEXT(EQ16,"0."&amp;REPT("0",LEN('Outfall 1 Limits'!$AD$72)-FIND(".",'Outfall 1 Limits'!$AD$72))),ROUND(EQ16,AK126)),""),"")</f>
        <v/>
      </c>
      <c r="AL76" s="288" t="str">
        <f>IF(KS$99="Y","&lt;","")</f>
        <v/>
      </c>
      <c r="AM76" s="288" t="str">
        <f>IF(SUM(AM38:AM44)&lt;&gt;0,IF(OR('Outfall 1 Limits'!$AX$76="C1",'Outfall 1 Limits'!$AX$76="C3"),IF('Outfall 1 Limits'!$AR$76&lt;&gt;0,TEXT(ER16,"0."&amp;REPT("0",LEN('Outfall 1 Limits'!$AD$76)-FIND(".",'Outfall 1 Limits'!$AD$76))),ROUND(ER16,AM126)),""),"")</f>
        <v/>
      </c>
      <c r="AN76" s="288" t="str">
        <f>IF(KT$99="Y","&lt;","")</f>
        <v/>
      </c>
      <c r="AO76" s="288" t="str">
        <f>IF(SUM(AO38:AO44)&lt;&gt;0,IF(OR('Outfall 1 Limits'!$AX$80="C1",'Outfall 1 Limits'!$AX$80="C3"),IF('Outfall 1 Limits'!$AR$80&lt;&gt;0,TEXT(ES16,"0."&amp;REPT("0",LEN('Outfall 1 Limits'!$AD$80)-FIND(".",'Outfall 1 Limits'!$AD$80))),ROUND(ES16,AO126)),""),"")</f>
        <v/>
      </c>
      <c r="AP76" s="288" t="str">
        <f>IF(KU$99="Y","&lt;","")</f>
        <v/>
      </c>
      <c r="AQ76" s="288" t="str">
        <f>IF(SUM(AQ38:AQ44)&lt;&gt;0,IF(OR('Outfall 1 Limits'!$AX$84="C1",'Outfall 1 Limits'!$AX$84="C3"),IF('Outfall 1 Limits'!$AR$84&lt;&gt;0,TEXT(ET16,"0."&amp;REPT("0",LEN('Outfall 1 Limits'!$AD$84)-FIND(".",'Outfall 1 Limits'!$AD$84))),ROUND(ET16,AQ126)),""),"")</f>
        <v/>
      </c>
      <c r="AR76" s="288" t="str">
        <f>IF(KV$99="Y","&lt;","")</f>
        <v/>
      </c>
      <c r="AS76" s="288" t="str">
        <f>IF(SUM(AS38:AS44)&lt;&gt;0,IF(OR('Outfall 1 Limits'!$AX$88="C1",'Outfall 1 Limits'!$AX$88="C3"),IF('Outfall 1 Limits'!$AR$88&lt;&gt;0,TEXT(EU16,"0."&amp;REPT("0",LEN('Outfall 1 Limits'!$AD$88)-FIND(".",'Outfall 1 Limits'!$AD$88))),ROUND(EU16,AS126)),""),"")</f>
        <v/>
      </c>
      <c r="AT76" s="288" t="str">
        <f>IF(KW$99="Y","&lt;","")</f>
        <v/>
      </c>
      <c r="AU76" s="288" t="str">
        <f>IF(SUM(AU38:AU44)&lt;&gt;0,IF(OR('Outfall 1 Limits'!$AX$92="C1",'Outfall 1 Limits'!$AX$92="C3"),IF('Outfall 1 Limits'!$AR$92&lt;&gt;0,TEXT(EV16,"0."&amp;REPT("0",LEN('Outfall 1 Limits'!$AD$92)-FIND(".",'Outfall 1 Limits'!$AD$92))),ROUND(EV16,AU126)),""),"")</f>
        <v/>
      </c>
      <c r="AV76" s="288" t="str">
        <f>IF(KX$99="Y","&lt;","")</f>
        <v/>
      </c>
      <c r="AW76" s="288" t="str">
        <f>IF(SUM(AW38:AW44)&lt;&gt;0,IF(OR('Outfall 1 Limits'!$AX$96="C1",'Outfall 1 Limits'!$AX$96="C3"),IF('Outfall 1 Limits'!$AR$96&lt;&gt;0,TEXT(EW16,"0."&amp;REPT("0",LEN('Outfall 1 Limits'!$AD$96)-FIND(".",'Outfall 1 Limits'!$AD$96))),ROUND(EW16,AW126)),""),"")</f>
        <v/>
      </c>
      <c r="AX76" s="288" t="str">
        <f>IF(KY$99="Y","&lt;","")</f>
        <v/>
      </c>
      <c r="AY76" s="288" t="str">
        <f>IF(SUM(AY38:AY44)&lt;&gt;0,IF(OR('Outfall 1 Limits'!$AX$100="C1",'Outfall 1 Limits'!$AX$100="C3"),IF('Outfall 1 Limits'!$AR$100&lt;&gt;0,TEXT(EX16,"0."&amp;REPT("0",LEN('Outfall 1 Limits'!$AD$100)-FIND(".",'Outfall 1 Limits'!$AD$100))),ROUND(EX16,AY126)),""),"")</f>
        <v/>
      </c>
      <c r="AZ76" s="288" t="str">
        <f>IF(KZ$99="Y","&lt;","")</f>
        <v/>
      </c>
      <c r="BA76" s="288" t="str">
        <f>IF(SUM(BA38:BA44)&lt;&gt;0,IF(OR('Outfall 1 Limits'!$AX$104="C1",'Outfall 1 Limits'!$AX$104="C3"),IF('Outfall 1 Limits'!$AR$104&lt;&gt;0,TEXT(EY16,"0."&amp;REPT("0",LEN('Outfall 1 Limits'!$AD$104)-FIND(".",'Outfall 1 Limits'!$AD$104))),ROUND(EY16,BA126)),""),"")</f>
        <v/>
      </c>
      <c r="BB76" s="288" t="str">
        <f>IF(LA$99="Y","&lt;","")</f>
        <v/>
      </c>
      <c r="BC76" s="288" t="str">
        <f>IF(SUM(BC38:BC44)&lt;&gt;0,IF(OR('Outfall 1 Limits'!$AX$108="C1",'Outfall 1 Limits'!$AX$108="C3"),IF('Outfall 1 Limits'!$AR$108&lt;&gt;0,TEXT(EZ16,"0."&amp;REPT("0",LEN('Outfall 1 Limits'!$AD$108)-FIND(".",'Outfall 1 Limits'!$AD$108))),ROUND(EZ16,BC126)),""),"")</f>
        <v/>
      </c>
      <c r="BD76" s="288" t="str">
        <f>IF(LB$99="Y","&lt;","")</f>
        <v/>
      </c>
      <c r="BE76" s="288" t="str">
        <f>IF(SUM(BE38:BE44)&lt;&gt;0,IF(OR('Outfall 1 Limits'!$AX$112="C1",'Outfall 1 Limits'!$AX$112="C3"),IF('Outfall 1 Limits'!$AR$112&lt;&gt;0,TEXT(FA16,"0."&amp;REPT("0",LEN('Outfall 1 Limits'!$AD$112)-FIND(".",'Outfall 1 Limits'!$AD$112))),ROUND(FA16,BE126)),""),"")</f>
        <v/>
      </c>
      <c r="BF76" s="288" t="str">
        <f>IF(LC$99="Y","&lt;","")</f>
        <v/>
      </c>
      <c r="BG76" s="288" t="str">
        <f>IF(SUM(BG38:BG44)&lt;&gt;0,IF(OR('Outfall 1 Limits'!$AX$116="C1",'Outfall 1 Limits'!$AX$116="C3"),IF('Outfall 1 Limits'!$AR$116&lt;&gt;0,TEXT(FB16,"0."&amp;REPT("0",LEN('Outfall 1 Limits'!$AD$116)-FIND(".",'Outfall 1 Limits'!$AD$116))),ROUND(FB16,BG126)),""),"")</f>
        <v/>
      </c>
      <c r="BH76" s="288" t="str">
        <f>IF(LD$99="Y","&lt;","")</f>
        <v/>
      </c>
      <c r="BI76" s="288" t="str">
        <f>IF(SUM(BI38:BI44)&lt;&gt;0,IF(OR('Outfall 1 Limits'!$AX$120="C1",'Outfall 1 Limits'!$AX$120="C3"),IF('Outfall 1 Limits'!$AR$120&lt;&gt;0,TEXT(FC16,"0."&amp;REPT("0",LEN('Outfall 1 Limits'!$AD$120)-FIND(".",'Outfall 1 Limits'!$AD$120))),ROUND(FC16,BI126)),""),"")</f>
        <v/>
      </c>
      <c r="BJ76" s="288" t="str">
        <f>IF(LE$99="Y","&lt;","")</f>
        <v/>
      </c>
      <c r="BK76" s="288" t="str">
        <f>IF(SUM(BK38:BK44)&lt;&gt;0,IF(OR('Outfall 1 Limits'!$AX$124="C1",'Outfall 1 Limits'!$AX$124="C3"),IF('Outfall 1 Limits'!$AR$124&lt;&gt;0,TEXT(FD16,"0."&amp;REPT("0",LEN('Outfall 1 Limits'!$AD$124)-FIND(".",'Outfall 1 Limits'!$AD$124))),ROUND(FD16,BK126)),""),"")</f>
        <v/>
      </c>
      <c r="BL76" s="288" t="str">
        <f>IF(LF$99="Y","&lt;","")</f>
        <v/>
      </c>
      <c r="BM76" s="288" t="str">
        <f>IF(SUM(BM38:BM44)&lt;&gt;0,IF(OR('Outfall 1 Limits'!$AX$128="C1",'Outfall 1 Limits'!$AX$128="C3"),IF('Outfall 1 Limits'!$AR$128&lt;&gt;0,TEXT(FE16,"0."&amp;REPT("0",LEN('Outfall 1 Limits'!$AD$128)-FIND(".",'Outfall 1 Limits'!$AD$128))),ROUND(FE16,BM126)),""),"")</f>
        <v/>
      </c>
      <c r="BP76" s="174">
        <v>2095</v>
      </c>
      <c r="BT76" s="255" t="s">
        <v>1181</v>
      </c>
      <c r="BU76" s="174" t="str">
        <f>IF(BU75&gt;0,IF(BU75=(BU65+(BU75*0.01)),"Y","N"),"")</f>
        <v/>
      </c>
      <c r="BV76" s="174" t="str">
        <f t="shared" ref="BV76:BX76" si="250">IF(BV75&gt;0,IF(BV75=(BV65+(BV75*0.01)),"Y","N"),"")</f>
        <v/>
      </c>
      <c r="BW76" s="174" t="str">
        <f t="shared" si="250"/>
        <v/>
      </c>
      <c r="BX76" s="174" t="str">
        <f t="shared" si="250"/>
        <v/>
      </c>
      <c r="BY76" s="174" t="str">
        <f>IF(BY75&gt;0,IF(BY75=(BY65+(BY75*0.01)),"Y","N"),"")</f>
        <v/>
      </c>
      <c r="BZ76" s="174" t="str">
        <f>IF(BZ75&gt;0,IF(BZ75=(BZ65+(BZ75*0.01)),"Y","N"),"")</f>
        <v/>
      </c>
      <c r="CA76" s="174" t="str">
        <f>IF(CA75&gt;0,IF(CA75=(CA65+(CA75*0.01)),"Y","N"),"")</f>
        <v/>
      </c>
      <c r="CB76" s="174" t="str">
        <f>IF(CB75&gt;0,IF(CB75=(CB65+(CB75*0.01)),"Y","N"),"")</f>
        <v/>
      </c>
      <c r="CX76" s="172"/>
      <c r="CY76" s="175"/>
      <c r="CZ76" s="175"/>
      <c r="DA76" s="175"/>
      <c r="DB76" s="175"/>
      <c r="DC76" s="175"/>
      <c r="DD76" s="175"/>
      <c r="DE76" s="175"/>
      <c r="DF76" s="175"/>
      <c r="DG76" s="175"/>
      <c r="DH76" s="175"/>
      <c r="DI76" s="175"/>
      <c r="DJ76" s="175"/>
      <c r="DK76" s="175"/>
      <c r="DL76" s="175"/>
      <c r="DM76" s="175"/>
      <c r="DN76" s="175"/>
      <c r="DO76" s="175"/>
      <c r="DP76" s="175"/>
      <c r="DQ76" s="175"/>
      <c r="DR76" s="175"/>
      <c r="DS76" s="175"/>
      <c r="DT76" s="175"/>
      <c r="DU76" s="175"/>
      <c r="DV76" s="175"/>
      <c r="DW76" s="175"/>
      <c r="DX76" s="175"/>
      <c r="DY76" s="175"/>
      <c r="DZ76" s="175"/>
      <c r="EA76" s="175"/>
      <c r="EB76" s="176"/>
      <c r="EC76" s="172"/>
      <c r="ED76" s="172"/>
      <c r="EE76" s="172"/>
      <c r="EF76" s="172"/>
      <c r="EG76" s="172"/>
      <c r="EH76" s="172"/>
      <c r="EI76" s="172"/>
      <c r="EJ76" s="172"/>
      <c r="EK76" s="172"/>
      <c r="EL76" s="172"/>
      <c r="EM76" s="172"/>
      <c r="EN76" s="172"/>
      <c r="EO76" s="172"/>
      <c r="EP76" s="172"/>
      <c r="EQ76" s="172"/>
      <c r="ER76" s="172"/>
      <c r="ES76" s="172"/>
      <c r="ET76" s="172"/>
      <c r="EU76" s="172"/>
      <c r="EV76" s="172"/>
      <c r="EW76" s="172"/>
      <c r="EX76" s="172"/>
      <c r="EY76" s="172"/>
      <c r="EZ76" s="172"/>
      <c r="FA76" s="172"/>
      <c r="FB76" s="172"/>
      <c r="FC76" s="172"/>
      <c r="FD76" s="172"/>
      <c r="FE76" s="172"/>
      <c r="FF76" s="172"/>
      <c r="FG76" s="172"/>
      <c r="FH76" s="172"/>
      <c r="FI76" s="172"/>
      <c r="FJ76" s="172"/>
      <c r="FK76" s="172"/>
      <c r="FL76" s="172"/>
      <c r="FM76" s="172"/>
      <c r="FN76" s="172"/>
      <c r="FO76" s="172"/>
      <c r="FP76" s="172"/>
      <c r="FQ76" s="172"/>
      <c r="FR76" s="172"/>
      <c r="FS76" s="172"/>
      <c r="FT76" s="172"/>
      <c r="FU76" s="172"/>
      <c r="FV76" s="172"/>
      <c r="FW76" s="172"/>
      <c r="FX76" s="172"/>
      <c r="FY76" s="172"/>
      <c r="FZ76" s="172"/>
      <c r="GA76" s="172"/>
      <c r="GB76" s="172"/>
      <c r="GC76" s="172"/>
      <c r="GD76" s="172"/>
      <c r="GE76" s="172"/>
      <c r="GF76" s="172"/>
      <c r="GG76" s="172"/>
      <c r="GH76" s="172"/>
      <c r="GI76" s="172"/>
      <c r="GJ76" s="261"/>
      <c r="GK76" s="264"/>
      <c r="GL76" s="264"/>
      <c r="GM76" s="264"/>
      <c r="GN76" s="264"/>
      <c r="GO76" s="264"/>
      <c r="GP76" s="264"/>
      <c r="GQ76" s="264"/>
      <c r="GR76" s="264"/>
      <c r="GS76" s="264"/>
      <c r="GT76" s="264"/>
      <c r="GU76" s="264"/>
      <c r="GV76" s="264"/>
      <c r="GW76" s="264"/>
      <c r="GX76" s="264"/>
      <c r="GY76" s="264"/>
      <c r="GZ76" s="264"/>
      <c r="HA76" s="264"/>
      <c r="HB76" s="264"/>
      <c r="HC76" s="264"/>
      <c r="HD76" s="264"/>
      <c r="HE76" s="264"/>
      <c r="HF76" s="264"/>
      <c r="HG76" s="264"/>
      <c r="HH76" s="264"/>
      <c r="HI76" s="264"/>
      <c r="HJ76" s="264"/>
      <c r="HK76" s="264"/>
      <c r="HL76" s="264"/>
      <c r="HM76" s="264"/>
      <c r="KC76" s="248" t="s">
        <v>1193</v>
      </c>
      <c r="KD76" s="174">
        <f>COUNTIF(KD17:KD23,"A")</f>
        <v>0</v>
      </c>
      <c r="KE76" s="174">
        <f t="shared" ref="KE76:LF76" si="251">COUNTIF(KE17:KE23,"A")</f>
        <v>0</v>
      </c>
      <c r="KF76" s="174">
        <f t="shared" si="251"/>
        <v>0</v>
      </c>
      <c r="KG76" s="174">
        <f t="shared" si="251"/>
        <v>0</v>
      </c>
      <c r="KH76" s="174">
        <f t="shared" si="251"/>
        <v>0</v>
      </c>
      <c r="KI76" s="174">
        <f t="shared" si="251"/>
        <v>0</v>
      </c>
      <c r="KJ76" s="174">
        <f t="shared" si="251"/>
        <v>0</v>
      </c>
      <c r="KK76" s="174">
        <f t="shared" si="251"/>
        <v>0</v>
      </c>
      <c r="KL76" s="174">
        <f t="shared" si="251"/>
        <v>0</v>
      </c>
      <c r="KM76" s="174">
        <f t="shared" si="251"/>
        <v>0</v>
      </c>
      <c r="KN76" s="174">
        <f t="shared" si="251"/>
        <v>0</v>
      </c>
      <c r="KO76" s="174">
        <f t="shared" si="251"/>
        <v>0</v>
      </c>
      <c r="KP76" s="174">
        <f t="shared" si="251"/>
        <v>0</v>
      </c>
      <c r="KQ76" s="174">
        <f t="shared" si="251"/>
        <v>0</v>
      </c>
      <c r="KR76" s="174">
        <f t="shared" si="251"/>
        <v>0</v>
      </c>
      <c r="KS76" s="174">
        <f t="shared" si="251"/>
        <v>0</v>
      </c>
      <c r="KT76" s="174">
        <f t="shared" si="251"/>
        <v>0</v>
      </c>
      <c r="KU76" s="174">
        <f t="shared" si="251"/>
        <v>0</v>
      </c>
      <c r="KV76" s="174">
        <f t="shared" si="251"/>
        <v>0</v>
      </c>
      <c r="KW76" s="174">
        <f t="shared" si="251"/>
        <v>0</v>
      </c>
      <c r="KX76" s="174">
        <f t="shared" si="251"/>
        <v>0</v>
      </c>
      <c r="KY76" s="174">
        <f t="shared" si="251"/>
        <v>0</v>
      </c>
      <c r="KZ76" s="174">
        <f t="shared" si="251"/>
        <v>0</v>
      </c>
      <c r="LA76" s="174">
        <f t="shared" si="251"/>
        <v>0</v>
      </c>
      <c r="LB76" s="174">
        <f t="shared" si="251"/>
        <v>0</v>
      </c>
      <c r="LC76" s="174">
        <f t="shared" si="251"/>
        <v>0</v>
      </c>
      <c r="LD76" s="174">
        <f t="shared" si="251"/>
        <v>0</v>
      </c>
      <c r="LE76" s="174">
        <f t="shared" si="251"/>
        <v>0</v>
      </c>
      <c r="LF76" s="174">
        <f t="shared" si="251"/>
        <v>0</v>
      </c>
    </row>
    <row r="77" spans="1:318" s="174" customFormat="1" x14ac:dyDescent="0.2">
      <c r="A77" s="172"/>
      <c r="B77" s="470" t="s">
        <v>957</v>
      </c>
      <c r="C77" s="470"/>
      <c r="D77" s="470"/>
      <c r="E77" s="470"/>
      <c r="F77" s="470"/>
      <c r="G77" s="288"/>
      <c r="H77" s="288" t="str">
        <f>IF(E51&lt;&gt;"",IF(KD$105="Y","&lt;",""),"")</f>
        <v/>
      </c>
      <c r="I77" s="288" t="str">
        <f>IF(E51&lt;&gt;"",IF(SUM(I45:I51)&lt;&gt;0,IF(OR('Outfall 1 Limits'!$AX$16="C1",'Outfall 1 Limits'!$AX$16="C3"),IF('Outfall 1 Limits'!$AR$16&lt;&gt;0,TEXT(EC17,"0."&amp;REPT("0",LEN('Outfall 1 Limits'!$AD$16)-FIND(".",'Outfall 1 Limits'!$AD$16))),ROUND(EC17,$I$126)),""),""),"")</f>
        <v/>
      </c>
      <c r="J77" s="288" t="str">
        <f>IF($E$51&lt;&gt;"",IF(KE$105="Y","&lt;",""),"")</f>
        <v/>
      </c>
      <c r="K77" s="288" t="str">
        <f>IF(E51&lt;&gt;"",IF(SUM(K45:K51)&lt;&gt;0,IF(OR('Outfall 1 Limits'!$AX$20="C1",'Outfall 1 Limits'!$AX$20="C3"),IF('Outfall 1 Limits'!$AR$20&lt;&gt;0,TEXT(ED17,"0."&amp;REPT("0",LEN('Outfall 1 Limits'!$AD$20)-FIND(".",'Outfall 1 Limits'!$AD$20))),ROUND(ED17,$K$126)),""),""),"")</f>
        <v/>
      </c>
      <c r="L77" s="288" t="str">
        <f>IF($E$51&lt;&gt;"",IF(KF$105="Y","&lt;",""),"")</f>
        <v/>
      </c>
      <c r="M77" s="288" t="str">
        <f>IF(E51&lt;&gt;"",IF(SUM(M45:M51)&lt;&gt;0,IF(OR('Outfall 1 Limits'!$AX$24="C1",'Outfall 1 Limits'!$AX$24="C3"),IF('Outfall 1 Limits'!$AR$24&lt;&gt;0,TEXT(EE17,"0."&amp;REPT("0",LEN('Outfall 1 Limits'!$AD$24)-FIND(".",'Outfall 1 Limits'!$AD$24))),ROUND(EE17,M126)),""),""),"")</f>
        <v/>
      </c>
      <c r="N77" s="288" t="str">
        <f>IF($E$51&lt;&gt;"",IF(KG$105="Y","&lt;",""),"")</f>
        <v/>
      </c>
      <c r="O77" s="288" t="str">
        <f>IF(E51&lt;&gt;"",IF(SUM(O45:O51)&lt;&gt;0,IF(OR('Outfall 1 Limits'!$AX$28="C1",'Outfall 1 Limits'!$AX$28="C3"),IF('Outfall 1 Limits'!$AR$28&lt;&gt;0,TEXT(EF17,"0."&amp;REPT("0",LEN('Outfall 1 Limits'!$AD$28)-FIND(".",'Outfall 1 Limits'!$AD$28))),ROUND(EF17,O126)),""),""),"")</f>
        <v/>
      </c>
      <c r="P77" s="288" t="str">
        <f>IF($E$51&lt;&gt;"",IF(KH$105="Y","&lt;",""),"")</f>
        <v/>
      </c>
      <c r="Q77" s="288" t="str">
        <f>IF(E51&lt;&gt;"",IF(SUM(Q45:Q51)&lt;&gt;0,IF(OR('Outfall 1 Limits'!$AX$32="C1",'Outfall 1 Limits'!$AX$32="C3"),IF('Outfall 1 Limits'!$AR$32&lt;&gt;0,TEXT(EG17,"0."&amp;REPT("0",LEN('Outfall 1 Limits'!$AD$32)-FIND(".",'Outfall 1 Limits'!$AD$32))),ROUND(EG17,Q126)),""),""),"")</f>
        <v/>
      </c>
      <c r="R77" s="288" t="str">
        <f>IF($E$51&lt;&gt;"",IF(KI$105="Y","&lt;",""),"")</f>
        <v/>
      </c>
      <c r="S77" s="288" t="str">
        <f>IF(E51&lt;&gt;"",IF(SUM(S45:S51)&lt;&gt;0,IF(OR('Outfall 1 Limits'!$AX$36="C1",'Outfall 1 Limits'!$AX$36="C3"),IF('Outfall 1 Limits'!$AR$36&lt;&gt;0,TEXT(EH17,"0."&amp;REPT("0",LEN('Outfall 1 Limits'!$AD$36)-FIND(".",'Outfall 1 Limits'!$AD$36))),ROUND(EH17,S126)),""),""),"")</f>
        <v/>
      </c>
      <c r="T77" s="288" t="str">
        <f>IF($E$51&lt;&gt;"",IF(KJ$105="Y","&lt;",""),"")</f>
        <v/>
      </c>
      <c r="U77" s="288" t="str">
        <f>IF(E51&lt;&gt;"",IF(SUM(U45:U51)&lt;&gt;0,IF(OR('Outfall 1 Limits'!$AX$40="C1",'Outfall 1 Limits'!$AX$40="C3"),IF('Outfall 1 Limits'!$AR$40&lt;&gt;0,TEXT(EI17,"0."&amp;REPT("0",LEN('Outfall 1 Limits'!$AD$40)-FIND(".",'Outfall 1 Limits'!$AD$40))),ROUND(EI17,U126)),""),""),"")</f>
        <v/>
      </c>
      <c r="V77" s="288" t="str">
        <f>IF($E$51&lt;&gt;"",IF(KK$105="Y","&lt;",""),"")</f>
        <v/>
      </c>
      <c r="W77" s="288" t="str">
        <f>IF(E51&lt;&gt;"",IF(SUM(W45:W51)&lt;&gt;0,IF(OR('Outfall 1 Limits'!$AX$44="C1",'Outfall 1 Limits'!$AX$44="C3"),IF('Outfall 1 Limits'!$AR$44&lt;&gt;0,TEXT(EJ17,"0."&amp;REPT("0",LEN('Outfall 1 Limits'!$AD$44)-FIND(".",'Outfall 1 Limits'!$AD$44))),ROUND(EJ17,W126)),""),""),"")</f>
        <v/>
      </c>
      <c r="X77" s="288" t="str">
        <f>IF($E$51&lt;&gt;"",IF(KL$105="Y","&lt;",""),"")</f>
        <v/>
      </c>
      <c r="Y77" s="288" t="str">
        <f>IF(E51&lt;&gt;"",IF(SUM(Y45:Y51)&lt;&gt;0,IF(OR('Outfall 1 Limits'!$AX$48="C1",'Outfall 1 Limits'!$AX$48="C3"),IF('Outfall 1 Limits'!$AR$48&lt;&gt;0,TEXT(EK17,"0."&amp;REPT("0",LEN('Outfall 1 Limits'!$AD$48)-FIND(".",'Outfall 1 Limits'!$AD$48))),ROUND(EK17,Y126)),""),""),"")</f>
        <v/>
      </c>
      <c r="Z77" s="288" t="str">
        <f>IF($E$51&lt;&gt;"",IF(KM$105="Y","&lt;",""),"")</f>
        <v/>
      </c>
      <c r="AA77" s="288" t="str">
        <f>IF(E51&lt;&gt;"",IF(SUM(AA45:AA51)&lt;&gt;0,IF(OR('Outfall 1 Limits'!$AX$52="C1",'Outfall 1 Limits'!$AX$52="C3"),IF('Outfall 1 Limits'!$AR$52&lt;&gt;0,TEXT(EL17,"0."&amp;REPT("0",LEN('Outfall 1 Limits'!$AD$52)-FIND(".",'Outfall 1 Limits'!$AD$52))),ROUND(EL17,AA126)),""),""),"")</f>
        <v/>
      </c>
      <c r="AB77" s="288" t="str">
        <f>IF($E$51&lt;&gt;"",IF(KN$105="Y","&lt;",""),"")</f>
        <v/>
      </c>
      <c r="AC77" s="288" t="str">
        <f>IF(E51&lt;&gt;"",IF(SUM(AC45:AC51)&lt;&gt;0,IF(OR('Outfall 1 Limits'!$AX$56="C1",'Outfall 1 Limits'!$AX$56="C3"),IF('Outfall 1 Limits'!$AR$56&lt;&gt;0,TEXT(EM17,"0."&amp;REPT("0",LEN('Outfall 1 Limits'!$AD$56)-FIND(".",'Outfall 1 Limits'!$AD$56))),ROUND(EM17,AC126)),""),""),"")</f>
        <v/>
      </c>
      <c r="AD77" s="288" t="str">
        <f>IF($E$51&lt;&gt;"",IF(KO$105="Y","&lt;",""),"")</f>
        <v/>
      </c>
      <c r="AE77" s="288" t="str">
        <f>IF(E51&lt;&gt;"",IF(SUM(AE45:AE51)&lt;&gt;0,IF(OR('Outfall 1 Limits'!$AX$60="C1",'Outfall 1 Limits'!$AX$60="C3"),IF('Outfall 1 Limits'!$AR$60&lt;&gt;0,TEXT(EN17,"0."&amp;REPT("0",LEN('Outfall 1 Limits'!$AD$60)-FIND(".",'Outfall 1 Limits'!$AD$60))),ROUND(EN17,AE126)),""),""),"")</f>
        <v/>
      </c>
      <c r="AF77" s="288" t="str">
        <f>IF($E$51&lt;&gt;"",IF(KP$105="Y","&lt;",""),"")</f>
        <v/>
      </c>
      <c r="AG77" s="288" t="str">
        <f>IF(E51&lt;&gt;"",IF(SUM(AG45:AG51)&lt;&gt;0,IF(OR('Outfall 1 Limits'!$AX$64="C1",'Outfall 1 Limits'!$AX$64="C3"),IF('Outfall 1 Limits'!$AR$64&lt;&gt;0,TEXT(EO17,"0."&amp;REPT("0",LEN('Outfall 1 Limits'!$AD$64)-FIND(".",'Outfall 1 Limits'!$AD$64))),ROUND(EO17,AG126)),""),""),"")</f>
        <v/>
      </c>
      <c r="AH77" s="288" t="str">
        <f>IF($E$51&lt;&gt;"",IF(KQ$105="Y","&lt;",""),"")</f>
        <v/>
      </c>
      <c r="AI77" s="288" t="str">
        <f>IF(E51&lt;&gt;"",IF(SUM(AI45:AI51)&lt;&gt;0,IF(OR('Outfall 1 Limits'!$AX$68="C1",'Outfall 1 Limits'!$AX$68="C3"),IF('Outfall 1 Limits'!$AR$68&lt;&gt;0,TEXT(EP17,"0."&amp;REPT("0",LEN('Outfall 1 Limits'!$AD$68)-FIND(".",'Outfall 1 Limits'!$AD$68))),ROUND(EP17,AI126)),""),""),"")</f>
        <v/>
      </c>
      <c r="AJ77" s="288" t="str">
        <f>IF($E$51&lt;&gt;"",IF(KR$105="Y","&lt;",""),"")</f>
        <v/>
      </c>
      <c r="AK77" s="288" t="str">
        <f>IF(E51&lt;&gt;"",IF(SUM(AK45:AK51)&lt;&gt;0,IF(OR('Outfall 1 Limits'!$AX$72="C1",'Outfall 1 Limits'!$AX$72="C3"),IF('Outfall 1 Limits'!$AR$72&lt;&gt;0,TEXT(EQ17,"0."&amp;REPT("0",LEN('Outfall 1 Limits'!$AD$72)-FIND(".",'Outfall 1 Limits'!$AD$72))),ROUND(EQ17,AK126)),""),""),"")</f>
        <v/>
      </c>
      <c r="AL77" s="288" t="str">
        <f>IF($E$51&lt;&gt;"",IF(KS$105="Y","&lt;",""),"")</f>
        <v/>
      </c>
      <c r="AM77" s="288" t="str">
        <f>IF(E51&lt;&gt;"",IF(SUM(AM45:AM51)&lt;&gt;0,IF(OR('Outfall 1 Limits'!$AX$76="C1",'Outfall 1 Limits'!$AX$76="C3"),IF('Outfall 1 Limits'!$AR$76&lt;&gt;0,TEXT(ER17,"0."&amp;REPT("0",LEN('Outfall 1 Limits'!$AD$76)-FIND(".",'Outfall 1 Limits'!$AD$76))),ROUND(ER17,AM126)),""),""),"")</f>
        <v/>
      </c>
      <c r="AN77" s="288" t="str">
        <f>IF($E$51&lt;&gt;"",IF(KT$105="Y","&lt;",""),"")</f>
        <v/>
      </c>
      <c r="AO77" s="288" t="str">
        <f>IF(E51&lt;&gt;"",IF(SUM(AO45:AO51)&lt;&gt;0,IF(OR('Outfall 1 Limits'!$AX$80="C1",'Outfall 1 Limits'!$AX$80="C3"),IF('Outfall 1 Limits'!$AR$80&lt;&gt;0,TEXT(ES17,"0."&amp;REPT("0",LEN('Outfall 1 Limits'!$AD$80)-FIND(".",'Outfall 1 Limits'!$AD$80))),ROUND(ES17,AO126)),""),""),"")</f>
        <v/>
      </c>
      <c r="AP77" s="288" t="str">
        <f>IF($E$51&lt;&gt;"",IF(KU$105="Y","&lt;",""),"")</f>
        <v/>
      </c>
      <c r="AQ77" s="288" t="str">
        <f>IF(E51&lt;&gt;"",IF(SUM(AQ45:AQ51)&lt;&gt;0,IF(OR('Outfall 1 Limits'!$AX$84="C1",'Outfall 1 Limits'!$AX$84="C3"),IF('Outfall 1 Limits'!$AR$84&lt;&gt;0,TEXT(ET17,"0."&amp;REPT("0",LEN('Outfall 1 Limits'!$AD$84)-FIND(".",'Outfall 1 Limits'!$AD$84))),ROUND(ET17,AQ126)),""),""),"")</f>
        <v/>
      </c>
      <c r="AR77" s="288" t="str">
        <f>IF($E$51&lt;&gt;"",IF(KV$105="Y","&lt;",""),"")</f>
        <v/>
      </c>
      <c r="AS77" s="288" t="str">
        <f>IF(E51&lt;&gt;"",IF(SUM(AS45:AS51)&lt;&gt;0,IF(OR('Outfall 1 Limits'!$AX$88="C1",'Outfall 1 Limits'!$AX$88="C3"),IF('Outfall 1 Limits'!$AR$88&lt;&gt;0,TEXT(EU17,"0."&amp;REPT("0",LEN('Outfall 1 Limits'!$AD$88)-FIND(".",'Outfall 1 Limits'!$AD$88))),ROUND(EU17,AS126)),""),""),"")</f>
        <v/>
      </c>
      <c r="AT77" s="288" t="str">
        <f>IF($E$51&lt;&gt;"",IF(KW$105="Y","&lt;",""),"")</f>
        <v/>
      </c>
      <c r="AU77" s="288" t="str">
        <f>IF(E51&lt;&gt;"",IF(SUM(AU45:AU51)&lt;&gt;0,IF(OR('Outfall 1 Limits'!$AX$92="C1",'Outfall 1 Limits'!$AX$92="C3"),IF('Outfall 1 Limits'!$AR$92&lt;&gt;0,TEXT(EV17,"0."&amp;REPT("0",LEN('Outfall 1 Limits'!$AD$92)-FIND(".",'Outfall 1 Limits'!$AD$92))),ROUND(EV17,AU126)),""),""),"")</f>
        <v/>
      </c>
      <c r="AV77" s="288" t="str">
        <f>IF($E$51&lt;&gt;"",IF(KX$105="Y","&lt;",""),"")</f>
        <v/>
      </c>
      <c r="AW77" s="288" t="str">
        <f>IF(E51&lt;&gt;"",IF(SUM(AW45:AW51)&lt;&gt;0,IF(OR('Outfall 1 Limits'!$AX$96="C1",'Outfall 1 Limits'!$AX$96="C3"),IF('Outfall 1 Limits'!$AR$96&lt;&gt;0,TEXT(EW17,"0."&amp;REPT("0",LEN('Outfall 1 Limits'!$AD$96)-FIND(".",'Outfall 1 Limits'!$AD$96))),ROUND(EW17,AW126)),""),""),"")</f>
        <v/>
      </c>
      <c r="AX77" s="288" t="str">
        <f>IF($E$51&lt;&gt;"",IF(KY$105="Y","&lt;",""),"")</f>
        <v/>
      </c>
      <c r="AY77" s="288" t="str">
        <f>IF(E51&lt;&gt;"",IF(SUM(AY45:AY51)&lt;&gt;0,IF(OR('Outfall 1 Limits'!$AX$100="C1",'Outfall 1 Limits'!$AX$100="C3"),IF('Outfall 1 Limits'!$AR$100&lt;&gt;0,TEXT(EX17,"0."&amp;REPT("0",LEN('Outfall 1 Limits'!$AD$100)-FIND(".",'Outfall 1 Limits'!$AD$100))),ROUND(EX17,AY126)),""),""),"")</f>
        <v/>
      </c>
      <c r="AZ77" s="288" t="str">
        <f>IF($E$51&lt;&gt;"",IF(KZ$105="Y","&lt;",""),"")</f>
        <v/>
      </c>
      <c r="BA77" s="288" t="str">
        <f>IF(E51&lt;&gt;"",IF(SUM(BA45:BA51)&lt;&gt;0,IF(OR('Outfall 1 Limits'!$AX$104="C1",'Outfall 1 Limits'!$AX$104="C3"),IF('Outfall 1 Limits'!$AR$104&lt;&gt;0,TEXT(EY17,"0."&amp;REPT("0",LEN('Outfall 1 Limits'!$AD$104)-FIND(".",'Outfall 1 Limits'!$AD$104))),ROUND(EY17,BA126)),""),""),"")</f>
        <v/>
      </c>
      <c r="BB77" s="288" t="str">
        <f>IF($E$51&lt;&gt;"",IF(LA$105="Y","&lt;",""),"")</f>
        <v/>
      </c>
      <c r="BC77" s="288" t="str">
        <f>IF(E51&lt;&gt;"",IF(SUM(BC45:BC51)&lt;&gt;0,IF(OR('Outfall 1 Limits'!$AX$108="C1",'Outfall 1 Limits'!$AX$108="C3"),IF('Outfall 1 Limits'!$AR$108&lt;&gt;0,TEXT(EZ17,"0."&amp;REPT("0",LEN('Outfall 1 Limits'!$AD$108)-FIND(".",'Outfall 1 Limits'!$AD$108))),ROUND(EZ17,BC126)),""),""),"")</f>
        <v/>
      </c>
      <c r="BD77" s="288" t="str">
        <f>IF($E$51&lt;&gt;"",IF(LB$105="Y","&lt;",""),"")</f>
        <v/>
      </c>
      <c r="BE77" s="288" t="str">
        <f>IF(E51&lt;&gt;"",IF(SUM(BE45:BE51)&lt;&gt;0,IF(OR('Outfall 1 Limits'!$AX$112="C1",'Outfall 1 Limits'!$AX$112="C3"),IF('Outfall 1 Limits'!$AR$112&lt;&gt;0,TEXT(FA17,"0."&amp;REPT("0",LEN('Outfall 1 Limits'!$AD$112)-FIND(".",'Outfall 1 Limits'!$AD$112))),ROUND(FA17,BE126)),""),""),"")</f>
        <v/>
      </c>
      <c r="BF77" s="288" t="str">
        <f>IF($E$51&lt;&gt;"",IF(LC$105="Y","&lt;",""),"")</f>
        <v/>
      </c>
      <c r="BG77" s="288" t="str">
        <f>IF(E51&lt;&gt;"",IF(SUM(BG45:BG51)&lt;&gt;0,IF(OR('Outfall 1 Limits'!$AX$116="C1",'Outfall 1 Limits'!$AX$116="C3"),IF('Outfall 1 Limits'!$AR$116&lt;&gt;0,TEXT(FB17,"0."&amp;REPT("0",LEN('Outfall 1 Limits'!$AD$116)-FIND(".",'Outfall 1 Limits'!$AD$116))),ROUND(FB17,BG126)),""),""),"")</f>
        <v/>
      </c>
      <c r="BH77" s="288" t="str">
        <f>IF($E$51&lt;&gt;"",IF(LD$105="Y","&lt;",""),"")</f>
        <v/>
      </c>
      <c r="BI77" s="288" t="str">
        <f>IF(E51&lt;&gt;"",IF(SUM(BI45:BI51)&lt;&gt;0,IF(OR('Outfall 1 Limits'!$AX$120="C1",'Outfall 1 Limits'!$AX$120="C3"),IF('Outfall 1 Limits'!$AR$120&lt;&gt;0,TEXT(FC17,"0."&amp;REPT("0",LEN('Outfall 1 Limits'!$AD$120)-FIND(".",'Outfall 1 Limits'!$AD$120))),ROUND(FC17,BI126)),""),""),"")</f>
        <v/>
      </c>
      <c r="BJ77" s="288" t="str">
        <f>IF($E$51&lt;&gt;"",IF(LE$105="Y","&lt;",""),"")</f>
        <v/>
      </c>
      <c r="BK77" s="288" t="str">
        <f>IF(E51&lt;&gt;"",IF(SUM(BK45:BK51)&lt;&gt;0,IF(OR('Outfall 1 Limits'!$AX$124="C1",'Outfall 1 Limits'!$AX$124="C3"),IF('Outfall 1 Limits'!$AR$124&lt;&gt;0,TEXT(FD17,"0."&amp;REPT("0",LEN('Outfall 1 Limits'!$AD$124)-FIND(".",'Outfall 1 Limits'!$AD$124))),ROUND(FD17,BK126)),""),""),"")</f>
        <v/>
      </c>
      <c r="BL77" s="288" t="str">
        <f>IF($E$51&lt;&gt;"",IF(LF$105="Y","&lt;",""),"")</f>
        <v/>
      </c>
      <c r="BM77" s="288" t="str">
        <f>IF(E51&lt;&gt;"",IF(SUM(BM45:BM51)&lt;&gt;0,IF(OR('Outfall 1 Limits'!$AX$128="C1",'Outfall 1 Limits'!$AX$128="C3"),IF('Outfall 1 Limits'!$AR$128&lt;&gt;0,TEXT(FE17,"0."&amp;REPT("0",LEN('Outfall 1 Limits'!$AD$128)-FIND(".",'Outfall 1 Limits'!$AD$128))),ROUND(FE17,BM126)),""),""),"")</f>
        <v/>
      </c>
      <c r="BP77" s="174">
        <v>2096</v>
      </c>
      <c r="CX77" s="172"/>
      <c r="CY77" s="175"/>
      <c r="CZ77" s="175"/>
      <c r="DA77" s="175"/>
      <c r="DB77" s="175"/>
      <c r="DC77" s="175"/>
      <c r="DD77" s="175"/>
      <c r="DE77" s="175"/>
      <c r="DF77" s="175"/>
      <c r="DG77" s="175"/>
      <c r="DH77" s="175"/>
      <c r="DI77" s="175"/>
      <c r="DJ77" s="175"/>
      <c r="DK77" s="175"/>
      <c r="DL77" s="175"/>
      <c r="DM77" s="175"/>
      <c r="DN77" s="175"/>
      <c r="DO77" s="175"/>
      <c r="DP77" s="175"/>
      <c r="DQ77" s="175"/>
      <c r="DR77" s="175"/>
      <c r="DS77" s="175"/>
      <c r="DT77" s="175"/>
      <c r="DU77" s="175"/>
      <c r="DV77" s="175"/>
      <c r="DW77" s="175"/>
      <c r="DX77" s="175"/>
      <c r="DY77" s="175"/>
      <c r="DZ77" s="175"/>
      <c r="EA77" s="175"/>
      <c r="EB77" s="176"/>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261"/>
      <c r="GK77" s="264"/>
      <c r="GL77" s="264"/>
      <c r="GM77" s="264"/>
      <c r="GN77" s="264"/>
      <c r="GO77" s="264"/>
      <c r="GP77" s="264"/>
      <c r="GQ77" s="264"/>
      <c r="GR77" s="264"/>
      <c r="GS77" s="264"/>
      <c r="GT77" s="264"/>
      <c r="GU77" s="264"/>
      <c r="GV77" s="264"/>
      <c r="GW77" s="264"/>
      <c r="GX77" s="264"/>
      <c r="GY77" s="264"/>
      <c r="GZ77" s="264"/>
      <c r="HA77" s="264"/>
      <c r="HB77" s="264"/>
      <c r="HC77" s="264"/>
      <c r="HD77" s="264"/>
      <c r="HE77" s="264"/>
      <c r="HF77" s="264"/>
      <c r="HG77" s="264"/>
      <c r="HH77" s="264"/>
      <c r="HI77" s="264"/>
      <c r="HJ77" s="264"/>
      <c r="HK77" s="264"/>
      <c r="HL77" s="264"/>
      <c r="HM77" s="264"/>
      <c r="KC77" s="248" t="s">
        <v>1194</v>
      </c>
      <c r="KD77" s="174">
        <f>COUNTIF(KD17:KD23,"B")</f>
        <v>0</v>
      </c>
      <c r="KE77" s="174">
        <f t="shared" ref="KE77:LF77" si="252">COUNTIF(KE17:KE23,"B")</f>
        <v>0</v>
      </c>
      <c r="KF77" s="174">
        <f t="shared" si="252"/>
        <v>0</v>
      </c>
      <c r="KG77" s="174">
        <f t="shared" si="252"/>
        <v>0</v>
      </c>
      <c r="KH77" s="174">
        <f t="shared" si="252"/>
        <v>0</v>
      </c>
      <c r="KI77" s="174">
        <f t="shared" si="252"/>
        <v>0</v>
      </c>
      <c r="KJ77" s="174">
        <f t="shared" si="252"/>
        <v>0</v>
      </c>
      <c r="KK77" s="174">
        <f t="shared" si="252"/>
        <v>0</v>
      </c>
      <c r="KL77" s="174">
        <f t="shared" si="252"/>
        <v>0</v>
      </c>
      <c r="KM77" s="174">
        <f t="shared" si="252"/>
        <v>0</v>
      </c>
      <c r="KN77" s="174">
        <f t="shared" si="252"/>
        <v>0</v>
      </c>
      <c r="KO77" s="174">
        <f t="shared" si="252"/>
        <v>0</v>
      </c>
      <c r="KP77" s="174">
        <f t="shared" si="252"/>
        <v>0</v>
      </c>
      <c r="KQ77" s="174">
        <f t="shared" si="252"/>
        <v>0</v>
      </c>
      <c r="KR77" s="174">
        <f t="shared" si="252"/>
        <v>0</v>
      </c>
      <c r="KS77" s="174">
        <f t="shared" si="252"/>
        <v>0</v>
      </c>
      <c r="KT77" s="174">
        <f t="shared" si="252"/>
        <v>0</v>
      </c>
      <c r="KU77" s="174">
        <f t="shared" si="252"/>
        <v>0</v>
      </c>
      <c r="KV77" s="174">
        <f t="shared" si="252"/>
        <v>0</v>
      </c>
      <c r="KW77" s="174">
        <f t="shared" si="252"/>
        <v>0</v>
      </c>
      <c r="KX77" s="174">
        <f t="shared" si="252"/>
        <v>0</v>
      </c>
      <c r="KY77" s="174">
        <f t="shared" si="252"/>
        <v>0</v>
      </c>
      <c r="KZ77" s="174">
        <f t="shared" si="252"/>
        <v>0</v>
      </c>
      <c r="LA77" s="174">
        <f t="shared" si="252"/>
        <v>0</v>
      </c>
      <c r="LB77" s="174">
        <f t="shared" si="252"/>
        <v>0</v>
      </c>
      <c r="LC77" s="174">
        <f t="shared" si="252"/>
        <v>0</v>
      </c>
      <c r="LD77" s="174">
        <f t="shared" si="252"/>
        <v>0</v>
      </c>
      <c r="LE77" s="174">
        <f t="shared" si="252"/>
        <v>0</v>
      </c>
      <c r="LF77" s="174">
        <f t="shared" si="252"/>
        <v>0</v>
      </c>
    </row>
    <row r="78" spans="1:318" s="174" customFormat="1" x14ac:dyDescent="0.2">
      <c r="A78" s="172"/>
      <c r="B78" s="470" t="s">
        <v>958</v>
      </c>
      <c r="C78" s="470"/>
      <c r="D78" s="470"/>
      <c r="E78" s="470"/>
      <c r="F78" s="470"/>
      <c r="G78" s="288" t="str">
        <f>IF(SUM(G17:G23)&gt;0,ROUND(HN68,$G$126),"")</f>
        <v/>
      </c>
      <c r="H78" s="288" t="str">
        <f>IF(KD$81="Y","&lt;","")</f>
        <v/>
      </c>
      <c r="I78" s="288" t="str">
        <f>IF(EC31&lt;&gt;"",IF(OR('Outfall 1 Limits'!$AX$16="C1",'Outfall 1 Limits'!$AX$16="L"),IF(EC31&gt;=1,IF('Outfall 1 Limits'!$AO$16=0,ROUND(EC31,0),TEXT(EC31,"0."&amp;REPT("0",LEN('Outfall 1 Limits'!$O16)-FIND(".",'Outfall 1 Limits'!$O16)))),ROUND(EC31,1-(1+INT(LOG10(ABS(EC31)))))),ROUND(EC31,$I126)),"")</f>
        <v/>
      </c>
      <c r="J78" s="288" t="str">
        <f>IF(KE$81="Y","&lt;","")</f>
        <v/>
      </c>
      <c r="K78" s="288" t="str">
        <f>IF(ED31&lt;&gt;"",IF(OR('Outfall 1 Limits'!$AX$20="C1",'Outfall 1 Limits'!$AX$20="L"),IF(ED31&gt;=1,IF('Outfall 1 Limits'!$AO$20=0,ROUND(ED31,0),TEXT(ED31,"0."&amp;REPT("0",LEN('Outfall 1 Limits'!$O20)-FIND(".",'Outfall 1 Limits'!$O20)))),ROUND(ED31,1-(1+INT(LOG10(ABS(ED31)))))),ROUND(ED31,$K126)),"")</f>
        <v/>
      </c>
      <c r="L78" s="288" t="str">
        <f>IF(KF$81="Y","&lt;","")</f>
        <v/>
      </c>
      <c r="M78" s="288" t="str">
        <f>IF(EE31&lt;&gt;"",IF(OR('Outfall 1 Limits'!$AX$24="C1",'Outfall 1 Limits'!$AX$24="L"),IF(EE31&gt;=1,IF('Outfall 1 Limits'!$AO$24=0,ROUND(EE31,0),TEXT(EE31,"0."&amp;REPT("0",LEN('Outfall 1 Limits'!$O24)-FIND(".",'Outfall 1 Limits'!$O24)))),ROUND(EE31,1-(1+INT(LOG10(ABS(EE31)))))),ROUND(EE31,$M126)),"")</f>
        <v/>
      </c>
      <c r="N78" s="288" t="str">
        <f>IF(KG$81="Y","&lt;","")</f>
        <v/>
      </c>
      <c r="O78" s="288" t="str">
        <f>IF(EF31&lt;&gt;"",IF(OR('Outfall 1 Limits'!$AX$28="C1",'Outfall 1 Limits'!$AX$28="L"),IF(EF31&gt;=1,IF('Outfall 1 Limits'!$AO$28=0,ROUND(EF31,0),TEXT(EF31,"0."&amp;REPT("0",LEN('Outfall 1 Limits'!$O28)-FIND(".",'Outfall 1 Limits'!$O28)))),ROUND(EF31,1-(1+INT(LOG10(ABS(EF31)))))),ROUND(EF31,$O126)),"")</f>
        <v/>
      </c>
      <c r="P78" s="288" t="str">
        <f>IF(KH$81="Y","&lt;","")</f>
        <v/>
      </c>
      <c r="Q78" s="288" t="str">
        <f>IF(EG31&lt;&gt;"",IF(OR('Outfall 1 Limits'!$AX$32="C1",'Outfall 1 Limits'!$AX$32="L"),IF(EG31&gt;=1,IF('Outfall 1 Limits'!$AO$32=0,ROUND(EG31,0),TEXT(EG31,"0."&amp;REPT("0",LEN('Outfall 1 Limits'!$O32)-FIND(".",'Outfall 1 Limits'!$O32)))),ROUND(EG31,1-(1+INT(LOG10(ABS(EG31)))))),ROUND(EG31,$Q126)),"")</f>
        <v/>
      </c>
      <c r="R78" s="288" t="str">
        <f>IF(KI$81="Y","&lt;","")</f>
        <v/>
      </c>
      <c r="S78" s="288" t="str">
        <f>IF(EH31&lt;&gt;"",IF(OR('Outfall 1 Limits'!$AX$36="C1",'Outfall 1 Limits'!$AX$36="L"),IF(EH31&gt;=1,IF('Outfall 1 Limits'!$AO$36=0,ROUND(EH31,0),TEXT(EH31,"0."&amp;REPT("0",LEN('Outfall 1 Limits'!$O36)-FIND(".",'Outfall 1 Limits'!$O36)))),ROUND(EH31,1-(1+INT(LOG10(ABS(EH31)))))),ROUND(EH31,$S126)),"")</f>
        <v/>
      </c>
      <c r="T78" s="288" t="str">
        <f>IF(KJ$81="Y","&lt;","")</f>
        <v/>
      </c>
      <c r="U78" s="288" t="str">
        <f>IF(EI31&lt;&gt;"",IF(OR('Outfall 1 Limits'!$AX$40="C1",'Outfall 1 Limits'!$AX$40="L"),IF(EI31&gt;=1,IF('Outfall 1 Limits'!$AO$40=0,ROUND(EI31,0),TEXT(EI31,"0."&amp;REPT("0",LEN('Outfall 1 Limits'!$O40)-FIND(".",'Outfall 1 Limits'!$O40)))),ROUND(EI31,1-(1+INT(LOG10(ABS(EI31)))))),ROUND(EI31,$U126)),"")</f>
        <v/>
      </c>
      <c r="V78" s="288" t="str">
        <f>IF(KK$81="Y","&lt;","")</f>
        <v/>
      </c>
      <c r="W78" s="288" t="str">
        <f>IF(EJ31&lt;&gt;"",IF(OR('Outfall 1 Limits'!$AX$44="C1",'Outfall 1 Limits'!$AX$44="L"),IF(EJ31&gt;=1,IF('Outfall 1 Limits'!$AO$44=0,ROUND(EJ31,0),TEXT(EJ31,"0."&amp;REPT("0",LEN('Outfall 1 Limits'!$O44)-FIND(".",'Outfall 1 Limits'!$O44)))),ROUND(EJ31,1-(1+INT(LOG10(ABS(EJ31)))))),ROUND(EJ31,$W126)),"")</f>
        <v/>
      </c>
      <c r="X78" s="288" t="str">
        <f>IF(KL$81="Y","&lt;","")</f>
        <v/>
      </c>
      <c r="Y78" s="288" t="str">
        <f>IF(EK31&lt;&gt;"",IF(OR('Outfall 1 Limits'!$AX$48="C1",'Outfall 1 Limits'!$AX$48="L"),IF(EK31&gt;=1,IF('Outfall 1 Limits'!$AO$48=0,ROUND(EK31,0),TEXT(EK31,"0."&amp;REPT("0",LEN('Outfall 1 Limits'!$O48)-FIND(".",'Outfall 1 Limits'!$O48)))),ROUND(EK31,1-(1+INT(LOG10(ABS(EK31)))))),ROUND(EK31,$Y126)),"")</f>
        <v/>
      </c>
      <c r="Z78" s="288" t="str">
        <f>IF(KM$81="Y","&lt;","")</f>
        <v/>
      </c>
      <c r="AA78" s="288" t="str">
        <f>IF(EL31&lt;&gt;"",IF(OR('Outfall 1 Limits'!$AX$52="C1",'Outfall 1 Limits'!$AX$52="L"),IF(EL31&gt;=1,IF('Outfall 1 Limits'!$AO$52=0,ROUND(EL31,0),TEXT(EL31,"0."&amp;REPT("0",LEN('Outfall 1 Limits'!$O52)-FIND(".",'Outfall 1 Limits'!$O52)))),ROUND(EL31,1-(1+INT(LOG10(ABS(EL31)))))),ROUND(EL31,$AA126)),"")</f>
        <v/>
      </c>
      <c r="AB78" s="288" t="str">
        <f>IF(KN$81="Y","&lt;","")</f>
        <v/>
      </c>
      <c r="AC78" s="288" t="str">
        <f>IF(EM31&lt;&gt;"",IF(OR('Outfall 1 Limits'!$AX$56="C1",'Outfall 1 Limits'!$AX$56="L"),IF(EM31&gt;=1,IF('Outfall 1 Limits'!$AO$56=0,ROUND(EM31,0),TEXT(EM31,"0."&amp;REPT("0",LEN('Outfall 1 Limits'!$O56)-FIND(".",'Outfall 1 Limits'!$O56)))),ROUND(EM31,1-(1+INT(LOG10(ABS(EM31)))))),ROUND(EM31,$AC126)),"")</f>
        <v/>
      </c>
      <c r="AD78" s="288" t="str">
        <f>IF(KO$81="Y","&lt;","")</f>
        <v/>
      </c>
      <c r="AE78" s="288" t="str">
        <f>IF(EN31&lt;&gt;"",IF(OR('Outfall 1 Limits'!$AX$60="C1",'Outfall 1 Limits'!$AX$60="L"),IF(EN31&gt;=1,IF('Outfall 1 Limits'!$AO$60=0,ROUND(EN31,0),TEXT(EN31,"0."&amp;REPT("0",LEN('Outfall 1 Limits'!$O60)-FIND(".",'Outfall 1 Limits'!$O60)))),ROUND(EN31,1-(1+INT(LOG10(ABS(EN31)))))),ROUND(EN31,$AE126)),"")</f>
        <v/>
      </c>
      <c r="AF78" s="288" t="str">
        <f>IF(KP$81="Y","&lt;","")</f>
        <v/>
      </c>
      <c r="AG78" s="288" t="str">
        <f>IF(EO31&lt;&gt;"",IF(OR('Outfall 1 Limits'!$AX$64="C1",'Outfall 1 Limits'!$AX$64="L"),IF(EO31&gt;=1,IF('Outfall 1 Limits'!$AO$64=0,ROUND(EO31,0),TEXT(EO31,"0."&amp;REPT("0",LEN('Outfall 1 Limits'!$O64)-FIND(".",'Outfall 1 Limits'!$O64)))),ROUND(EO31,1-(1+INT(LOG10(ABS(EO31)))))),ROUND(EO31,$AG126)),"")</f>
        <v/>
      </c>
      <c r="AH78" s="288" t="str">
        <f>IF(KQ$81="Y","&lt;","")</f>
        <v/>
      </c>
      <c r="AI78" s="288" t="str">
        <f>IF(EP31&lt;&gt;"",IF(OR('Outfall 1 Limits'!$AX$68="C1",'Outfall 1 Limits'!$AX$68="L"),IF(EP31&gt;=1,IF('Outfall 1 Limits'!$AO$68=0,ROUND(EP31,0),TEXT(EP31,"0."&amp;REPT("0",LEN('Outfall 1 Limits'!$O68)-FIND(".",'Outfall 1 Limits'!$O68)))),ROUND(EP31,1-(1+INT(LOG10(ABS(EP31)))))),ROUND(EP31,$AI126)),"")</f>
        <v/>
      </c>
      <c r="AJ78" s="288" t="str">
        <f>IF(KR$81="Y","&lt;","")</f>
        <v/>
      </c>
      <c r="AK78" s="288" t="str">
        <f>IF(EQ31&lt;&gt;"",IF(OR('Outfall 1 Limits'!$AX$72="C1",'Outfall 1 Limits'!$AX$72="L"),IF(EQ31&gt;=1,IF('Outfall 1 Limits'!$AO$72=0,ROUND(EQ31,0),TEXT(EQ31,"0."&amp;REPT("0",LEN('Outfall 1 Limits'!$O72)-FIND(".",'Outfall 1 Limits'!$O72)))),ROUND(EQ31,1-(1+INT(LOG10(ABS(EQ31)))))),ROUND(EQ31,$AK126)),"")</f>
        <v/>
      </c>
      <c r="AL78" s="288" t="str">
        <f>IF(KS$81="Y","&lt;","")</f>
        <v/>
      </c>
      <c r="AM78" s="288" t="str">
        <f>IF(ER31&lt;&gt;"",IF(OR('Outfall 1 Limits'!$AX$76="C1",'Outfall 1 Limits'!$AX$76="L"),IF(ER31&gt;=1,IF('Outfall 1 Limits'!$AO$76=0,ROUND(ER31,0),TEXT(ER31,"0."&amp;REPT("0",LEN('Outfall 1 Limits'!$O76)-FIND(".",'Outfall 1 Limits'!$O76)))),ROUND(ER31,1-(1+INT(LOG10(ABS(ER31)))))),ROUND(ER31,$AM126)),"")</f>
        <v/>
      </c>
      <c r="AN78" s="288" t="str">
        <f>IF(KT$81="Y","&lt;","")</f>
        <v/>
      </c>
      <c r="AO78" s="288" t="str">
        <f>IF(ES31&lt;&gt;"",IF(OR('Outfall 1 Limits'!$AX$80="C1",'Outfall 1 Limits'!$AX$80="L"),IF(ES31&gt;=1,IF('Outfall 1 Limits'!$AO$80=0,ROUND(ES31,0),TEXT(ES31,"0."&amp;REPT("0",LEN('Outfall 1 Limits'!$O80)-FIND(".",'Outfall 1 Limits'!$O80)))),ROUND(ES31,1-(1+INT(LOG10(ABS(ES31)))))),ROUND(ES31,$AO126)),"")</f>
        <v/>
      </c>
      <c r="AP78" s="288" t="str">
        <f>IF(KU$81="Y","&lt;","")</f>
        <v/>
      </c>
      <c r="AQ78" s="288" t="str">
        <f>IF(ET31&lt;&gt;"",IF(OR('Outfall 1 Limits'!$AX$84="C1",'Outfall 1 Limits'!$AX$84="L"),IF(ET31&gt;=1,IF('Outfall 1 Limits'!$AO$84=0,ROUND(ET31,0),TEXT(ET31,"0."&amp;REPT("0",LEN('Outfall 1 Limits'!$O84)-FIND(".",'Outfall 1 Limits'!$O84)))),ROUND(ET31,1-(1+INT(LOG10(ABS(ET31)))))),ROUND(ET31,$AQ126)),"")</f>
        <v/>
      </c>
      <c r="AR78" s="288" t="str">
        <f>IF(KV$81="Y","&lt;","")</f>
        <v/>
      </c>
      <c r="AS78" s="288" t="str">
        <f>IF(EU31&lt;&gt;"",IF(OR('Outfall 1 Limits'!$AX$88="C1",'Outfall 1 Limits'!$AX$88="L"),IF(EU31&gt;=1,IF('Outfall 1 Limits'!$AO$88=0,ROUND(EU31,0),TEXT(EU31,"0."&amp;REPT("0",LEN('Outfall 1 Limits'!$O88)-FIND(".",'Outfall 1 Limits'!$O88)))),ROUND(EU31,1-(1+INT(LOG10(ABS(EU31)))))),ROUND(EU31,$AS126)),"")</f>
        <v/>
      </c>
      <c r="AT78" s="288" t="str">
        <f>IF(KW$81="Y","&lt;","")</f>
        <v/>
      </c>
      <c r="AU78" s="288" t="str">
        <f>IF(EV31&lt;&gt;"",IF(OR('Outfall 1 Limits'!$AX$92="C1",'Outfall 1 Limits'!$AX$92="L"),IF(EV31&gt;=1,IF('Outfall 1 Limits'!$AO$92=0,ROUND(EV31,0),TEXT(EV31,"0."&amp;REPT("0",LEN('Outfall 1 Limits'!$O92)-FIND(".",'Outfall 1 Limits'!$O92)))),ROUND(EV31,1-(1+INT(LOG10(ABS(EV31)))))),ROUND(EV31,$AU126)),"")</f>
        <v/>
      </c>
      <c r="AV78" s="288" t="str">
        <f>IF(KX$81="Y","&lt;","")</f>
        <v/>
      </c>
      <c r="AW78" s="288" t="str">
        <f>IF(EW31&lt;&gt;"",IF(OR('Outfall 1 Limits'!$AX$96="C1",'Outfall 1 Limits'!$AX$96="L"),IF(EW31&gt;=1,IF('Outfall 1 Limits'!$AO$96=0,ROUND(EW31,0),TEXT(EW31,"0."&amp;REPT("0",LEN('Outfall 1 Limits'!$O96)-FIND(".",'Outfall 1 Limits'!$O96)))),ROUND(EW31,1-(1+INT(LOG10(ABS(EW31)))))),ROUND(EW31,$AW126)),"")</f>
        <v/>
      </c>
      <c r="AX78" s="288" t="str">
        <f>IF(KY$81="Y","&lt;","")</f>
        <v/>
      </c>
      <c r="AY78" s="288" t="str">
        <f>IF(EX31&lt;&gt;"",IF(OR('Outfall 1 Limits'!$AX$100="C1",'Outfall 1 Limits'!$AX$100="L"),IF(EX31&gt;=1,IF('Outfall 1 Limits'!$AO$100=0,ROUND(EX31,0),TEXT(EX31,"0."&amp;REPT("0",LEN('Outfall 1 Limits'!$O100)-FIND(".",'Outfall 1 Limits'!$O100)))),ROUND(EX31,1-(1+INT(LOG10(ABS(EX31)))))),ROUND(EX31,$AY126)),"")</f>
        <v/>
      </c>
      <c r="AZ78" s="288" t="str">
        <f>IF(KZ$81="Y","&lt;","")</f>
        <v/>
      </c>
      <c r="BA78" s="288" t="str">
        <f>IF(EY31&lt;&gt;"",IF(OR('Outfall 1 Limits'!$AX$104="C1",'Outfall 1 Limits'!$AX$104="L"),IF(EY31&gt;=1,IF('Outfall 1 Limits'!$AO$104=0,ROUND(EY31,0),TEXT(EY31,"0."&amp;REPT("0",LEN('Outfall 1 Limits'!$O104)-FIND(".",'Outfall 1 Limits'!$O104)))),ROUND(EY31,1-(1+INT(LOG10(ABS(EY31)))))),ROUND(EY31,$BA126)),"")</f>
        <v/>
      </c>
      <c r="BB78" s="288" t="str">
        <f>IF(LA$81="Y","&lt;","")</f>
        <v/>
      </c>
      <c r="BC78" s="288" t="str">
        <f>IF(EZ31&lt;&gt;"",IF(OR('Outfall 1 Limits'!$AX$108="C1",'Outfall 1 Limits'!$AX$108="L"),IF(EZ31&gt;=1,IF('Outfall 1 Limits'!$AO$108=0,ROUND(EZ31,0),TEXT(EZ31,"0."&amp;REPT("0",LEN('Outfall 1 Limits'!$O108)-FIND(".",'Outfall 1 Limits'!$O108)))),ROUND(EZ31,1-(1+INT(LOG10(ABS(EZ31)))))),ROUND(EZ31,$BC126)),"")</f>
        <v/>
      </c>
      <c r="BD78" s="288" t="str">
        <f>IF(LB$81="Y","&lt;","")</f>
        <v/>
      </c>
      <c r="BE78" s="288" t="str">
        <f>IF(FA31&lt;&gt;"",IF(OR('Outfall 1 Limits'!$AX$112="C1",'Outfall 1 Limits'!$AX$112="L"),IF(FA31&gt;=1,IF('Outfall 1 Limits'!$AO$112=0,ROUND(FA31,0),TEXT(FA31,"0."&amp;REPT("0",LEN('Outfall 1 Limits'!$O112)-FIND(".",'Outfall 1 Limits'!$O112)))),ROUND(FA31,1-(1+INT(LOG10(ABS(FA31)))))),ROUND(FA31,$BE126)),"")</f>
        <v/>
      </c>
      <c r="BF78" s="288" t="str">
        <f>IF(LC$81="Y","&lt;","")</f>
        <v/>
      </c>
      <c r="BG78" s="288" t="str">
        <f>IF(FB31&lt;&gt;"",IF(OR('Outfall 1 Limits'!$AX$116="C1",'Outfall 1 Limits'!$AX$116="L"),IF(FB31&gt;=1,IF('Outfall 1 Limits'!$AO$116=0,ROUND(FB31,0),TEXT(FB31,"0."&amp;REPT("0",LEN('Outfall 1 Limits'!$O116)-FIND(".",'Outfall 1 Limits'!$O116)))),ROUND(FB31,1-(1+INT(LOG10(ABS(FB31)))))),ROUND(FB31,$BG126)),"")</f>
        <v/>
      </c>
      <c r="BH78" s="288" t="str">
        <f>IF(LD$81="Y","&lt;","")</f>
        <v/>
      </c>
      <c r="BI78" s="288" t="str">
        <f>IF(FC31&lt;&gt;"",IF(OR('Outfall 1 Limits'!$AX$120="C1",'Outfall 1 Limits'!$AX$120="L"),IF(FC31&gt;=1,IF('Outfall 1 Limits'!$AO$120=0,ROUND(FC31,0),TEXT(FC31,"0."&amp;REPT("0",LEN('Outfall 1 Limits'!$O120)-FIND(".",'Outfall 1 Limits'!$O120)))),ROUND(FC31,1-(1+INT(LOG10(ABS(FC31)))))),ROUND(FC31,$BI126)),"")</f>
        <v/>
      </c>
      <c r="BJ78" s="288" t="str">
        <f>IF(LE$81="Y","&lt;","")</f>
        <v/>
      </c>
      <c r="BK78" s="288" t="str">
        <f>IF(FD31&lt;&gt;"",IF(OR('Outfall 1 Limits'!$AX$124="C1",'Outfall 1 Limits'!$AX$124="L"),IF(FD31&gt;=1,IF('Outfall 1 Limits'!$AO$124=0,ROUND(FD31,0),TEXT(FD31,"0."&amp;REPT("0",LEN('Outfall 1 Limits'!$O124)-FIND(".",'Outfall 1 Limits'!$O124)))),ROUND(FD31,1-(1+INT(LOG10(ABS(FD31)))))),ROUND(FD31,$BK126)),"")</f>
        <v/>
      </c>
      <c r="BL78" s="288" t="str">
        <f>IF(LF$81="Y","&lt;","")</f>
        <v/>
      </c>
      <c r="BM78" s="288" t="str">
        <f>IF(FE31&lt;&gt;"",IF(OR('Outfall 1 Limits'!$AX$128="C1",'Outfall 1 Limits'!$AX$128="L"),IF(FE31&gt;=1,IF('Outfall 1 Limits'!$AO$128=0,ROUND(FE31,0),TEXT(FE31,"0."&amp;REPT("0",LEN('Outfall 1 Limits'!$O128)-FIND(".",'Outfall 1 Limits'!$O128)))),ROUND(FE31,1-(1+INT(LOG10(ABS(FE31)))))),ROUND(FE31,$BM126)),"")</f>
        <v/>
      </c>
      <c r="BP78" s="174">
        <v>2097</v>
      </c>
      <c r="CX78" s="172"/>
      <c r="CY78" s="175"/>
      <c r="CZ78" s="175"/>
      <c r="DA78" s="175"/>
      <c r="DB78" s="175"/>
      <c r="DC78" s="175"/>
      <c r="DD78" s="175"/>
      <c r="DE78" s="175"/>
      <c r="DF78" s="175"/>
      <c r="DG78" s="175"/>
      <c r="DH78" s="175"/>
      <c r="DI78" s="175"/>
      <c r="DJ78" s="175"/>
      <c r="DK78" s="175"/>
      <c r="DL78" s="175"/>
      <c r="DM78" s="175"/>
      <c r="DN78" s="175"/>
      <c r="DO78" s="175"/>
      <c r="DP78" s="175"/>
      <c r="DQ78" s="175"/>
      <c r="DR78" s="175"/>
      <c r="DS78" s="175"/>
      <c r="DT78" s="175"/>
      <c r="DU78" s="175"/>
      <c r="DV78" s="175"/>
      <c r="DW78" s="175"/>
      <c r="DX78" s="175"/>
      <c r="DY78" s="175"/>
      <c r="DZ78" s="175"/>
      <c r="EA78" s="175"/>
      <c r="EB78" s="176"/>
      <c r="EC78" s="172"/>
      <c r="ED78" s="172"/>
      <c r="EE78" s="172"/>
      <c r="EF78" s="172"/>
      <c r="EG78" s="172"/>
      <c r="EH78" s="172"/>
      <c r="EI78" s="172"/>
      <c r="EJ78" s="172"/>
      <c r="EK78" s="172"/>
      <c r="EL78" s="172"/>
      <c r="EM78" s="172"/>
      <c r="EN78" s="172"/>
      <c r="EO78" s="172"/>
      <c r="EP78" s="172"/>
      <c r="EQ78" s="172"/>
      <c r="ER78" s="172"/>
      <c r="ES78" s="172"/>
      <c r="ET78" s="172"/>
      <c r="EU78" s="172"/>
      <c r="EV78" s="172"/>
      <c r="EW78" s="172"/>
      <c r="EX78" s="172"/>
      <c r="EY78" s="172"/>
      <c r="EZ78" s="172"/>
      <c r="FA78" s="172"/>
      <c r="FB78" s="172"/>
      <c r="FC78" s="172"/>
      <c r="FD78" s="172"/>
      <c r="FE78" s="172"/>
      <c r="FF78" s="172"/>
      <c r="FG78" s="172"/>
      <c r="FH78" s="172"/>
      <c r="FI78" s="172"/>
      <c r="FJ78" s="172"/>
      <c r="FK78" s="172"/>
      <c r="FL78" s="172"/>
      <c r="FM78" s="172"/>
      <c r="FN78" s="172"/>
      <c r="FO78" s="172"/>
      <c r="FP78" s="172"/>
      <c r="FQ78" s="172"/>
      <c r="FR78" s="172"/>
      <c r="FS78" s="172"/>
      <c r="FT78" s="172"/>
      <c r="FU78" s="172"/>
      <c r="FV78" s="172"/>
      <c r="FW78" s="172"/>
      <c r="FX78" s="172"/>
      <c r="FY78" s="172"/>
      <c r="FZ78" s="172"/>
      <c r="GA78" s="172"/>
      <c r="GB78" s="172"/>
      <c r="GC78" s="172"/>
      <c r="GD78" s="172"/>
      <c r="GE78" s="172"/>
      <c r="GF78" s="172"/>
      <c r="GG78" s="172"/>
      <c r="GH78" s="172"/>
      <c r="GI78" s="172"/>
      <c r="GJ78" s="261"/>
      <c r="GK78" s="264"/>
      <c r="GL78" s="264"/>
      <c r="GM78" s="264"/>
      <c r="GN78" s="264"/>
      <c r="GO78" s="264"/>
      <c r="GP78" s="264"/>
      <c r="GQ78" s="264"/>
      <c r="GR78" s="264"/>
      <c r="GS78" s="264"/>
      <c r="GT78" s="264"/>
      <c r="GU78" s="264"/>
      <c r="GV78" s="264"/>
      <c r="GW78" s="264"/>
      <c r="GX78" s="264"/>
      <c r="GY78" s="264"/>
      <c r="GZ78" s="264"/>
      <c r="HA78" s="264"/>
      <c r="HB78" s="264"/>
      <c r="HC78" s="264"/>
      <c r="HD78" s="264"/>
      <c r="HE78" s="264"/>
      <c r="HF78" s="264"/>
      <c r="HG78" s="264"/>
      <c r="HH78" s="264"/>
      <c r="HI78" s="264"/>
      <c r="HJ78" s="264"/>
      <c r="HK78" s="264"/>
      <c r="HL78" s="264"/>
      <c r="HM78" s="264"/>
      <c r="KC78" s="248" t="s">
        <v>1195</v>
      </c>
      <c r="KD78" s="174">
        <f>COUNTIF(KD17:KD23,"C")</f>
        <v>0</v>
      </c>
      <c r="KE78" s="174">
        <f t="shared" ref="KE78:LF78" si="253">COUNTIF(KE17:KE23,"C")</f>
        <v>0</v>
      </c>
      <c r="KF78" s="174">
        <f t="shared" si="253"/>
        <v>0</v>
      </c>
      <c r="KG78" s="174">
        <f t="shared" si="253"/>
        <v>0</v>
      </c>
      <c r="KH78" s="174">
        <f t="shared" si="253"/>
        <v>0</v>
      </c>
      <c r="KI78" s="174">
        <f t="shared" si="253"/>
        <v>0</v>
      </c>
      <c r="KJ78" s="174">
        <f t="shared" si="253"/>
        <v>0</v>
      </c>
      <c r="KK78" s="174">
        <f t="shared" si="253"/>
        <v>0</v>
      </c>
      <c r="KL78" s="174">
        <f t="shared" si="253"/>
        <v>0</v>
      </c>
      <c r="KM78" s="174">
        <f t="shared" si="253"/>
        <v>0</v>
      </c>
      <c r="KN78" s="174">
        <f t="shared" si="253"/>
        <v>0</v>
      </c>
      <c r="KO78" s="174">
        <f t="shared" si="253"/>
        <v>0</v>
      </c>
      <c r="KP78" s="174">
        <f t="shared" si="253"/>
        <v>0</v>
      </c>
      <c r="KQ78" s="174">
        <f t="shared" si="253"/>
        <v>0</v>
      </c>
      <c r="KR78" s="174">
        <f t="shared" si="253"/>
        <v>0</v>
      </c>
      <c r="KS78" s="174">
        <f t="shared" si="253"/>
        <v>0</v>
      </c>
      <c r="KT78" s="174">
        <f t="shared" si="253"/>
        <v>0</v>
      </c>
      <c r="KU78" s="174">
        <f t="shared" si="253"/>
        <v>0</v>
      </c>
      <c r="KV78" s="174">
        <f t="shared" si="253"/>
        <v>0</v>
      </c>
      <c r="KW78" s="174">
        <f t="shared" si="253"/>
        <v>0</v>
      </c>
      <c r="KX78" s="174">
        <f t="shared" si="253"/>
        <v>0</v>
      </c>
      <c r="KY78" s="174">
        <f t="shared" si="253"/>
        <v>0</v>
      </c>
      <c r="KZ78" s="174">
        <f t="shared" si="253"/>
        <v>0</v>
      </c>
      <c r="LA78" s="174">
        <f t="shared" si="253"/>
        <v>0</v>
      </c>
      <c r="LB78" s="174">
        <f t="shared" si="253"/>
        <v>0</v>
      </c>
      <c r="LC78" s="174">
        <f t="shared" si="253"/>
        <v>0</v>
      </c>
      <c r="LD78" s="174">
        <f t="shared" si="253"/>
        <v>0</v>
      </c>
      <c r="LE78" s="174">
        <f t="shared" si="253"/>
        <v>0</v>
      </c>
      <c r="LF78" s="174">
        <f t="shared" si="253"/>
        <v>0</v>
      </c>
    </row>
    <row r="79" spans="1:318" s="174" customFormat="1" x14ac:dyDescent="0.2">
      <c r="A79" s="172"/>
      <c r="B79" s="470" t="s">
        <v>959</v>
      </c>
      <c r="C79" s="470"/>
      <c r="D79" s="470"/>
      <c r="E79" s="470"/>
      <c r="F79" s="470"/>
      <c r="G79" s="288" t="str">
        <f>IF(SUM(G24:G30)&gt;0,ROUND(HN69,$G$126),"")</f>
        <v/>
      </c>
      <c r="H79" s="288" t="str">
        <f>IF(KD$87="Y","&lt;","")</f>
        <v/>
      </c>
      <c r="I79" s="288" t="str">
        <f>IF(EC32&lt;&gt;"",IF(OR('Outfall 1 Limits'!$AX$16="C1",'Outfall 1 Limits'!$AX$16="L"),IF(EC32&gt;=1,IF('Outfall 1 Limits'!$AO$16=0,ROUND(EC32,0),TEXT(EC32,"0."&amp;REPT("0",LEN('Outfall 1 Limits'!$O16)-FIND(".",'Outfall 1 Limits'!$O16)))),ROUND(EC32,1-(1+INT(LOG10(ABS(EC32)))))),ROUND(EC32,$I126)),"")</f>
        <v/>
      </c>
      <c r="J79" s="288" t="str">
        <f>IF(KE$87="Y","&lt;","")</f>
        <v/>
      </c>
      <c r="K79" s="288" t="str">
        <f>IF(ED32&lt;&gt;"",IF(OR('Outfall 1 Limits'!$AX$20="C1",'Outfall 1 Limits'!$AX$20="L"),IF(ED32&gt;=1,IF('Outfall 1 Limits'!$AO$20=0,ROUND(ED32,0),TEXT(ED32,"0."&amp;REPT("0",LEN('Outfall 1 Limits'!$O20)-FIND(".",'Outfall 1 Limits'!$O20)))),ROUND(ED32,1-(1+INT(LOG10(ABS(ED32)))))),ROUND(ED32,$K126)),"")</f>
        <v/>
      </c>
      <c r="L79" s="288" t="str">
        <f>IF(KF$87="Y","&lt;","")</f>
        <v/>
      </c>
      <c r="M79" s="288" t="str">
        <f>IF(EE32&lt;&gt;"",IF(OR('Outfall 1 Limits'!$AX$24="C1",'Outfall 1 Limits'!$AX$24="L"),IF(EE32&gt;=1,IF('Outfall 1 Limits'!$AO$24=0,ROUND(EE32,0),TEXT(EE32,"0."&amp;REPT("0",LEN('Outfall 1 Limits'!$O24)-FIND(".",'Outfall 1 Limits'!$O24)))),ROUND(EE32,1-(1+INT(LOG10(ABS(EE32)))))),ROUND(EE32,$M126)),"")</f>
        <v/>
      </c>
      <c r="N79" s="288" t="str">
        <f>IF(KG$87="Y","&lt;","")</f>
        <v/>
      </c>
      <c r="O79" s="288" t="str">
        <f>IF(EF32&lt;&gt;"",IF(OR('Outfall 1 Limits'!$AX$28="C1",'Outfall 1 Limits'!$AX$28="L"),IF(EF32&gt;=1,IF('Outfall 1 Limits'!$AO$28=0,ROUND(EF32,0),TEXT(EF32,"0."&amp;REPT("0",LEN('Outfall 1 Limits'!$O28)-FIND(".",'Outfall 1 Limits'!$O28)))),ROUND(EF32,1-(1+INT(LOG10(ABS(EF32)))))),ROUND(EF32,$O126)),"")</f>
        <v/>
      </c>
      <c r="P79" s="288" t="str">
        <f>IF(KH$87="Y","&lt;","")</f>
        <v/>
      </c>
      <c r="Q79" s="288" t="str">
        <f>IF(EG32&lt;&gt;"",IF(OR('Outfall 1 Limits'!$AX$32="C1",'Outfall 1 Limits'!$AX$32="L"),IF(EG32&gt;=1,IF('Outfall 1 Limits'!$AO$32=0,ROUND(EG32,0),TEXT(EG32,"0."&amp;REPT("0",LEN('Outfall 1 Limits'!$O32)-FIND(".",'Outfall 1 Limits'!$O32)))),ROUND(EG32,1-(1+INT(LOG10(ABS(EG32)))))),ROUND(EG32,$Q126)),"")</f>
        <v/>
      </c>
      <c r="R79" s="288" t="str">
        <f>IF(KI$87="Y","&lt;","")</f>
        <v/>
      </c>
      <c r="S79" s="288" t="str">
        <f>IF(EH32&lt;&gt;"",IF(OR('Outfall 1 Limits'!$AX$36="C1",'Outfall 1 Limits'!$AX$36="L"),IF(EH32&gt;=1,IF('Outfall 1 Limits'!$AO$36=0,ROUND(EH32,0),TEXT(EH32,"0."&amp;REPT("0",LEN('Outfall 1 Limits'!$O36)-FIND(".",'Outfall 1 Limits'!$O36)))),ROUND(EH32,1-(1+INT(LOG10(ABS(EH32)))))),ROUND(EH32,$S126)),"")</f>
        <v/>
      </c>
      <c r="T79" s="288" t="str">
        <f>IF(KJ$87="Y","&lt;","")</f>
        <v/>
      </c>
      <c r="U79" s="288" t="str">
        <f>IF(EI32&lt;&gt;"",IF(OR('Outfall 1 Limits'!$AX$40="C1",'Outfall 1 Limits'!$AX$40="L"),IF(EI32&gt;=1,IF('Outfall 1 Limits'!$AO$40=0,ROUND(EI32,0),TEXT(EI32,"0."&amp;REPT("0",LEN('Outfall 1 Limits'!$O40)-FIND(".",'Outfall 1 Limits'!$O40)))),ROUND(EI32,1-(1+INT(LOG10(ABS(EI32)))))),ROUND(EI32,$U126)),"")</f>
        <v/>
      </c>
      <c r="V79" s="288" t="str">
        <f>IF(KK$87="Y","&lt;","")</f>
        <v/>
      </c>
      <c r="W79" s="288" t="str">
        <f>IF(EJ32&lt;&gt;"",IF(OR('Outfall 1 Limits'!$AX$44="C1",'Outfall 1 Limits'!$AX$44="L"),IF(EJ32&gt;=1,IF('Outfall 1 Limits'!$AO$44=0,ROUND(EJ32,0),TEXT(EJ32,"0."&amp;REPT("0",LEN('Outfall 1 Limits'!$O44)-FIND(".",'Outfall 1 Limits'!$O44)))),ROUND(EJ32,1-(1+INT(LOG10(ABS(EJ32)))))),ROUND(EJ32,$W126)),"")</f>
        <v/>
      </c>
      <c r="X79" s="288" t="str">
        <f>IF(KL$87="Y","&lt;","")</f>
        <v/>
      </c>
      <c r="Y79" s="288" t="str">
        <f>IF(EK32&lt;&gt;"",IF(OR('Outfall 1 Limits'!$AX$48="C1",'Outfall 1 Limits'!$AX$48="L"),IF(EK32&gt;=1,IF('Outfall 1 Limits'!$AO$48=0,ROUND(EK32,0),TEXT(EK32,"0."&amp;REPT("0",LEN('Outfall 1 Limits'!$O48)-FIND(".",'Outfall 1 Limits'!$O48)))),ROUND(EK32,1-(1+INT(LOG10(ABS(EK32)))))),ROUND(EK32,$Y126)),"")</f>
        <v/>
      </c>
      <c r="Z79" s="288" t="str">
        <f>IF(KM$87="Y","&lt;","")</f>
        <v/>
      </c>
      <c r="AA79" s="288" t="str">
        <f>IF(EL32&lt;&gt;"",IF(OR('Outfall 1 Limits'!$AX$52="C1",'Outfall 1 Limits'!$AX$52="L"),IF(EL32&gt;=1,IF('Outfall 1 Limits'!$AO$52=0,ROUND(EL32,0),TEXT(EL32,"0."&amp;REPT("0",LEN('Outfall 1 Limits'!$O52)-FIND(".",'Outfall 1 Limits'!$O52)))),ROUND(EL32,1-(1+INT(LOG10(ABS(EL32)))))),ROUND(EL32,$AA126)),"")</f>
        <v/>
      </c>
      <c r="AB79" s="288" t="str">
        <f>IF(KN$87="Y","&lt;","")</f>
        <v/>
      </c>
      <c r="AC79" s="288" t="str">
        <f>IF(EM32&lt;&gt;"",IF(OR('Outfall 1 Limits'!$AX$56="C1",'Outfall 1 Limits'!$AX$56="L"),IF(EM32&gt;=1,IF('Outfall 1 Limits'!$AO$56=0,ROUND(EM32,0),TEXT(EM32,"0."&amp;REPT("0",LEN('Outfall 1 Limits'!$O56)-FIND(".",'Outfall 1 Limits'!$O56)))),ROUND(EM32,1-(1+INT(LOG10(ABS(EM32)))))),ROUND(EM32,$AC126)),"")</f>
        <v/>
      </c>
      <c r="AD79" s="288" t="str">
        <f>IF(KO$87="Y","&lt;","")</f>
        <v/>
      </c>
      <c r="AE79" s="288" t="str">
        <f>IF(EN32&lt;&gt;"",IF(OR('Outfall 1 Limits'!$AX$60="C1",'Outfall 1 Limits'!$AX$60="L"),IF(EN32&gt;=1,IF('Outfall 1 Limits'!$AO$60=0,ROUND(EN32,0),TEXT(EN32,"0."&amp;REPT("0",LEN('Outfall 1 Limits'!$O60)-FIND(".",'Outfall 1 Limits'!$O60)))),ROUND(EN32,1-(1+INT(LOG10(ABS(EN32)))))),ROUND(EN32,$AE126)),"")</f>
        <v/>
      </c>
      <c r="AF79" s="288" t="str">
        <f>IF(KP$87="Y","&lt;","")</f>
        <v/>
      </c>
      <c r="AG79" s="288" t="str">
        <f>IF(EO32&lt;&gt;"",IF(OR('Outfall 1 Limits'!$AX$64="C1",'Outfall 1 Limits'!$AX$64="L"),IF(EO32&gt;=1,IF('Outfall 1 Limits'!$AO$64=0,ROUND(EO32,0),TEXT(EO32,"0."&amp;REPT("0",LEN('Outfall 1 Limits'!$O64)-FIND(".",'Outfall 1 Limits'!$O64)))),ROUND(EO32,1-(1+INT(LOG10(ABS(EO32)))))),ROUND(EO32,$AG126)),"")</f>
        <v/>
      </c>
      <c r="AH79" s="288" t="str">
        <f>IF(KQ$87="Y","&lt;","")</f>
        <v/>
      </c>
      <c r="AI79" s="288" t="str">
        <f>IF(EP32&lt;&gt;"",IF(OR('Outfall 1 Limits'!$AX$68="C1",'Outfall 1 Limits'!$AX$68="L"),IF(EP32&gt;=1,IF('Outfall 1 Limits'!$AO$68=0,ROUND(EP32,0),TEXT(EP32,"0."&amp;REPT("0",LEN('Outfall 1 Limits'!$O68)-FIND(".",'Outfall 1 Limits'!$O68)))),ROUND(EP32,1-(1+INT(LOG10(ABS(EP32)))))),ROUND(EP32,$AI126)),"")</f>
        <v/>
      </c>
      <c r="AJ79" s="288" t="str">
        <f>IF(KR$87="Y","&lt;","")</f>
        <v/>
      </c>
      <c r="AK79" s="288" t="str">
        <f>IF(EQ32&lt;&gt;"",IF(OR('Outfall 1 Limits'!$AX$72="C1",'Outfall 1 Limits'!$AX$72="L"),IF(EQ32&gt;=1,IF('Outfall 1 Limits'!$AO$72=0,ROUND(EQ32,0),TEXT(EQ32,"0."&amp;REPT("0",LEN('Outfall 1 Limits'!$O72)-FIND(".",'Outfall 1 Limits'!$O72)))),ROUND(EQ32,1-(1+INT(LOG10(ABS(EQ32)))))),ROUND(EQ32,$AK126)),"")</f>
        <v/>
      </c>
      <c r="AL79" s="288" t="str">
        <f>IF(KS$87="Y","&lt;","")</f>
        <v/>
      </c>
      <c r="AM79" s="288" t="str">
        <f>IF(ER32&lt;&gt;"",IF(OR('Outfall 1 Limits'!$AX$76="C1",'Outfall 1 Limits'!$AX$76="L"),IF(ER32&gt;=1,IF('Outfall 1 Limits'!$AO$76=0,ROUND(ER32,0),TEXT(ER32,"0."&amp;REPT("0",LEN('Outfall 1 Limits'!$O76)-FIND(".",'Outfall 1 Limits'!$O76)))),ROUND(ER32,1-(1+INT(LOG10(ABS(ER32)))))),ROUND(ER32,$AM126)),"")</f>
        <v/>
      </c>
      <c r="AN79" s="288" t="str">
        <f>IF(KT$87="Y","&lt;","")</f>
        <v/>
      </c>
      <c r="AO79" s="288" t="str">
        <f>IF(ES32&lt;&gt;"",IF(OR('Outfall 1 Limits'!$AX$80="C1",'Outfall 1 Limits'!$AX$80="L"),IF(ES32&gt;=1,IF('Outfall 1 Limits'!$AO$80=0,ROUND(ES32,0),TEXT(ES32,"0."&amp;REPT("0",LEN('Outfall 1 Limits'!$O80)-FIND(".",'Outfall 1 Limits'!$O80)))),ROUND(ES32,1-(1+INT(LOG10(ABS(ES32)))))),ROUND(ES32,$AO126)),"")</f>
        <v/>
      </c>
      <c r="AP79" s="288" t="str">
        <f>IF(KU$87="Y","&lt;","")</f>
        <v/>
      </c>
      <c r="AQ79" s="288" t="str">
        <f>IF(ET32&lt;&gt;"",IF(OR('Outfall 1 Limits'!$AX$84="C1",'Outfall 1 Limits'!$AX$84="L"),IF(ET32&gt;=1,IF('Outfall 1 Limits'!$AO$84=0,ROUND(ET32,0),TEXT(ET32,"0."&amp;REPT("0",LEN('Outfall 1 Limits'!$O84)-FIND(".",'Outfall 1 Limits'!$O84)))),ROUND(ET32,1-(1+INT(LOG10(ABS(ET32)))))),ROUND(ET32,$AQ126)),"")</f>
        <v/>
      </c>
      <c r="AR79" s="288" t="str">
        <f>IF(KV$87="Y","&lt;","")</f>
        <v/>
      </c>
      <c r="AS79" s="288" t="str">
        <f>IF(EU32&lt;&gt;"",IF(OR('Outfall 1 Limits'!$AX$88="C1",'Outfall 1 Limits'!$AX$88="L"),IF(EU32&gt;=1,IF('Outfall 1 Limits'!$AO$88=0,ROUND(EU32,0),TEXT(EU32,"0."&amp;REPT("0",LEN('Outfall 1 Limits'!$O88)-FIND(".",'Outfall 1 Limits'!$O88)))),ROUND(EU32,1-(1+INT(LOG10(ABS(EU32)))))),ROUND(EU32,$AS126)),"")</f>
        <v/>
      </c>
      <c r="AT79" s="288" t="str">
        <f>IF(KW$87="Y","&lt;","")</f>
        <v/>
      </c>
      <c r="AU79" s="288" t="str">
        <f>IF(EV32&lt;&gt;"",IF(OR('Outfall 1 Limits'!$AX$92="C1",'Outfall 1 Limits'!$AX$92="L"),IF(EV32&gt;=1,IF('Outfall 1 Limits'!$AO$92=0,ROUND(EV32,0),TEXT(EV32,"0."&amp;REPT("0",LEN('Outfall 1 Limits'!$O92)-FIND(".",'Outfall 1 Limits'!$O92)))),ROUND(EV32,1-(1+INT(LOG10(ABS(EV32)))))),ROUND(EV32,$AU126)),"")</f>
        <v/>
      </c>
      <c r="AV79" s="288" t="str">
        <f>IF(KX$87="Y","&lt;","")</f>
        <v/>
      </c>
      <c r="AW79" s="288" t="str">
        <f>IF(EW32&lt;&gt;"",IF(OR('Outfall 1 Limits'!$AX$96="C1",'Outfall 1 Limits'!$AX$96="L"),IF(EW32&gt;=1,IF('Outfall 1 Limits'!$AO$96=0,ROUND(EW32,0),TEXT(EW32,"0."&amp;REPT("0",LEN('Outfall 1 Limits'!$O96)-FIND(".",'Outfall 1 Limits'!$O96)))),ROUND(EW32,1-(1+INT(LOG10(ABS(EW32)))))),ROUND(EW32,$AW126)),"")</f>
        <v/>
      </c>
      <c r="AX79" s="288" t="str">
        <f>IF(KY$87="Y","&lt;","")</f>
        <v/>
      </c>
      <c r="AY79" s="288" t="str">
        <f>IF(EX32&lt;&gt;"",IF(OR('Outfall 1 Limits'!$AX$100="C1",'Outfall 1 Limits'!$AX$100="L"),IF(EX32&gt;=1,IF('Outfall 1 Limits'!$AO$100=0,ROUND(EX32,0),TEXT(EX32,"0."&amp;REPT("0",LEN('Outfall 1 Limits'!$O100)-FIND(".",'Outfall 1 Limits'!$O100)))),ROUND(EX32,1-(1+INT(LOG10(ABS(EX32)))))),ROUND(EX32,$AY126)),"")</f>
        <v/>
      </c>
      <c r="AZ79" s="288" t="str">
        <f>IF(KZ$87="Y","&lt;","")</f>
        <v/>
      </c>
      <c r="BA79" s="288" t="str">
        <f>IF(EY32&lt;&gt;"",IF(OR('Outfall 1 Limits'!$AX$104="C1",'Outfall 1 Limits'!$AX$104="L"),IF(EY32&gt;=1,IF('Outfall 1 Limits'!$AO$104=0,ROUND(EY32,0),TEXT(EY32,"0."&amp;REPT("0",LEN('Outfall 1 Limits'!$O104)-FIND(".",'Outfall 1 Limits'!$O104)))),ROUND(EY32,1-(1+INT(LOG10(ABS(EY32)))))),ROUND(EY32,$BA126)),"")</f>
        <v/>
      </c>
      <c r="BB79" s="288" t="str">
        <f>IF(LA$87="Y","&lt;","")</f>
        <v/>
      </c>
      <c r="BC79" s="288" t="str">
        <f>IF(EZ32&lt;&gt;"",IF(OR('Outfall 1 Limits'!$AX$108="C1",'Outfall 1 Limits'!$AX$108="L"),IF(EZ32&gt;=1,IF('Outfall 1 Limits'!$AO$108=0,ROUND(EZ32,0),TEXT(EZ32,"0."&amp;REPT("0",LEN('Outfall 1 Limits'!$O108)-FIND(".",'Outfall 1 Limits'!$O108)))),ROUND(EZ32,1-(1+INT(LOG10(ABS(EZ32)))))),ROUND(EZ32,$BC126)),"")</f>
        <v/>
      </c>
      <c r="BD79" s="288" t="str">
        <f>IF(LB$87="Y","&lt;","")</f>
        <v/>
      </c>
      <c r="BE79" s="288" t="str">
        <f>IF(FA32&lt;&gt;"",IF(OR('Outfall 1 Limits'!$AX$112="C1",'Outfall 1 Limits'!$AX$112="L"),IF(FA32&gt;=1,IF('Outfall 1 Limits'!$AO$112=0,ROUND(FA32,0),TEXT(FA32,"0."&amp;REPT("0",LEN('Outfall 1 Limits'!$O112)-FIND(".",'Outfall 1 Limits'!$O112)))),ROUND(FA32,1-(1+INT(LOG10(ABS(FA32)))))),ROUND(FA32,$BE126)),"")</f>
        <v/>
      </c>
      <c r="BF79" s="288" t="str">
        <f>IF(LC$87="Y","&lt;","")</f>
        <v/>
      </c>
      <c r="BG79" s="288" t="str">
        <f>IF(FB32&lt;&gt;"",IF(OR('Outfall 1 Limits'!$AX$116="C1",'Outfall 1 Limits'!$AX$116="L"),IF(FB32&gt;=1,IF('Outfall 1 Limits'!$AO$116=0,ROUND(FB32,0),TEXT(FB32,"0."&amp;REPT("0",LEN('Outfall 1 Limits'!$O116)-FIND(".",'Outfall 1 Limits'!$O116)))),ROUND(FB32,1-(1+INT(LOG10(ABS(FB32)))))),ROUND(FB32,$BG126)),"")</f>
        <v/>
      </c>
      <c r="BH79" s="288" t="str">
        <f>IF(LD$87="Y","&lt;","")</f>
        <v/>
      </c>
      <c r="BI79" s="288" t="str">
        <f>IF(FC32&lt;&gt;"",IF(OR('Outfall 1 Limits'!$AX$120="C1",'Outfall 1 Limits'!$AX$120="L"),IF(FC32&gt;=1,IF('Outfall 1 Limits'!$AO$120=0,ROUND(FC32,0),TEXT(FC32,"0."&amp;REPT("0",LEN('Outfall 1 Limits'!$O120)-FIND(".",'Outfall 1 Limits'!$O120)))),ROUND(FC32,1-(1+INT(LOG10(ABS(FC32)))))),ROUND(FC32,$BI126)),"")</f>
        <v/>
      </c>
      <c r="BJ79" s="288" t="str">
        <f>IF(LE$87="Y","&lt;","")</f>
        <v/>
      </c>
      <c r="BK79" s="288" t="str">
        <f>IF(FD32&lt;&gt;"",IF(OR('Outfall 1 Limits'!$AX$124="C1",'Outfall 1 Limits'!$AX$124="L"),IF(FD32&gt;=1,IF('Outfall 1 Limits'!$AO$124=0,ROUND(FD32,0),TEXT(FD32,"0."&amp;REPT("0",LEN('Outfall 1 Limits'!$O124)-FIND(".",'Outfall 1 Limits'!$O124)))),ROUND(FD32,1-(1+INT(LOG10(ABS(FD32)))))),ROUND(FD32,$BK126)),"")</f>
        <v/>
      </c>
      <c r="BL79" s="288" t="str">
        <f>IF(LF$87="Y","&lt;","")</f>
        <v/>
      </c>
      <c r="BM79" s="288" t="str">
        <f>IF(FE32&lt;&gt;"",IF(OR('Outfall 1 Limits'!$AX$128="C1",'Outfall 1 Limits'!$AX$128="L"),IF(FE32&gt;=1,IF('Outfall 1 Limits'!$AO$128=0,ROUND(FE32,0),TEXT(FE32,"0."&amp;REPT("0",LEN('Outfall 1 Limits'!$O128)-FIND(".",'Outfall 1 Limits'!$O128)))),ROUND(FE32,1-(1+INT(LOG10(ABS(FE32)))))),ROUND(FE32,$BM126)),"")</f>
        <v/>
      </c>
      <c r="BP79" s="174">
        <v>2098</v>
      </c>
      <c r="CX79" s="172"/>
      <c r="CY79" s="175"/>
      <c r="CZ79" s="175"/>
      <c r="DA79" s="175"/>
      <c r="DB79" s="175"/>
      <c r="DC79" s="175"/>
      <c r="DD79" s="175"/>
      <c r="DE79" s="175"/>
      <c r="DF79" s="175"/>
      <c r="DG79" s="175"/>
      <c r="DH79" s="175"/>
      <c r="DI79" s="175"/>
      <c r="DJ79" s="175"/>
      <c r="DK79" s="175"/>
      <c r="DL79" s="175"/>
      <c r="DM79" s="175"/>
      <c r="DN79" s="175"/>
      <c r="DO79" s="175"/>
      <c r="DP79" s="175"/>
      <c r="DQ79" s="175"/>
      <c r="DR79" s="175"/>
      <c r="DS79" s="175"/>
      <c r="DT79" s="175"/>
      <c r="DU79" s="175"/>
      <c r="DV79" s="175"/>
      <c r="DW79" s="175"/>
      <c r="DX79" s="175"/>
      <c r="DY79" s="175"/>
      <c r="DZ79" s="175"/>
      <c r="EA79" s="175"/>
      <c r="EB79" s="176"/>
      <c r="EC79" s="172"/>
      <c r="ED79" s="172"/>
      <c r="EE79" s="172"/>
      <c r="EF79" s="172"/>
      <c r="EG79" s="172"/>
      <c r="EH79" s="172"/>
      <c r="EI79" s="172"/>
      <c r="EJ79" s="172"/>
      <c r="EK79" s="172"/>
      <c r="EL79" s="172"/>
      <c r="EM79" s="172"/>
      <c r="EN79" s="172"/>
      <c r="EO79" s="172"/>
      <c r="EP79" s="172"/>
      <c r="EQ79" s="172"/>
      <c r="ER79" s="172"/>
      <c r="ES79" s="172"/>
      <c r="ET79" s="172"/>
      <c r="EU79" s="172"/>
      <c r="EV79" s="172"/>
      <c r="EW79" s="172"/>
      <c r="EX79" s="172"/>
      <c r="EY79" s="172"/>
      <c r="EZ79" s="172"/>
      <c r="FA79" s="172"/>
      <c r="FB79" s="172"/>
      <c r="FC79" s="172"/>
      <c r="FD79" s="172"/>
      <c r="FE79" s="172"/>
      <c r="FF79" s="172"/>
      <c r="FG79" s="172"/>
      <c r="FH79" s="172"/>
      <c r="FI79" s="172"/>
      <c r="FJ79" s="172"/>
      <c r="FK79" s="172"/>
      <c r="FL79" s="172"/>
      <c r="FM79" s="172"/>
      <c r="FN79" s="172"/>
      <c r="FO79" s="172"/>
      <c r="FP79" s="172"/>
      <c r="FQ79" s="172"/>
      <c r="FR79" s="172"/>
      <c r="FS79" s="172"/>
      <c r="FT79" s="172"/>
      <c r="FU79" s="172"/>
      <c r="FV79" s="172"/>
      <c r="FW79" s="172"/>
      <c r="FX79" s="172"/>
      <c r="FY79" s="172"/>
      <c r="FZ79" s="172"/>
      <c r="GA79" s="172"/>
      <c r="GB79" s="172"/>
      <c r="GC79" s="172"/>
      <c r="GD79" s="172"/>
      <c r="GE79" s="172"/>
      <c r="GF79" s="172"/>
      <c r="GG79" s="172"/>
      <c r="GH79" s="172"/>
      <c r="GI79" s="172"/>
      <c r="GJ79" s="261"/>
      <c r="GK79" s="264"/>
      <c r="GL79" s="264"/>
      <c r="GM79" s="264"/>
      <c r="GN79" s="264"/>
      <c r="GO79" s="264"/>
      <c r="GP79" s="264"/>
      <c r="GQ79" s="264"/>
      <c r="GR79" s="264"/>
      <c r="GS79" s="264"/>
      <c r="GT79" s="264"/>
      <c r="GU79" s="264"/>
      <c r="GV79" s="264"/>
      <c r="GW79" s="264"/>
      <c r="GX79" s="264"/>
      <c r="GY79" s="264"/>
      <c r="GZ79" s="264"/>
      <c r="HA79" s="264"/>
      <c r="HB79" s="264"/>
      <c r="HC79" s="264"/>
      <c r="HD79" s="264"/>
      <c r="HE79" s="264"/>
      <c r="HF79" s="264"/>
      <c r="HG79" s="264"/>
      <c r="HH79" s="264"/>
      <c r="HI79" s="264"/>
      <c r="HJ79" s="264"/>
      <c r="HK79" s="264"/>
      <c r="HL79" s="264"/>
      <c r="HM79" s="264"/>
      <c r="KC79" s="248" t="s">
        <v>839</v>
      </c>
      <c r="KD79" s="174">
        <f>SUM(KD76:KD78)</f>
        <v>0</v>
      </c>
      <c r="KE79" s="174">
        <f t="shared" ref="KE79:LF79" si="254">SUM(KE76:KE78)</f>
        <v>0</v>
      </c>
      <c r="KF79" s="174">
        <f t="shared" si="254"/>
        <v>0</v>
      </c>
      <c r="KG79" s="174">
        <f t="shared" si="254"/>
        <v>0</v>
      </c>
      <c r="KH79" s="174">
        <f t="shared" si="254"/>
        <v>0</v>
      </c>
      <c r="KI79" s="174">
        <f t="shared" si="254"/>
        <v>0</v>
      </c>
      <c r="KJ79" s="174">
        <f t="shared" si="254"/>
        <v>0</v>
      </c>
      <c r="KK79" s="174">
        <f t="shared" si="254"/>
        <v>0</v>
      </c>
      <c r="KL79" s="174">
        <f t="shared" si="254"/>
        <v>0</v>
      </c>
      <c r="KM79" s="174">
        <f t="shared" si="254"/>
        <v>0</v>
      </c>
      <c r="KN79" s="174">
        <f t="shared" si="254"/>
        <v>0</v>
      </c>
      <c r="KO79" s="174">
        <f t="shared" si="254"/>
        <v>0</v>
      </c>
      <c r="KP79" s="174">
        <f t="shared" si="254"/>
        <v>0</v>
      </c>
      <c r="KQ79" s="174">
        <f t="shared" si="254"/>
        <v>0</v>
      </c>
      <c r="KR79" s="174">
        <f t="shared" si="254"/>
        <v>0</v>
      </c>
      <c r="KS79" s="174">
        <f t="shared" si="254"/>
        <v>0</v>
      </c>
      <c r="KT79" s="174">
        <f t="shared" si="254"/>
        <v>0</v>
      </c>
      <c r="KU79" s="174">
        <f t="shared" si="254"/>
        <v>0</v>
      </c>
      <c r="KV79" s="174">
        <f t="shared" si="254"/>
        <v>0</v>
      </c>
      <c r="KW79" s="174">
        <f t="shared" si="254"/>
        <v>0</v>
      </c>
      <c r="KX79" s="174">
        <f t="shared" si="254"/>
        <v>0</v>
      </c>
      <c r="KY79" s="174">
        <f t="shared" si="254"/>
        <v>0</v>
      </c>
      <c r="KZ79" s="174">
        <f t="shared" si="254"/>
        <v>0</v>
      </c>
      <c r="LA79" s="174">
        <f t="shared" si="254"/>
        <v>0</v>
      </c>
      <c r="LB79" s="174">
        <f t="shared" si="254"/>
        <v>0</v>
      </c>
      <c r="LC79" s="174">
        <f t="shared" si="254"/>
        <v>0</v>
      </c>
      <c r="LD79" s="174">
        <f t="shared" si="254"/>
        <v>0</v>
      </c>
      <c r="LE79" s="174">
        <f t="shared" si="254"/>
        <v>0</v>
      </c>
      <c r="LF79" s="174">
        <f t="shared" si="254"/>
        <v>0</v>
      </c>
    </row>
    <row r="80" spans="1:318" s="174" customFormat="1" x14ac:dyDescent="0.2">
      <c r="A80" s="172"/>
      <c r="B80" s="470" t="s">
        <v>960</v>
      </c>
      <c r="C80" s="470"/>
      <c r="D80" s="470"/>
      <c r="E80" s="470"/>
      <c r="F80" s="470"/>
      <c r="G80" s="288" t="str">
        <f>IF(SUM(G31:G37)&gt;0,ROUND(HN70,$G$126),"")</f>
        <v/>
      </c>
      <c r="H80" s="288" t="str">
        <f>IF(KD$93="Y","&lt;","")</f>
        <v/>
      </c>
      <c r="I80" s="288" t="str">
        <f>IF(EC33&lt;&gt;"",IF(OR('Outfall 1 Limits'!$AX$16="C1",'Outfall 1 Limits'!$AX$16="L"),IF(EC33&gt;=1,IF('Outfall 1 Limits'!$AO$16=0,ROUND(EC33,0),TEXT(EC33,"0."&amp;REPT("0",LEN('Outfall 1 Limits'!$O16)-FIND(".",'Outfall 1 Limits'!$O16)))),ROUND(EC33,1-(1+INT(LOG10(ABS(EC33)))))),ROUND(EC33,$I126)),"")</f>
        <v/>
      </c>
      <c r="J80" s="288" t="str">
        <f>IF(KE$93="Y","&lt;","")</f>
        <v/>
      </c>
      <c r="K80" s="288" t="str">
        <f>IF(ED33&lt;&gt;"",IF(OR('Outfall 1 Limits'!$AX$20="C1",'Outfall 1 Limits'!$AX$20="L"),IF(ED31&gt;=1,IF('Outfall 1 Limits'!$AO$20=0,ROUND(ED33,0),TEXT(ED33,"0."&amp;REPT("0",LEN('Outfall 1 Limits'!$O20)-FIND(".",'Outfall 1 Limits'!$O20)))),ROUND(ED33,1-(1+INT(LOG10(ABS(ED33)))))),ROUND(ED33,$K126)),"")</f>
        <v/>
      </c>
      <c r="L80" s="288" t="str">
        <f>IF(KF$93="Y","&lt;","")</f>
        <v/>
      </c>
      <c r="M80" s="288" t="str">
        <f>IF(EE33&lt;&gt;"",IF(OR('Outfall 1 Limits'!$AX$24="C1",'Outfall 1 Limits'!$AX$24="L"),IF(EE33&gt;=1,IF('Outfall 1 Limits'!$AO$24=0,ROUND(EE33,0),TEXT(EE33,"0."&amp;REPT("0",LEN('Outfall 1 Limits'!$O24)-FIND(".",'Outfall 1 Limits'!$O24)))),ROUND(EE33,1-(1+INT(LOG10(ABS(EE33)))))),ROUND(EE33,$M126)),"")</f>
        <v/>
      </c>
      <c r="N80" s="288" t="str">
        <f>IF(KG$93="Y","&lt;","")</f>
        <v/>
      </c>
      <c r="O80" s="288" t="str">
        <f>IF(EF33&lt;&gt;"",IF(OR('Outfall 1 Limits'!$AX$28="C1",'Outfall 1 Limits'!$AX$28="L"),IF(EF33&gt;=1,IF('Outfall 1 Limits'!$AO$28=0,ROUND(EF33,0),TEXT(EF33,"0."&amp;REPT("0",LEN('Outfall 1 Limits'!$O28)-FIND(".",'Outfall 1 Limits'!$O28)))),ROUND(EF33,1-(1+INT(LOG10(ABS(EF33)))))),ROUND(EF33,$O126)),"")</f>
        <v/>
      </c>
      <c r="P80" s="288" t="str">
        <f>IF(KH$93="Y","&lt;","")</f>
        <v/>
      </c>
      <c r="Q80" s="288" t="str">
        <f>IF(EG33&lt;&gt;"",IF(OR('Outfall 1 Limits'!$AX$32="C1",'Outfall 1 Limits'!$AX$32="L"),IF(EG33&gt;=1,IF('Outfall 1 Limits'!$AO$32=0,ROUND(EG33,0),TEXT(EG33,"0."&amp;REPT("0",LEN('Outfall 1 Limits'!$O32)-FIND(".",'Outfall 1 Limits'!$O32)))),ROUND(EG33,1-(1+INT(LOG10(ABS(EG33)))))),ROUND(EG33,$Q126)),"")</f>
        <v/>
      </c>
      <c r="R80" s="288" t="str">
        <f>IF(KI$93="Y","&lt;","")</f>
        <v/>
      </c>
      <c r="S80" s="288" t="str">
        <f>IF(EH33&lt;&gt;"",IF(OR('Outfall 1 Limits'!$AX$36="C1",'Outfall 1 Limits'!$AX$36="L"),IF(EH33&gt;=1,IF('Outfall 1 Limits'!$AO$36=0,ROUND(EH33,0),TEXT(EH33,"0."&amp;REPT("0",LEN('Outfall 1 Limits'!$O36)-FIND(".",'Outfall 1 Limits'!$O36)))),ROUND(EH33,1-(1+INT(LOG10(ABS(EH33)))))),ROUND(EH33,$S126)),"")</f>
        <v/>
      </c>
      <c r="T80" s="288" t="str">
        <f>IF(KJ$93="Y","&lt;","")</f>
        <v/>
      </c>
      <c r="U80" s="288" t="str">
        <f>IF(EI33&lt;&gt;"",IF(OR('Outfall 1 Limits'!$AX$40="C1",'Outfall 1 Limits'!$AX$40="L"),IF(EI33&gt;=1,IF('Outfall 1 Limits'!$AO$40=0,ROUND(EI33,0),TEXT(EI33,"0."&amp;REPT("0",LEN('Outfall 1 Limits'!$O40)-FIND(".",'Outfall 1 Limits'!$O40)))),ROUND(EI33,1-(1+INT(LOG10(ABS(EI33)))))),ROUND(EI33,$U126)),"")</f>
        <v/>
      </c>
      <c r="V80" s="288" t="str">
        <f>IF(KK$93="Y","&lt;","")</f>
        <v/>
      </c>
      <c r="W80" s="288" t="str">
        <f>IF(EJ33&lt;&gt;"",IF(OR('Outfall 1 Limits'!$AX$44="C1",'Outfall 1 Limits'!$AX$44="L"),IF(EJ33&gt;=1,IF('Outfall 1 Limits'!$AO$44=0,ROUND(EJ33,0),TEXT(EJ33,"0."&amp;REPT("0",LEN('Outfall 1 Limits'!$O44)-FIND(".",'Outfall 1 Limits'!$O44)))),ROUND(EJ33,1-(1+INT(LOG10(ABS(EJ33)))))),ROUND(EJ33,$W126)),"")</f>
        <v/>
      </c>
      <c r="X80" s="288" t="str">
        <f>IF(KL$93="Y","&lt;","")</f>
        <v/>
      </c>
      <c r="Y80" s="288" t="str">
        <f>IF(EK33&lt;&gt;"",IF(OR('Outfall 1 Limits'!$AX$48="C1",'Outfall 1 Limits'!$AX$48="L"),IF(EK33&gt;=1,IF('Outfall 1 Limits'!$AO$48=0,ROUND(EK33,0),TEXT(EK33,"0."&amp;REPT("0",LEN('Outfall 1 Limits'!$O48)-FIND(".",'Outfall 1 Limits'!$O48)))),ROUND(EK33,1-(1+INT(LOG10(ABS(EK33)))))),ROUND(EK33,$Y126)),"")</f>
        <v/>
      </c>
      <c r="Z80" s="288" t="str">
        <f>IF(KM$93="Y","&lt;","")</f>
        <v/>
      </c>
      <c r="AA80" s="288" t="str">
        <f>IF(EL33&lt;&gt;"",IF(OR('Outfall 1 Limits'!$AX$52="C1",'Outfall 1 Limits'!$AX$52="L"),IF(EL33&gt;=1,IF('Outfall 1 Limits'!$AO$52=0,ROUND(EL33,0),TEXT(EL33,"0."&amp;REPT("0",LEN('Outfall 1 Limits'!$O52)-FIND(".",'Outfall 1 Limits'!$O52)))),ROUND(EL33,1-(1+INT(LOG10(ABS(EL33)))))),ROUND(EL33,$AA126)),"")</f>
        <v/>
      </c>
      <c r="AB80" s="288" t="str">
        <f>IF(KN$93="Y","&lt;","")</f>
        <v/>
      </c>
      <c r="AC80" s="288" t="str">
        <f>IF(EM33&lt;&gt;"",IF(OR('Outfall 1 Limits'!$AX$56="C1",'Outfall 1 Limits'!$AX$56="L"),IF(EM33&gt;=1,IF('Outfall 1 Limits'!$AO$56=0,ROUND(EM33,0),TEXT(EM33,"0."&amp;REPT("0",LEN('Outfall 1 Limits'!$O56)-FIND(".",'Outfall 1 Limits'!$O56)))),ROUND(EM33,1-(1+INT(LOG10(ABS(EM33)))))),ROUND(EM33,$AC126)),"")</f>
        <v/>
      </c>
      <c r="AD80" s="288" t="str">
        <f>IF(KO$93="Y","&lt;","")</f>
        <v/>
      </c>
      <c r="AE80" s="288" t="str">
        <f>IF(EN33&lt;&gt;"",IF(OR('Outfall 1 Limits'!$AX$60="C1",'Outfall 1 Limits'!$AX$60="L"),IF(EN33&gt;=1,IF('Outfall 1 Limits'!$AO$60=0,ROUND(EN33,0),TEXT(EN33,"0."&amp;REPT("0",LEN('Outfall 1 Limits'!$O60)-FIND(".",'Outfall 1 Limits'!$O60)))),ROUND(EN33,1-(1+INT(LOG10(ABS(EN33)))))),ROUND(EN33,$AE126)),"")</f>
        <v/>
      </c>
      <c r="AF80" s="288" t="str">
        <f>IF(KP$93="Y","&lt;","")</f>
        <v/>
      </c>
      <c r="AG80" s="288" t="str">
        <f>IF(EO33&lt;&gt;"",IF(OR('Outfall 1 Limits'!$AX$64="C1",'Outfall 1 Limits'!$AX$64="L"),IF(EO33&gt;=1,IF('Outfall 1 Limits'!$AO$64=0,ROUND(EO33,0),TEXT(EO33,"0."&amp;REPT("0",LEN('Outfall 1 Limits'!$O64)-FIND(".",'Outfall 1 Limits'!$O64)))),ROUND(EO33,1-(1+INT(LOG10(ABS(EO33)))))),ROUND(EO33,$AG126)),"")</f>
        <v/>
      </c>
      <c r="AH80" s="288" t="str">
        <f>IF(KQ$93="Y","&lt;","")</f>
        <v/>
      </c>
      <c r="AI80" s="288" t="str">
        <f>IF(EP33&lt;&gt;"",IF(OR('Outfall 1 Limits'!$AX$68="C1",'Outfall 1 Limits'!$AX$68="L"),IF(EP33&gt;=1,IF('Outfall 1 Limits'!$AO$68=0,ROUND(EP33,0),TEXT(EP33,"0."&amp;REPT("0",LEN('Outfall 1 Limits'!$O68)-FIND(".",'Outfall 1 Limits'!$O68)))),ROUND(EP33,1-(1+INT(LOG10(ABS(EP33)))))),ROUND(EP33,$AI126)),"")</f>
        <v/>
      </c>
      <c r="AJ80" s="288" t="str">
        <f>IF(KR$93="Y","&lt;","")</f>
        <v/>
      </c>
      <c r="AK80" s="288" t="str">
        <f>IF(EQ33&lt;&gt;"",IF(OR('Outfall 1 Limits'!$AX$72="C1",'Outfall 1 Limits'!$AX$72="L"),IF(EQ33&gt;=1,IF('Outfall 1 Limits'!$AO$72=0,ROUND(EQ33,0),TEXT(EQ33,"0."&amp;REPT("0",LEN('Outfall 1 Limits'!$O72)-FIND(".",'Outfall 1 Limits'!$O72)))),ROUND(EQ33,1-(1+INT(LOG10(ABS(EQ33)))))),ROUND(EQ33,$AK126)),"")</f>
        <v/>
      </c>
      <c r="AL80" s="288" t="str">
        <f>IF(KS$93="Y","&lt;","")</f>
        <v/>
      </c>
      <c r="AM80" s="288" t="str">
        <f>IF(ER33&lt;&gt;"",IF(OR('Outfall 1 Limits'!$AX$76="C1",'Outfall 1 Limits'!$AX$76="L"),IF(ER33&gt;=1,IF('Outfall 1 Limits'!$AO$76=0,ROUND(ER33,0),TEXT(ER33,"0."&amp;REPT("0",LEN('Outfall 1 Limits'!$O76)-FIND(".",'Outfall 1 Limits'!$O76)))),ROUND(ER33,1-(1+INT(LOG10(ABS(ER33)))))),ROUND(ER33,$AM126)),"")</f>
        <v/>
      </c>
      <c r="AN80" s="288" t="str">
        <f>IF(KT$93="Y","&lt;","")</f>
        <v/>
      </c>
      <c r="AO80" s="288" t="str">
        <f>IF(ES33&lt;&gt;"",IF(OR('Outfall 1 Limits'!$AX$80="C1",'Outfall 1 Limits'!$AX$80="L"),IF(ES33&gt;=1,IF('Outfall 1 Limits'!$AO$80=0,ROUND(ES33,0),TEXT(ES33,"0."&amp;REPT("0",LEN('Outfall 1 Limits'!$O80)-FIND(".",'Outfall 1 Limits'!$O80)))),ROUND(ES33,1-(1+INT(LOG10(ABS(ES33)))))),ROUND(ES33,$AO126)),"")</f>
        <v/>
      </c>
      <c r="AP80" s="288" t="str">
        <f>IF(KU$93="Y","&lt;","")</f>
        <v/>
      </c>
      <c r="AQ80" s="288" t="str">
        <f>IF(ET33&lt;&gt;"",IF(OR('Outfall 1 Limits'!$AX$84="C1",'Outfall 1 Limits'!$AX$84="L"),IF(ET33&gt;=1,IF('Outfall 1 Limits'!$AO$84=0,ROUND(ET33,0),TEXT(ET33,"0."&amp;REPT("0",LEN('Outfall 1 Limits'!$O84)-FIND(".",'Outfall 1 Limits'!$O84)))),ROUND(ET33,1-(1+INT(LOG10(ABS(ET33)))))),ROUND(ET33,$AQ126)),"")</f>
        <v/>
      </c>
      <c r="AR80" s="288" t="str">
        <f>IF(KV$93="Y","&lt;","")</f>
        <v/>
      </c>
      <c r="AS80" s="288" t="str">
        <f>IF(EU33&lt;&gt;"",IF(OR('Outfall 1 Limits'!$AX$88="C1",'Outfall 1 Limits'!$AX$88="L"),IF(EU33&gt;=1,IF('Outfall 1 Limits'!$AO$88=0,ROUND(EU33,0),TEXT(EU33,"0."&amp;REPT("0",LEN('Outfall 1 Limits'!$O88)-FIND(".",'Outfall 1 Limits'!$O88)))),ROUND(EU33,1-(1+INT(LOG10(ABS(EU33)))))),ROUND(EU33,$AS126)),"")</f>
        <v/>
      </c>
      <c r="AT80" s="288" t="str">
        <f>IF(KW$93="Y","&lt;","")</f>
        <v/>
      </c>
      <c r="AU80" s="288" t="str">
        <f>IF(EV33&lt;&gt;"",IF(OR('Outfall 1 Limits'!$AX$92="C1",'Outfall 1 Limits'!$AX$92="L"),IF(EV33&gt;=1,IF('Outfall 1 Limits'!$AO$92=0,ROUND(EV33,0),TEXT(EV33,"0."&amp;REPT("0",LEN('Outfall 1 Limits'!$O92)-FIND(".",'Outfall 1 Limits'!$O92)))),ROUND(EV33,1-(1+INT(LOG10(ABS(EV33)))))),ROUND(EV33,$AU126)),"")</f>
        <v/>
      </c>
      <c r="AV80" s="288" t="str">
        <f>IF(KX$93="Y","&lt;","")</f>
        <v/>
      </c>
      <c r="AW80" s="288" t="str">
        <f>IF(EW33&lt;&gt;"",IF(OR('Outfall 1 Limits'!$AX$96="C1",'Outfall 1 Limits'!$AX$96="L"),IF(EW33&gt;=1,IF('Outfall 1 Limits'!$AO$96=0,ROUND(EW33,0),TEXT(EW33,"0."&amp;REPT("0",LEN('Outfall 1 Limits'!$O96)-FIND(".",'Outfall 1 Limits'!$O96)))),ROUND(EW33,1-(1+INT(LOG10(ABS(EW33)))))),ROUND(EW33,$AW126)),"")</f>
        <v/>
      </c>
      <c r="AX80" s="288" t="str">
        <f>IF(KY$93="Y","&lt;","")</f>
        <v/>
      </c>
      <c r="AY80" s="288" t="str">
        <f>IF(EX33&lt;&gt;"",IF(OR('Outfall 1 Limits'!$AX$100="C1",'Outfall 1 Limits'!$AX$100="L"),IF(EX33&gt;=1,IF('Outfall 1 Limits'!$AO$100=0,ROUND(EX33,0),TEXT(EX33,"0."&amp;REPT("0",LEN('Outfall 1 Limits'!$O100)-FIND(".",'Outfall 1 Limits'!$O100)))),ROUND(EX33,1-(1+INT(LOG10(ABS(EX33)))))),ROUND(EX33,$AY126)),"")</f>
        <v/>
      </c>
      <c r="AZ80" s="288" t="str">
        <f>IF(KZ$93="Y","&lt;","")</f>
        <v/>
      </c>
      <c r="BA80" s="288" t="str">
        <f>IF(EY33&lt;&gt;"",IF(OR('Outfall 1 Limits'!$AX$104="C1",'Outfall 1 Limits'!$AX$104="L"),IF(EY33&gt;=1,IF('Outfall 1 Limits'!$AO$104=0,ROUND(EY33,0),TEXT(EY33,"0."&amp;REPT("0",LEN('Outfall 1 Limits'!$O104)-FIND(".",'Outfall 1 Limits'!$O104)))),ROUND(EY33,1-(1+INT(LOG10(ABS(EY33)))))),ROUND(EY33,$BA126)),"")</f>
        <v/>
      </c>
      <c r="BB80" s="288" t="str">
        <f>IF(LA$93="Y","&lt;","")</f>
        <v/>
      </c>
      <c r="BC80" s="288" t="str">
        <f>IF(EZ33&lt;&gt;"",IF(OR('Outfall 1 Limits'!$AX$108="C1",'Outfall 1 Limits'!$AX$108="L"),IF(EZ33&gt;=1,IF('Outfall 1 Limits'!$AO$108=0,ROUND(EZ33,0),TEXT(EZ33,"0."&amp;REPT("0",LEN('Outfall 1 Limits'!$O108)-FIND(".",'Outfall 1 Limits'!$O108)))),ROUND(EZ33,1-(1+INT(LOG10(ABS(EZ33)))))),ROUND(EZ33,$BC126)),"")</f>
        <v/>
      </c>
      <c r="BD80" s="288" t="str">
        <f>IF(LB$93="Y","&lt;","")</f>
        <v/>
      </c>
      <c r="BE80" s="288" t="str">
        <f>IF(FA33&lt;&gt;"",IF(OR('Outfall 1 Limits'!$AX$112="C1",'Outfall 1 Limits'!$AX$112="L"),IF(FA33&gt;=1,IF('Outfall 1 Limits'!$AO$112=0,ROUND(FA33,0),TEXT(FA33,"0."&amp;REPT("0",LEN('Outfall 1 Limits'!$O112)-FIND(".",'Outfall 1 Limits'!$O112)))),ROUND(FA33,1-(1+INT(LOG10(ABS(FA33)))))),ROUND(FA33,$BE126)),"")</f>
        <v/>
      </c>
      <c r="BF80" s="288" t="str">
        <f>IF(LC$93="Y","&lt;","")</f>
        <v/>
      </c>
      <c r="BG80" s="288" t="str">
        <f>IF(FB33&lt;&gt;"",IF(OR('Outfall 1 Limits'!$AX$116="C1",'Outfall 1 Limits'!$AX$116="L"),IF(FB33&gt;=1,IF('Outfall 1 Limits'!$AO$116=0,ROUND(FB33,0),TEXT(FB33,"0."&amp;REPT("0",LEN('Outfall 1 Limits'!$O116)-FIND(".",'Outfall 1 Limits'!$O116)))),ROUND(FB33,1-(1+INT(LOG10(ABS(FB33)))))),ROUND(FB33,$BG126)),"")</f>
        <v/>
      </c>
      <c r="BH80" s="288" t="str">
        <f>IF(LD$93="Y","&lt;","")</f>
        <v/>
      </c>
      <c r="BI80" s="288" t="str">
        <f>IF(FC33&lt;&gt;"",IF(OR('Outfall 1 Limits'!$AX$120="C1",'Outfall 1 Limits'!$AX$120="L"),IF(FC33&gt;=1,IF('Outfall 1 Limits'!$AO$120=0,ROUND(FC33,0),TEXT(FC33,"0."&amp;REPT("0",LEN('Outfall 1 Limits'!$O120)-FIND(".",'Outfall 1 Limits'!$O120)))),ROUND(FC33,1-(1+INT(LOG10(ABS(FC33)))))),ROUND(FC33,$BI126)),"")</f>
        <v/>
      </c>
      <c r="BJ80" s="288" t="str">
        <f>IF(LE$93="Y","&lt;","")</f>
        <v/>
      </c>
      <c r="BK80" s="288" t="str">
        <f>IF(FD33&lt;&gt;"",IF(OR('Outfall 1 Limits'!$AX$124="C1",'Outfall 1 Limits'!$AX$124="L"),IF(FD33&gt;=1,IF('Outfall 1 Limits'!$AO$124=0,ROUND(FD33,0),TEXT(FD33,"0."&amp;REPT("0",LEN('Outfall 1 Limits'!$O124)-FIND(".",'Outfall 1 Limits'!$O124)))),ROUND(FD33,1-(1+INT(LOG10(ABS(FD33)))))),ROUND(FD33,$BK126)),"")</f>
        <v/>
      </c>
      <c r="BL80" s="288" t="str">
        <f>IF(LF$93="Y","&lt;","")</f>
        <v/>
      </c>
      <c r="BM80" s="288" t="str">
        <f>IF(FE33&lt;&gt;"",IF(OR('Outfall 1 Limits'!$AX$128="C1",'Outfall 1 Limits'!$AX$128="L"),IF(FE33&gt;=1,IF('Outfall 1 Limits'!$AO$128=0,ROUND(FE33,0),TEXT(FE33,"0."&amp;REPT("0",LEN('Outfall 1 Limits'!$O128)-FIND(".",'Outfall 1 Limits'!$O128)))),ROUND(FE33,1-(1+INT(LOG10(ABS(FE33)))))),ROUND(FE33,$BM126)),"")</f>
        <v/>
      </c>
      <c r="BP80" s="174">
        <v>2099</v>
      </c>
      <c r="CX80" s="172"/>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6"/>
      <c r="EC80" s="172"/>
      <c r="ED80" s="172"/>
      <c r="EE80" s="172"/>
      <c r="EF80" s="172"/>
      <c r="EG80" s="172"/>
      <c r="EH80" s="172"/>
      <c r="EI80" s="172"/>
      <c r="EJ80" s="172"/>
      <c r="EK80" s="172"/>
      <c r="EL80" s="172"/>
      <c r="EM80" s="172"/>
      <c r="EN80" s="172"/>
      <c r="EO80" s="172"/>
      <c r="EP80" s="172"/>
      <c r="EQ80" s="172"/>
      <c r="ER80" s="172"/>
      <c r="ES80" s="172"/>
      <c r="ET80" s="172"/>
      <c r="EU80" s="172"/>
      <c r="EV80" s="172"/>
      <c r="EW80" s="172"/>
      <c r="EX80" s="172"/>
      <c r="EY80" s="172"/>
      <c r="EZ80" s="172"/>
      <c r="FA80" s="172"/>
      <c r="FB80" s="172"/>
      <c r="FC80" s="172"/>
      <c r="FD80" s="172"/>
      <c r="FE80" s="172"/>
      <c r="FF80" s="172"/>
      <c r="FG80" s="172"/>
      <c r="FH80" s="172"/>
      <c r="FI80" s="172"/>
      <c r="FJ80" s="172"/>
      <c r="FK80" s="172"/>
      <c r="FL80" s="172"/>
      <c r="FM80" s="172"/>
      <c r="FN80" s="172"/>
      <c r="FO80" s="172"/>
      <c r="FP80" s="172"/>
      <c r="FQ80" s="172"/>
      <c r="FR80" s="172"/>
      <c r="FS80" s="172"/>
      <c r="FT80" s="172"/>
      <c r="FU80" s="172"/>
      <c r="FV80" s="172"/>
      <c r="FW80" s="172"/>
      <c r="FX80" s="172"/>
      <c r="FY80" s="172"/>
      <c r="FZ80" s="172"/>
      <c r="GA80" s="172"/>
      <c r="GB80" s="172"/>
      <c r="GC80" s="172"/>
      <c r="GD80" s="172"/>
      <c r="GE80" s="172"/>
      <c r="GF80" s="172"/>
      <c r="GG80" s="172"/>
      <c r="GH80" s="172"/>
      <c r="GI80" s="172"/>
      <c r="GJ80" s="261"/>
      <c r="GK80" s="266"/>
      <c r="GL80" s="266"/>
      <c r="GM80" s="266"/>
      <c r="GN80" s="266"/>
      <c r="GO80" s="266"/>
      <c r="GP80" s="266"/>
      <c r="GQ80" s="266"/>
      <c r="GR80" s="266"/>
      <c r="GS80" s="266"/>
      <c r="GT80" s="266"/>
      <c r="GU80" s="266"/>
      <c r="GV80" s="266"/>
      <c r="GW80" s="266"/>
      <c r="GX80" s="266"/>
      <c r="GY80" s="266"/>
      <c r="GZ80" s="266"/>
      <c r="HA80" s="266"/>
      <c r="HB80" s="266"/>
      <c r="HC80" s="266"/>
      <c r="HD80" s="266"/>
      <c r="HE80" s="266"/>
      <c r="HF80" s="266"/>
      <c r="HG80" s="266"/>
      <c r="HH80" s="266"/>
      <c r="HI80" s="266"/>
      <c r="HJ80" s="266"/>
      <c r="HK80" s="266"/>
      <c r="HL80" s="266"/>
      <c r="HM80" s="266"/>
      <c r="KC80" s="248" t="s">
        <v>1182</v>
      </c>
      <c r="KD80" s="174" t="str">
        <f>IF(KD79&lt;&gt;0,IF(OR(KD76=KD79,(KD76+KD77)=KD79),"Y",IF(OR(AND(KD77=0,KD78&gt;0),KD78=KD79),"N","Y")),"")</f>
        <v/>
      </c>
      <c r="KE80" s="174" t="str">
        <f t="shared" ref="KE80:LF80" si="255">IF(KE79&lt;&gt;0,IF(OR(KE76=KE79,(KE76+KE77)=KE79),"Y",IF(OR(AND(KE77=0,KE78&gt;0),KE78=KE79),"N","Y")),"")</f>
        <v/>
      </c>
      <c r="KF80" s="174" t="str">
        <f t="shared" si="255"/>
        <v/>
      </c>
      <c r="KG80" s="174" t="str">
        <f t="shared" si="255"/>
        <v/>
      </c>
      <c r="KH80" s="174" t="str">
        <f t="shared" si="255"/>
        <v/>
      </c>
      <c r="KI80" s="174" t="str">
        <f t="shared" si="255"/>
        <v/>
      </c>
      <c r="KJ80" s="174" t="str">
        <f t="shared" si="255"/>
        <v/>
      </c>
      <c r="KK80" s="174" t="str">
        <f t="shared" si="255"/>
        <v/>
      </c>
      <c r="KL80" s="174" t="str">
        <f t="shared" si="255"/>
        <v/>
      </c>
      <c r="KM80" s="174" t="str">
        <f t="shared" si="255"/>
        <v/>
      </c>
      <c r="KN80" s="174" t="str">
        <f t="shared" si="255"/>
        <v/>
      </c>
      <c r="KO80" s="174" t="str">
        <f t="shared" si="255"/>
        <v/>
      </c>
      <c r="KP80" s="174" t="str">
        <f t="shared" si="255"/>
        <v/>
      </c>
      <c r="KQ80" s="174" t="str">
        <f t="shared" si="255"/>
        <v/>
      </c>
      <c r="KR80" s="174" t="str">
        <f t="shared" si="255"/>
        <v/>
      </c>
      <c r="KS80" s="174" t="str">
        <f t="shared" si="255"/>
        <v/>
      </c>
      <c r="KT80" s="174" t="str">
        <f t="shared" si="255"/>
        <v/>
      </c>
      <c r="KU80" s="174" t="str">
        <f t="shared" si="255"/>
        <v/>
      </c>
      <c r="KV80" s="174" t="str">
        <f t="shared" si="255"/>
        <v/>
      </c>
      <c r="KW80" s="174" t="str">
        <f t="shared" si="255"/>
        <v/>
      </c>
      <c r="KX80" s="174" t="str">
        <f t="shared" si="255"/>
        <v/>
      </c>
      <c r="KY80" s="174" t="str">
        <f t="shared" si="255"/>
        <v/>
      </c>
      <c r="KZ80" s="174" t="str">
        <f t="shared" si="255"/>
        <v/>
      </c>
      <c r="LA80" s="174" t="str">
        <f t="shared" si="255"/>
        <v/>
      </c>
      <c r="LB80" s="174" t="str">
        <f t="shared" si="255"/>
        <v/>
      </c>
      <c r="LC80" s="174" t="str">
        <f t="shared" si="255"/>
        <v/>
      </c>
      <c r="LD80" s="174" t="str">
        <f t="shared" si="255"/>
        <v/>
      </c>
      <c r="LE80" s="174" t="str">
        <f t="shared" si="255"/>
        <v/>
      </c>
      <c r="LF80" s="174" t="str">
        <f t="shared" si="255"/>
        <v/>
      </c>
    </row>
    <row r="81" spans="1:318" s="174" customFormat="1" x14ac:dyDescent="0.2">
      <c r="A81" s="172"/>
      <c r="B81" s="470" t="s">
        <v>961</v>
      </c>
      <c r="C81" s="470"/>
      <c r="D81" s="470"/>
      <c r="E81" s="470"/>
      <c r="F81" s="470"/>
      <c r="G81" s="288" t="str">
        <f>IF(SUM(G38:G44)&gt;0,ROUND(HN71,$G$126),"")</f>
        <v/>
      </c>
      <c r="H81" s="288" t="str">
        <f>IF(KD$99="Y","&lt;","")</f>
        <v/>
      </c>
      <c r="I81" s="288" t="str">
        <f>IF(EC34&lt;&gt;"",IF(OR('Outfall 1 Limits'!$AX$16="C1",'Outfall 1 Limits'!$AX$16="L"),IF(EC34&gt;=1,IF('Outfall 1 Limits'!$AO$16=0,ROUND(EC34,0),TEXT(EC34,"0."&amp;REPT("0",LEN('Outfall 1 Limits'!$O16)-FIND(".",'Outfall 1 Limits'!$O16)))),ROUND(EC34,1-(1+INT(LOG10(ABS(EC34)))))),ROUND(EC34,$I126)),"")</f>
        <v/>
      </c>
      <c r="J81" s="288" t="str">
        <f>IF(KE$99="Y","&lt;","")</f>
        <v/>
      </c>
      <c r="K81" s="288" t="str">
        <f>IF(ED34&lt;&gt;"",IF(OR('Outfall 1 Limits'!$AX$20="C1",'Outfall 1 Limits'!$AX$20="L"),IF(ED34&gt;=1,IF('Outfall 1 Limits'!$AO$20=0,ROUND(ED34,0),TEXT(ED34,"0."&amp;REPT("0",LEN('Outfall 1 Limits'!$O20)-FIND(".",'Outfall 1 Limits'!$O20)))),ROUND(ED34,1-(1+INT(LOG10(ABS(ED34)))))),ROUND(ED34,$K126)),"")</f>
        <v/>
      </c>
      <c r="L81" s="288" t="str">
        <f>IF(KF$99="Y","&lt;","")</f>
        <v/>
      </c>
      <c r="M81" s="288" t="str">
        <f>IF(EE34&lt;&gt;"",IF(OR('Outfall 1 Limits'!$AX$24="C1",'Outfall 1 Limits'!$AX$24="L"),IF(EE34&gt;=1,IF('Outfall 1 Limits'!$AO$24=0,ROUND(EE34,0),TEXT(EE34,"0."&amp;REPT("0",LEN('Outfall 1 Limits'!$O24)-FIND(".",'Outfall 1 Limits'!$O24)))),ROUND(EE34,1-(1+INT(LOG10(ABS(EE34)))))),ROUND(EE34,$M126)),"")</f>
        <v/>
      </c>
      <c r="N81" s="288" t="str">
        <f>IF(KG$99="Y","&lt;","")</f>
        <v/>
      </c>
      <c r="O81" s="288" t="str">
        <f>IF(EF34&lt;&gt;"",IF(OR('Outfall 1 Limits'!$AX$28="C1",'Outfall 1 Limits'!$AX$28="L"),IF(EF34&gt;=1,IF('Outfall 1 Limits'!$AO$28=0,ROUND(EF34,0),TEXT(EF34,"0."&amp;REPT("0",LEN('Outfall 1 Limits'!$O28)-FIND(".",'Outfall 1 Limits'!$O28)))),ROUND(EF34,1-(1+INT(LOG10(ABS(EF34)))))),ROUND(EF34,$O126)),"")</f>
        <v/>
      </c>
      <c r="P81" s="288" t="str">
        <f>IF(KH$99="Y","&lt;","")</f>
        <v/>
      </c>
      <c r="Q81" s="288" t="str">
        <f>IF(EG34&lt;&gt;"",IF(OR('Outfall 1 Limits'!$AX$32="C1",'Outfall 1 Limits'!$AX$32="L"),IF(EG34&gt;=1,IF('Outfall 1 Limits'!$AO$32=0,ROUND(EG34,0),TEXT(EG34,"0."&amp;REPT("0",LEN('Outfall 1 Limits'!$O32)-FIND(".",'Outfall 1 Limits'!$O32)))),ROUND(EG34,1-(1+INT(LOG10(ABS(EG34)))))),ROUND(EG34,$Q126)),"")</f>
        <v/>
      </c>
      <c r="R81" s="288" t="str">
        <f>IF(KI$99="Y","&lt;","")</f>
        <v/>
      </c>
      <c r="S81" s="288" t="str">
        <f>IF(EH34&lt;&gt;"",IF(OR('Outfall 1 Limits'!$AX$36="C1",'Outfall 1 Limits'!$AX$36="L"),IF(EH34&gt;=1,IF('Outfall 1 Limits'!$AO$36=0,ROUND(EH34,0),TEXT(EH34,"0."&amp;REPT("0",LEN('Outfall 1 Limits'!$O36)-FIND(".",'Outfall 1 Limits'!$O36)))),ROUND(EH34,1-(1+INT(LOG10(ABS(EH34)))))),ROUND(EH34,$S126)),"")</f>
        <v/>
      </c>
      <c r="T81" s="288" t="str">
        <f>IF(KJ$99="Y","&lt;","")</f>
        <v/>
      </c>
      <c r="U81" s="288" t="str">
        <f>IF(EI34&lt;&gt;"",IF(OR('Outfall 1 Limits'!$AX$40="C1",'Outfall 1 Limits'!$AX$40="L"),IF(EI34&gt;=1,IF('Outfall 1 Limits'!$AO$40=0,ROUND(EI34,0),TEXT(EI34,"0."&amp;REPT("0",LEN('Outfall 1 Limits'!$O40)-FIND(".",'Outfall 1 Limits'!$O40)))),ROUND(EI34,1-(1+INT(LOG10(ABS(EI34)))))),ROUND(EI34,$U126)),"")</f>
        <v/>
      </c>
      <c r="V81" s="288" t="str">
        <f>IF(KK$99="Y","&lt;","")</f>
        <v/>
      </c>
      <c r="W81" s="288" t="str">
        <f>IF(EJ34&lt;&gt;"",IF(OR('Outfall 1 Limits'!$AX$44="C1",'Outfall 1 Limits'!$AX$44="L"),IF(EJ34&gt;=1,IF('Outfall 1 Limits'!$AO$44=0,ROUND(EJ34,0),TEXT(EJ34,"0."&amp;REPT("0",LEN('Outfall 1 Limits'!$O44)-FIND(".",'Outfall 1 Limits'!$O44)))),ROUND(EJ34,1-(1+INT(LOG10(ABS(EJ34)))))),ROUND(EJ34,$W126)),"")</f>
        <v/>
      </c>
      <c r="X81" s="288" t="str">
        <f>IF(KL$99="Y","&lt;","")</f>
        <v/>
      </c>
      <c r="Y81" s="288" t="str">
        <f>IF(EK34&lt;&gt;"",IF(OR('Outfall 1 Limits'!$AX$48="C1",'Outfall 1 Limits'!$AX$48="L"),IF(EK34&gt;=1,IF('Outfall 1 Limits'!$AO$48=0,ROUND(EK34,0),TEXT(EK34,"0."&amp;REPT("0",LEN('Outfall 1 Limits'!$O48)-FIND(".",'Outfall 1 Limits'!$O48)))),ROUND(EK34,1-(1+INT(LOG10(ABS(EK34)))))),ROUND(EK34,$Y126)),"")</f>
        <v/>
      </c>
      <c r="Z81" s="288" t="str">
        <f>IF(KM$99="Y","&lt;","")</f>
        <v/>
      </c>
      <c r="AA81" s="288" t="str">
        <f>IF(EL34&lt;&gt;"",IF(OR('Outfall 1 Limits'!$AX$52="C1",'Outfall 1 Limits'!$AX$52="L"),IF(EL34&gt;=1,IF('Outfall 1 Limits'!$AO$52=0,ROUND(EL34,0),TEXT(EL34,"0."&amp;REPT("0",LEN('Outfall 1 Limits'!$O52)-FIND(".",'Outfall 1 Limits'!$O52)))),ROUND(EL34,1-(1+INT(LOG10(ABS(EL34)))))),ROUND(EL34,$AA126)),"")</f>
        <v/>
      </c>
      <c r="AB81" s="288" t="str">
        <f>IF(KN$99="Y","&lt;","")</f>
        <v/>
      </c>
      <c r="AC81" s="288" t="str">
        <f>IF(EM34&lt;&gt;"",IF(OR('Outfall 1 Limits'!$AX$56="C1",'Outfall 1 Limits'!$AX$56="L"),IF(EM34&gt;=1,IF('Outfall 1 Limits'!$AO$56=0,ROUND(EM34,0),TEXT(EM34,"0."&amp;REPT("0",LEN('Outfall 1 Limits'!$O56)-FIND(".",'Outfall 1 Limits'!$O56)))),ROUND(EM34,1-(1+INT(LOG10(ABS(EM34)))))),ROUND(EM34,$AC126)),"")</f>
        <v/>
      </c>
      <c r="AD81" s="288" t="str">
        <f>IF(KO$99="Y","&lt;","")</f>
        <v/>
      </c>
      <c r="AE81" s="288" t="str">
        <f>IF(EN34&lt;&gt;"",IF(OR('Outfall 1 Limits'!$AX$60="C1",'Outfall 1 Limits'!$AX$60="L"),IF(EN34&gt;=1,IF('Outfall 1 Limits'!$AO$60=0,ROUND(EN34,0),TEXT(EN34,"0."&amp;REPT("0",LEN('Outfall 1 Limits'!$O60)-FIND(".",'Outfall 1 Limits'!$O60)))),ROUND(EN34,1-(1+INT(LOG10(ABS(EN34)))))),ROUND(EN34,$AE126)),"")</f>
        <v/>
      </c>
      <c r="AF81" s="288" t="str">
        <f>IF(KP$99="Y","&lt;","")</f>
        <v/>
      </c>
      <c r="AG81" s="288" t="str">
        <f>IF(EO34&lt;&gt;"",IF(OR('Outfall 1 Limits'!$AX$64="C1",'Outfall 1 Limits'!$AX$64="L"),IF(EO34&gt;=1,IF('Outfall 1 Limits'!$AO$64=0,ROUND(EO34,0),TEXT(EO34,"0."&amp;REPT("0",LEN('Outfall 1 Limits'!$O64)-FIND(".",'Outfall 1 Limits'!$O64)))),ROUND(EO34,1-(1+INT(LOG10(ABS(EO34)))))),ROUND(EO34,$AG126)),"")</f>
        <v/>
      </c>
      <c r="AH81" s="288" t="str">
        <f>IF(KQ$99="Y","&lt;","")</f>
        <v/>
      </c>
      <c r="AI81" s="288" t="str">
        <f>IF(EP34&lt;&gt;"",IF(OR('Outfall 1 Limits'!$AX$68="C1",'Outfall 1 Limits'!$AX$68="L"),IF(EP34&gt;=1,IF('Outfall 1 Limits'!$AO$68=0,ROUND(EP34,0),TEXT(EP34,"0."&amp;REPT("0",LEN('Outfall 1 Limits'!$O68)-FIND(".",'Outfall 1 Limits'!$O68)))),ROUND(EP34,1-(1+INT(LOG10(ABS(EP34)))))),ROUND(EP34,$AI126)),"")</f>
        <v/>
      </c>
      <c r="AJ81" s="288" t="str">
        <f>IF(KR$99="Y","&lt;","")</f>
        <v/>
      </c>
      <c r="AK81" s="288" t="str">
        <f>IF(EQ34&lt;&gt;"",IF(OR('Outfall 1 Limits'!$AX$72="C1",'Outfall 1 Limits'!$AX$72="L"),IF(EQ34&gt;=1,IF('Outfall 1 Limits'!$AO$72=0,ROUND(EQ34,0),TEXT(EQ34,"0."&amp;REPT("0",LEN('Outfall 1 Limits'!$O72)-FIND(".",'Outfall 1 Limits'!$O72)))),ROUND(EQ34,1-(1+INT(LOG10(ABS(EQ34)))))),ROUND(EQ34,$AK126)),"")</f>
        <v/>
      </c>
      <c r="AL81" s="288" t="str">
        <f>IF(KS$99="Y","&lt;","")</f>
        <v/>
      </c>
      <c r="AM81" s="288" t="str">
        <f>IF(ER34&lt;&gt;"",IF(OR('Outfall 1 Limits'!$AX$76="C1",'Outfall 1 Limits'!$AX$76="L"),IF(ER34&gt;=1,IF('Outfall 1 Limits'!$AO$76=0,ROUND(ER34,0),TEXT(ER34,"0."&amp;REPT("0",LEN('Outfall 1 Limits'!$O76)-FIND(".",'Outfall 1 Limits'!$O76)))),ROUND(ER34,1-(1+INT(LOG10(ABS(ER34)))))),ROUND(ER34,$AM126)),"")</f>
        <v/>
      </c>
      <c r="AN81" s="288" t="str">
        <f>IF(KT$99="Y","&lt;","")</f>
        <v/>
      </c>
      <c r="AO81" s="288" t="str">
        <f>IF(ES34&lt;&gt;"",IF(OR('Outfall 1 Limits'!$AX$80="C1",'Outfall 1 Limits'!$AX$80="L"),IF(ES34&gt;=1,IF('Outfall 1 Limits'!$AO$80=0,ROUND(ES34,0),TEXT(ES34,"0."&amp;REPT("0",LEN('Outfall 1 Limits'!$O80)-FIND(".",'Outfall 1 Limits'!$O80)))),ROUND(ES34,1-(1+INT(LOG10(ABS(ES34)))))),ROUND(ES34,$AO126)),"")</f>
        <v/>
      </c>
      <c r="AP81" s="288" t="str">
        <f>IF(KU$99="Y","&lt;","")</f>
        <v/>
      </c>
      <c r="AQ81" s="288" t="str">
        <f>IF(ET34&lt;&gt;"",IF(OR('Outfall 1 Limits'!$AX$84="C1",'Outfall 1 Limits'!$AX$84="L"),IF(ET34&gt;=1,IF('Outfall 1 Limits'!$AO$84=0,ROUND(ET34,0),TEXT(ET34,"0."&amp;REPT("0",LEN('Outfall 1 Limits'!$O84)-FIND(".",'Outfall 1 Limits'!$O84)))),ROUND(ET34,1-(1+INT(LOG10(ABS(ET34)))))),ROUND(ET34,$AQ126)),"")</f>
        <v/>
      </c>
      <c r="AR81" s="288" t="str">
        <f>IF(KV$99="Y","&lt;","")</f>
        <v/>
      </c>
      <c r="AS81" s="288" t="str">
        <f>IF(EU34&lt;&gt;"",IF(OR('Outfall 1 Limits'!$AX$88="C1",'Outfall 1 Limits'!$AX$88="L"),IF(EU34&gt;=1,IF('Outfall 1 Limits'!$AO$88=0,ROUND(EU34,0),TEXT(EU34,"0."&amp;REPT("0",LEN('Outfall 1 Limits'!$O88)-FIND(".",'Outfall 1 Limits'!$O88)))),ROUND(EU34,1-(1+INT(LOG10(ABS(EU34)))))),ROUND(EU34,$AS126)),"")</f>
        <v/>
      </c>
      <c r="AT81" s="288" t="str">
        <f>IF(KW$99="Y","&lt;","")</f>
        <v/>
      </c>
      <c r="AU81" s="288" t="str">
        <f>IF(EV34&lt;&gt;"",IF(OR('Outfall 1 Limits'!$AX$92="C1",'Outfall 1 Limits'!$AX$92="L"),IF(EV34&gt;=1,IF('Outfall 1 Limits'!$AO$92=0,ROUND(EV34,0),TEXT(EV34,"0."&amp;REPT("0",LEN('Outfall 1 Limits'!$O92)-FIND(".",'Outfall 1 Limits'!$O92)))),ROUND(EV34,1-(1+INT(LOG10(ABS(EV34)))))),ROUND(EV34,$AU126)),"")</f>
        <v/>
      </c>
      <c r="AV81" s="288" t="str">
        <f>IF(KX$99="Y","&lt;","")</f>
        <v/>
      </c>
      <c r="AW81" s="288" t="str">
        <f>IF(EW34&lt;&gt;"",IF(OR('Outfall 1 Limits'!$AX$96="C1",'Outfall 1 Limits'!$AX$96="L"),IF(EW34&gt;=1,IF('Outfall 1 Limits'!$AO$96=0,ROUND(EW34,0),TEXT(EW34,"0."&amp;REPT("0",LEN('Outfall 1 Limits'!$O96)-FIND(".",'Outfall 1 Limits'!$O96)))),ROUND(EW34,1-(1+INT(LOG10(ABS(EW34)))))),ROUND(EW34,$AW126)),"")</f>
        <v/>
      </c>
      <c r="AX81" s="288" t="str">
        <f>IF(KY$99="Y","&lt;","")</f>
        <v/>
      </c>
      <c r="AY81" s="288" t="str">
        <f>IF(EX34&lt;&gt;"",IF(OR('Outfall 1 Limits'!$AX$100="C1",'Outfall 1 Limits'!$AX$100="L"),IF(EX34&gt;=1,IF('Outfall 1 Limits'!$AO$100=0,ROUND(EX34,0),TEXT(EX34,"0."&amp;REPT("0",LEN('Outfall 1 Limits'!$O100)-FIND(".",'Outfall 1 Limits'!$O100)))),ROUND(EX34,1-(1+INT(LOG10(ABS(EX34)))))),ROUND(EX34,$AY126)),"")</f>
        <v/>
      </c>
      <c r="AZ81" s="288" t="str">
        <f>IF(KZ$99="Y","&lt;","")</f>
        <v/>
      </c>
      <c r="BA81" s="288" t="str">
        <f>IF(EY34&lt;&gt;"",IF(OR('Outfall 1 Limits'!$AX$104="C1",'Outfall 1 Limits'!$AX$104="L"),IF(EY34&gt;=1,IF('Outfall 1 Limits'!$AO$104=0,ROUND(EY34,0),TEXT(EY34,"0."&amp;REPT("0",LEN('Outfall 1 Limits'!$O104)-FIND(".",'Outfall 1 Limits'!$O104)))),ROUND(EY34,1-(1+INT(LOG10(ABS(EY34)))))),ROUND(EY34,$BA126)),"")</f>
        <v/>
      </c>
      <c r="BB81" s="288" t="str">
        <f>IF(LA$99="Y","&lt;","")</f>
        <v/>
      </c>
      <c r="BC81" s="288" t="str">
        <f>IF(EZ34&lt;&gt;"",IF(OR('Outfall 1 Limits'!$AX$108="C1",'Outfall 1 Limits'!$AX$108="L"),IF(EZ34&gt;=1,IF('Outfall 1 Limits'!$AO$108=0,ROUND(EZ34,0),TEXT(EZ34,"0."&amp;REPT("0",LEN('Outfall 1 Limits'!$O108)-FIND(".",'Outfall 1 Limits'!$O108)))),ROUND(EZ34,1-(1+INT(LOG10(ABS(EZ34)))))),ROUND(EZ34,$BC126)),"")</f>
        <v/>
      </c>
      <c r="BD81" s="288" t="str">
        <f>IF(LB$99="Y","&lt;","")</f>
        <v/>
      </c>
      <c r="BE81" s="288" t="str">
        <f>IF(FA34&lt;&gt;"",IF(OR('Outfall 1 Limits'!$AX$112="C1",'Outfall 1 Limits'!$AX$112="L"),IF(FA34&gt;=1,IF('Outfall 1 Limits'!$AO$112=0,ROUND(FA34,0),TEXT(FA34,"0."&amp;REPT("0",LEN('Outfall 1 Limits'!$O112)-FIND(".",'Outfall 1 Limits'!$O112)))),ROUND(FA34,1-(1+INT(LOG10(ABS(FA34)))))),ROUND(FA34,$BE126)),"")</f>
        <v/>
      </c>
      <c r="BF81" s="288" t="str">
        <f>IF(LC$99="Y","&lt;","")</f>
        <v/>
      </c>
      <c r="BG81" s="288" t="str">
        <f>IF(FB34&lt;&gt;"",IF(OR('Outfall 1 Limits'!$AX$116="C1",'Outfall 1 Limits'!$AX$116="L"),IF(FB34&gt;=1,IF('Outfall 1 Limits'!$AO$116=0,ROUND(FB34,0),TEXT(FB34,"0."&amp;REPT("0",LEN('Outfall 1 Limits'!$O116)-FIND(".",'Outfall 1 Limits'!$O116)))),ROUND(FB34,1-(1+INT(LOG10(ABS(FB34)))))),ROUND(FB34,$BG126)),"")</f>
        <v/>
      </c>
      <c r="BH81" s="288" t="str">
        <f>IF(LD$99="Y","&lt;","")</f>
        <v/>
      </c>
      <c r="BI81" s="288" t="str">
        <f>IF(FC34&lt;&gt;"",IF(OR('Outfall 1 Limits'!$AX$120="C1",'Outfall 1 Limits'!$AX$120="L"),IF(FC34&gt;=1,IF('Outfall 1 Limits'!$AO$120=0,ROUND(FC34,0),TEXT(FC34,"0."&amp;REPT("0",LEN('Outfall 1 Limits'!$O120)-FIND(".",'Outfall 1 Limits'!$O120)))),ROUND(FC34,1-(1+INT(LOG10(ABS(FC34)))))),ROUND(FC34,$BI126)),"")</f>
        <v/>
      </c>
      <c r="BJ81" s="288" t="str">
        <f>IF(LE$99="Y","&lt;","")</f>
        <v/>
      </c>
      <c r="BK81" s="288" t="str">
        <f>IF(FD34&lt;&gt;"",IF(OR('Outfall 1 Limits'!$AX$124="C1",'Outfall 1 Limits'!$AX$124="L"),IF(FD34&gt;=1,IF('Outfall 1 Limits'!$AO$124=0,ROUND(FD34,0),TEXT(FD34,"0."&amp;REPT("0",LEN('Outfall 1 Limits'!$O124)-FIND(".",'Outfall 1 Limits'!$O124)))),ROUND(FD34,1-(1+INT(LOG10(ABS(FD34)))))),ROUND(FD34,$BK126)),"")</f>
        <v/>
      </c>
      <c r="BL81" s="288" t="str">
        <f>IF(LF$99="Y","&lt;","")</f>
        <v/>
      </c>
      <c r="BM81" s="288" t="str">
        <f>IF(FE34&lt;&gt;"",IF(OR('Outfall 1 Limits'!$AX$128="C1",'Outfall 1 Limits'!$AX$128="L"),IF(FE34&gt;=1,IF('Outfall 1 Limits'!$AO$128=0,ROUND(FE34,0),TEXT(FE34,"0."&amp;REPT("0",LEN('Outfall 1 Limits'!$O128)-FIND(".",'Outfall 1 Limits'!$O128)))),ROUND(FE34,1-(1+INT(LOG10(ABS(FE34)))))),ROUND(FE34,$BM126)),"")</f>
        <v/>
      </c>
      <c r="CX81" s="172"/>
      <c r="CY81" s="175"/>
      <c r="CZ81" s="175"/>
      <c r="DA81" s="175"/>
      <c r="DB81" s="175"/>
      <c r="DC81" s="175"/>
      <c r="DD81" s="175"/>
      <c r="DE81" s="175"/>
      <c r="DF81" s="175"/>
      <c r="DG81" s="175"/>
      <c r="DH81" s="175"/>
      <c r="DI81" s="175"/>
      <c r="DJ81" s="175"/>
      <c r="DK81" s="175"/>
      <c r="DL81" s="175"/>
      <c r="DM81" s="175"/>
      <c r="DN81" s="175"/>
      <c r="DO81" s="175"/>
      <c r="DP81" s="175"/>
      <c r="DQ81" s="175"/>
      <c r="DR81" s="175"/>
      <c r="DS81" s="175"/>
      <c r="DT81" s="175"/>
      <c r="DU81" s="175"/>
      <c r="DV81" s="175"/>
      <c r="DW81" s="175"/>
      <c r="DX81" s="175"/>
      <c r="DY81" s="175"/>
      <c r="DZ81" s="175"/>
      <c r="EA81" s="175"/>
      <c r="EB81" s="176"/>
      <c r="EC81" s="172"/>
      <c r="ED81" s="172"/>
      <c r="EE81" s="172"/>
      <c r="EF81" s="172"/>
      <c r="EG81" s="172"/>
      <c r="EH81" s="172"/>
      <c r="EI81" s="172"/>
      <c r="EJ81" s="172"/>
      <c r="EK81" s="172"/>
      <c r="EL81" s="172"/>
      <c r="EM81" s="172"/>
      <c r="EN81" s="172"/>
      <c r="EO81" s="172"/>
      <c r="EP81" s="172"/>
      <c r="EQ81" s="172"/>
      <c r="ER81" s="172"/>
      <c r="ES81" s="172"/>
      <c r="ET81" s="172"/>
      <c r="EU81" s="172"/>
      <c r="EV81" s="172"/>
      <c r="EW81" s="172"/>
      <c r="EX81" s="172"/>
      <c r="EY81" s="172"/>
      <c r="EZ81" s="172"/>
      <c r="FA81" s="172"/>
      <c r="FB81" s="172"/>
      <c r="FC81" s="172"/>
      <c r="FD81" s="172"/>
      <c r="FE81" s="172"/>
      <c r="FF81" s="172"/>
      <c r="FG81" s="172"/>
      <c r="FH81" s="172"/>
      <c r="FI81" s="172"/>
      <c r="FJ81" s="172"/>
      <c r="FK81" s="172"/>
      <c r="FL81" s="172"/>
      <c r="FM81" s="172"/>
      <c r="FN81" s="172"/>
      <c r="FO81" s="172"/>
      <c r="FP81" s="172"/>
      <c r="FQ81" s="172"/>
      <c r="FR81" s="172"/>
      <c r="FS81" s="172"/>
      <c r="FT81" s="172"/>
      <c r="FU81" s="172"/>
      <c r="FV81" s="172"/>
      <c r="FW81" s="172"/>
      <c r="FX81" s="172"/>
      <c r="FY81" s="172"/>
      <c r="FZ81" s="172"/>
      <c r="GA81" s="172"/>
      <c r="GB81" s="172"/>
      <c r="GC81" s="172"/>
      <c r="GD81" s="172"/>
      <c r="GE81" s="172"/>
      <c r="GF81" s="172"/>
      <c r="GG81" s="172"/>
      <c r="GH81" s="172"/>
      <c r="GI81" s="172"/>
      <c r="GJ81" s="261"/>
      <c r="GK81" s="206"/>
      <c r="GL81" s="206"/>
      <c r="GM81" s="206"/>
      <c r="GN81" s="206"/>
      <c r="GO81" s="206"/>
      <c r="GP81" s="206"/>
      <c r="GQ81" s="206"/>
      <c r="GR81" s="206"/>
      <c r="GS81" s="206"/>
      <c r="GT81" s="206"/>
      <c r="GU81" s="206"/>
      <c r="GV81" s="206"/>
      <c r="GW81" s="206"/>
      <c r="GX81" s="206"/>
      <c r="GY81" s="206"/>
      <c r="GZ81" s="206"/>
      <c r="HA81" s="206"/>
      <c r="HB81" s="206"/>
      <c r="HC81" s="206"/>
      <c r="HD81" s="206"/>
      <c r="HE81" s="206"/>
      <c r="HF81" s="206"/>
      <c r="HG81" s="206"/>
      <c r="HH81" s="206"/>
      <c r="HI81" s="206"/>
      <c r="HJ81" s="206"/>
      <c r="HK81" s="206"/>
      <c r="HL81" s="206"/>
      <c r="HM81" s="206"/>
      <c r="KC81" s="248" t="s">
        <v>1196</v>
      </c>
      <c r="KD81" s="256" t="str">
        <f>IF(KD53="Y",KD80,IF(BU58="Y","Y","N"))</f>
        <v>N</v>
      </c>
      <c r="KE81" s="174" t="str">
        <f t="shared" ref="KE81:LF81" si="256">IF(KE53="Y",KE80,IF(BV58="Y","Y","N"))</f>
        <v>N</v>
      </c>
      <c r="KF81" s="174" t="str">
        <f t="shared" si="256"/>
        <v>N</v>
      </c>
      <c r="KG81" s="174" t="str">
        <f t="shared" si="256"/>
        <v>N</v>
      </c>
      <c r="KH81" s="174" t="str">
        <f t="shared" si="256"/>
        <v>N</v>
      </c>
      <c r="KI81" s="174" t="str">
        <f t="shared" si="256"/>
        <v>N</v>
      </c>
      <c r="KJ81" s="174" t="str">
        <f t="shared" si="256"/>
        <v>N</v>
      </c>
      <c r="KK81" s="174" t="str">
        <f t="shared" si="256"/>
        <v>N</v>
      </c>
      <c r="KL81" s="174" t="str">
        <f t="shared" si="256"/>
        <v>N</v>
      </c>
      <c r="KM81" s="174" t="str">
        <f t="shared" si="256"/>
        <v>N</v>
      </c>
      <c r="KN81" s="174" t="str">
        <f t="shared" si="256"/>
        <v>N</v>
      </c>
      <c r="KO81" s="174" t="str">
        <f t="shared" si="256"/>
        <v>N</v>
      </c>
      <c r="KP81" s="174" t="str">
        <f t="shared" si="256"/>
        <v>N</v>
      </c>
      <c r="KQ81" s="174" t="str">
        <f t="shared" si="256"/>
        <v>N</v>
      </c>
      <c r="KR81" s="174" t="str">
        <f t="shared" si="256"/>
        <v>N</v>
      </c>
      <c r="KS81" s="174" t="str">
        <f t="shared" si="256"/>
        <v>N</v>
      </c>
      <c r="KT81" s="174" t="str">
        <f t="shared" si="256"/>
        <v>N</v>
      </c>
      <c r="KU81" s="174" t="str">
        <f t="shared" si="256"/>
        <v>N</v>
      </c>
      <c r="KV81" s="174" t="str">
        <f t="shared" si="256"/>
        <v>N</v>
      </c>
      <c r="KW81" s="174" t="str">
        <f t="shared" si="256"/>
        <v>N</v>
      </c>
      <c r="KX81" s="174" t="str">
        <f t="shared" si="256"/>
        <v>N</v>
      </c>
      <c r="KY81" s="174" t="str">
        <f t="shared" si="256"/>
        <v>N</v>
      </c>
      <c r="KZ81" s="174" t="str">
        <f t="shared" si="256"/>
        <v>N</v>
      </c>
      <c r="LA81" s="174" t="str">
        <f t="shared" si="256"/>
        <v>N</v>
      </c>
      <c r="LB81" s="174" t="str">
        <f t="shared" si="256"/>
        <v>N</v>
      </c>
      <c r="LC81" s="174" t="str">
        <f t="shared" si="256"/>
        <v>N</v>
      </c>
      <c r="LD81" s="174" t="str">
        <f t="shared" si="256"/>
        <v>N</v>
      </c>
      <c r="LE81" s="174" t="str">
        <f t="shared" si="256"/>
        <v>N</v>
      </c>
      <c r="LF81" s="174" t="str">
        <f t="shared" si="256"/>
        <v>N</v>
      </c>
    </row>
    <row r="82" spans="1:318" s="174" customFormat="1" x14ac:dyDescent="0.2">
      <c r="A82" s="172"/>
      <c r="B82" s="470" t="s">
        <v>962</v>
      </c>
      <c r="C82" s="470"/>
      <c r="D82" s="470"/>
      <c r="E82" s="470"/>
      <c r="F82" s="470"/>
      <c r="G82" s="288" t="str">
        <f>IF(E51&lt;&gt;"",IF(SUM(G45:G51)&gt;0,ROUND(HN72,$G$126),""),"")</f>
        <v/>
      </c>
      <c r="H82" s="288" t="str">
        <f>IF(E51&lt;&gt;"",IF(KD$105="Y","&lt;",""),"")</f>
        <v/>
      </c>
      <c r="I82" s="288" t="str">
        <f>IF(E51&lt;&gt;"",IF(EC35&lt;&gt;"",IF(OR('Outfall 1 Limits'!$AX$16="C1",'Outfall 1 Limits'!$AX$16="L"),IF(EC35&gt;=1,IF('Outfall 1 Limits'!$AO$16=0,ROUND(EC35,0),TEXT(EC35,"0."&amp;REPT("0",LEN('Outfall 1 Limits'!$O16)-FIND(".",'Outfall 1 Limits'!$O16)))),ROUND(EC35,1-(1+INT(LOG10(ABS(EC35)))))),ROUND(EC35,$I126)),""),"")</f>
        <v/>
      </c>
      <c r="J82" s="288" t="str">
        <f>IF($E$51&lt;&gt;"",IF(KE$105="Y","&lt;",""),"")</f>
        <v/>
      </c>
      <c r="K82" s="288" t="str">
        <f>IF(E51&lt;&gt;"",IF(ED35&lt;&gt;"",IF(OR('Outfall 1 Limits'!$AX$20="C1",'Outfall 1 Limits'!$AX$20="L"),IF(ED35&gt;=1,IF('Outfall 1 Limits'!$AO$20=0,ROUND(ED35,0),TEXT(ED35,"0."&amp;REPT("0",LEN('Outfall 1 Limits'!$O20)-FIND(".",'Outfall 1 Limits'!$O20)))),ROUND(ED35,1-(1+INT(LOG10(ABS(ED35)))))),ROUND(ED35,$K126)),""),"")</f>
        <v/>
      </c>
      <c r="L82" s="288" t="str">
        <f>IF($E$51&lt;&gt;"",IF(KF$105="Y","&lt;",""),"")</f>
        <v/>
      </c>
      <c r="M82" s="288" t="str">
        <f>IF(E51&lt;&gt;"",IF(EE35&lt;&gt;"",IF(OR('Outfall 1 Limits'!$AX$24="C1",'Outfall 1 Limits'!$AX$24="L"),IF(EE35&gt;=1,IF('Outfall 1 Limits'!$AO$24=0,ROUND(EE35,0),TEXT(EE35,"0."&amp;REPT("0",LEN('Outfall 1 Limits'!$O24)-FIND(".",'Outfall 1 Limits'!$O24)))),ROUND(EE35,1-(1+INT(LOG10(ABS(EE35)))))),ROUND(EE35,$M126)),""),"")</f>
        <v/>
      </c>
      <c r="N82" s="288" t="str">
        <f>IF($E$51&lt;&gt;"",IF(KG$105="Y","&lt;",""),"")</f>
        <v/>
      </c>
      <c r="O82" s="288" t="str">
        <f>IF(E51&lt;&gt;"",IF(EF35&lt;&gt;"",IF(OR('Outfall 1 Limits'!$AX$28="C1",'Outfall 1 Limits'!$AX$28="L"),IF(EF35&gt;=1,IF('Outfall 1 Limits'!$AO$28=0,ROUND(EF35,0),TEXT(EF35,"0."&amp;REPT("0",LEN('Outfall 1 Limits'!$O28)-FIND(".",'Outfall 1 Limits'!$O28)))),ROUND(EF35,1-(1+INT(LOG10(ABS(EF35)))))),ROUND(EF35,$O126)),""),"")</f>
        <v/>
      </c>
      <c r="P82" s="288" t="str">
        <f>IF($E$51&lt;&gt;"",IF(KH$105="Y","&lt;",""),"")</f>
        <v/>
      </c>
      <c r="Q82" s="288" t="str">
        <f>IF(E51&lt;&gt;"",IF(EG35&lt;&gt;"",IF(OR('Outfall 1 Limits'!$AX$32="C1",'Outfall 1 Limits'!$AX$32="L"),IF(EG35&gt;=1,IF('Outfall 1 Limits'!$AO$32=0,ROUND(EG35,0),TEXT(EG35,"0."&amp;REPT("0",LEN('Outfall 1 Limits'!$O32)-FIND(".",'Outfall 1 Limits'!$O32)))),ROUND(EG35,1-(1+INT(LOG10(ABS(EG35)))))),ROUND(EG35,$Q126)),""),"")</f>
        <v/>
      </c>
      <c r="R82" s="288" t="str">
        <f>IF($E$51&lt;&gt;"",IF(KI$105="Y","&lt;",""),"")</f>
        <v/>
      </c>
      <c r="S82" s="288" t="str">
        <f>IF(E51&lt;&gt;"",IF(EH35&lt;&gt;"",IF(OR('Outfall 1 Limits'!$AX$36="C1",'Outfall 1 Limits'!$AX$36="L"),IF(EH35&gt;=1,IF('Outfall 1 Limits'!$AO$36=0,ROUND(EH35,0),TEXT(EH35,"0."&amp;REPT("0",LEN('Outfall 1 Limits'!$O36)-FIND(".",'Outfall 1 Limits'!$O36)))),ROUND(EH35,1-(1+INT(LOG10(ABS(EH35)))))),ROUND(EH35,$S126)),""),"")</f>
        <v/>
      </c>
      <c r="T82" s="288" t="str">
        <f>IF($E$51&lt;&gt;"",IF(KJ$105="Y","&lt;",""),"")</f>
        <v/>
      </c>
      <c r="U82" s="288" t="str">
        <f>IF(E51&lt;&gt;"",IF(EI35&lt;&gt;"",IF(OR('Outfall 1 Limits'!$AX$40="C1",'Outfall 1 Limits'!$AX$40="L"),IF(EI35&gt;=1,IF('Outfall 1 Limits'!$AO$40=0,ROUND(EI35,0),TEXT(EI35,"0."&amp;REPT("0",LEN('Outfall 1 Limits'!$O40)-FIND(".",'Outfall 1 Limits'!$O40)))),ROUND(EI35,1-(1+INT(LOG10(ABS(EI35)))))),ROUND(EI35,$U126)),""),"")</f>
        <v/>
      </c>
      <c r="V82" s="288" t="str">
        <f>IF($E$51&lt;&gt;"",IF(KK$105="Y","&lt;",""),"")</f>
        <v/>
      </c>
      <c r="W82" s="288" t="str">
        <f>IF(E51&lt;&gt;"",IF(EJ35&lt;&gt;"",IF(OR('Outfall 1 Limits'!$AX$44="C1",'Outfall 1 Limits'!$AX$44="L"),IF(EJ35&gt;=1,IF('Outfall 1 Limits'!$AO$44=0,ROUND(EJ35,0),TEXT(EJ35,"0."&amp;REPT("0",LEN('Outfall 1 Limits'!$O44)-FIND(".",'Outfall 1 Limits'!$O44)))),ROUND(EJ35,1-(1+INT(LOG10(ABS(EJ35)))))),ROUND(EJ35,$W126)),""),"")</f>
        <v/>
      </c>
      <c r="X82" s="288" t="str">
        <f>IF($E$51&lt;&gt;"",IF(KL$105="Y","&lt;",""),"")</f>
        <v/>
      </c>
      <c r="Y82" s="288" t="str">
        <f>IF(E51&lt;&gt;"",IF(EK35&lt;&gt;"",IF(OR('Outfall 1 Limits'!$AX$48="C1",'Outfall 1 Limits'!$AX$48="L"),IF(EK35&gt;=1,IF('Outfall 1 Limits'!$AO$48=0,ROUND(EK35,0),TEXT(EK35,"0."&amp;REPT("0",LEN('Outfall 1 Limits'!$O48)-FIND(".",'Outfall 1 Limits'!$O48)))),ROUND(EK35,1-(1+INT(LOG10(ABS(EK35)))))),ROUND(EK35,$Y126)),""),"")</f>
        <v/>
      </c>
      <c r="Z82" s="288" t="str">
        <f>IF($E$51&lt;&gt;"",IF(KM$105="Y","&lt;",""),"")</f>
        <v/>
      </c>
      <c r="AA82" s="288" t="str">
        <f>IF(E51&lt;&gt;"",IF(EL35&lt;&gt;"",IF(OR('Outfall 1 Limits'!$AX$52="C1",'Outfall 1 Limits'!$AX$52="L"),IF(EL35&gt;=1,IF('Outfall 1 Limits'!$AO$52=0,ROUND(EL35,0),TEXT(EL35,"0."&amp;REPT("0",LEN('Outfall 1 Limits'!$O52)-FIND(".",'Outfall 1 Limits'!$O52)))),ROUND(EL35,1-(1+INT(LOG10(ABS(EL35)))))),ROUND(EL35,$AA126)),""),"")</f>
        <v/>
      </c>
      <c r="AB82" s="288" t="str">
        <f>IF($E$51&lt;&gt;"",IF(KN$105="Y","&lt;",""),"")</f>
        <v/>
      </c>
      <c r="AC82" s="288" t="str">
        <f>IF(E51&lt;&gt;"",IF(EM35&lt;&gt;"",IF(OR('Outfall 1 Limits'!$AX$56="C1",'Outfall 1 Limits'!$AX$56="L"),IF(EM35&gt;=1,IF('Outfall 1 Limits'!$AO$56=0,ROUND(EM35,0),TEXT(EM35,"0."&amp;REPT("0",LEN('Outfall 1 Limits'!$O56)-FIND(".",'Outfall 1 Limits'!$O56)))),ROUND(EM35,1-(1+INT(LOG10(ABS(EM35)))))),ROUND(EM35,$AC126)),""),"")</f>
        <v/>
      </c>
      <c r="AD82" s="288" t="str">
        <f>IF($E$51&lt;&gt;"",IF(KO$105="Y","&lt;",""),"")</f>
        <v/>
      </c>
      <c r="AE82" s="288" t="str">
        <f>IF(E51&lt;&gt;"",IF(EN35&lt;&gt;"",IF(OR('Outfall 1 Limits'!$AX$60="C1",'Outfall 1 Limits'!$AX$60="L"),IF(EN35&gt;=1,IF('Outfall 1 Limits'!$AO$60=0,ROUND(EN35,0),TEXT(EN35,"0."&amp;REPT("0",LEN('Outfall 1 Limits'!$O60)-FIND(".",'Outfall 1 Limits'!$O60)))),ROUND(EN35,1-(1+INT(LOG10(ABS(EN35)))))),ROUND(EN35,$AE126)),""),"")</f>
        <v/>
      </c>
      <c r="AF82" s="288" t="str">
        <f>IF($E$51&lt;&gt;"",IF(KP$105="Y","&lt;",""),"")</f>
        <v/>
      </c>
      <c r="AG82" s="288" t="str">
        <f>IF(E51&lt;&gt;"",IF(EO35&lt;&gt;"",IF(OR('Outfall 1 Limits'!$AX$64="C1",'Outfall 1 Limits'!$AX$64="L"),IF(EO35&gt;=1,IF('Outfall 1 Limits'!$AO$64=0,ROUND(EO35,0),TEXT(EO35,"0."&amp;REPT("0",LEN('Outfall 1 Limits'!$O64)-FIND(".",'Outfall 1 Limits'!$O64)))),ROUND(EO35,1-(1+INT(LOG10(ABS(EO35)))))),ROUND(EO35,$AG126)),""),"")</f>
        <v/>
      </c>
      <c r="AH82" s="288" t="str">
        <f>IF($E$51&lt;&gt;"",IF(KQ$105="Y","&lt;",""),"")</f>
        <v/>
      </c>
      <c r="AI82" s="288" t="str">
        <f>IF(E51&lt;&gt;"",IF(EP35&lt;&gt;"",IF(OR('Outfall 1 Limits'!$AX$68="C1",'Outfall 1 Limits'!$AX$68="L"),IF(EP35&gt;=1,IF('Outfall 1 Limits'!$AO$68=0,ROUND(EP35,0),TEXT(EP35,"0."&amp;REPT("0",LEN('Outfall 1 Limits'!$O68)-FIND(".",'Outfall 1 Limits'!$O68)))),ROUND(EP35,1-(1+INT(LOG10(ABS(EP35)))))),ROUND(EP35,$AI126)),""),"")</f>
        <v/>
      </c>
      <c r="AJ82" s="288" t="str">
        <f>IF($E$51&lt;&gt;"",IF(KR$105="Y","&lt;",""),"")</f>
        <v/>
      </c>
      <c r="AK82" s="288" t="str">
        <f>IF(E51&lt;&gt;"",IF(EQ35&lt;&gt;"",IF(OR('Outfall 1 Limits'!$AX$72="C1",'Outfall 1 Limits'!$AX$72="L"),IF(EQ35&gt;=1,IF('Outfall 1 Limits'!$AO$72=0,ROUND(EQ35,0),TEXT(EQ35,"0."&amp;REPT("0",LEN('Outfall 1 Limits'!$O72)-FIND(".",'Outfall 1 Limits'!$O72)))),ROUND(EQ35,1-(1+INT(LOG10(ABS(EQ35)))))),ROUND(EQ35,$AK126)),""),"")</f>
        <v/>
      </c>
      <c r="AL82" s="288" t="str">
        <f>IF($E$51&lt;&gt;"",IF(KS$105="Y","&lt;",""),"")</f>
        <v/>
      </c>
      <c r="AM82" s="288" t="str">
        <f>IF(E51&lt;&gt;"",IF(ER35&lt;&gt;"",IF(OR('Outfall 1 Limits'!$AX$76="C1",'Outfall 1 Limits'!$AX$76="L"),IF(ER35&gt;=1,IF('Outfall 1 Limits'!$AO$76=0,ROUND(ER35,0),TEXT(ER35,"0."&amp;REPT("0",LEN('Outfall 1 Limits'!$O76)-FIND(".",'Outfall 1 Limits'!$O76)))),ROUND(ER35,1-(1+INT(LOG10(ABS(ER35)))))),ROUND(ER35,$AM126)),""),"")</f>
        <v/>
      </c>
      <c r="AN82" s="288" t="str">
        <f>IF($E$51&lt;&gt;"",IF(KT$105="Y","&lt;",""),"")</f>
        <v/>
      </c>
      <c r="AO82" s="288" t="str">
        <f>IF(E51&lt;&gt;"",IF(ES35&lt;&gt;"",IF(OR('Outfall 1 Limits'!$AX$80="C1",'Outfall 1 Limits'!$AX$80="L"),IF(ES35&gt;=1,IF('Outfall 1 Limits'!$AO$80=0,ROUND(ES35,0),TEXT(ES35,"0."&amp;REPT("0",LEN('Outfall 1 Limits'!$O80)-FIND(".",'Outfall 1 Limits'!$O80)))),ROUND(ES35,1-(1+INT(LOG10(ABS(ES35)))))),ROUND(ES35,$AO126)),""),"")</f>
        <v/>
      </c>
      <c r="AP82" s="288" t="str">
        <f>IF($E$51&lt;&gt;"",IF(KU$105="Y","&lt;",""),"")</f>
        <v/>
      </c>
      <c r="AQ82" s="288" t="str">
        <f>IF(E51&lt;&gt;"",IF(ET35&lt;&gt;"",IF(OR('Outfall 1 Limits'!$AX$84="C1",'Outfall 1 Limits'!$AX$84="L"),IF(ET35&gt;=1,IF('Outfall 1 Limits'!$AO$84=0,ROUND(ET35,0),TEXT(ET35,"0."&amp;REPT("0",LEN('Outfall 1 Limits'!$O84)-FIND(".",'Outfall 1 Limits'!$O84)))),ROUND(ET35,1-(1+INT(LOG10(ABS(ET35)))))),ROUND(ET35,$AQ126)),""),"")</f>
        <v/>
      </c>
      <c r="AR82" s="288" t="str">
        <f>IF($E$51&lt;&gt;"",IF(KV$105="Y","&lt;",""),"")</f>
        <v/>
      </c>
      <c r="AS82" s="288" t="str">
        <f>IF(E51&lt;&gt;"",IF(EU35&lt;&gt;"",IF(OR('Outfall 1 Limits'!$AX$88="C1",'Outfall 1 Limits'!$AX$88="L"),IF(EU35&gt;=1,IF('Outfall 1 Limits'!$AO$88=0,ROUND(EU35,0),TEXT(EU35,"0."&amp;REPT("0",LEN('Outfall 1 Limits'!$O88)-FIND(".",'Outfall 1 Limits'!$O88)))),ROUND(EU35,1-(1+INT(LOG10(ABS(EU35)))))),ROUND(EU35,$AS126)),""),"")</f>
        <v/>
      </c>
      <c r="AT82" s="288" t="str">
        <f>IF($E$51&lt;&gt;"",IF(KW$105="Y","&lt;",""),"")</f>
        <v/>
      </c>
      <c r="AU82" s="288" t="str">
        <f>IF(E51&lt;&gt;"",IF(EV35&lt;&gt;"",IF(OR('Outfall 1 Limits'!$AX$92="C1",'Outfall 1 Limits'!$AX$92="L"),IF(EV35&gt;=1,IF('Outfall 1 Limits'!$AO$92=0,ROUND(EV35,0),TEXT(EV35,"0."&amp;REPT("0",LEN('Outfall 1 Limits'!$O92)-FIND(".",'Outfall 1 Limits'!$O92)))),ROUND(EV35,1-(1+INT(LOG10(ABS(EV35)))))),ROUND(EV35,$AU126)),""),"")</f>
        <v/>
      </c>
      <c r="AV82" s="288" t="str">
        <f>IF($E$51&lt;&gt;"",IF(KX$105="Y","&lt;",""),"")</f>
        <v/>
      </c>
      <c r="AW82" s="288" t="str">
        <f>IF(E51&lt;&gt;"",IF(EW35&lt;&gt;"",IF(OR('Outfall 1 Limits'!$AX$96="C1",'Outfall 1 Limits'!$AX$96="L"),IF(EW35&gt;=1,IF('Outfall 1 Limits'!$AO$96=0,ROUND(EW35,0),TEXT(EW35,"0."&amp;REPT("0",LEN('Outfall 1 Limits'!$O96)-FIND(".",'Outfall 1 Limits'!$O96)))),ROUND(EW35,1-(1+INT(LOG10(ABS(EW35)))))),ROUND(EW35,$AW126)),""),"")</f>
        <v/>
      </c>
      <c r="AX82" s="288" t="str">
        <f>IF($E$51&lt;&gt;"",IF(KY$105="Y","&lt;",""),"")</f>
        <v/>
      </c>
      <c r="AY82" s="288" t="str">
        <f>IF(E51&lt;&gt;"",IF(EX35&lt;&gt;"",IF(OR('Outfall 1 Limits'!$AX$100="C1",'Outfall 1 Limits'!$AX$100="L"),IF(EX35&gt;=1,IF('Outfall 1 Limits'!$AO$100=0,ROUND(EX35,0),TEXT(EX35,"0."&amp;REPT("0",LEN('Outfall 1 Limits'!$O100)-FIND(".",'Outfall 1 Limits'!$O100)))),ROUND(EX35,1-(1+INT(LOG10(ABS(EX35)))))),ROUND(EX35,$AY126)),""),"")</f>
        <v/>
      </c>
      <c r="AZ82" s="288" t="str">
        <f>IF($E$51&lt;&gt;"",IF(KZ$105="Y","&lt;",""),"")</f>
        <v/>
      </c>
      <c r="BA82" s="288" t="str">
        <f>IF(E51&lt;&gt;"",IF(EY35&lt;&gt;"",IF(OR('Outfall 1 Limits'!$AX$104="C1",'Outfall 1 Limits'!$AX$104="L"),IF(EY35&gt;=1,IF('Outfall 1 Limits'!$AO$104=0,ROUND(EY35,0),TEXT(EY35,"0."&amp;REPT("0",LEN('Outfall 1 Limits'!$O104)-FIND(".",'Outfall 1 Limits'!$O104)))),ROUND(EY35,1-(1+INT(LOG10(ABS(EY35)))))),ROUND(EY35,$BA126)),""),"")</f>
        <v/>
      </c>
      <c r="BB82" s="288" t="str">
        <f>IF($E$51&lt;&gt;"",IF(LA$105="Y","&lt;",""),"")</f>
        <v/>
      </c>
      <c r="BC82" s="288" t="str">
        <f>IF(E51&lt;&gt;"",IF(EZ35&lt;&gt;"",IF(OR('Outfall 1 Limits'!$AX$108="C1",'Outfall 1 Limits'!$AX$108="L"),IF(EZ35&gt;=1,IF('Outfall 1 Limits'!$AO$108=0,ROUND(EZ35,0),TEXT(EZ35,"0."&amp;REPT("0",LEN('Outfall 1 Limits'!$O108)-FIND(".",'Outfall 1 Limits'!$O108)))),ROUND(EZ35,1-(1+INT(LOG10(ABS(EZ35)))))),ROUND(EZ35,$BC126)),""),"")</f>
        <v/>
      </c>
      <c r="BD82" s="288" t="str">
        <f>IF($E$51&lt;&gt;"",IF(LB$105="Y","&lt;",""),"")</f>
        <v/>
      </c>
      <c r="BE82" s="288" t="str">
        <f>IF(E51&lt;&gt;"",IF(FA35&lt;&gt;"",IF(OR('Outfall 1 Limits'!$AX$112="C1",'Outfall 1 Limits'!$AX$112="L"),IF(FA35&gt;=1,IF('Outfall 1 Limits'!$AO$112=0,ROUND(FA35,0),TEXT(FA35,"0."&amp;REPT("0",LEN('Outfall 1 Limits'!$O112)-FIND(".",'Outfall 1 Limits'!$O112)))),ROUND(FA35,1-(1+INT(LOG10(ABS(FA35)))))),ROUND(FA35,$BE126)),""),"")</f>
        <v/>
      </c>
      <c r="BF82" s="288" t="str">
        <f>IF($E$51&lt;&gt;"",IF(LC$105="Y","&lt;",""),"")</f>
        <v/>
      </c>
      <c r="BG82" s="288" t="str">
        <f>IF(E51&lt;&gt;"",IF(FB35&lt;&gt;"",IF(OR('Outfall 1 Limits'!$AX$116="C1",'Outfall 1 Limits'!$AX$116="L"),IF(FB35&gt;=1,IF('Outfall 1 Limits'!$AO$116=0,ROUND(FB35,0),TEXT(FB35,"0."&amp;REPT("0",LEN('Outfall 1 Limits'!$O116)-FIND(".",'Outfall 1 Limits'!$O116)))),ROUND(FB35,1-(1+INT(LOG10(ABS(FB35)))))),ROUND(FB35,$BG126)),""),"")</f>
        <v/>
      </c>
      <c r="BH82" s="288" t="str">
        <f>IF($E$51&lt;&gt;"",IF(LD$105="Y","&lt;",""),"")</f>
        <v/>
      </c>
      <c r="BI82" s="288" t="str">
        <f>IF(E51&lt;&gt;"",IF(FC35&lt;&gt;"",IF(OR('Outfall 1 Limits'!$AX$120="C1",'Outfall 1 Limits'!$AX$120="L"),IF(FC35&gt;=1,IF('Outfall 1 Limits'!$AO$120=0,ROUND(FC35,0),TEXT(FC35,"0."&amp;REPT("0",LEN('Outfall 1 Limits'!$O120)-FIND(".",'Outfall 1 Limits'!$O120)))),ROUND(FC35,1-(1+INT(LOG10(ABS(FC35)))))),ROUND(FC35,$BI126)),""),"")</f>
        <v/>
      </c>
      <c r="BJ82" s="288" t="str">
        <f>IF($E$51&lt;&gt;"",IF(LE$105="Y","&lt;",""),"")</f>
        <v/>
      </c>
      <c r="BK82" s="288" t="str">
        <f>IF(E51&lt;&gt;"",IF(FD35&lt;&gt;"",IF(OR('Outfall 1 Limits'!$AX$124="C1",'Outfall 1 Limits'!$AX$124="L"),IF(FD35&gt;=1,IF('Outfall 1 Limits'!$AO$124=0,ROUND(FD35,0),TEXT(FD35,"0."&amp;REPT("0",LEN('Outfall 1 Limits'!$O124)-FIND(".",'Outfall 1 Limits'!$O124)))),ROUND(FD35,1-(1+INT(LOG10(ABS(FD35)))))),ROUND(FD35,$BK126)),""),"")</f>
        <v/>
      </c>
      <c r="BL82" s="288" t="str">
        <f>IF($E$51&lt;&gt;"",IF(LF$105="Y","&lt;",""),"")</f>
        <v/>
      </c>
      <c r="BM82" s="288" t="str">
        <f>IF(E51&lt;&gt;"",IF(FE35&lt;&gt;"",IF(OR('Outfall 1 Limits'!$AX$128="C1",'Outfall 1 Limits'!$AX$128="L"),IF(FE35&gt;=1,IF('Outfall 1 Limits'!$AO$128=0,ROUND(FE35,0),TEXT(FE35,"0."&amp;REPT("0",LEN('Outfall 1 Limits'!$O128)-FIND(".",'Outfall 1 Limits'!$O128)))),ROUND(FE35,1-(1+INT(LOG10(ABS(FE35)))))),ROUND(FE35,$BM126)),""),"")</f>
        <v/>
      </c>
      <c r="CX82" s="172"/>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75"/>
      <c r="EA82" s="175"/>
      <c r="EB82" s="176"/>
      <c r="EC82" s="172"/>
      <c r="ED82" s="172"/>
      <c r="EE82" s="172"/>
      <c r="EF82" s="172"/>
      <c r="EG82" s="172"/>
      <c r="EH82" s="172"/>
      <c r="EI82" s="172"/>
      <c r="EJ82" s="172"/>
      <c r="EK82" s="172"/>
      <c r="EL82" s="172"/>
      <c r="EM82" s="172"/>
      <c r="EN82" s="172"/>
      <c r="EO82" s="172"/>
      <c r="EP82" s="172"/>
      <c r="EQ82" s="172"/>
      <c r="ER82" s="172"/>
      <c r="ES82" s="172"/>
      <c r="ET82" s="172"/>
      <c r="EU82" s="172"/>
      <c r="EV82" s="172"/>
      <c r="EW82" s="172"/>
      <c r="EX82" s="172"/>
      <c r="EY82" s="172"/>
      <c r="EZ82" s="172"/>
      <c r="FA82" s="172"/>
      <c r="FB82" s="172"/>
      <c r="FC82" s="172"/>
      <c r="FD82" s="172"/>
      <c r="FE82" s="172"/>
      <c r="FF82" s="172"/>
      <c r="FG82" s="172"/>
      <c r="FH82" s="172"/>
      <c r="FI82" s="172"/>
      <c r="FJ82" s="172"/>
      <c r="FK82" s="172"/>
      <c r="FL82" s="172"/>
      <c r="FM82" s="172"/>
      <c r="FN82" s="172"/>
      <c r="FO82" s="172"/>
      <c r="FP82" s="172"/>
      <c r="FQ82" s="172"/>
      <c r="FR82" s="172"/>
      <c r="FS82" s="172"/>
      <c r="FT82" s="172"/>
      <c r="FU82" s="172"/>
      <c r="FV82" s="172"/>
      <c r="FW82" s="172"/>
      <c r="FX82" s="172"/>
      <c r="FY82" s="172"/>
      <c r="FZ82" s="172"/>
      <c r="GA82" s="172"/>
      <c r="GB82" s="172"/>
      <c r="GC82" s="172"/>
      <c r="GD82" s="172"/>
      <c r="GE82" s="172"/>
      <c r="GF82" s="172"/>
      <c r="GG82" s="172"/>
      <c r="GH82" s="172"/>
      <c r="GI82" s="172"/>
      <c r="GJ82" s="261"/>
      <c r="GK82" s="206"/>
      <c r="GL82" s="206"/>
      <c r="GM82" s="206"/>
      <c r="GN82" s="206"/>
      <c r="GO82" s="206"/>
      <c r="GP82" s="206"/>
      <c r="GQ82" s="206"/>
      <c r="GR82" s="206"/>
      <c r="GS82" s="206"/>
      <c r="GT82" s="206"/>
      <c r="GU82" s="206"/>
      <c r="GV82" s="206"/>
      <c r="GW82" s="206"/>
      <c r="GX82" s="206"/>
      <c r="GY82" s="206"/>
      <c r="GZ82" s="206"/>
      <c r="HA82" s="206"/>
      <c r="HB82" s="206"/>
      <c r="HC82" s="206"/>
      <c r="HD82" s="206"/>
      <c r="HE82" s="206"/>
      <c r="HF82" s="206"/>
      <c r="HG82" s="206"/>
      <c r="HH82" s="206"/>
      <c r="HI82" s="206"/>
      <c r="HJ82" s="206"/>
      <c r="HK82" s="206"/>
      <c r="HL82" s="206"/>
      <c r="HM82" s="206"/>
      <c r="KC82" s="248" t="s">
        <v>1197</v>
      </c>
      <c r="KD82" s="174">
        <f>COUNTIF(KD24:KD30,"A")</f>
        <v>0</v>
      </c>
      <c r="KE82" s="174">
        <f t="shared" ref="KE82:LF82" si="257">COUNTIF(KE24:KE30,"A")</f>
        <v>0</v>
      </c>
      <c r="KF82" s="174">
        <f t="shared" si="257"/>
        <v>0</v>
      </c>
      <c r="KG82" s="174">
        <f t="shared" si="257"/>
        <v>0</v>
      </c>
      <c r="KH82" s="174">
        <f t="shared" si="257"/>
        <v>0</v>
      </c>
      <c r="KI82" s="174">
        <f t="shared" si="257"/>
        <v>0</v>
      </c>
      <c r="KJ82" s="174">
        <f t="shared" si="257"/>
        <v>0</v>
      </c>
      <c r="KK82" s="174">
        <f t="shared" si="257"/>
        <v>0</v>
      </c>
      <c r="KL82" s="174">
        <f t="shared" si="257"/>
        <v>0</v>
      </c>
      <c r="KM82" s="174">
        <f t="shared" si="257"/>
        <v>0</v>
      </c>
      <c r="KN82" s="174">
        <f t="shared" si="257"/>
        <v>0</v>
      </c>
      <c r="KO82" s="174">
        <f t="shared" si="257"/>
        <v>0</v>
      </c>
      <c r="KP82" s="174">
        <f t="shared" si="257"/>
        <v>0</v>
      </c>
      <c r="KQ82" s="174">
        <f t="shared" si="257"/>
        <v>0</v>
      </c>
      <c r="KR82" s="174">
        <f t="shared" si="257"/>
        <v>0</v>
      </c>
      <c r="KS82" s="174">
        <f t="shared" si="257"/>
        <v>0</v>
      </c>
      <c r="KT82" s="174">
        <f t="shared" si="257"/>
        <v>0</v>
      </c>
      <c r="KU82" s="174">
        <f t="shared" si="257"/>
        <v>0</v>
      </c>
      <c r="KV82" s="174">
        <f t="shared" si="257"/>
        <v>0</v>
      </c>
      <c r="KW82" s="174">
        <f t="shared" si="257"/>
        <v>0</v>
      </c>
      <c r="KX82" s="174">
        <f t="shared" si="257"/>
        <v>0</v>
      </c>
      <c r="KY82" s="174">
        <f t="shared" si="257"/>
        <v>0</v>
      </c>
      <c r="KZ82" s="174">
        <f t="shared" si="257"/>
        <v>0</v>
      </c>
      <c r="LA82" s="174">
        <f t="shared" si="257"/>
        <v>0</v>
      </c>
      <c r="LB82" s="174">
        <f t="shared" si="257"/>
        <v>0</v>
      </c>
      <c r="LC82" s="174">
        <f t="shared" si="257"/>
        <v>0</v>
      </c>
      <c r="LD82" s="174">
        <f t="shared" si="257"/>
        <v>0</v>
      </c>
      <c r="LE82" s="174">
        <f t="shared" si="257"/>
        <v>0</v>
      </c>
      <c r="LF82" s="174">
        <f t="shared" si="257"/>
        <v>0</v>
      </c>
    </row>
    <row r="83" spans="1:318" s="5" customFormat="1" ht="11.25" customHeight="1" x14ac:dyDescent="0.2">
      <c r="A83" s="172"/>
      <c r="B83" s="174"/>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CX83"/>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
      <c r="EC83"/>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87"/>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KC83" s="148" t="s">
        <v>1198</v>
      </c>
      <c r="KD83" s="5">
        <f>COUNTIF(KD24:KD30,"B")</f>
        <v>0</v>
      </c>
      <c r="KE83" s="5">
        <f t="shared" ref="KE83:LF83" si="258">COUNTIF(KE24:KE30,"B")</f>
        <v>0</v>
      </c>
      <c r="KF83" s="5">
        <f t="shared" si="258"/>
        <v>0</v>
      </c>
      <c r="KG83" s="5">
        <f t="shared" si="258"/>
        <v>0</v>
      </c>
      <c r="KH83" s="5">
        <f t="shared" si="258"/>
        <v>0</v>
      </c>
      <c r="KI83" s="5">
        <f t="shared" si="258"/>
        <v>0</v>
      </c>
      <c r="KJ83" s="5">
        <f t="shared" si="258"/>
        <v>0</v>
      </c>
      <c r="KK83" s="5">
        <f t="shared" si="258"/>
        <v>0</v>
      </c>
      <c r="KL83" s="5">
        <f t="shared" si="258"/>
        <v>0</v>
      </c>
      <c r="KM83" s="5">
        <f t="shared" si="258"/>
        <v>0</v>
      </c>
      <c r="KN83" s="5">
        <f t="shared" si="258"/>
        <v>0</v>
      </c>
      <c r="KO83" s="5">
        <f t="shared" si="258"/>
        <v>0</v>
      </c>
      <c r="KP83" s="5">
        <f t="shared" si="258"/>
        <v>0</v>
      </c>
      <c r="KQ83" s="5">
        <f t="shared" si="258"/>
        <v>0</v>
      </c>
      <c r="KR83" s="5">
        <f t="shared" si="258"/>
        <v>0</v>
      </c>
      <c r="KS83" s="5">
        <f t="shared" si="258"/>
        <v>0</v>
      </c>
      <c r="KT83" s="5">
        <f t="shared" si="258"/>
        <v>0</v>
      </c>
      <c r="KU83" s="5">
        <f t="shared" si="258"/>
        <v>0</v>
      </c>
      <c r="KV83" s="5">
        <f t="shared" si="258"/>
        <v>0</v>
      </c>
      <c r="KW83" s="5">
        <f t="shared" si="258"/>
        <v>0</v>
      </c>
      <c r="KX83" s="5">
        <f t="shared" si="258"/>
        <v>0</v>
      </c>
      <c r="KY83" s="5">
        <f t="shared" si="258"/>
        <v>0</v>
      </c>
      <c r="KZ83" s="5">
        <f t="shared" si="258"/>
        <v>0</v>
      </c>
      <c r="LA83" s="5">
        <f t="shared" si="258"/>
        <v>0</v>
      </c>
      <c r="LB83" s="5">
        <f t="shared" si="258"/>
        <v>0</v>
      </c>
      <c r="LC83" s="5">
        <f t="shared" si="258"/>
        <v>0</v>
      </c>
      <c r="LD83" s="5">
        <f t="shared" si="258"/>
        <v>0</v>
      </c>
      <c r="LE83" s="5">
        <f t="shared" si="258"/>
        <v>0</v>
      </c>
      <c r="LF83" s="5">
        <f t="shared" si="258"/>
        <v>0</v>
      </c>
    </row>
    <row r="84" spans="1:318" s="5" customFormat="1" ht="11.25" hidden="1" customHeight="1" x14ac:dyDescent="0.2">
      <c r="A84"/>
      <c r="X84" s="174"/>
      <c r="CX84"/>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
      <c r="EC84"/>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87"/>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KC84" s="148" t="s">
        <v>1199</v>
      </c>
      <c r="KD84" s="5">
        <f>COUNTIF(KD24:KD30,"C")</f>
        <v>0</v>
      </c>
      <c r="KE84" s="5">
        <f t="shared" ref="KE84:LF84" si="259">COUNTIF(KE24:KE30,"C")</f>
        <v>0</v>
      </c>
      <c r="KF84" s="5">
        <f t="shared" si="259"/>
        <v>0</v>
      </c>
      <c r="KG84" s="5">
        <f t="shared" si="259"/>
        <v>0</v>
      </c>
      <c r="KH84" s="5">
        <f t="shared" si="259"/>
        <v>0</v>
      </c>
      <c r="KI84" s="5">
        <f t="shared" si="259"/>
        <v>0</v>
      </c>
      <c r="KJ84" s="5">
        <f t="shared" si="259"/>
        <v>0</v>
      </c>
      <c r="KK84" s="5">
        <f t="shared" si="259"/>
        <v>0</v>
      </c>
      <c r="KL84" s="5">
        <f t="shared" si="259"/>
        <v>0</v>
      </c>
      <c r="KM84" s="5">
        <f t="shared" si="259"/>
        <v>0</v>
      </c>
      <c r="KN84" s="5">
        <f t="shared" si="259"/>
        <v>0</v>
      </c>
      <c r="KO84" s="5">
        <f t="shared" si="259"/>
        <v>0</v>
      </c>
      <c r="KP84" s="5">
        <f t="shared" si="259"/>
        <v>0</v>
      </c>
      <c r="KQ84" s="5">
        <f t="shared" si="259"/>
        <v>0</v>
      </c>
      <c r="KR84" s="5">
        <f t="shared" si="259"/>
        <v>0</v>
      </c>
      <c r="KS84" s="5">
        <f t="shared" si="259"/>
        <v>0</v>
      </c>
      <c r="KT84" s="5">
        <f t="shared" si="259"/>
        <v>0</v>
      </c>
      <c r="KU84" s="5">
        <f t="shared" si="259"/>
        <v>0</v>
      </c>
      <c r="KV84" s="5">
        <f t="shared" si="259"/>
        <v>0</v>
      </c>
      <c r="KW84" s="5">
        <f t="shared" si="259"/>
        <v>0</v>
      </c>
      <c r="KX84" s="5">
        <f t="shared" si="259"/>
        <v>0</v>
      </c>
      <c r="KY84" s="5">
        <f t="shared" si="259"/>
        <v>0</v>
      </c>
      <c r="KZ84" s="5">
        <f t="shared" si="259"/>
        <v>0</v>
      </c>
      <c r="LA84" s="5">
        <f t="shared" si="259"/>
        <v>0</v>
      </c>
      <c r="LB84" s="5">
        <f t="shared" si="259"/>
        <v>0</v>
      </c>
      <c r="LC84" s="5">
        <f t="shared" si="259"/>
        <v>0</v>
      </c>
      <c r="LD84" s="5">
        <f t="shared" si="259"/>
        <v>0</v>
      </c>
      <c r="LE84" s="5">
        <f t="shared" si="259"/>
        <v>0</v>
      </c>
      <c r="LF84" s="5">
        <f t="shared" si="259"/>
        <v>0</v>
      </c>
    </row>
    <row r="85" spans="1:318" s="5" customFormat="1" ht="11.25" hidden="1" customHeight="1" x14ac:dyDescent="0.2">
      <c r="A85"/>
      <c r="D85" s="12"/>
      <c r="E85"/>
      <c r="F85"/>
      <c r="G85" s="28" t="s">
        <v>406</v>
      </c>
      <c r="H85"/>
      <c r="I85"/>
      <c r="J85"/>
      <c r="K85"/>
      <c r="L85"/>
      <c r="M85"/>
      <c r="N85"/>
      <c r="O85"/>
      <c r="P85"/>
      <c r="Q85"/>
      <c r="R85"/>
      <c r="S85"/>
      <c r="T85"/>
      <c r="U85"/>
      <c r="V85"/>
      <c r="W85"/>
      <c r="X85" s="174"/>
      <c r="Y85"/>
      <c r="Z85"/>
      <c r="AA85"/>
      <c r="AB85"/>
      <c r="AC85"/>
      <c r="AD85"/>
      <c r="AE85"/>
      <c r="AF85"/>
      <c r="AG85"/>
      <c r="AH85"/>
      <c r="AI85"/>
      <c r="AJ85"/>
      <c r="AK85"/>
      <c r="AL85"/>
      <c r="AM85"/>
      <c r="AN85" s="15"/>
      <c r="AO85"/>
      <c r="AP85"/>
      <c r="AQ85"/>
      <c r="AR85"/>
      <c r="AS85"/>
      <c r="AT85"/>
      <c r="AU85"/>
      <c r="AV85"/>
      <c r="AW85"/>
      <c r="AX85"/>
      <c r="AY85"/>
      <c r="AZ85"/>
      <c r="BA85"/>
      <c r="BB85"/>
      <c r="BC85"/>
      <c r="BD85"/>
      <c r="BE85"/>
      <c r="BF85"/>
      <c r="BG85"/>
      <c r="BH85"/>
      <c r="BI85"/>
      <c r="BJ85"/>
      <c r="BK85"/>
      <c r="BL85"/>
      <c r="BM85"/>
      <c r="CX85"/>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
      <c r="EC85"/>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87"/>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KC85" s="148" t="s">
        <v>839</v>
      </c>
      <c r="KD85" s="5">
        <f>SUM(KD82:KD84)</f>
        <v>0</v>
      </c>
      <c r="KE85" s="5">
        <f t="shared" ref="KE85:LF85" si="260">SUM(KE82:KE84)</f>
        <v>0</v>
      </c>
      <c r="KF85" s="5">
        <f t="shared" si="260"/>
        <v>0</v>
      </c>
      <c r="KG85" s="5">
        <f t="shared" si="260"/>
        <v>0</v>
      </c>
      <c r="KH85" s="5">
        <f t="shared" si="260"/>
        <v>0</v>
      </c>
      <c r="KI85" s="5">
        <f t="shared" si="260"/>
        <v>0</v>
      </c>
      <c r="KJ85" s="5">
        <f t="shared" si="260"/>
        <v>0</v>
      </c>
      <c r="KK85" s="5">
        <f t="shared" si="260"/>
        <v>0</v>
      </c>
      <c r="KL85" s="5">
        <f t="shared" si="260"/>
        <v>0</v>
      </c>
      <c r="KM85" s="5">
        <f t="shared" si="260"/>
        <v>0</v>
      </c>
      <c r="KN85" s="5">
        <f t="shared" si="260"/>
        <v>0</v>
      </c>
      <c r="KO85" s="5">
        <f t="shared" si="260"/>
        <v>0</v>
      </c>
      <c r="KP85" s="5">
        <f t="shared" si="260"/>
        <v>0</v>
      </c>
      <c r="KQ85" s="5">
        <f t="shared" si="260"/>
        <v>0</v>
      </c>
      <c r="KR85" s="5">
        <f t="shared" si="260"/>
        <v>0</v>
      </c>
      <c r="KS85" s="5">
        <f t="shared" si="260"/>
        <v>0</v>
      </c>
      <c r="KT85" s="5">
        <f t="shared" si="260"/>
        <v>0</v>
      </c>
      <c r="KU85" s="5">
        <f t="shared" si="260"/>
        <v>0</v>
      </c>
      <c r="KV85" s="5">
        <f t="shared" si="260"/>
        <v>0</v>
      </c>
      <c r="KW85" s="5">
        <f t="shared" si="260"/>
        <v>0</v>
      </c>
      <c r="KX85" s="5">
        <f t="shared" si="260"/>
        <v>0</v>
      </c>
      <c r="KY85" s="5">
        <f t="shared" si="260"/>
        <v>0</v>
      </c>
      <c r="KZ85" s="5">
        <f t="shared" si="260"/>
        <v>0</v>
      </c>
      <c r="LA85" s="5">
        <f t="shared" si="260"/>
        <v>0</v>
      </c>
      <c r="LB85" s="5">
        <f t="shared" si="260"/>
        <v>0</v>
      </c>
      <c r="LC85" s="5">
        <f t="shared" si="260"/>
        <v>0</v>
      </c>
      <c r="LD85" s="5">
        <f t="shared" si="260"/>
        <v>0</v>
      </c>
      <c r="LE85" s="5">
        <f t="shared" si="260"/>
        <v>0</v>
      </c>
      <c r="LF85" s="5">
        <f t="shared" si="260"/>
        <v>0</v>
      </c>
    </row>
    <row r="86" spans="1:318" s="5" customFormat="1" ht="11.25" hidden="1" customHeight="1" thickBot="1" x14ac:dyDescent="0.25">
      <c r="A86"/>
      <c r="X86" s="174"/>
      <c r="CX86"/>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
      <c r="EC86"/>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87"/>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KC86" s="148" t="s">
        <v>1182</v>
      </c>
      <c r="KD86" s="5" t="str">
        <f>IF(KD85&lt;&gt;0,IF(OR(KD82=KD85,(KD82+KD83)=KD85),"Y",IF(OR(AND(KD83=0,KD84&gt;0),KD84=KD85),"N","Y")),"")</f>
        <v/>
      </c>
      <c r="KE86" s="5" t="str">
        <f t="shared" ref="KE86:LF86" si="261">IF(KE85&lt;&gt;0,IF(OR(KE82=KE85,(KE82+KE83)=KE85),"Y",IF(OR(AND(KE83=0,KE84&gt;0),KE84=KE85),"N","Y")),"")</f>
        <v/>
      </c>
      <c r="KF86" s="5" t="str">
        <f t="shared" si="261"/>
        <v/>
      </c>
      <c r="KG86" s="5" t="str">
        <f t="shared" si="261"/>
        <v/>
      </c>
      <c r="KH86" s="5" t="str">
        <f t="shared" si="261"/>
        <v/>
      </c>
      <c r="KI86" s="5" t="str">
        <f t="shared" si="261"/>
        <v/>
      </c>
      <c r="KJ86" s="5" t="str">
        <f t="shared" si="261"/>
        <v/>
      </c>
      <c r="KK86" s="5" t="str">
        <f t="shared" si="261"/>
        <v/>
      </c>
      <c r="KL86" s="5" t="str">
        <f t="shared" si="261"/>
        <v/>
      </c>
      <c r="KM86" s="5" t="str">
        <f t="shared" si="261"/>
        <v/>
      </c>
      <c r="KN86" s="5" t="str">
        <f t="shared" si="261"/>
        <v/>
      </c>
      <c r="KO86" s="5" t="str">
        <f t="shared" si="261"/>
        <v/>
      </c>
      <c r="KP86" s="5" t="str">
        <f t="shared" si="261"/>
        <v/>
      </c>
      <c r="KQ86" s="5" t="str">
        <f t="shared" si="261"/>
        <v/>
      </c>
      <c r="KR86" s="5" t="str">
        <f t="shared" si="261"/>
        <v/>
      </c>
      <c r="KS86" s="5" t="str">
        <f t="shared" si="261"/>
        <v/>
      </c>
      <c r="KT86" s="5" t="str">
        <f t="shared" si="261"/>
        <v/>
      </c>
      <c r="KU86" s="5" t="str">
        <f t="shared" si="261"/>
        <v/>
      </c>
      <c r="KV86" s="5" t="str">
        <f t="shared" si="261"/>
        <v/>
      </c>
      <c r="KW86" s="5" t="str">
        <f t="shared" si="261"/>
        <v/>
      </c>
      <c r="KX86" s="5" t="str">
        <f t="shared" si="261"/>
        <v/>
      </c>
      <c r="KY86" s="5" t="str">
        <f t="shared" si="261"/>
        <v/>
      </c>
      <c r="KZ86" s="5" t="str">
        <f t="shared" si="261"/>
        <v/>
      </c>
      <c r="LA86" s="5" t="str">
        <f t="shared" si="261"/>
        <v/>
      </c>
      <c r="LB86" s="5" t="str">
        <f t="shared" si="261"/>
        <v/>
      </c>
      <c r="LC86" s="5" t="str">
        <f t="shared" si="261"/>
        <v/>
      </c>
      <c r="LD86" s="5" t="str">
        <f t="shared" si="261"/>
        <v/>
      </c>
      <c r="LE86" s="5" t="str">
        <f t="shared" si="261"/>
        <v/>
      </c>
      <c r="LF86" s="5" t="str">
        <f t="shared" si="261"/>
        <v/>
      </c>
    </row>
    <row r="87" spans="1:318" s="5" customFormat="1" ht="11.25" hidden="1" customHeight="1" thickTop="1" x14ac:dyDescent="0.2">
      <c r="A87"/>
      <c r="G87" s="74" t="str">
        <f>G11</f>
        <v>Flow</v>
      </c>
      <c r="H87" s="75"/>
      <c r="I87" s="75" t="str">
        <f>H11</f>
        <v/>
      </c>
      <c r="J87" s="75"/>
      <c r="K87" s="75" t="str">
        <f>J11</f>
        <v/>
      </c>
      <c r="L87" s="75"/>
      <c r="M87" s="75" t="str">
        <f>L11</f>
        <v/>
      </c>
      <c r="N87" s="75"/>
      <c r="O87" s="75" t="str">
        <f>N11</f>
        <v/>
      </c>
      <c r="P87" s="75"/>
      <c r="Q87" s="75" t="str">
        <f>P11</f>
        <v/>
      </c>
      <c r="R87" s="75"/>
      <c r="S87" s="75" t="str">
        <f>R11</f>
        <v/>
      </c>
      <c r="T87" s="75"/>
      <c r="U87" s="75" t="str">
        <f>T11</f>
        <v/>
      </c>
      <c r="V87" s="75"/>
      <c r="W87" s="75" t="str">
        <f>V11</f>
        <v/>
      </c>
      <c r="X87" s="190"/>
      <c r="Y87" s="75" t="str">
        <f>X11</f>
        <v/>
      </c>
      <c r="Z87" s="75"/>
      <c r="AA87" s="75" t="str">
        <f>Z11</f>
        <v/>
      </c>
      <c r="AB87" s="75"/>
      <c r="AC87" s="75" t="str">
        <f>AB11</f>
        <v/>
      </c>
      <c r="AD87" s="75"/>
      <c r="AE87" s="75" t="str">
        <f>AD11</f>
        <v/>
      </c>
      <c r="AF87" s="75"/>
      <c r="AG87" s="75" t="str">
        <f>AF11</f>
        <v/>
      </c>
      <c r="AH87" s="75"/>
      <c r="AI87" s="75" t="str">
        <f>AH11</f>
        <v/>
      </c>
      <c r="AJ87" s="75"/>
      <c r="AK87" s="75" t="str">
        <f>AJ11</f>
        <v/>
      </c>
      <c r="AL87" s="75"/>
      <c r="AM87" s="75" t="str">
        <f>AL11</f>
        <v/>
      </c>
      <c r="AN87" s="75"/>
      <c r="AO87" s="75" t="str">
        <f>AN11</f>
        <v/>
      </c>
      <c r="AP87" s="75"/>
      <c r="AQ87" s="75" t="str">
        <f>AP11</f>
        <v/>
      </c>
      <c r="AR87" s="75"/>
      <c r="AS87" s="75" t="str">
        <f>AR11</f>
        <v/>
      </c>
      <c r="AT87" s="75"/>
      <c r="AU87" s="75" t="str">
        <f>AT11</f>
        <v/>
      </c>
      <c r="AV87" s="75"/>
      <c r="AW87" s="75" t="str">
        <f>AV11</f>
        <v/>
      </c>
      <c r="AX87" s="75"/>
      <c r="AY87" s="75" t="str">
        <f>AX11</f>
        <v/>
      </c>
      <c r="AZ87" s="75"/>
      <c r="BA87" s="75" t="str">
        <f>AZ11</f>
        <v/>
      </c>
      <c r="BB87" s="75"/>
      <c r="BC87" s="75" t="str">
        <f>BB11</f>
        <v/>
      </c>
      <c r="BD87" s="75"/>
      <c r="BE87" s="75" t="str">
        <f>BD11</f>
        <v/>
      </c>
      <c r="BF87" s="75"/>
      <c r="BG87" s="75" t="str">
        <f>BF11</f>
        <v/>
      </c>
      <c r="BH87" s="75"/>
      <c r="BI87" s="75" t="str">
        <f>BH11</f>
        <v/>
      </c>
      <c r="BJ87" s="75"/>
      <c r="BK87" s="75" t="str">
        <f>BJ11</f>
        <v/>
      </c>
      <c r="BL87" s="75"/>
      <c r="BM87" s="76" t="str">
        <f>BL11</f>
        <v/>
      </c>
      <c r="CX87"/>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
      <c r="EC87"/>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87"/>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KC87" s="148" t="s">
        <v>1200</v>
      </c>
      <c r="KD87" s="149" t="str">
        <f>IF($KD$53="Y",KD86,IF(BU60="Y","Y","N"))</f>
        <v>N</v>
      </c>
      <c r="KE87" s="5" t="str">
        <f t="shared" ref="KE87:LF87" si="262">IF($KD$53="Y",KE86,IF(BV60="Y","Y","N"))</f>
        <v>N</v>
      </c>
      <c r="KF87" s="5" t="str">
        <f t="shared" si="262"/>
        <v>N</v>
      </c>
      <c r="KG87" s="5" t="str">
        <f t="shared" si="262"/>
        <v>N</v>
      </c>
      <c r="KH87" s="5" t="str">
        <f t="shared" si="262"/>
        <v>N</v>
      </c>
      <c r="KI87" s="5" t="str">
        <f t="shared" si="262"/>
        <v>N</v>
      </c>
      <c r="KJ87" s="5" t="str">
        <f t="shared" si="262"/>
        <v>N</v>
      </c>
      <c r="KK87" s="5" t="str">
        <f t="shared" si="262"/>
        <v>N</v>
      </c>
      <c r="KL87" s="5" t="str">
        <f t="shared" si="262"/>
        <v>N</v>
      </c>
      <c r="KM87" s="5" t="str">
        <f t="shared" si="262"/>
        <v>N</v>
      </c>
      <c r="KN87" s="5" t="str">
        <f t="shared" si="262"/>
        <v>N</v>
      </c>
      <c r="KO87" s="5" t="str">
        <f t="shared" si="262"/>
        <v>N</v>
      </c>
      <c r="KP87" s="5" t="str">
        <f t="shared" si="262"/>
        <v>N</v>
      </c>
      <c r="KQ87" s="5" t="str">
        <f t="shared" si="262"/>
        <v>N</v>
      </c>
      <c r="KR87" s="5" t="str">
        <f t="shared" si="262"/>
        <v>N</v>
      </c>
      <c r="KS87" s="5" t="str">
        <f t="shared" si="262"/>
        <v>N</v>
      </c>
      <c r="KT87" s="5" t="str">
        <f t="shared" si="262"/>
        <v>N</v>
      </c>
      <c r="KU87" s="5" t="str">
        <f t="shared" si="262"/>
        <v>N</v>
      </c>
      <c r="KV87" s="5" t="str">
        <f t="shared" si="262"/>
        <v>N</v>
      </c>
      <c r="KW87" s="5" t="str">
        <f t="shared" si="262"/>
        <v>N</v>
      </c>
      <c r="KX87" s="5" t="str">
        <f t="shared" si="262"/>
        <v>N</v>
      </c>
      <c r="KY87" s="5" t="str">
        <f t="shared" si="262"/>
        <v>N</v>
      </c>
      <c r="KZ87" s="5" t="str">
        <f t="shared" si="262"/>
        <v>N</v>
      </c>
      <c r="LA87" s="5" t="str">
        <f t="shared" si="262"/>
        <v>N</v>
      </c>
      <c r="LB87" s="5" t="str">
        <f t="shared" si="262"/>
        <v>N</v>
      </c>
      <c r="LC87" s="5" t="str">
        <f t="shared" si="262"/>
        <v>N</v>
      </c>
      <c r="LD87" s="5" t="str">
        <f t="shared" si="262"/>
        <v>N</v>
      </c>
      <c r="LE87" s="5" t="str">
        <f t="shared" si="262"/>
        <v>N</v>
      </c>
      <c r="LF87" s="5" t="str">
        <f t="shared" si="262"/>
        <v>N</v>
      </c>
    </row>
    <row r="88" spans="1:318" s="5" customFormat="1" ht="11.25" hidden="1" customHeight="1" x14ac:dyDescent="0.2">
      <c r="A88"/>
      <c r="G88" s="77">
        <f t="shared" ref="G88:G125" si="263">IF(ISERR(FIND(".",G14)),0,LEN(MID(G14,FIND(".",G14)+1,15)))</f>
        <v>0</v>
      </c>
      <c r="H88" s="60"/>
      <c r="I88" s="60">
        <f t="shared" ref="I88:I125" si="264">IF(ISERR(FIND(".",I14)),0,LEN(MID(I14,FIND(".",I14)+1,15)))</f>
        <v>0</v>
      </c>
      <c r="J88" s="60"/>
      <c r="K88" s="60">
        <f t="shared" ref="K88:K125" si="265">IF(ISERR(FIND(".",K14)),0,LEN(MID(K14,FIND(".",K14)+1,15)))</f>
        <v>0</v>
      </c>
      <c r="L88" s="60"/>
      <c r="M88" s="60">
        <f t="shared" ref="M88:M125" si="266">IF(ISERR(FIND(".",M14)),0,LEN(MID(M14,FIND(".",M14)+1,15)))</f>
        <v>0</v>
      </c>
      <c r="N88" s="60"/>
      <c r="O88" s="60">
        <f t="shared" ref="O88:O125" si="267">IF(ISERR(FIND(".",O14)),0,LEN(MID(O14,FIND(".",O14)+1,15)))</f>
        <v>0</v>
      </c>
      <c r="P88" s="60"/>
      <c r="Q88" s="60">
        <f t="shared" ref="Q88:Q125" si="268">IF(ISERR(FIND(".",Q14)),0,LEN(MID(Q14,FIND(".",Q14)+1,15)))</f>
        <v>0</v>
      </c>
      <c r="R88" s="60"/>
      <c r="S88" s="60">
        <f t="shared" ref="S88:S125" si="269">IF(ISERR(FIND(".",S14)),0,LEN(MID(S14,FIND(".",S14)+1,15)))</f>
        <v>0</v>
      </c>
      <c r="T88" s="60"/>
      <c r="U88" s="60">
        <f t="shared" ref="U88:U125" si="270">IF(ISERR(FIND(".",U14)),0,LEN(MID(U14,FIND(".",U14)+1,15)))</f>
        <v>0</v>
      </c>
      <c r="V88" s="60"/>
      <c r="W88" s="60">
        <f t="shared" ref="W88:W125" si="271">IF(ISERR(FIND(".",W14)),0,LEN(MID(W14,FIND(".",W14)+1,15)))</f>
        <v>0</v>
      </c>
      <c r="X88" s="196"/>
      <c r="Y88" s="60">
        <f t="shared" ref="Y88:Y125" si="272">IF(ISERR(FIND(".",Y14)),0,LEN(MID(Y14,FIND(".",Y14)+1,15)))</f>
        <v>0</v>
      </c>
      <c r="Z88" s="60"/>
      <c r="AA88" s="60">
        <f t="shared" ref="AA88:AA125" si="273">IF(ISERR(FIND(".",AA14)),0,LEN(MID(AA14,FIND(".",AA14)+1,15)))</f>
        <v>0</v>
      </c>
      <c r="AB88" s="60"/>
      <c r="AC88" s="60">
        <f t="shared" ref="AC88:AC125" si="274">IF(ISERR(FIND(".",AC14)),0,LEN(MID(AC14,FIND(".",AC14)+1,15)))</f>
        <v>0</v>
      </c>
      <c r="AD88" s="60"/>
      <c r="AE88" s="60">
        <f t="shared" ref="AE88:AE125" si="275">IF(ISERR(FIND(".",AE14)),0,LEN(MID(AE14,FIND(".",AE14)+1,15)))</f>
        <v>0</v>
      </c>
      <c r="AF88" s="60"/>
      <c r="AG88" s="60">
        <f t="shared" ref="AG88:AG125" si="276">IF(ISERR(FIND(".",AG14)),0,LEN(MID(AG14,FIND(".",AG14)+1,15)))</f>
        <v>0</v>
      </c>
      <c r="AH88" s="60"/>
      <c r="AI88" s="60">
        <f t="shared" ref="AI88:AI125" si="277">IF(ISERR(FIND(".",AI14)),0,LEN(MID(AI14,FIND(".",AI14)+1,15)))</f>
        <v>0</v>
      </c>
      <c r="AJ88" s="60"/>
      <c r="AK88" s="60">
        <f t="shared" ref="AK88:AK125" si="278">IF(ISERR(FIND(".",AK14)),0,LEN(MID(AK14,FIND(".",AK14)+1,15)))</f>
        <v>0</v>
      </c>
      <c r="AL88" s="60"/>
      <c r="AM88" s="60">
        <f t="shared" ref="AM88:AM125" si="279">IF(ISERR(FIND(".",AM14)),0,LEN(MID(AM14,FIND(".",AM14)+1,15)))</f>
        <v>0</v>
      </c>
      <c r="AN88" s="60"/>
      <c r="AO88" s="60">
        <f t="shared" ref="AO88:AO125" si="280">IF(ISERR(FIND(".",AO14)),0,LEN(MID(AO14,FIND(".",AO14)+1,15)))</f>
        <v>0</v>
      </c>
      <c r="AP88" s="60"/>
      <c r="AQ88" s="60">
        <f t="shared" ref="AQ88:AQ125" si="281">IF(ISERR(FIND(".",AQ14)),0,LEN(MID(AQ14,FIND(".",AQ14)+1,15)))</f>
        <v>0</v>
      </c>
      <c r="AR88" s="60"/>
      <c r="AS88" s="60">
        <f t="shared" ref="AS88:AS125" si="282">IF(ISERR(FIND(".",AS14)),0,LEN(MID(AS14,FIND(".",AS14)+1,15)))</f>
        <v>0</v>
      </c>
      <c r="AT88" s="60"/>
      <c r="AU88" s="60">
        <f t="shared" ref="AU88:AU125" si="283">IF(ISERR(FIND(".",AU14)),0,LEN(MID(AU14,FIND(".",AU14)+1,15)))</f>
        <v>0</v>
      </c>
      <c r="AV88" s="60"/>
      <c r="AW88" s="60">
        <f t="shared" ref="AW88:AW125" si="284">IF(ISERR(FIND(".",AW14)),0,LEN(MID(AW14,FIND(".",AW14)+1,15)))</f>
        <v>0</v>
      </c>
      <c r="AX88" s="60"/>
      <c r="AY88" s="60">
        <f t="shared" ref="AY88:AY125" si="285">IF(ISERR(FIND(".",AY14)),0,LEN(MID(AY14,FIND(".",AY14)+1,15)))</f>
        <v>0</v>
      </c>
      <c r="AZ88" s="60"/>
      <c r="BA88" s="60">
        <f t="shared" ref="BA88:BA125" si="286">IF(ISERR(FIND(".",BA14)),0,LEN(MID(BA14,FIND(".",BA14)+1,15)))</f>
        <v>0</v>
      </c>
      <c r="BB88" s="60"/>
      <c r="BC88" s="60">
        <f t="shared" ref="BC88:BC125" si="287">IF(ISERR(FIND(".",BC14)),0,LEN(MID(BC14,FIND(".",BC14)+1,15)))</f>
        <v>0</v>
      </c>
      <c r="BD88" s="60"/>
      <c r="BE88" s="60">
        <f t="shared" ref="BE88:BE125" si="288">IF(ISERR(FIND(".",BE14)),0,LEN(MID(BE14,FIND(".",BE14)+1,15)))</f>
        <v>0</v>
      </c>
      <c r="BF88" s="60"/>
      <c r="BG88" s="60">
        <f t="shared" ref="BG88:BG125" si="289">IF(ISERR(FIND(".",BG14)),0,LEN(MID(BG14,FIND(".",BG14)+1,15)))</f>
        <v>0</v>
      </c>
      <c r="BH88" s="60"/>
      <c r="BI88" s="60">
        <f t="shared" ref="BI88:BI125" si="290">IF(ISERR(FIND(".",BI14)),0,LEN(MID(BI14,FIND(".",BI14)+1,15)))</f>
        <v>0</v>
      </c>
      <c r="BJ88" s="60"/>
      <c r="BK88" s="60">
        <f t="shared" ref="BK88:BK125" si="291">IF(ISERR(FIND(".",BK14)),0,LEN(MID(BK14,FIND(".",BK14)+1,15)))</f>
        <v>0</v>
      </c>
      <c r="BL88" s="60"/>
      <c r="BM88" s="78">
        <f t="shared" ref="BM88:BM125" si="292">IF(ISERR(FIND(".",BM14)),0,LEN(MID(BM14,FIND(".",BM14)+1,15)))</f>
        <v>0</v>
      </c>
      <c r="CX8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
      <c r="EC88"/>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87"/>
      <c r="GK88" s="86"/>
      <c r="GL88" s="86"/>
      <c r="GM88" s="86"/>
      <c r="GN88" s="86"/>
      <c r="GO88" s="86"/>
      <c r="GP88" s="86"/>
      <c r="GQ88" s="86"/>
      <c r="GR88" s="86"/>
      <c r="GS88" s="86"/>
      <c r="GT88" s="86"/>
      <c r="GU88" s="86"/>
      <c r="GV88" s="86"/>
      <c r="GW88" s="86"/>
      <c r="GX88" s="86"/>
      <c r="GY88" s="86"/>
      <c r="GZ88" s="86"/>
      <c r="HA88" s="86"/>
      <c r="HB88" s="86"/>
      <c r="HC88" s="86"/>
      <c r="HD88" s="86"/>
      <c r="HE88" s="86"/>
      <c r="HF88" s="86"/>
      <c r="HG88" s="86"/>
      <c r="HH88" s="86"/>
      <c r="HI88" s="86"/>
      <c r="HJ88" s="86"/>
      <c r="HK88" s="86"/>
      <c r="HL88" s="86"/>
      <c r="HM88" s="86"/>
      <c r="KC88" s="148" t="s">
        <v>1201</v>
      </c>
      <c r="KD88" s="5">
        <f>COUNTIF(KD31:KD37,"A")</f>
        <v>0</v>
      </c>
      <c r="KE88" s="5">
        <f t="shared" ref="KE88:LF88" si="293">COUNTIF(KE31:KE37,"A")</f>
        <v>0</v>
      </c>
      <c r="KF88" s="5">
        <f t="shared" si="293"/>
        <v>0</v>
      </c>
      <c r="KG88" s="5">
        <f t="shared" si="293"/>
        <v>0</v>
      </c>
      <c r="KH88" s="5">
        <f t="shared" si="293"/>
        <v>0</v>
      </c>
      <c r="KI88" s="5">
        <f t="shared" si="293"/>
        <v>0</v>
      </c>
      <c r="KJ88" s="5">
        <f t="shared" si="293"/>
        <v>0</v>
      </c>
      <c r="KK88" s="5">
        <f t="shared" si="293"/>
        <v>0</v>
      </c>
      <c r="KL88" s="5">
        <f t="shared" si="293"/>
        <v>0</v>
      </c>
      <c r="KM88" s="5">
        <f t="shared" si="293"/>
        <v>0</v>
      </c>
      <c r="KN88" s="5">
        <f t="shared" si="293"/>
        <v>0</v>
      </c>
      <c r="KO88" s="5">
        <f t="shared" si="293"/>
        <v>0</v>
      </c>
      <c r="KP88" s="5">
        <f t="shared" si="293"/>
        <v>0</v>
      </c>
      <c r="KQ88" s="5">
        <f t="shared" si="293"/>
        <v>0</v>
      </c>
      <c r="KR88" s="5">
        <f t="shared" si="293"/>
        <v>0</v>
      </c>
      <c r="KS88" s="5">
        <f t="shared" si="293"/>
        <v>0</v>
      </c>
      <c r="KT88" s="5">
        <f t="shared" si="293"/>
        <v>0</v>
      </c>
      <c r="KU88" s="5">
        <f t="shared" si="293"/>
        <v>0</v>
      </c>
      <c r="KV88" s="5">
        <f t="shared" si="293"/>
        <v>0</v>
      </c>
      <c r="KW88" s="5">
        <f t="shared" si="293"/>
        <v>0</v>
      </c>
      <c r="KX88" s="5">
        <f t="shared" si="293"/>
        <v>0</v>
      </c>
      <c r="KY88" s="5">
        <f t="shared" si="293"/>
        <v>0</v>
      </c>
      <c r="KZ88" s="5">
        <f t="shared" si="293"/>
        <v>0</v>
      </c>
      <c r="LA88" s="5">
        <f t="shared" si="293"/>
        <v>0</v>
      </c>
      <c r="LB88" s="5">
        <f t="shared" si="293"/>
        <v>0</v>
      </c>
      <c r="LC88" s="5">
        <f t="shared" si="293"/>
        <v>0</v>
      </c>
      <c r="LD88" s="5">
        <f t="shared" si="293"/>
        <v>0</v>
      </c>
      <c r="LE88" s="5">
        <f t="shared" si="293"/>
        <v>0</v>
      </c>
      <c r="LF88" s="5">
        <f t="shared" si="293"/>
        <v>0</v>
      </c>
    </row>
    <row r="89" spans="1:318" s="5" customFormat="1" ht="11.25" hidden="1" customHeight="1" x14ac:dyDescent="0.2">
      <c r="A89"/>
      <c r="G89" s="77">
        <f t="shared" si="263"/>
        <v>0</v>
      </c>
      <c r="H89" s="60"/>
      <c r="I89" s="60">
        <f t="shared" si="264"/>
        <v>0</v>
      </c>
      <c r="J89" s="60"/>
      <c r="K89" s="60">
        <f t="shared" si="265"/>
        <v>0</v>
      </c>
      <c r="L89" s="60"/>
      <c r="M89" s="60">
        <f t="shared" si="266"/>
        <v>0</v>
      </c>
      <c r="N89" s="60"/>
      <c r="O89" s="60">
        <f t="shared" si="267"/>
        <v>0</v>
      </c>
      <c r="P89" s="60"/>
      <c r="Q89" s="60">
        <f t="shared" si="268"/>
        <v>0</v>
      </c>
      <c r="R89" s="60"/>
      <c r="S89" s="60">
        <f t="shared" si="269"/>
        <v>0</v>
      </c>
      <c r="T89" s="60"/>
      <c r="U89" s="60">
        <f t="shared" si="270"/>
        <v>0</v>
      </c>
      <c r="V89" s="60"/>
      <c r="W89" s="60">
        <f t="shared" si="271"/>
        <v>0</v>
      </c>
      <c r="X89" s="196"/>
      <c r="Y89" s="60">
        <f t="shared" si="272"/>
        <v>0</v>
      </c>
      <c r="Z89" s="60"/>
      <c r="AA89" s="60">
        <f t="shared" si="273"/>
        <v>0</v>
      </c>
      <c r="AB89" s="60"/>
      <c r="AC89" s="60">
        <f t="shared" si="274"/>
        <v>0</v>
      </c>
      <c r="AD89" s="60"/>
      <c r="AE89" s="60">
        <f t="shared" si="275"/>
        <v>0</v>
      </c>
      <c r="AF89" s="60"/>
      <c r="AG89" s="60">
        <f t="shared" si="276"/>
        <v>0</v>
      </c>
      <c r="AH89" s="60"/>
      <c r="AI89" s="60">
        <f t="shared" si="277"/>
        <v>0</v>
      </c>
      <c r="AJ89" s="60"/>
      <c r="AK89" s="60">
        <f t="shared" si="278"/>
        <v>0</v>
      </c>
      <c r="AL89" s="60"/>
      <c r="AM89" s="60">
        <f t="shared" si="279"/>
        <v>0</v>
      </c>
      <c r="AN89" s="60"/>
      <c r="AO89" s="60">
        <f t="shared" si="280"/>
        <v>0</v>
      </c>
      <c r="AP89" s="60"/>
      <c r="AQ89" s="60">
        <f t="shared" si="281"/>
        <v>0</v>
      </c>
      <c r="AR89" s="60"/>
      <c r="AS89" s="60">
        <f t="shared" si="282"/>
        <v>0</v>
      </c>
      <c r="AT89" s="60"/>
      <c r="AU89" s="60">
        <f t="shared" si="283"/>
        <v>0</v>
      </c>
      <c r="AV89" s="60"/>
      <c r="AW89" s="60">
        <f t="shared" si="284"/>
        <v>0</v>
      </c>
      <c r="AX89" s="60"/>
      <c r="AY89" s="60">
        <f t="shared" si="285"/>
        <v>0</v>
      </c>
      <c r="AZ89" s="60"/>
      <c r="BA89" s="60">
        <f t="shared" si="286"/>
        <v>0</v>
      </c>
      <c r="BB89" s="60"/>
      <c r="BC89" s="60">
        <f t="shared" si="287"/>
        <v>0</v>
      </c>
      <c r="BD89" s="60"/>
      <c r="BE89" s="60">
        <f t="shared" si="288"/>
        <v>0</v>
      </c>
      <c r="BF89" s="60"/>
      <c r="BG89" s="60">
        <f t="shared" si="289"/>
        <v>0</v>
      </c>
      <c r="BH89" s="60"/>
      <c r="BI89" s="60">
        <f t="shared" si="290"/>
        <v>0</v>
      </c>
      <c r="BJ89" s="60"/>
      <c r="BK89" s="60">
        <f t="shared" si="291"/>
        <v>0</v>
      </c>
      <c r="BL89" s="60"/>
      <c r="BM89" s="78">
        <f t="shared" si="292"/>
        <v>0</v>
      </c>
      <c r="CX89"/>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10"/>
      <c r="GL89" s="10"/>
      <c r="GM89" s="10"/>
      <c r="GN89" s="10"/>
      <c r="GO89" s="10"/>
      <c r="GP89" s="10"/>
      <c r="GQ89" s="10"/>
      <c r="GR89" s="10"/>
      <c r="GS89" s="10"/>
      <c r="GT89" s="10"/>
      <c r="GU89" s="10"/>
      <c r="GV89" s="10"/>
      <c r="GW89" s="10"/>
      <c r="GX89" s="10"/>
      <c r="GY89" s="10"/>
      <c r="GZ89" s="10"/>
      <c r="HA89" s="10"/>
      <c r="HB89" s="10"/>
      <c r="HC89" s="10"/>
      <c r="HD89" s="10"/>
      <c r="HE89" s="10"/>
      <c r="HF89" s="10"/>
      <c r="HG89" s="10"/>
      <c r="HH89" s="10"/>
      <c r="HI89" s="10"/>
      <c r="HJ89" s="10"/>
      <c r="HK89" s="10"/>
      <c r="HL89" s="10"/>
      <c r="HM89" s="10"/>
      <c r="KC89" s="148" t="s">
        <v>1202</v>
      </c>
      <c r="KD89" s="5">
        <f>COUNTIF(KD31:KD37,"B")</f>
        <v>0</v>
      </c>
      <c r="KE89" s="5">
        <f t="shared" ref="KE89:LF89" si="294">COUNTIF(KE31:KE37,"B")</f>
        <v>0</v>
      </c>
      <c r="KF89" s="5">
        <f t="shared" si="294"/>
        <v>0</v>
      </c>
      <c r="KG89" s="5">
        <f t="shared" si="294"/>
        <v>0</v>
      </c>
      <c r="KH89" s="5">
        <f t="shared" si="294"/>
        <v>0</v>
      </c>
      <c r="KI89" s="5">
        <f t="shared" si="294"/>
        <v>0</v>
      </c>
      <c r="KJ89" s="5">
        <f t="shared" si="294"/>
        <v>0</v>
      </c>
      <c r="KK89" s="5">
        <f t="shared" si="294"/>
        <v>0</v>
      </c>
      <c r="KL89" s="5">
        <f t="shared" si="294"/>
        <v>0</v>
      </c>
      <c r="KM89" s="5">
        <f t="shared" si="294"/>
        <v>0</v>
      </c>
      <c r="KN89" s="5">
        <f t="shared" si="294"/>
        <v>0</v>
      </c>
      <c r="KO89" s="5">
        <f t="shared" si="294"/>
        <v>0</v>
      </c>
      <c r="KP89" s="5">
        <f t="shared" si="294"/>
        <v>0</v>
      </c>
      <c r="KQ89" s="5">
        <f t="shared" si="294"/>
        <v>0</v>
      </c>
      <c r="KR89" s="5">
        <f t="shared" si="294"/>
        <v>0</v>
      </c>
      <c r="KS89" s="5">
        <f t="shared" si="294"/>
        <v>0</v>
      </c>
      <c r="KT89" s="5">
        <f t="shared" si="294"/>
        <v>0</v>
      </c>
      <c r="KU89" s="5">
        <f t="shared" si="294"/>
        <v>0</v>
      </c>
      <c r="KV89" s="5">
        <f t="shared" si="294"/>
        <v>0</v>
      </c>
      <c r="KW89" s="5">
        <f t="shared" si="294"/>
        <v>0</v>
      </c>
      <c r="KX89" s="5">
        <f t="shared" si="294"/>
        <v>0</v>
      </c>
      <c r="KY89" s="5">
        <f t="shared" si="294"/>
        <v>0</v>
      </c>
      <c r="KZ89" s="5">
        <f t="shared" si="294"/>
        <v>0</v>
      </c>
      <c r="LA89" s="5">
        <f t="shared" si="294"/>
        <v>0</v>
      </c>
      <c r="LB89" s="5">
        <f t="shared" si="294"/>
        <v>0</v>
      </c>
      <c r="LC89" s="5">
        <f t="shared" si="294"/>
        <v>0</v>
      </c>
      <c r="LD89" s="5">
        <f t="shared" si="294"/>
        <v>0</v>
      </c>
      <c r="LE89" s="5">
        <f t="shared" si="294"/>
        <v>0</v>
      </c>
      <c r="LF89" s="5">
        <f t="shared" si="294"/>
        <v>0</v>
      </c>
    </row>
    <row r="90" spans="1:318" s="5" customFormat="1" ht="11.25" hidden="1" customHeight="1" x14ac:dyDescent="0.2">
      <c r="A90"/>
      <c r="G90" s="77">
        <f t="shared" si="263"/>
        <v>0</v>
      </c>
      <c r="H90" s="60"/>
      <c r="I90" s="60">
        <f t="shared" si="264"/>
        <v>0</v>
      </c>
      <c r="J90" s="60"/>
      <c r="K90" s="60">
        <f t="shared" si="265"/>
        <v>0</v>
      </c>
      <c r="L90" s="60"/>
      <c r="M90" s="60">
        <f t="shared" si="266"/>
        <v>0</v>
      </c>
      <c r="N90" s="60"/>
      <c r="O90" s="60">
        <f t="shared" si="267"/>
        <v>0</v>
      </c>
      <c r="P90" s="60"/>
      <c r="Q90" s="60">
        <f t="shared" si="268"/>
        <v>0</v>
      </c>
      <c r="R90" s="60"/>
      <c r="S90" s="60">
        <f t="shared" si="269"/>
        <v>0</v>
      </c>
      <c r="T90" s="60"/>
      <c r="U90" s="60">
        <f t="shared" si="270"/>
        <v>0</v>
      </c>
      <c r="V90" s="60"/>
      <c r="W90" s="60">
        <f t="shared" si="271"/>
        <v>0</v>
      </c>
      <c r="X90" s="196"/>
      <c r="Y90" s="60">
        <f t="shared" si="272"/>
        <v>0</v>
      </c>
      <c r="Z90" s="60"/>
      <c r="AA90" s="60">
        <f t="shared" si="273"/>
        <v>0</v>
      </c>
      <c r="AB90" s="60"/>
      <c r="AC90" s="60">
        <f t="shared" si="274"/>
        <v>0</v>
      </c>
      <c r="AD90" s="60"/>
      <c r="AE90" s="60">
        <f t="shared" si="275"/>
        <v>0</v>
      </c>
      <c r="AF90" s="60"/>
      <c r="AG90" s="60">
        <f t="shared" si="276"/>
        <v>0</v>
      </c>
      <c r="AH90" s="60"/>
      <c r="AI90" s="60">
        <f t="shared" si="277"/>
        <v>0</v>
      </c>
      <c r="AJ90" s="60"/>
      <c r="AK90" s="60">
        <f t="shared" si="278"/>
        <v>0</v>
      </c>
      <c r="AL90" s="60"/>
      <c r="AM90" s="60">
        <f t="shared" si="279"/>
        <v>0</v>
      </c>
      <c r="AN90" s="60"/>
      <c r="AO90" s="60">
        <f t="shared" si="280"/>
        <v>0</v>
      </c>
      <c r="AP90" s="60"/>
      <c r="AQ90" s="60">
        <f t="shared" si="281"/>
        <v>0</v>
      </c>
      <c r="AR90" s="60"/>
      <c r="AS90" s="60">
        <f t="shared" si="282"/>
        <v>0</v>
      </c>
      <c r="AT90" s="60"/>
      <c r="AU90" s="60">
        <f t="shared" si="283"/>
        <v>0</v>
      </c>
      <c r="AV90" s="60"/>
      <c r="AW90" s="60">
        <f t="shared" si="284"/>
        <v>0</v>
      </c>
      <c r="AX90" s="60"/>
      <c r="AY90" s="60">
        <f t="shared" si="285"/>
        <v>0</v>
      </c>
      <c r="AZ90" s="60"/>
      <c r="BA90" s="60">
        <f t="shared" si="286"/>
        <v>0</v>
      </c>
      <c r="BB90" s="60"/>
      <c r="BC90" s="60">
        <f t="shared" si="287"/>
        <v>0</v>
      </c>
      <c r="BD90" s="60"/>
      <c r="BE90" s="60">
        <f t="shared" si="288"/>
        <v>0</v>
      </c>
      <c r="BF90" s="60"/>
      <c r="BG90" s="60">
        <f t="shared" si="289"/>
        <v>0</v>
      </c>
      <c r="BH90" s="60"/>
      <c r="BI90" s="60">
        <f t="shared" si="290"/>
        <v>0</v>
      </c>
      <c r="BJ90" s="60"/>
      <c r="BK90" s="60">
        <f t="shared" si="291"/>
        <v>0</v>
      </c>
      <c r="BL90" s="60"/>
      <c r="BM90" s="78">
        <f t="shared" si="292"/>
        <v>0</v>
      </c>
      <c r="CX90"/>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KC90" s="148" t="s">
        <v>1203</v>
      </c>
      <c r="KD90" s="5">
        <f>COUNTIF(KD31:KD37,"C")</f>
        <v>0</v>
      </c>
      <c r="KE90" s="5">
        <f t="shared" ref="KE90:LF90" si="295">COUNTIF(KE31:KE37,"C")</f>
        <v>0</v>
      </c>
      <c r="KF90" s="5">
        <f t="shared" si="295"/>
        <v>0</v>
      </c>
      <c r="KG90" s="5">
        <f t="shared" si="295"/>
        <v>0</v>
      </c>
      <c r="KH90" s="5">
        <f t="shared" si="295"/>
        <v>0</v>
      </c>
      <c r="KI90" s="5">
        <f t="shared" si="295"/>
        <v>0</v>
      </c>
      <c r="KJ90" s="5">
        <f t="shared" si="295"/>
        <v>0</v>
      </c>
      <c r="KK90" s="5">
        <f t="shared" si="295"/>
        <v>0</v>
      </c>
      <c r="KL90" s="5">
        <f t="shared" si="295"/>
        <v>0</v>
      </c>
      <c r="KM90" s="5">
        <f t="shared" si="295"/>
        <v>0</v>
      </c>
      <c r="KN90" s="5">
        <f t="shared" si="295"/>
        <v>0</v>
      </c>
      <c r="KO90" s="5">
        <f t="shared" si="295"/>
        <v>0</v>
      </c>
      <c r="KP90" s="5">
        <f t="shared" si="295"/>
        <v>0</v>
      </c>
      <c r="KQ90" s="5">
        <f t="shared" si="295"/>
        <v>0</v>
      </c>
      <c r="KR90" s="5">
        <f t="shared" si="295"/>
        <v>0</v>
      </c>
      <c r="KS90" s="5">
        <f t="shared" si="295"/>
        <v>0</v>
      </c>
      <c r="KT90" s="5">
        <f t="shared" si="295"/>
        <v>0</v>
      </c>
      <c r="KU90" s="5">
        <f t="shared" si="295"/>
        <v>0</v>
      </c>
      <c r="KV90" s="5">
        <f t="shared" si="295"/>
        <v>0</v>
      </c>
      <c r="KW90" s="5">
        <f t="shared" si="295"/>
        <v>0</v>
      </c>
      <c r="KX90" s="5">
        <f t="shared" si="295"/>
        <v>0</v>
      </c>
      <c r="KY90" s="5">
        <f t="shared" si="295"/>
        <v>0</v>
      </c>
      <c r="KZ90" s="5">
        <f t="shared" si="295"/>
        <v>0</v>
      </c>
      <c r="LA90" s="5">
        <f t="shared" si="295"/>
        <v>0</v>
      </c>
      <c r="LB90" s="5">
        <f t="shared" si="295"/>
        <v>0</v>
      </c>
      <c r="LC90" s="5">
        <f t="shared" si="295"/>
        <v>0</v>
      </c>
      <c r="LD90" s="5">
        <f t="shared" si="295"/>
        <v>0</v>
      </c>
      <c r="LE90" s="5">
        <f t="shared" si="295"/>
        <v>0</v>
      </c>
      <c r="LF90" s="5">
        <f t="shared" si="295"/>
        <v>0</v>
      </c>
    </row>
    <row r="91" spans="1:318" s="5" customFormat="1" ht="11.25" hidden="1" customHeight="1" x14ac:dyDescent="0.2">
      <c r="A91"/>
      <c r="G91" s="77">
        <f t="shared" si="263"/>
        <v>0</v>
      </c>
      <c r="H91" s="60"/>
      <c r="I91" s="60">
        <f t="shared" si="264"/>
        <v>0</v>
      </c>
      <c r="J91" s="60"/>
      <c r="K91" s="60">
        <f t="shared" si="265"/>
        <v>0</v>
      </c>
      <c r="L91" s="60"/>
      <c r="M91" s="60">
        <f t="shared" si="266"/>
        <v>0</v>
      </c>
      <c r="N91" s="60"/>
      <c r="O91" s="60">
        <f t="shared" si="267"/>
        <v>0</v>
      </c>
      <c r="P91" s="60"/>
      <c r="Q91" s="60">
        <f t="shared" si="268"/>
        <v>0</v>
      </c>
      <c r="R91" s="60"/>
      <c r="S91" s="60">
        <f t="shared" si="269"/>
        <v>0</v>
      </c>
      <c r="T91" s="60"/>
      <c r="U91" s="60">
        <f t="shared" si="270"/>
        <v>0</v>
      </c>
      <c r="V91" s="60"/>
      <c r="W91" s="60">
        <f t="shared" si="271"/>
        <v>0</v>
      </c>
      <c r="X91" s="196"/>
      <c r="Y91" s="60">
        <f t="shared" si="272"/>
        <v>0</v>
      </c>
      <c r="Z91" s="60"/>
      <c r="AA91" s="60">
        <f t="shared" si="273"/>
        <v>0</v>
      </c>
      <c r="AB91" s="60"/>
      <c r="AC91" s="60">
        <f t="shared" si="274"/>
        <v>0</v>
      </c>
      <c r="AD91" s="60"/>
      <c r="AE91" s="60">
        <f t="shared" si="275"/>
        <v>0</v>
      </c>
      <c r="AF91" s="60"/>
      <c r="AG91" s="60">
        <f t="shared" si="276"/>
        <v>0</v>
      </c>
      <c r="AH91" s="60"/>
      <c r="AI91" s="60">
        <f t="shared" si="277"/>
        <v>0</v>
      </c>
      <c r="AJ91" s="60"/>
      <c r="AK91" s="60">
        <f t="shared" si="278"/>
        <v>0</v>
      </c>
      <c r="AL91" s="60"/>
      <c r="AM91" s="60">
        <f t="shared" si="279"/>
        <v>0</v>
      </c>
      <c r="AN91" s="60"/>
      <c r="AO91" s="60">
        <f t="shared" si="280"/>
        <v>0</v>
      </c>
      <c r="AP91" s="60"/>
      <c r="AQ91" s="60">
        <f t="shared" si="281"/>
        <v>0</v>
      </c>
      <c r="AR91" s="60"/>
      <c r="AS91" s="60">
        <f t="shared" si="282"/>
        <v>0</v>
      </c>
      <c r="AT91" s="60"/>
      <c r="AU91" s="60">
        <f t="shared" si="283"/>
        <v>0</v>
      </c>
      <c r="AV91" s="60"/>
      <c r="AW91" s="60">
        <f t="shared" si="284"/>
        <v>0</v>
      </c>
      <c r="AX91" s="60"/>
      <c r="AY91" s="60">
        <f t="shared" si="285"/>
        <v>0</v>
      </c>
      <c r="AZ91" s="60"/>
      <c r="BA91" s="60">
        <f t="shared" si="286"/>
        <v>0</v>
      </c>
      <c r="BB91" s="60"/>
      <c r="BC91" s="60">
        <f t="shared" si="287"/>
        <v>0</v>
      </c>
      <c r="BD91" s="60"/>
      <c r="BE91" s="60">
        <f t="shared" si="288"/>
        <v>0</v>
      </c>
      <c r="BF91" s="60"/>
      <c r="BG91" s="60">
        <f t="shared" si="289"/>
        <v>0</v>
      </c>
      <c r="BH91" s="60"/>
      <c r="BI91" s="60">
        <f t="shared" si="290"/>
        <v>0</v>
      </c>
      <c r="BJ91" s="60"/>
      <c r="BK91" s="60">
        <f t="shared" si="291"/>
        <v>0</v>
      </c>
      <c r="BL91" s="60"/>
      <c r="BM91" s="78">
        <f t="shared" si="292"/>
        <v>0</v>
      </c>
      <c r="CX91"/>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10"/>
      <c r="GL91" s="10"/>
      <c r="GM91" s="10"/>
      <c r="GN91" s="10"/>
      <c r="GO91" s="10"/>
      <c r="GP91" s="10"/>
      <c r="GQ91" s="10"/>
      <c r="GR91" s="10"/>
      <c r="GS91" s="10"/>
      <c r="GT91" s="10"/>
      <c r="GU91" s="10"/>
      <c r="GV91" s="10"/>
      <c r="GW91" s="10"/>
      <c r="GX91" s="10"/>
      <c r="GY91" s="10"/>
      <c r="GZ91" s="10"/>
      <c r="HA91" s="10"/>
      <c r="HB91" s="10"/>
      <c r="HC91" s="10"/>
      <c r="HD91" s="10"/>
      <c r="HE91" s="10"/>
      <c r="HF91" s="10"/>
      <c r="HG91" s="10"/>
      <c r="HH91" s="10"/>
      <c r="HI91" s="10"/>
      <c r="HJ91" s="10"/>
      <c r="HK91" s="10"/>
      <c r="HL91" s="10"/>
      <c r="HM91" s="10"/>
      <c r="KC91" s="148" t="s">
        <v>839</v>
      </c>
      <c r="KD91" s="5">
        <f>SUM(KD88:KD90)</f>
        <v>0</v>
      </c>
      <c r="KE91" s="5">
        <f t="shared" ref="KE91:LF91" si="296">SUM(KE88:KE90)</f>
        <v>0</v>
      </c>
      <c r="KF91" s="5">
        <f t="shared" si="296"/>
        <v>0</v>
      </c>
      <c r="KG91" s="5">
        <f t="shared" si="296"/>
        <v>0</v>
      </c>
      <c r="KH91" s="5">
        <f t="shared" si="296"/>
        <v>0</v>
      </c>
      <c r="KI91" s="5">
        <f t="shared" si="296"/>
        <v>0</v>
      </c>
      <c r="KJ91" s="5">
        <f t="shared" si="296"/>
        <v>0</v>
      </c>
      <c r="KK91" s="5">
        <f t="shared" si="296"/>
        <v>0</v>
      </c>
      <c r="KL91" s="5">
        <f t="shared" si="296"/>
        <v>0</v>
      </c>
      <c r="KM91" s="5">
        <f t="shared" si="296"/>
        <v>0</v>
      </c>
      <c r="KN91" s="5">
        <f t="shared" si="296"/>
        <v>0</v>
      </c>
      <c r="KO91" s="5">
        <f t="shared" si="296"/>
        <v>0</v>
      </c>
      <c r="KP91" s="5">
        <f t="shared" si="296"/>
        <v>0</v>
      </c>
      <c r="KQ91" s="5">
        <f t="shared" si="296"/>
        <v>0</v>
      </c>
      <c r="KR91" s="5">
        <f t="shared" si="296"/>
        <v>0</v>
      </c>
      <c r="KS91" s="5">
        <f t="shared" si="296"/>
        <v>0</v>
      </c>
      <c r="KT91" s="5">
        <f t="shared" si="296"/>
        <v>0</v>
      </c>
      <c r="KU91" s="5">
        <f t="shared" si="296"/>
        <v>0</v>
      </c>
      <c r="KV91" s="5">
        <f t="shared" si="296"/>
        <v>0</v>
      </c>
      <c r="KW91" s="5">
        <f t="shared" si="296"/>
        <v>0</v>
      </c>
      <c r="KX91" s="5">
        <f t="shared" si="296"/>
        <v>0</v>
      </c>
      <c r="KY91" s="5">
        <f t="shared" si="296"/>
        <v>0</v>
      </c>
      <c r="KZ91" s="5">
        <f t="shared" si="296"/>
        <v>0</v>
      </c>
      <c r="LA91" s="5">
        <f t="shared" si="296"/>
        <v>0</v>
      </c>
      <c r="LB91" s="5">
        <f t="shared" si="296"/>
        <v>0</v>
      </c>
      <c r="LC91" s="5">
        <f t="shared" si="296"/>
        <v>0</v>
      </c>
      <c r="LD91" s="5">
        <f t="shared" si="296"/>
        <v>0</v>
      </c>
      <c r="LE91" s="5">
        <f t="shared" si="296"/>
        <v>0</v>
      </c>
      <c r="LF91" s="5">
        <f t="shared" si="296"/>
        <v>0</v>
      </c>
    </row>
    <row r="92" spans="1:318" s="5" customFormat="1" ht="11.25" hidden="1" customHeight="1" x14ac:dyDescent="0.2">
      <c r="A92"/>
      <c r="G92" s="77">
        <f t="shared" si="263"/>
        <v>0</v>
      </c>
      <c r="H92" s="60"/>
      <c r="I92" s="60">
        <f t="shared" si="264"/>
        <v>0</v>
      </c>
      <c r="J92" s="60"/>
      <c r="K92" s="60">
        <f t="shared" si="265"/>
        <v>0</v>
      </c>
      <c r="L92" s="60"/>
      <c r="M92" s="60">
        <f t="shared" si="266"/>
        <v>0</v>
      </c>
      <c r="N92" s="60"/>
      <c r="O92" s="60">
        <f t="shared" si="267"/>
        <v>0</v>
      </c>
      <c r="P92" s="60"/>
      <c r="Q92" s="60">
        <f t="shared" si="268"/>
        <v>0</v>
      </c>
      <c r="R92" s="60"/>
      <c r="S92" s="60">
        <f t="shared" si="269"/>
        <v>0</v>
      </c>
      <c r="T92" s="60"/>
      <c r="U92" s="60">
        <f t="shared" si="270"/>
        <v>0</v>
      </c>
      <c r="V92" s="60"/>
      <c r="W92" s="60">
        <f t="shared" si="271"/>
        <v>0</v>
      </c>
      <c r="X92" s="196"/>
      <c r="Y92" s="60">
        <f t="shared" si="272"/>
        <v>0</v>
      </c>
      <c r="Z92" s="60"/>
      <c r="AA92" s="60">
        <f t="shared" si="273"/>
        <v>0</v>
      </c>
      <c r="AB92" s="60"/>
      <c r="AC92" s="60">
        <f t="shared" si="274"/>
        <v>0</v>
      </c>
      <c r="AD92" s="60"/>
      <c r="AE92" s="60">
        <f t="shared" si="275"/>
        <v>0</v>
      </c>
      <c r="AF92" s="60"/>
      <c r="AG92" s="60">
        <f t="shared" si="276"/>
        <v>0</v>
      </c>
      <c r="AH92" s="60"/>
      <c r="AI92" s="60">
        <f t="shared" si="277"/>
        <v>0</v>
      </c>
      <c r="AJ92" s="60"/>
      <c r="AK92" s="60">
        <f t="shared" si="278"/>
        <v>0</v>
      </c>
      <c r="AL92" s="60"/>
      <c r="AM92" s="60">
        <f t="shared" si="279"/>
        <v>0</v>
      </c>
      <c r="AN92" s="60"/>
      <c r="AO92" s="60">
        <f t="shared" si="280"/>
        <v>0</v>
      </c>
      <c r="AP92" s="60"/>
      <c r="AQ92" s="60">
        <f t="shared" si="281"/>
        <v>0</v>
      </c>
      <c r="AR92" s="60"/>
      <c r="AS92" s="60">
        <f t="shared" si="282"/>
        <v>0</v>
      </c>
      <c r="AT92" s="60"/>
      <c r="AU92" s="60">
        <f t="shared" si="283"/>
        <v>0</v>
      </c>
      <c r="AV92" s="60"/>
      <c r="AW92" s="60">
        <f t="shared" si="284"/>
        <v>0</v>
      </c>
      <c r="AX92" s="60"/>
      <c r="AY92" s="60">
        <f t="shared" si="285"/>
        <v>0</v>
      </c>
      <c r="AZ92" s="60"/>
      <c r="BA92" s="60">
        <f t="shared" si="286"/>
        <v>0</v>
      </c>
      <c r="BB92" s="60"/>
      <c r="BC92" s="60">
        <f t="shared" si="287"/>
        <v>0</v>
      </c>
      <c r="BD92" s="60"/>
      <c r="BE92" s="60">
        <f t="shared" si="288"/>
        <v>0</v>
      </c>
      <c r="BF92" s="60"/>
      <c r="BG92" s="60">
        <f t="shared" si="289"/>
        <v>0</v>
      </c>
      <c r="BH92" s="60"/>
      <c r="BI92" s="60">
        <f t="shared" si="290"/>
        <v>0</v>
      </c>
      <c r="BJ92" s="60"/>
      <c r="BK92" s="60">
        <f t="shared" si="291"/>
        <v>0</v>
      </c>
      <c r="BL92" s="60"/>
      <c r="BM92" s="78">
        <f t="shared" si="292"/>
        <v>0</v>
      </c>
      <c r="CX92"/>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KC92" s="148" t="s">
        <v>1182</v>
      </c>
      <c r="KD92" s="5" t="str">
        <f>IF(KD91&lt;&gt;0,IF(OR(KD88=KD91,(KD88+KD89)=KD91),"Y",IF(OR(AND(KD89=0,KD90&gt;0),KD90=KD91),"N","Y")),"")</f>
        <v/>
      </c>
      <c r="KE92" s="5" t="str">
        <f t="shared" ref="KE92:LF92" si="297">IF(KE91&lt;&gt;0,IF(OR(KE88=KE91,(KE88+KE89)=KE91),"Y",IF(OR(AND(KE89=0,KE90&gt;0),KE90=KE91),"N","Y")),"")</f>
        <v/>
      </c>
      <c r="KF92" s="5" t="str">
        <f t="shared" si="297"/>
        <v/>
      </c>
      <c r="KG92" s="5" t="str">
        <f t="shared" si="297"/>
        <v/>
      </c>
      <c r="KH92" s="5" t="str">
        <f t="shared" si="297"/>
        <v/>
      </c>
      <c r="KI92" s="5" t="str">
        <f t="shared" si="297"/>
        <v/>
      </c>
      <c r="KJ92" s="5" t="str">
        <f t="shared" si="297"/>
        <v/>
      </c>
      <c r="KK92" s="5" t="str">
        <f t="shared" si="297"/>
        <v/>
      </c>
      <c r="KL92" s="5" t="str">
        <f t="shared" si="297"/>
        <v/>
      </c>
      <c r="KM92" s="5" t="str">
        <f t="shared" si="297"/>
        <v/>
      </c>
      <c r="KN92" s="5" t="str">
        <f t="shared" si="297"/>
        <v/>
      </c>
      <c r="KO92" s="5" t="str">
        <f t="shared" si="297"/>
        <v/>
      </c>
      <c r="KP92" s="5" t="str">
        <f t="shared" si="297"/>
        <v/>
      </c>
      <c r="KQ92" s="5" t="str">
        <f t="shared" si="297"/>
        <v/>
      </c>
      <c r="KR92" s="5" t="str">
        <f t="shared" si="297"/>
        <v/>
      </c>
      <c r="KS92" s="5" t="str">
        <f t="shared" si="297"/>
        <v/>
      </c>
      <c r="KT92" s="5" t="str">
        <f t="shared" si="297"/>
        <v/>
      </c>
      <c r="KU92" s="5" t="str">
        <f t="shared" si="297"/>
        <v/>
      </c>
      <c r="KV92" s="5" t="str">
        <f t="shared" si="297"/>
        <v/>
      </c>
      <c r="KW92" s="5" t="str">
        <f t="shared" si="297"/>
        <v/>
      </c>
      <c r="KX92" s="5" t="str">
        <f t="shared" si="297"/>
        <v/>
      </c>
      <c r="KY92" s="5" t="str">
        <f t="shared" si="297"/>
        <v/>
      </c>
      <c r="KZ92" s="5" t="str">
        <f t="shared" si="297"/>
        <v/>
      </c>
      <c r="LA92" s="5" t="str">
        <f t="shared" si="297"/>
        <v/>
      </c>
      <c r="LB92" s="5" t="str">
        <f t="shared" si="297"/>
        <v/>
      </c>
      <c r="LC92" s="5" t="str">
        <f t="shared" si="297"/>
        <v/>
      </c>
      <c r="LD92" s="5" t="str">
        <f t="shared" si="297"/>
        <v/>
      </c>
      <c r="LE92" s="5" t="str">
        <f t="shared" si="297"/>
        <v/>
      </c>
      <c r="LF92" s="5" t="str">
        <f t="shared" si="297"/>
        <v/>
      </c>
    </row>
    <row r="93" spans="1:318" s="5" customFormat="1" ht="11.25" hidden="1" customHeight="1" x14ac:dyDescent="0.2">
      <c r="A93"/>
      <c r="G93" s="77">
        <f t="shared" si="263"/>
        <v>0</v>
      </c>
      <c r="H93" s="60"/>
      <c r="I93" s="60">
        <f t="shared" si="264"/>
        <v>0</v>
      </c>
      <c r="J93" s="60"/>
      <c r="K93" s="60">
        <f t="shared" si="265"/>
        <v>0</v>
      </c>
      <c r="L93" s="60"/>
      <c r="M93" s="60">
        <f t="shared" si="266"/>
        <v>0</v>
      </c>
      <c r="N93" s="60"/>
      <c r="O93" s="60">
        <f t="shared" si="267"/>
        <v>0</v>
      </c>
      <c r="P93" s="60"/>
      <c r="Q93" s="60">
        <f t="shared" si="268"/>
        <v>0</v>
      </c>
      <c r="R93" s="60"/>
      <c r="S93" s="60">
        <f t="shared" si="269"/>
        <v>0</v>
      </c>
      <c r="T93" s="60"/>
      <c r="U93" s="60">
        <f t="shared" si="270"/>
        <v>0</v>
      </c>
      <c r="V93" s="60"/>
      <c r="W93" s="60">
        <f t="shared" si="271"/>
        <v>0</v>
      </c>
      <c r="X93" s="196"/>
      <c r="Y93" s="60">
        <f t="shared" si="272"/>
        <v>0</v>
      </c>
      <c r="Z93" s="60"/>
      <c r="AA93" s="60">
        <f t="shared" si="273"/>
        <v>0</v>
      </c>
      <c r="AB93" s="60"/>
      <c r="AC93" s="60">
        <f t="shared" si="274"/>
        <v>0</v>
      </c>
      <c r="AD93" s="60"/>
      <c r="AE93" s="60">
        <f t="shared" si="275"/>
        <v>0</v>
      </c>
      <c r="AF93" s="60"/>
      <c r="AG93" s="60">
        <f t="shared" si="276"/>
        <v>0</v>
      </c>
      <c r="AH93" s="60"/>
      <c r="AI93" s="60">
        <f t="shared" si="277"/>
        <v>0</v>
      </c>
      <c r="AJ93" s="60"/>
      <c r="AK93" s="60">
        <f t="shared" si="278"/>
        <v>0</v>
      </c>
      <c r="AL93" s="60"/>
      <c r="AM93" s="60">
        <f t="shared" si="279"/>
        <v>0</v>
      </c>
      <c r="AN93" s="60"/>
      <c r="AO93" s="60">
        <f t="shared" si="280"/>
        <v>0</v>
      </c>
      <c r="AP93" s="60"/>
      <c r="AQ93" s="60">
        <f t="shared" si="281"/>
        <v>0</v>
      </c>
      <c r="AR93" s="60"/>
      <c r="AS93" s="60">
        <f t="shared" si="282"/>
        <v>0</v>
      </c>
      <c r="AT93" s="60"/>
      <c r="AU93" s="60">
        <f t="shared" si="283"/>
        <v>0</v>
      </c>
      <c r="AV93" s="60"/>
      <c r="AW93" s="60">
        <f t="shared" si="284"/>
        <v>0</v>
      </c>
      <c r="AX93" s="60"/>
      <c r="AY93" s="60">
        <f t="shared" si="285"/>
        <v>0</v>
      </c>
      <c r="AZ93" s="60"/>
      <c r="BA93" s="60">
        <f t="shared" si="286"/>
        <v>0</v>
      </c>
      <c r="BB93" s="60"/>
      <c r="BC93" s="60">
        <f t="shared" si="287"/>
        <v>0</v>
      </c>
      <c r="BD93" s="60"/>
      <c r="BE93" s="60">
        <f t="shared" si="288"/>
        <v>0</v>
      </c>
      <c r="BF93" s="60"/>
      <c r="BG93" s="60">
        <f t="shared" si="289"/>
        <v>0</v>
      </c>
      <c r="BH93" s="60"/>
      <c r="BI93" s="60">
        <f t="shared" si="290"/>
        <v>0</v>
      </c>
      <c r="BJ93" s="60"/>
      <c r="BK93" s="60">
        <f t="shared" si="291"/>
        <v>0</v>
      </c>
      <c r="BL93" s="60"/>
      <c r="BM93" s="78">
        <f t="shared" si="292"/>
        <v>0</v>
      </c>
      <c r="CX93"/>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10"/>
      <c r="GL93" s="10"/>
      <c r="GM93" s="10"/>
      <c r="GN93" s="10"/>
      <c r="GO93" s="10"/>
      <c r="GP93" s="10"/>
      <c r="GQ93" s="10"/>
      <c r="GR93" s="10"/>
      <c r="GS93" s="10"/>
      <c r="GT93" s="10"/>
      <c r="GU93" s="10"/>
      <c r="GV93" s="10"/>
      <c r="GW93" s="10"/>
      <c r="GX93" s="10"/>
      <c r="GY93" s="10"/>
      <c r="GZ93" s="10"/>
      <c r="HA93" s="10"/>
      <c r="HB93" s="10"/>
      <c r="HC93" s="10"/>
      <c r="HD93" s="10"/>
      <c r="HE93" s="10"/>
      <c r="HF93" s="10"/>
      <c r="HG93" s="10"/>
      <c r="HH93" s="10"/>
      <c r="HI93" s="10"/>
      <c r="HJ93" s="10"/>
      <c r="HK93" s="10"/>
      <c r="HL93" s="10"/>
      <c r="HM93" s="10"/>
      <c r="KC93" s="148" t="s">
        <v>1208</v>
      </c>
      <c r="KD93" s="149" t="str">
        <f>IF($KD$53="Y",KD92,IF(BU62="Y","Y","N"))</f>
        <v>N</v>
      </c>
      <c r="KE93" s="5" t="str">
        <f t="shared" ref="KE93:LF93" si="298">IF($KD$53="Y",KE92,IF(BV62="Y","Y","N"))</f>
        <v>N</v>
      </c>
      <c r="KF93" s="5" t="str">
        <f t="shared" si="298"/>
        <v>N</v>
      </c>
      <c r="KG93" s="5" t="str">
        <f t="shared" si="298"/>
        <v>N</v>
      </c>
      <c r="KH93" s="5" t="str">
        <f t="shared" si="298"/>
        <v>N</v>
      </c>
      <c r="KI93" s="5" t="str">
        <f t="shared" si="298"/>
        <v>N</v>
      </c>
      <c r="KJ93" s="5" t="str">
        <f t="shared" si="298"/>
        <v>N</v>
      </c>
      <c r="KK93" s="5" t="str">
        <f t="shared" si="298"/>
        <v>N</v>
      </c>
      <c r="KL93" s="5" t="str">
        <f t="shared" si="298"/>
        <v>N</v>
      </c>
      <c r="KM93" s="5" t="str">
        <f t="shared" si="298"/>
        <v>N</v>
      </c>
      <c r="KN93" s="5" t="str">
        <f t="shared" si="298"/>
        <v>N</v>
      </c>
      <c r="KO93" s="5" t="str">
        <f t="shared" si="298"/>
        <v>N</v>
      </c>
      <c r="KP93" s="5" t="str">
        <f t="shared" si="298"/>
        <v>N</v>
      </c>
      <c r="KQ93" s="5" t="str">
        <f t="shared" si="298"/>
        <v>N</v>
      </c>
      <c r="KR93" s="5" t="str">
        <f t="shared" si="298"/>
        <v>N</v>
      </c>
      <c r="KS93" s="5" t="str">
        <f t="shared" si="298"/>
        <v>N</v>
      </c>
      <c r="KT93" s="5" t="str">
        <f t="shared" si="298"/>
        <v>N</v>
      </c>
      <c r="KU93" s="5" t="str">
        <f t="shared" si="298"/>
        <v>N</v>
      </c>
      <c r="KV93" s="5" t="str">
        <f t="shared" si="298"/>
        <v>N</v>
      </c>
      <c r="KW93" s="5" t="str">
        <f t="shared" si="298"/>
        <v>N</v>
      </c>
      <c r="KX93" s="5" t="str">
        <f t="shared" si="298"/>
        <v>N</v>
      </c>
      <c r="KY93" s="5" t="str">
        <f t="shared" si="298"/>
        <v>N</v>
      </c>
      <c r="KZ93" s="5" t="str">
        <f t="shared" si="298"/>
        <v>N</v>
      </c>
      <c r="LA93" s="5" t="str">
        <f t="shared" si="298"/>
        <v>N</v>
      </c>
      <c r="LB93" s="5" t="str">
        <f t="shared" si="298"/>
        <v>N</v>
      </c>
      <c r="LC93" s="5" t="str">
        <f t="shared" si="298"/>
        <v>N</v>
      </c>
      <c r="LD93" s="5" t="str">
        <f t="shared" si="298"/>
        <v>N</v>
      </c>
      <c r="LE93" s="5" t="str">
        <f t="shared" si="298"/>
        <v>N</v>
      </c>
      <c r="LF93" s="5" t="str">
        <f t="shared" si="298"/>
        <v>N</v>
      </c>
    </row>
    <row r="94" spans="1:318" s="5" customFormat="1" ht="11.25" hidden="1" customHeight="1" x14ac:dyDescent="0.2">
      <c r="A94"/>
      <c r="G94" s="77">
        <f t="shared" si="263"/>
        <v>0</v>
      </c>
      <c r="H94" s="60"/>
      <c r="I94" s="60">
        <f t="shared" si="264"/>
        <v>0</v>
      </c>
      <c r="J94" s="60"/>
      <c r="K94" s="60">
        <f t="shared" si="265"/>
        <v>0</v>
      </c>
      <c r="L94" s="60"/>
      <c r="M94" s="60">
        <f t="shared" si="266"/>
        <v>0</v>
      </c>
      <c r="N94" s="60"/>
      <c r="O94" s="60">
        <f t="shared" si="267"/>
        <v>0</v>
      </c>
      <c r="P94" s="60"/>
      <c r="Q94" s="60">
        <f t="shared" si="268"/>
        <v>0</v>
      </c>
      <c r="R94" s="60"/>
      <c r="S94" s="60">
        <f t="shared" si="269"/>
        <v>0</v>
      </c>
      <c r="T94" s="60"/>
      <c r="U94" s="60">
        <f t="shared" si="270"/>
        <v>0</v>
      </c>
      <c r="V94" s="60"/>
      <c r="W94" s="60">
        <f t="shared" si="271"/>
        <v>0</v>
      </c>
      <c r="X94" s="196"/>
      <c r="Y94" s="60">
        <f t="shared" si="272"/>
        <v>0</v>
      </c>
      <c r="Z94" s="60"/>
      <c r="AA94" s="60">
        <f t="shared" si="273"/>
        <v>0</v>
      </c>
      <c r="AB94" s="60"/>
      <c r="AC94" s="60">
        <f t="shared" si="274"/>
        <v>0</v>
      </c>
      <c r="AD94" s="60"/>
      <c r="AE94" s="60">
        <f t="shared" si="275"/>
        <v>0</v>
      </c>
      <c r="AF94" s="60"/>
      <c r="AG94" s="60">
        <f t="shared" si="276"/>
        <v>0</v>
      </c>
      <c r="AH94" s="60"/>
      <c r="AI94" s="60">
        <f t="shared" si="277"/>
        <v>0</v>
      </c>
      <c r="AJ94" s="60"/>
      <c r="AK94" s="60">
        <f t="shared" si="278"/>
        <v>0</v>
      </c>
      <c r="AL94" s="60"/>
      <c r="AM94" s="60">
        <f t="shared" si="279"/>
        <v>0</v>
      </c>
      <c r="AN94" s="60"/>
      <c r="AO94" s="60">
        <f t="shared" si="280"/>
        <v>0</v>
      </c>
      <c r="AP94" s="60"/>
      <c r="AQ94" s="60">
        <f t="shared" si="281"/>
        <v>0</v>
      </c>
      <c r="AR94" s="60"/>
      <c r="AS94" s="60">
        <f t="shared" si="282"/>
        <v>0</v>
      </c>
      <c r="AT94" s="60"/>
      <c r="AU94" s="60">
        <f t="shared" si="283"/>
        <v>0</v>
      </c>
      <c r="AV94" s="60"/>
      <c r="AW94" s="60">
        <f t="shared" si="284"/>
        <v>0</v>
      </c>
      <c r="AX94" s="60"/>
      <c r="AY94" s="60">
        <f t="shared" si="285"/>
        <v>0</v>
      </c>
      <c r="AZ94" s="60"/>
      <c r="BA94" s="60">
        <f t="shared" si="286"/>
        <v>0</v>
      </c>
      <c r="BB94" s="60"/>
      <c r="BC94" s="60">
        <f t="shared" si="287"/>
        <v>0</v>
      </c>
      <c r="BD94" s="60"/>
      <c r="BE94" s="60">
        <f t="shared" si="288"/>
        <v>0</v>
      </c>
      <c r="BF94" s="60"/>
      <c r="BG94" s="60">
        <f t="shared" si="289"/>
        <v>0</v>
      </c>
      <c r="BH94" s="60"/>
      <c r="BI94" s="60">
        <f t="shared" si="290"/>
        <v>0</v>
      </c>
      <c r="BJ94" s="60"/>
      <c r="BK94" s="60">
        <f t="shared" si="291"/>
        <v>0</v>
      </c>
      <c r="BL94" s="60"/>
      <c r="BM94" s="78">
        <f t="shared" si="292"/>
        <v>0</v>
      </c>
      <c r="CX94"/>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KC94" s="148" t="s">
        <v>1204</v>
      </c>
      <c r="KD94" s="5">
        <f>COUNTIF(KD38:KD44,"A")</f>
        <v>0</v>
      </c>
      <c r="KE94" s="5">
        <f t="shared" ref="KE94:LF94" si="299">COUNTIF(KE38:KE44,"A")</f>
        <v>0</v>
      </c>
      <c r="KF94" s="5">
        <f t="shared" si="299"/>
        <v>0</v>
      </c>
      <c r="KG94" s="5">
        <f t="shared" si="299"/>
        <v>0</v>
      </c>
      <c r="KH94" s="5">
        <f t="shared" si="299"/>
        <v>0</v>
      </c>
      <c r="KI94" s="5">
        <f t="shared" si="299"/>
        <v>0</v>
      </c>
      <c r="KJ94" s="5">
        <f t="shared" si="299"/>
        <v>0</v>
      </c>
      <c r="KK94" s="5">
        <f t="shared" si="299"/>
        <v>0</v>
      </c>
      <c r="KL94" s="5">
        <f t="shared" si="299"/>
        <v>0</v>
      </c>
      <c r="KM94" s="5">
        <f t="shared" si="299"/>
        <v>0</v>
      </c>
      <c r="KN94" s="5">
        <f t="shared" si="299"/>
        <v>0</v>
      </c>
      <c r="KO94" s="5">
        <f t="shared" si="299"/>
        <v>0</v>
      </c>
      <c r="KP94" s="5">
        <f t="shared" si="299"/>
        <v>0</v>
      </c>
      <c r="KQ94" s="5">
        <f t="shared" si="299"/>
        <v>0</v>
      </c>
      <c r="KR94" s="5">
        <f t="shared" si="299"/>
        <v>0</v>
      </c>
      <c r="KS94" s="5">
        <f t="shared" si="299"/>
        <v>0</v>
      </c>
      <c r="KT94" s="5">
        <f t="shared" si="299"/>
        <v>0</v>
      </c>
      <c r="KU94" s="5">
        <f t="shared" si="299"/>
        <v>0</v>
      </c>
      <c r="KV94" s="5">
        <f t="shared" si="299"/>
        <v>0</v>
      </c>
      <c r="KW94" s="5">
        <f t="shared" si="299"/>
        <v>0</v>
      </c>
      <c r="KX94" s="5">
        <f t="shared" si="299"/>
        <v>0</v>
      </c>
      <c r="KY94" s="5">
        <f t="shared" si="299"/>
        <v>0</v>
      </c>
      <c r="KZ94" s="5">
        <f t="shared" si="299"/>
        <v>0</v>
      </c>
      <c r="LA94" s="5">
        <f t="shared" si="299"/>
        <v>0</v>
      </c>
      <c r="LB94" s="5">
        <f t="shared" si="299"/>
        <v>0</v>
      </c>
      <c r="LC94" s="5">
        <f t="shared" si="299"/>
        <v>0</v>
      </c>
      <c r="LD94" s="5">
        <f t="shared" si="299"/>
        <v>0</v>
      </c>
      <c r="LE94" s="5">
        <f t="shared" si="299"/>
        <v>0</v>
      </c>
      <c r="LF94" s="5">
        <f t="shared" si="299"/>
        <v>0</v>
      </c>
    </row>
    <row r="95" spans="1:318" s="5" customFormat="1" ht="11.25" hidden="1" customHeight="1" x14ac:dyDescent="0.2">
      <c r="A95"/>
      <c r="G95" s="77">
        <f t="shared" si="263"/>
        <v>0</v>
      </c>
      <c r="H95" s="60"/>
      <c r="I95" s="60">
        <f t="shared" si="264"/>
        <v>0</v>
      </c>
      <c r="J95" s="60"/>
      <c r="K95" s="60">
        <f t="shared" si="265"/>
        <v>0</v>
      </c>
      <c r="L95" s="60"/>
      <c r="M95" s="60">
        <f t="shared" si="266"/>
        <v>0</v>
      </c>
      <c r="N95" s="60"/>
      <c r="O95" s="60">
        <f t="shared" si="267"/>
        <v>0</v>
      </c>
      <c r="P95" s="60"/>
      <c r="Q95" s="60">
        <f t="shared" si="268"/>
        <v>0</v>
      </c>
      <c r="R95" s="60"/>
      <c r="S95" s="60">
        <f t="shared" si="269"/>
        <v>0</v>
      </c>
      <c r="T95" s="60"/>
      <c r="U95" s="60">
        <f t="shared" si="270"/>
        <v>0</v>
      </c>
      <c r="V95" s="60"/>
      <c r="W95" s="60">
        <f t="shared" si="271"/>
        <v>0</v>
      </c>
      <c r="X95" s="196"/>
      <c r="Y95" s="60">
        <f t="shared" si="272"/>
        <v>0</v>
      </c>
      <c r="Z95" s="60"/>
      <c r="AA95" s="60">
        <f t="shared" si="273"/>
        <v>0</v>
      </c>
      <c r="AB95" s="60"/>
      <c r="AC95" s="60">
        <f t="shared" si="274"/>
        <v>0</v>
      </c>
      <c r="AD95" s="60"/>
      <c r="AE95" s="60">
        <f t="shared" si="275"/>
        <v>0</v>
      </c>
      <c r="AF95" s="60"/>
      <c r="AG95" s="60">
        <f t="shared" si="276"/>
        <v>0</v>
      </c>
      <c r="AH95" s="60"/>
      <c r="AI95" s="60">
        <f t="shared" si="277"/>
        <v>0</v>
      </c>
      <c r="AJ95" s="60"/>
      <c r="AK95" s="60">
        <f t="shared" si="278"/>
        <v>0</v>
      </c>
      <c r="AL95" s="60"/>
      <c r="AM95" s="60">
        <f t="shared" si="279"/>
        <v>0</v>
      </c>
      <c r="AN95" s="60"/>
      <c r="AO95" s="60">
        <f t="shared" si="280"/>
        <v>0</v>
      </c>
      <c r="AP95" s="60"/>
      <c r="AQ95" s="60">
        <f t="shared" si="281"/>
        <v>0</v>
      </c>
      <c r="AR95" s="60"/>
      <c r="AS95" s="60">
        <f t="shared" si="282"/>
        <v>0</v>
      </c>
      <c r="AT95" s="60"/>
      <c r="AU95" s="60">
        <f t="shared" si="283"/>
        <v>0</v>
      </c>
      <c r="AV95" s="60"/>
      <c r="AW95" s="60">
        <f t="shared" si="284"/>
        <v>0</v>
      </c>
      <c r="AX95" s="60"/>
      <c r="AY95" s="60">
        <f t="shared" si="285"/>
        <v>0</v>
      </c>
      <c r="AZ95" s="60"/>
      <c r="BA95" s="60">
        <f t="shared" si="286"/>
        <v>0</v>
      </c>
      <c r="BB95" s="60"/>
      <c r="BC95" s="60">
        <f t="shared" si="287"/>
        <v>0</v>
      </c>
      <c r="BD95" s="60"/>
      <c r="BE95" s="60">
        <f t="shared" si="288"/>
        <v>0</v>
      </c>
      <c r="BF95" s="60"/>
      <c r="BG95" s="60">
        <f t="shared" si="289"/>
        <v>0</v>
      </c>
      <c r="BH95" s="60"/>
      <c r="BI95" s="60">
        <f t="shared" si="290"/>
        <v>0</v>
      </c>
      <c r="BJ95" s="60"/>
      <c r="BK95" s="60">
        <f t="shared" si="291"/>
        <v>0</v>
      </c>
      <c r="BL95" s="60"/>
      <c r="BM95" s="78">
        <f t="shared" si="292"/>
        <v>0</v>
      </c>
      <c r="CX95"/>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10"/>
      <c r="GL95" s="10"/>
      <c r="GM95" s="10"/>
      <c r="GN95" s="10"/>
      <c r="GO95" s="10"/>
      <c r="GP95" s="10"/>
      <c r="GQ95" s="10"/>
      <c r="GR95" s="10"/>
      <c r="GS95" s="10"/>
      <c r="GT95" s="10"/>
      <c r="GU95" s="10"/>
      <c r="GV95" s="10"/>
      <c r="GW95" s="10"/>
      <c r="GX95" s="10"/>
      <c r="GY95" s="10"/>
      <c r="GZ95" s="10"/>
      <c r="HA95" s="10"/>
      <c r="HB95" s="10"/>
      <c r="HC95" s="10"/>
      <c r="HD95" s="10"/>
      <c r="HE95" s="10"/>
      <c r="HF95" s="10"/>
      <c r="HG95" s="10"/>
      <c r="HH95" s="10"/>
      <c r="HI95" s="10"/>
      <c r="HJ95" s="10"/>
      <c r="HK95" s="10"/>
      <c r="HL95" s="10"/>
      <c r="HM95" s="10"/>
      <c r="KC95" s="148" t="s">
        <v>1205</v>
      </c>
      <c r="KD95" s="5">
        <f>COUNTIF(KD38:KD44,"B")</f>
        <v>0</v>
      </c>
      <c r="KE95" s="5">
        <f t="shared" ref="KE95:LF95" si="300">COUNTIF(KE38:KE44,"B")</f>
        <v>0</v>
      </c>
      <c r="KF95" s="5">
        <f t="shared" si="300"/>
        <v>0</v>
      </c>
      <c r="KG95" s="5">
        <f t="shared" si="300"/>
        <v>0</v>
      </c>
      <c r="KH95" s="5">
        <f t="shared" si="300"/>
        <v>0</v>
      </c>
      <c r="KI95" s="5">
        <f t="shared" si="300"/>
        <v>0</v>
      </c>
      <c r="KJ95" s="5">
        <f t="shared" si="300"/>
        <v>0</v>
      </c>
      <c r="KK95" s="5">
        <f t="shared" si="300"/>
        <v>0</v>
      </c>
      <c r="KL95" s="5">
        <f t="shared" si="300"/>
        <v>0</v>
      </c>
      <c r="KM95" s="5">
        <f t="shared" si="300"/>
        <v>0</v>
      </c>
      <c r="KN95" s="5">
        <f t="shared" si="300"/>
        <v>0</v>
      </c>
      <c r="KO95" s="5">
        <f t="shared" si="300"/>
        <v>0</v>
      </c>
      <c r="KP95" s="5">
        <f t="shared" si="300"/>
        <v>0</v>
      </c>
      <c r="KQ95" s="5">
        <f t="shared" si="300"/>
        <v>0</v>
      </c>
      <c r="KR95" s="5">
        <f t="shared" si="300"/>
        <v>0</v>
      </c>
      <c r="KS95" s="5">
        <f t="shared" si="300"/>
        <v>0</v>
      </c>
      <c r="KT95" s="5">
        <f t="shared" si="300"/>
        <v>0</v>
      </c>
      <c r="KU95" s="5">
        <f t="shared" si="300"/>
        <v>0</v>
      </c>
      <c r="KV95" s="5">
        <f t="shared" si="300"/>
        <v>0</v>
      </c>
      <c r="KW95" s="5">
        <f t="shared" si="300"/>
        <v>0</v>
      </c>
      <c r="KX95" s="5">
        <f t="shared" si="300"/>
        <v>0</v>
      </c>
      <c r="KY95" s="5">
        <f t="shared" si="300"/>
        <v>0</v>
      </c>
      <c r="KZ95" s="5">
        <f t="shared" si="300"/>
        <v>0</v>
      </c>
      <c r="LA95" s="5">
        <f t="shared" si="300"/>
        <v>0</v>
      </c>
      <c r="LB95" s="5">
        <f t="shared" si="300"/>
        <v>0</v>
      </c>
      <c r="LC95" s="5">
        <f t="shared" si="300"/>
        <v>0</v>
      </c>
      <c r="LD95" s="5">
        <f t="shared" si="300"/>
        <v>0</v>
      </c>
      <c r="LE95" s="5">
        <f t="shared" si="300"/>
        <v>0</v>
      </c>
      <c r="LF95" s="5">
        <f t="shared" si="300"/>
        <v>0</v>
      </c>
    </row>
    <row r="96" spans="1:318" s="5" customFormat="1" ht="11.25" hidden="1" customHeight="1" x14ac:dyDescent="0.2">
      <c r="A96"/>
      <c r="G96" s="77">
        <f t="shared" si="263"/>
        <v>0</v>
      </c>
      <c r="H96" s="60"/>
      <c r="I96" s="60">
        <f t="shared" si="264"/>
        <v>0</v>
      </c>
      <c r="J96" s="60"/>
      <c r="K96" s="60">
        <f t="shared" si="265"/>
        <v>0</v>
      </c>
      <c r="L96" s="60"/>
      <c r="M96" s="60">
        <f t="shared" si="266"/>
        <v>0</v>
      </c>
      <c r="N96" s="60"/>
      <c r="O96" s="60">
        <f t="shared" si="267"/>
        <v>0</v>
      </c>
      <c r="P96" s="60"/>
      <c r="Q96" s="60">
        <f t="shared" si="268"/>
        <v>0</v>
      </c>
      <c r="R96" s="60"/>
      <c r="S96" s="60">
        <f t="shared" si="269"/>
        <v>0</v>
      </c>
      <c r="T96" s="60"/>
      <c r="U96" s="60">
        <f t="shared" si="270"/>
        <v>0</v>
      </c>
      <c r="V96" s="60"/>
      <c r="W96" s="60">
        <f t="shared" si="271"/>
        <v>0</v>
      </c>
      <c r="X96" s="196"/>
      <c r="Y96" s="60">
        <f t="shared" si="272"/>
        <v>0</v>
      </c>
      <c r="Z96" s="60"/>
      <c r="AA96" s="60">
        <f t="shared" si="273"/>
        <v>0</v>
      </c>
      <c r="AB96" s="60"/>
      <c r="AC96" s="60">
        <f t="shared" si="274"/>
        <v>0</v>
      </c>
      <c r="AD96" s="60"/>
      <c r="AE96" s="60">
        <f t="shared" si="275"/>
        <v>0</v>
      </c>
      <c r="AF96" s="60"/>
      <c r="AG96" s="60">
        <f t="shared" si="276"/>
        <v>0</v>
      </c>
      <c r="AH96" s="60"/>
      <c r="AI96" s="60">
        <f t="shared" si="277"/>
        <v>0</v>
      </c>
      <c r="AJ96" s="60"/>
      <c r="AK96" s="60">
        <f t="shared" si="278"/>
        <v>0</v>
      </c>
      <c r="AL96" s="60"/>
      <c r="AM96" s="60">
        <f t="shared" si="279"/>
        <v>0</v>
      </c>
      <c r="AN96" s="60"/>
      <c r="AO96" s="60">
        <f t="shared" si="280"/>
        <v>0</v>
      </c>
      <c r="AP96" s="60"/>
      <c r="AQ96" s="60">
        <f t="shared" si="281"/>
        <v>0</v>
      </c>
      <c r="AR96" s="60"/>
      <c r="AS96" s="60">
        <f t="shared" si="282"/>
        <v>0</v>
      </c>
      <c r="AT96" s="60"/>
      <c r="AU96" s="60">
        <f t="shared" si="283"/>
        <v>0</v>
      </c>
      <c r="AV96" s="60"/>
      <c r="AW96" s="60">
        <f t="shared" si="284"/>
        <v>0</v>
      </c>
      <c r="AX96" s="60"/>
      <c r="AY96" s="60">
        <f t="shared" si="285"/>
        <v>0</v>
      </c>
      <c r="AZ96" s="60"/>
      <c r="BA96" s="60">
        <f t="shared" si="286"/>
        <v>0</v>
      </c>
      <c r="BB96" s="60"/>
      <c r="BC96" s="60">
        <f t="shared" si="287"/>
        <v>0</v>
      </c>
      <c r="BD96" s="60"/>
      <c r="BE96" s="60">
        <f t="shared" si="288"/>
        <v>0</v>
      </c>
      <c r="BF96" s="60"/>
      <c r="BG96" s="60">
        <f t="shared" si="289"/>
        <v>0</v>
      </c>
      <c r="BH96" s="60"/>
      <c r="BI96" s="60">
        <f t="shared" si="290"/>
        <v>0</v>
      </c>
      <c r="BJ96" s="60"/>
      <c r="BK96" s="60">
        <f t="shared" si="291"/>
        <v>0</v>
      </c>
      <c r="BL96" s="60"/>
      <c r="BM96" s="78">
        <f t="shared" si="292"/>
        <v>0</v>
      </c>
      <c r="CX96"/>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10"/>
      <c r="GL96" s="10"/>
      <c r="GM96" s="10"/>
      <c r="GN96" s="10"/>
      <c r="GO96" s="10"/>
      <c r="GP96" s="10"/>
      <c r="GQ96" s="10"/>
      <c r="GR96" s="10"/>
      <c r="GS96" s="10"/>
      <c r="GT96" s="10"/>
      <c r="GU96" s="10"/>
      <c r="GV96" s="10"/>
      <c r="GW96" s="10"/>
      <c r="GX96" s="10"/>
      <c r="GY96" s="10"/>
      <c r="GZ96" s="10"/>
      <c r="HA96" s="10"/>
      <c r="HB96" s="10"/>
      <c r="HC96" s="10"/>
      <c r="HD96" s="10"/>
      <c r="HE96" s="10"/>
      <c r="HF96" s="10"/>
      <c r="HG96" s="10"/>
      <c r="HH96" s="10"/>
      <c r="HI96" s="10"/>
      <c r="HJ96" s="10"/>
      <c r="HK96" s="10"/>
      <c r="HL96" s="10"/>
      <c r="HM96" s="10"/>
      <c r="KC96" s="148" t="s">
        <v>1206</v>
      </c>
      <c r="KD96" s="5">
        <f>COUNTIF(KD38:KD44,"C")</f>
        <v>0</v>
      </c>
      <c r="KE96" s="5">
        <f t="shared" ref="KE96:LF96" si="301">COUNTIF(KE38:KE44,"C")</f>
        <v>0</v>
      </c>
      <c r="KF96" s="5">
        <f t="shared" si="301"/>
        <v>0</v>
      </c>
      <c r="KG96" s="5">
        <f t="shared" si="301"/>
        <v>0</v>
      </c>
      <c r="KH96" s="5">
        <f t="shared" si="301"/>
        <v>0</v>
      </c>
      <c r="KI96" s="5">
        <f t="shared" si="301"/>
        <v>0</v>
      </c>
      <c r="KJ96" s="5">
        <f t="shared" si="301"/>
        <v>0</v>
      </c>
      <c r="KK96" s="5">
        <f t="shared" si="301"/>
        <v>0</v>
      </c>
      <c r="KL96" s="5">
        <f t="shared" si="301"/>
        <v>0</v>
      </c>
      <c r="KM96" s="5">
        <f t="shared" si="301"/>
        <v>0</v>
      </c>
      <c r="KN96" s="5">
        <f t="shared" si="301"/>
        <v>0</v>
      </c>
      <c r="KO96" s="5">
        <f t="shared" si="301"/>
        <v>0</v>
      </c>
      <c r="KP96" s="5">
        <f t="shared" si="301"/>
        <v>0</v>
      </c>
      <c r="KQ96" s="5">
        <f t="shared" si="301"/>
        <v>0</v>
      </c>
      <c r="KR96" s="5">
        <f t="shared" si="301"/>
        <v>0</v>
      </c>
      <c r="KS96" s="5">
        <f t="shared" si="301"/>
        <v>0</v>
      </c>
      <c r="KT96" s="5">
        <f t="shared" si="301"/>
        <v>0</v>
      </c>
      <c r="KU96" s="5">
        <f t="shared" si="301"/>
        <v>0</v>
      </c>
      <c r="KV96" s="5">
        <f t="shared" si="301"/>
        <v>0</v>
      </c>
      <c r="KW96" s="5">
        <f t="shared" si="301"/>
        <v>0</v>
      </c>
      <c r="KX96" s="5">
        <f t="shared" si="301"/>
        <v>0</v>
      </c>
      <c r="KY96" s="5">
        <f t="shared" si="301"/>
        <v>0</v>
      </c>
      <c r="KZ96" s="5">
        <f t="shared" si="301"/>
        <v>0</v>
      </c>
      <c r="LA96" s="5">
        <f t="shared" si="301"/>
        <v>0</v>
      </c>
      <c r="LB96" s="5">
        <f t="shared" si="301"/>
        <v>0</v>
      </c>
      <c r="LC96" s="5">
        <f t="shared" si="301"/>
        <v>0</v>
      </c>
      <c r="LD96" s="5">
        <f t="shared" si="301"/>
        <v>0</v>
      </c>
      <c r="LE96" s="5">
        <f t="shared" si="301"/>
        <v>0</v>
      </c>
      <c r="LF96" s="5">
        <f t="shared" si="301"/>
        <v>0</v>
      </c>
    </row>
    <row r="97" spans="1:318" s="5" customFormat="1" ht="11.25" hidden="1" customHeight="1" x14ac:dyDescent="0.2">
      <c r="A97"/>
      <c r="G97" s="77">
        <f t="shared" si="263"/>
        <v>0</v>
      </c>
      <c r="H97" s="60"/>
      <c r="I97" s="60">
        <f t="shared" si="264"/>
        <v>0</v>
      </c>
      <c r="J97" s="60"/>
      <c r="K97" s="60">
        <f t="shared" si="265"/>
        <v>0</v>
      </c>
      <c r="L97" s="60"/>
      <c r="M97" s="60">
        <f t="shared" si="266"/>
        <v>0</v>
      </c>
      <c r="N97" s="60"/>
      <c r="O97" s="60">
        <f t="shared" si="267"/>
        <v>0</v>
      </c>
      <c r="P97" s="60"/>
      <c r="Q97" s="60">
        <f t="shared" si="268"/>
        <v>0</v>
      </c>
      <c r="R97" s="60"/>
      <c r="S97" s="60">
        <f t="shared" si="269"/>
        <v>0</v>
      </c>
      <c r="T97" s="60"/>
      <c r="U97" s="60">
        <f t="shared" si="270"/>
        <v>0</v>
      </c>
      <c r="V97" s="60"/>
      <c r="W97" s="60">
        <f t="shared" si="271"/>
        <v>0</v>
      </c>
      <c r="X97" s="196"/>
      <c r="Y97" s="60">
        <f t="shared" si="272"/>
        <v>0</v>
      </c>
      <c r="Z97" s="60"/>
      <c r="AA97" s="60">
        <f t="shared" si="273"/>
        <v>0</v>
      </c>
      <c r="AB97" s="60"/>
      <c r="AC97" s="60">
        <f t="shared" si="274"/>
        <v>0</v>
      </c>
      <c r="AD97" s="60"/>
      <c r="AE97" s="60">
        <f t="shared" si="275"/>
        <v>0</v>
      </c>
      <c r="AF97" s="60"/>
      <c r="AG97" s="60">
        <f t="shared" si="276"/>
        <v>0</v>
      </c>
      <c r="AH97" s="60"/>
      <c r="AI97" s="60">
        <f t="shared" si="277"/>
        <v>0</v>
      </c>
      <c r="AJ97" s="60"/>
      <c r="AK97" s="60">
        <f t="shared" si="278"/>
        <v>0</v>
      </c>
      <c r="AL97" s="60"/>
      <c r="AM97" s="60">
        <f t="shared" si="279"/>
        <v>0</v>
      </c>
      <c r="AN97" s="60"/>
      <c r="AO97" s="60">
        <f t="shared" si="280"/>
        <v>0</v>
      </c>
      <c r="AP97" s="60"/>
      <c r="AQ97" s="60">
        <f t="shared" si="281"/>
        <v>0</v>
      </c>
      <c r="AR97" s="60"/>
      <c r="AS97" s="60">
        <f t="shared" si="282"/>
        <v>0</v>
      </c>
      <c r="AT97" s="60"/>
      <c r="AU97" s="60">
        <f t="shared" si="283"/>
        <v>0</v>
      </c>
      <c r="AV97" s="60"/>
      <c r="AW97" s="60">
        <f t="shared" si="284"/>
        <v>0</v>
      </c>
      <c r="AX97" s="60"/>
      <c r="AY97" s="60">
        <f t="shared" si="285"/>
        <v>0</v>
      </c>
      <c r="AZ97" s="60"/>
      <c r="BA97" s="60">
        <f t="shared" si="286"/>
        <v>0</v>
      </c>
      <c r="BB97" s="60"/>
      <c r="BC97" s="60">
        <f t="shared" si="287"/>
        <v>0</v>
      </c>
      <c r="BD97" s="60"/>
      <c r="BE97" s="60">
        <f t="shared" si="288"/>
        <v>0</v>
      </c>
      <c r="BF97" s="60"/>
      <c r="BG97" s="60">
        <f t="shared" si="289"/>
        <v>0</v>
      </c>
      <c r="BH97" s="60"/>
      <c r="BI97" s="60">
        <f t="shared" si="290"/>
        <v>0</v>
      </c>
      <c r="BJ97" s="60"/>
      <c r="BK97" s="60">
        <f t="shared" si="291"/>
        <v>0</v>
      </c>
      <c r="BL97" s="60"/>
      <c r="BM97" s="78">
        <f t="shared" si="292"/>
        <v>0</v>
      </c>
      <c r="CX97"/>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KC97" s="148" t="s">
        <v>839</v>
      </c>
      <c r="KD97" s="5">
        <f>SUM(KD94:KD96)</f>
        <v>0</v>
      </c>
      <c r="KE97" s="5">
        <f t="shared" ref="KE97:LF97" si="302">SUM(KE94:KE96)</f>
        <v>0</v>
      </c>
      <c r="KF97" s="5">
        <f t="shared" si="302"/>
        <v>0</v>
      </c>
      <c r="KG97" s="5">
        <f t="shared" si="302"/>
        <v>0</v>
      </c>
      <c r="KH97" s="5">
        <f t="shared" si="302"/>
        <v>0</v>
      </c>
      <c r="KI97" s="5">
        <f t="shared" si="302"/>
        <v>0</v>
      </c>
      <c r="KJ97" s="5">
        <f t="shared" si="302"/>
        <v>0</v>
      </c>
      <c r="KK97" s="5">
        <f t="shared" si="302"/>
        <v>0</v>
      </c>
      <c r="KL97" s="5">
        <f t="shared" si="302"/>
        <v>0</v>
      </c>
      <c r="KM97" s="5">
        <f t="shared" si="302"/>
        <v>0</v>
      </c>
      <c r="KN97" s="5">
        <f t="shared" si="302"/>
        <v>0</v>
      </c>
      <c r="KO97" s="5">
        <f t="shared" si="302"/>
        <v>0</v>
      </c>
      <c r="KP97" s="5">
        <f t="shared" si="302"/>
        <v>0</v>
      </c>
      <c r="KQ97" s="5">
        <f t="shared" si="302"/>
        <v>0</v>
      </c>
      <c r="KR97" s="5">
        <f t="shared" si="302"/>
        <v>0</v>
      </c>
      <c r="KS97" s="5">
        <f t="shared" si="302"/>
        <v>0</v>
      </c>
      <c r="KT97" s="5">
        <f t="shared" si="302"/>
        <v>0</v>
      </c>
      <c r="KU97" s="5">
        <f t="shared" si="302"/>
        <v>0</v>
      </c>
      <c r="KV97" s="5">
        <f t="shared" si="302"/>
        <v>0</v>
      </c>
      <c r="KW97" s="5">
        <f t="shared" si="302"/>
        <v>0</v>
      </c>
      <c r="KX97" s="5">
        <f t="shared" si="302"/>
        <v>0</v>
      </c>
      <c r="KY97" s="5">
        <f t="shared" si="302"/>
        <v>0</v>
      </c>
      <c r="KZ97" s="5">
        <f t="shared" si="302"/>
        <v>0</v>
      </c>
      <c r="LA97" s="5">
        <f t="shared" si="302"/>
        <v>0</v>
      </c>
      <c r="LB97" s="5">
        <f t="shared" si="302"/>
        <v>0</v>
      </c>
      <c r="LC97" s="5">
        <f t="shared" si="302"/>
        <v>0</v>
      </c>
      <c r="LD97" s="5">
        <f t="shared" si="302"/>
        <v>0</v>
      </c>
      <c r="LE97" s="5">
        <f t="shared" si="302"/>
        <v>0</v>
      </c>
      <c r="LF97" s="5">
        <f t="shared" si="302"/>
        <v>0</v>
      </c>
    </row>
    <row r="98" spans="1:318" s="5" customFormat="1" ht="11.25" hidden="1" customHeight="1" x14ac:dyDescent="0.2">
      <c r="A98"/>
      <c r="G98" s="77">
        <f t="shared" si="263"/>
        <v>0</v>
      </c>
      <c r="H98" s="60"/>
      <c r="I98" s="60">
        <f t="shared" si="264"/>
        <v>0</v>
      </c>
      <c r="J98" s="60"/>
      <c r="K98" s="60">
        <f t="shared" si="265"/>
        <v>0</v>
      </c>
      <c r="L98" s="60"/>
      <c r="M98" s="60">
        <f t="shared" si="266"/>
        <v>0</v>
      </c>
      <c r="N98" s="60"/>
      <c r="O98" s="60">
        <f t="shared" si="267"/>
        <v>0</v>
      </c>
      <c r="P98" s="60"/>
      <c r="Q98" s="60">
        <f t="shared" si="268"/>
        <v>0</v>
      </c>
      <c r="R98" s="60"/>
      <c r="S98" s="60">
        <f t="shared" si="269"/>
        <v>0</v>
      </c>
      <c r="T98" s="60"/>
      <c r="U98" s="60">
        <f t="shared" si="270"/>
        <v>0</v>
      </c>
      <c r="V98" s="60"/>
      <c r="W98" s="60">
        <f t="shared" si="271"/>
        <v>0</v>
      </c>
      <c r="X98" s="196"/>
      <c r="Y98" s="60">
        <f t="shared" si="272"/>
        <v>0</v>
      </c>
      <c r="Z98" s="60"/>
      <c r="AA98" s="60">
        <f t="shared" si="273"/>
        <v>0</v>
      </c>
      <c r="AB98" s="60"/>
      <c r="AC98" s="60">
        <f t="shared" si="274"/>
        <v>0</v>
      </c>
      <c r="AD98" s="60"/>
      <c r="AE98" s="60">
        <f t="shared" si="275"/>
        <v>0</v>
      </c>
      <c r="AF98" s="60"/>
      <c r="AG98" s="60">
        <f t="shared" si="276"/>
        <v>0</v>
      </c>
      <c r="AH98" s="60"/>
      <c r="AI98" s="60">
        <f t="shared" si="277"/>
        <v>0</v>
      </c>
      <c r="AJ98" s="60"/>
      <c r="AK98" s="60">
        <f t="shared" si="278"/>
        <v>0</v>
      </c>
      <c r="AL98" s="60"/>
      <c r="AM98" s="60">
        <f t="shared" si="279"/>
        <v>0</v>
      </c>
      <c r="AN98" s="60"/>
      <c r="AO98" s="60">
        <f t="shared" si="280"/>
        <v>0</v>
      </c>
      <c r="AP98" s="60"/>
      <c r="AQ98" s="60">
        <f t="shared" si="281"/>
        <v>0</v>
      </c>
      <c r="AR98" s="60"/>
      <c r="AS98" s="60">
        <f t="shared" si="282"/>
        <v>0</v>
      </c>
      <c r="AT98" s="60"/>
      <c r="AU98" s="60">
        <f t="shared" si="283"/>
        <v>0</v>
      </c>
      <c r="AV98" s="60"/>
      <c r="AW98" s="60">
        <f t="shared" si="284"/>
        <v>0</v>
      </c>
      <c r="AX98" s="60"/>
      <c r="AY98" s="60">
        <f t="shared" si="285"/>
        <v>0</v>
      </c>
      <c r="AZ98" s="60"/>
      <c r="BA98" s="60">
        <f t="shared" si="286"/>
        <v>0</v>
      </c>
      <c r="BB98" s="60"/>
      <c r="BC98" s="60">
        <f t="shared" si="287"/>
        <v>0</v>
      </c>
      <c r="BD98" s="60"/>
      <c r="BE98" s="60">
        <f t="shared" si="288"/>
        <v>0</v>
      </c>
      <c r="BF98" s="60"/>
      <c r="BG98" s="60">
        <f t="shared" si="289"/>
        <v>0</v>
      </c>
      <c r="BH98" s="60"/>
      <c r="BI98" s="60">
        <f t="shared" si="290"/>
        <v>0</v>
      </c>
      <c r="BJ98" s="60"/>
      <c r="BK98" s="60">
        <f t="shared" si="291"/>
        <v>0</v>
      </c>
      <c r="BL98" s="60"/>
      <c r="BM98" s="78">
        <f t="shared" si="292"/>
        <v>0</v>
      </c>
      <c r="CX9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KC98" s="148" t="s">
        <v>1182</v>
      </c>
      <c r="KD98" s="5" t="str">
        <f>IF(KD97&lt;&gt;0,IF(OR(KD94=KD97,(KD94+KD95)=KD97),"Y",IF(OR(AND(KD95=0,KD96&gt;0),KD96=KD97),"N","Y")),"")</f>
        <v/>
      </c>
      <c r="KE98" s="5" t="str">
        <f t="shared" ref="KE98:LF98" si="303">IF(KE97&lt;&gt;0,IF(OR(KE94=KE97,(KE94+KE95)=KE97),"Y",IF(OR(AND(KE95=0,KE96&gt;0),KE96=KE97),"N","Y")),"")</f>
        <v/>
      </c>
      <c r="KF98" s="5" t="str">
        <f t="shared" si="303"/>
        <v/>
      </c>
      <c r="KG98" s="5" t="str">
        <f t="shared" si="303"/>
        <v/>
      </c>
      <c r="KH98" s="5" t="str">
        <f t="shared" si="303"/>
        <v/>
      </c>
      <c r="KI98" s="5" t="str">
        <f t="shared" si="303"/>
        <v/>
      </c>
      <c r="KJ98" s="5" t="str">
        <f t="shared" si="303"/>
        <v/>
      </c>
      <c r="KK98" s="5" t="str">
        <f t="shared" si="303"/>
        <v/>
      </c>
      <c r="KL98" s="5" t="str">
        <f t="shared" si="303"/>
        <v/>
      </c>
      <c r="KM98" s="5" t="str">
        <f t="shared" si="303"/>
        <v/>
      </c>
      <c r="KN98" s="5" t="str">
        <f t="shared" si="303"/>
        <v/>
      </c>
      <c r="KO98" s="5" t="str">
        <f t="shared" si="303"/>
        <v/>
      </c>
      <c r="KP98" s="5" t="str">
        <f t="shared" si="303"/>
        <v/>
      </c>
      <c r="KQ98" s="5" t="str">
        <f t="shared" si="303"/>
        <v/>
      </c>
      <c r="KR98" s="5" t="str">
        <f t="shared" si="303"/>
        <v/>
      </c>
      <c r="KS98" s="5" t="str">
        <f t="shared" si="303"/>
        <v/>
      </c>
      <c r="KT98" s="5" t="str">
        <f t="shared" si="303"/>
        <v/>
      </c>
      <c r="KU98" s="5" t="str">
        <f t="shared" si="303"/>
        <v/>
      </c>
      <c r="KV98" s="5" t="str">
        <f t="shared" si="303"/>
        <v/>
      </c>
      <c r="KW98" s="5" t="str">
        <f t="shared" si="303"/>
        <v/>
      </c>
      <c r="KX98" s="5" t="str">
        <f t="shared" si="303"/>
        <v/>
      </c>
      <c r="KY98" s="5" t="str">
        <f t="shared" si="303"/>
        <v/>
      </c>
      <c r="KZ98" s="5" t="str">
        <f t="shared" si="303"/>
        <v/>
      </c>
      <c r="LA98" s="5" t="str">
        <f t="shared" si="303"/>
        <v/>
      </c>
      <c r="LB98" s="5" t="str">
        <f t="shared" si="303"/>
        <v/>
      </c>
      <c r="LC98" s="5" t="str">
        <f t="shared" si="303"/>
        <v/>
      </c>
      <c r="LD98" s="5" t="str">
        <f t="shared" si="303"/>
        <v/>
      </c>
      <c r="LE98" s="5" t="str">
        <f t="shared" si="303"/>
        <v/>
      </c>
      <c r="LF98" s="5" t="str">
        <f t="shared" si="303"/>
        <v/>
      </c>
    </row>
    <row r="99" spans="1:318" s="5" customFormat="1" ht="11.25" hidden="1" customHeight="1" x14ac:dyDescent="0.2">
      <c r="A99"/>
      <c r="G99" s="77">
        <f t="shared" si="263"/>
        <v>0</v>
      </c>
      <c r="H99" s="60"/>
      <c r="I99" s="60">
        <f t="shared" si="264"/>
        <v>0</v>
      </c>
      <c r="J99" s="60"/>
      <c r="K99" s="60">
        <f t="shared" si="265"/>
        <v>0</v>
      </c>
      <c r="L99" s="60"/>
      <c r="M99" s="60">
        <f t="shared" si="266"/>
        <v>0</v>
      </c>
      <c r="N99" s="60"/>
      <c r="O99" s="60">
        <f t="shared" si="267"/>
        <v>0</v>
      </c>
      <c r="P99" s="60"/>
      <c r="Q99" s="60">
        <f t="shared" si="268"/>
        <v>0</v>
      </c>
      <c r="R99" s="60"/>
      <c r="S99" s="60">
        <f t="shared" si="269"/>
        <v>0</v>
      </c>
      <c r="T99" s="60"/>
      <c r="U99" s="60">
        <f t="shared" si="270"/>
        <v>0</v>
      </c>
      <c r="V99" s="60"/>
      <c r="W99" s="60">
        <f t="shared" si="271"/>
        <v>0</v>
      </c>
      <c r="X99" s="196"/>
      <c r="Y99" s="60">
        <f t="shared" si="272"/>
        <v>0</v>
      </c>
      <c r="Z99" s="60"/>
      <c r="AA99" s="60">
        <f t="shared" si="273"/>
        <v>0</v>
      </c>
      <c r="AB99" s="60"/>
      <c r="AC99" s="60">
        <f t="shared" si="274"/>
        <v>0</v>
      </c>
      <c r="AD99" s="60"/>
      <c r="AE99" s="60">
        <f t="shared" si="275"/>
        <v>0</v>
      </c>
      <c r="AF99" s="60"/>
      <c r="AG99" s="60">
        <f t="shared" si="276"/>
        <v>0</v>
      </c>
      <c r="AH99" s="60"/>
      <c r="AI99" s="60">
        <f t="shared" si="277"/>
        <v>0</v>
      </c>
      <c r="AJ99" s="60"/>
      <c r="AK99" s="60">
        <f t="shared" si="278"/>
        <v>0</v>
      </c>
      <c r="AL99" s="60"/>
      <c r="AM99" s="60">
        <f t="shared" si="279"/>
        <v>0</v>
      </c>
      <c r="AN99" s="60"/>
      <c r="AO99" s="60">
        <f t="shared" si="280"/>
        <v>0</v>
      </c>
      <c r="AP99" s="60"/>
      <c r="AQ99" s="60">
        <f t="shared" si="281"/>
        <v>0</v>
      </c>
      <c r="AR99" s="60"/>
      <c r="AS99" s="60">
        <f t="shared" si="282"/>
        <v>0</v>
      </c>
      <c r="AT99" s="60"/>
      <c r="AU99" s="60">
        <f t="shared" si="283"/>
        <v>0</v>
      </c>
      <c r="AV99" s="60"/>
      <c r="AW99" s="60">
        <f t="shared" si="284"/>
        <v>0</v>
      </c>
      <c r="AX99" s="60"/>
      <c r="AY99" s="60">
        <f t="shared" si="285"/>
        <v>0</v>
      </c>
      <c r="AZ99" s="60"/>
      <c r="BA99" s="60">
        <f t="shared" si="286"/>
        <v>0</v>
      </c>
      <c r="BB99" s="60"/>
      <c r="BC99" s="60">
        <f t="shared" si="287"/>
        <v>0</v>
      </c>
      <c r="BD99" s="60"/>
      <c r="BE99" s="60">
        <f t="shared" si="288"/>
        <v>0</v>
      </c>
      <c r="BF99" s="60"/>
      <c r="BG99" s="60">
        <f t="shared" si="289"/>
        <v>0</v>
      </c>
      <c r="BH99" s="60"/>
      <c r="BI99" s="60">
        <f t="shared" si="290"/>
        <v>0</v>
      </c>
      <c r="BJ99" s="60"/>
      <c r="BK99" s="60">
        <f t="shared" si="291"/>
        <v>0</v>
      </c>
      <c r="BL99" s="60"/>
      <c r="BM99" s="78">
        <f t="shared" si="292"/>
        <v>0</v>
      </c>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KC99" s="148" t="s">
        <v>1209</v>
      </c>
      <c r="KD99" s="149" t="str">
        <f>IF($KD$53="Y",KD98,IF(BU64="Y","Y","N"))</f>
        <v>N</v>
      </c>
      <c r="KE99" s="5" t="str">
        <f t="shared" ref="KE99:LF99" si="304">IF($KD$53="Y",KE98,IF(BV64="Y","Y","N"))</f>
        <v>N</v>
      </c>
      <c r="KF99" s="5" t="str">
        <f t="shared" si="304"/>
        <v>N</v>
      </c>
      <c r="KG99" s="5" t="str">
        <f t="shared" si="304"/>
        <v>N</v>
      </c>
      <c r="KH99" s="5" t="str">
        <f t="shared" si="304"/>
        <v>N</v>
      </c>
      <c r="KI99" s="5" t="str">
        <f t="shared" si="304"/>
        <v>N</v>
      </c>
      <c r="KJ99" s="5" t="str">
        <f t="shared" si="304"/>
        <v>N</v>
      </c>
      <c r="KK99" s="5" t="str">
        <f t="shared" si="304"/>
        <v>N</v>
      </c>
      <c r="KL99" s="5" t="str">
        <f t="shared" si="304"/>
        <v>N</v>
      </c>
      <c r="KM99" s="5" t="str">
        <f t="shared" si="304"/>
        <v>N</v>
      </c>
      <c r="KN99" s="5" t="str">
        <f t="shared" si="304"/>
        <v>N</v>
      </c>
      <c r="KO99" s="5" t="str">
        <f t="shared" si="304"/>
        <v>N</v>
      </c>
      <c r="KP99" s="5" t="str">
        <f t="shared" si="304"/>
        <v>N</v>
      </c>
      <c r="KQ99" s="5" t="str">
        <f t="shared" si="304"/>
        <v>N</v>
      </c>
      <c r="KR99" s="5" t="str">
        <f t="shared" si="304"/>
        <v>N</v>
      </c>
      <c r="KS99" s="5" t="str">
        <f t="shared" si="304"/>
        <v>N</v>
      </c>
      <c r="KT99" s="5" t="str">
        <f t="shared" si="304"/>
        <v>N</v>
      </c>
      <c r="KU99" s="5" t="str">
        <f t="shared" si="304"/>
        <v>N</v>
      </c>
      <c r="KV99" s="5" t="str">
        <f t="shared" si="304"/>
        <v>N</v>
      </c>
      <c r="KW99" s="5" t="str">
        <f t="shared" si="304"/>
        <v>N</v>
      </c>
      <c r="KX99" s="5" t="str">
        <f t="shared" si="304"/>
        <v>N</v>
      </c>
      <c r="KY99" s="5" t="str">
        <f t="shared" si="304"/>
        <v>N</v>
      </c>
      <c r="KZ99" s="5" t="str">
        <f t="shared" si="304"/>
        <v>N</v>
      </c>
      <c r="LA99" s="5" t="str">
        <f t="shared" si="304"/>
        <v>N</v>
      </c>
      <c r="LB99" s="5" t="str">
        <f t="shared" si="304"/>
        <v>N</v>
      </c>
      <c r="LC99" s="5" t="str">
        <f t="shared" si="304"/>
        <v>N</v>
      </c>
      <c r="LD99" s="5" t="str">
        <f t="shared" si="304"/>
        <v>N</v>
      </c>
      <c r="LE99" s="5" t="str">
        <f t="shared" si="304"/>
        <v>N</v>
      </c>
      <c r="LF99" s="5" t="str">
        <f t="shared" si="304"/>
        <v>N</v>
      </c>
    </row>
    <row r="100" spans="1:318" s="5" customFormat="1" ht="11.25" hidden="1" customHeight="1" x14ac:dyDescent="0.2">
      <c r="A100"/>
      <c r="G100" s="77">
        <f t="shared" si="263"/>
        <v>0</v>
      </c>
      <c r="H100" s="60"/>
      <c r="I100" s="60">
        <f t="shared" si="264"/>
        <v>0</v>
      </c>
      <c r="J100" s="60"/>
      <c r="K100" s="60">
        <f t="shared" si="265"/>
        <v>0</v>
      </c>
      <c r="L100" s="60"/>
      <c r="M100" s="60">
        <f t="shared" si="266"/>
        <v>0</v>
      </c>
      <c r="N100" s="60"/>
      <c r="O100" s="60">
        <f t="shared" si="267"/>
        <v>0</v>
      </c>
      <c r="P100" s="60"/>
      <c r="Q100" s="60">
        <f t="shared" si="268"/>
        <v>0</v>
      </c>
      <c r="R100" s="60"/>
      <c r="S100" s="60">
        <f t="shared" si="269"/>
        <v>0</v>
      </c>
      <c r="T100" s="60"/>
      <c r="U100" s="60">
        <f t="shared" si="270"/>
        <v>0</v>
      </c>
      <c r="V100" s="60"/>
      <c r="W100" s="60">
        <f t="shared" si="271"/>
        <v>0</v>
      </c>
      <c r="X100" s="196"/>
      <c r="Y100" s="60">
        <f t="shared" si="272"/>
        <v>0</v>
      </c>
      <c r="Z100" s="60"/>
      <c r="AA100" s="60">
        <f t="shared" si="273"/>
        <v>0</v>
      </c>
      <c r="AB100" s="60"/>
      <c r="AC100" s="60">
        <f t="shared" si="274"/>
        <v>0</v>
      </c>
      <c r="AD100" s="60"/>
      <c r="AE100" s="60">
        <f t="shared" si="275"/>
        <v>0</v>
      </c>
      <c r="AF100" s="60"/>
      <c r="AG100" s="60">
        <f t="shared" si="276"/>
        <v>0</v>
      </c>
      <c r="AH100" s="60"/>
      <c r="AI100" s="60">
        <f t="shared" si="277"/>
        <v>0</v>
      </c>
      <c r="AJ100" s="60"/>
      <c r="AK100" s="60">
        <f t="shared" si="278"/>
        <v>0</v>
      </c>
      <c r="AL100" s="60"/>
      <c r="AM100" s="60">
        <f t="shared" si="279"/>
        <v>0</v>
      </c>
      <c r="AN100" s="60"/>
      <c r="AO100" s="60">
        <f t="shared" si="280"/>
        <v>0</v>
      </c>
      <c r="AP100" s="60"/>
      <c r="AQ100" s="60">
        <f t="shared" si="281"/>
        <v>0</v>
      </c>
      <c r="AR100" s="60"/>
      <c r="AS100" s="60">
        <f t="shared" si="282"/>
        <v>0</v>
      </c>
      <c r="AT100" s="60"/>
      <c r="AU100" s="60">
        <f t="shared" si="283"/>
        <v>0</v>
      </c>
      <c r="AV100" s="60"/>
      <c r="AW100" s="60">
        <f t="shared" si="284"/>
        <v>0</v>
      </c>
      <c r="AX100" s="60"/>
      <c r="AY100" s="60">
        <f t="shared" si="285"/>
        <v>0</v>
      </c>
      <c r="AZ100" s="60"/>
      <c r="BA100" s="60">
        <f t="shared" si="286"/>
        <v>0</v>
      </c>
      <c r="BB100" s="60"/>
      <c r="BC100" s="60">
        <f t="shared" si="287"/>
        <v>0</v>
      </c>
      <c r="BD100" s="60"/>
      <c r="BE100" s="60">
        <f t="shared" si="288"/>
        <v>0</v>
      </c>
      <c r="BF100" s="60"/>
      <c r="BG100" s="60">
        <f t="shared" si="289"/>
        <v>0</v>
      </c>
      <c r="BH100" s="60"/>
      <c r="BI100" s="60">
        <f t="shared" si="290"/>
        <v>0</v>
      </c>
      <c r="BJ100" s="60"/>
      <c r="BK100" s="60">
        <f t="shared" si="291"/>
        <v>0</v>
      </c>
      <c r="BL100" s="60"/>
      <c r="BM100" s="78">
        <f t="shared" si="292"/>
        <v>0</v>
      </c>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10"/>
      <c r="HJ100" s="10"/>
      <c r="HK100" s="10"/>
      <c r="HL100" s="10"/>
      <c r="HM100" s="10"/>
      <c r="KC100" s="148" t="s">
        <v>1207</v>
      </c>
      <c r="KD100" s="5">
        <f>COUNTIF(KD45:KD51,"A")</f>
        <v>0</v>
      </c>
      <c r="KE100" s="5">
        <f t="shared" ref="KE100:LF100" si="305">COUNTIF(KE45:KE51,"A")</f>
        <v>0</v>
      </c>
      <c r="KF100" s="5">
        <f t="shared" si="305"/>
        <v>0</v>
      </c>
      <c r="KG100" s="5">
        <f t="shared" si="305"/>
        <v>0</v>
      </c>
      <c r="KH100" s="5">
        <f t="shared" si="305"/>
        <v>0</v>
      </c>
      <c r="KI100" s="5">
        <f t="shared" si="305"/>
        <v>0</v>
      </c>
      <c r="KJ100" s="5">
        <f t="shared" si="305"/>
        <v>0</v>
      </c>
      <c r="KK100" s="5">
        <f t="shared" si="305"/>
        <v>0</v>
      </c>
      <c r="KL100" s="5">
        <f t="shared" si="305"/>
        <v>0</v>
      </c>
      <c r="KM100" s="5">
        <f t="shared" si="305"/>
        <v>0</v>
      </c>
      <c r="KN100" s="5">
        <f t="shared" si="305"/>
        <v>0</v>
      </c>
      <c r="KO100" s="5">
        <f t="shared" si="305"/>
        <v>0</v>
      </c>
      <c r="KP100" s="5">
        <f t="shared" si="305"/>
        <v>0</v>
      </c>
      <c r="KQ100" s="5">
        <f t="shared" si="305"/>
        <v>0</v>
      </c>
      <c r="KR100" s="5">
        <f t="shared" si="305"/>
        <v>0</v>
      </c>
      <c r="KS100" s="5">
        <f t="shared" si="305"/>
        <v>0</v>
      </c>
      <c r="KT100" s="5">
        <f t="shared" si="305"/>
        <v>0</v>
      </c>
      <c r="KU100" s="5">
        <f t="shared" si="305"/>
        <v>0</v>
      </c>
      <c r="KV100" s="5">
        <f t="shared" si="305"/>
        <v>0</v>
      </c>
      <c r="KW100" s="5">
        <f t="shared" si="305"/>
        <v>0</v>
      </c>
      <c r="KX100" s="5">
        <f t="shared" si="305"/>
        <v>0</v>
      </c>
      <c r="KY100" s="5">
        <f t="shared" si="305"/>
        <v>0</v>
      </c>
      <c r="KZ100" s="5">
        <f t="shared" si="305"/>
        <v>0</v>
      </c>
      <c r="LA100" s="5">
        <f t="shared" si="305"/>
        <v>0</v>
      </c>
      <c r="LB100" s="5">
        <f t="shared" si="305"/>
        <v>0</v>
      </c>
      <c r="LC100" s="5">
        <f t="shared" si="305"/>
        <v>0</v>
      </c>
      <c r="LD100" s="5">
        <f t="shared" si="305"/>
        <v>0</v>
      </c>
      <c r="LE100" s="5">
        <f t="shared" si="305"/>
        <v>0</v>
      </c>
      <c r="LF100" s="5">
        <f t="shared" si="305"/>
        <v>0</v>
      </c>
    </row>
    <row r="101" spans="1:318" s="5" customFormat="1" ht="11.25" hidden="1" customHeight="1" x14ac:dyDescent="0.2">
      <c r="A101"/>
      <c r="G101" s="77">
        <f t="shared" si="263"/>
        <v>0</v>
      </c>
      <c r="H101" s="60"/>
      <c r="I101" s="60">
        <f t="shared" si="264"/>
        <v>0</v>
      </c>
      <c r="J101" s="60"/>
      <c r="K101" s="60">
        <f t="shared" si="265"/>
        <v>0</v>
      </c>
      <c r="L101" s="60"/>
      <c r="M101" s="60">
        <f t="shared" si="266"/>
        <v>0</v>
      </c>
      <c r="N101" s="60"/>
      <c r="O101" s="60">
        <f t="shared" si="267"/>
        <v>0</v>
      </c>
      <c r="P101" s="60"/>
      <c r="Q101" s="60">
        <f t="shared" si="268"/>
        <v>0</v>
      </c>
      <c r="R101" s="60"/>
      <c r="S101" s="60">
        <f t="shared" si="269"/>
        <v>0</v>
      </c>
      <c r="T101" s="60"/>
      <c r="U101" s="60">
        <f t="shared" si="270"/>
        <v>0</v>
      </c>
      <c r="V101" s="60"/>
      <c r="W101" s="60">
        <f t="shared" si="271"/>
        <v>0</v>
      </c>
      <c r="X101" s="196"/>
      <c r="Y101" s="60">
        <f t="shared" si="272"/>
        <v>0</v>
      </c>
      <c r="Z101" s="60"/>
      <c r="AA101" s="60">
        <f t="shared" si="273"/>
        <v>0</v>
      </c>
      <c r="AB101" s="60"/>
      <c r="AC101" s="60">
        <f t="shared" si="274"/>
        <v>0</v>
      </c>
      <c r="AD101" s="60"/>
      <c r="AE101" s="60">
        <f t="shared" si="275"/>
        <v>0</v>
      </c>
      <c r="AF101" s="60"/>
      <c r="AG101" s="60">
        <f t="shared" si="276"/>
        <v>0</v>
      </c>
      <c r="AH101" s="60"/>
      <c r="AI101" s="60">
        <f t="shared" si="277"/>
        <v>0</v>
      </c>
      <c r="AJ101" s="60"/>
      <c r="AK101" s="60">
        <f t="shared" si="278"/>
        <v>0</v>
      </c>
      <c r="AL101" s="60"/>
      <c r="AM101" s="60">
        <f t="shared" si="279"/>
        <v>0</v>
      </c>
      <c r="AN101" s="60"/>
      <c r="AO101" s="60">
        <f t="shared" si="280"/>
        <v>0</v>
      </c>
      <c r="AP101" s="60"/>
      <c r="AQ101" s="60">
        <f t="shared" si="281"/>
        <v>0</v>
      </c>
      <c r="AR101" s="60"/>
      <c r="AS101" s="60">
        <f t="shared" si="282"/>
        <v>0</v>
      </c>
      <c r="AT101" s="60"/>
      <c r="AU101" s="60">
        <f t="shared" si="283"/>
        <v>0</v>
      </c>
      <c r="AV101" s="60"/>
      <c r="AW101" s="60">
        <f t="shared" si="284"/>
        <v>0</v>
      </c>
      <c r="AX101" s="60"/>
      <c r="AY101" s="60">
        <f t="shared" si="285"/>
        <v>0</v>
      </c>
      <c r="AZ101" s="60"/>
      <c r="BA101" s="60">
        <f t="shared" si="286"/>
        <v>0</v>
      </c>
      <c r="BB101" s="60"/>
      <c r="BC101" s="60">
        <f t="shared" si="287"/>
        <v>0</v>
      </c>
      <c r="BD101" s="60"/>
      <c r="BE101" s="60">
        <f t="shared" si="288"/>
        <v>0</v>
      </c>
      <c r="BF101" s="60"/>
      <c r="BG101" s="60">
        <f t="shared" si="289"/>
        <v>0</v>
      </c>
      <c r="BH101" s="60"/>
      <c r="BI101" s="60">
        <f t="shared" si="290"/>
        <v>0</v>
      </c>
      <c r="BJ101" s="60"/>
      <c r="BK101" s="60">
        <f t="shared" si="291"/>
        <v>0</v>
      </c>
      <c r="BL101" s="60"/>
      <c r="BM101" s="78">
        <f t="shared" si="292"/>
        <v>0</v>
      </c>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KC101" s="148" t="s">
        <v>1210</v>
      </c>
      <c r="KD101" s="5">
        <f>COUNTIF(KD45:KD51,"B")</f>
        <v>0</v>
      </c>
      <c r="KE101" s="5">
        <f t="shared" ref="KE101:LF101" si="306">COUNTIF(KE45:KE51,"B")</f>
        <v>0</v>
      </c>
      <c r="KF101" s="5">
        <f t="shared" si="306"/>
        <v>0</v>
      </c>
      <c r="KG101" s="5">
        <f t="shared" si="306"/>
        <v>0</v>
      </c>
      <c r="KH101" s="5">
        <f t="shared" si="306"/>
        <v>0</v>
      </c>
      <c r="KI101" s="5">
        <f t="shared" si="306"/>
        <v>0</v>
      </c>
      <c r="KJ101" s="5">
        <f t="shared" si="306"/>
        <v>0</v>
      </c>
      <c r="KK101" s="5">
        <f t="shared" si="306"/>
        <v>0</v>
      </c>
      <c r="KL101" s="5">
        <f t="shared" si="306"/>
        <v>0</v>
      </c>
      <c r="KM101" s="5">
        <f t="shared" si="306"/>
        <v>0</v>
      </c>
      <c r="KN101" s="5">
        <f t="shared" si="306"/>
        <v>0</v>
      </c>
      <c r="KO101" s="5">
        <f t="shared" si="306"/>
        <v>0</v>
      </c>
      <c r="KP101" s="5">
        <f t="shared" si="306"/>
        <v>0</v>
      </c>
      <c r="KQ101" s="5">
        <f t="shared" si="306"/>
        <v>0</v>
      </c>
      <c r="KR101" s="5">
        <f t="shared" si="306"/>
        <v>0</v>
      </c>
      <c r="KS101" s="5">
        <f t="shared" si="306"/>
        <v>0</v>
      </c>
      <c r="KT101" s="5">
        <f t="shared" si="306"/>
        <v>0</v>
      </c>
      <c r="KU101" s="5">
        <f t="shared" si="306"/>
        <v>0</v>
      </c>
      <c r="KV101" s="5">
        <f t="shared" si="306"/>
        <v>0</v>
      </c>
      <c r="KW101" s="5">
        <f t="shared" si="306"/>
        <v>0</v>
      </c>
      <c r="KX101" s="5">
        <f t="shared" si="306"/>
        <v>0</v>
      </c>
      <c r="KY101" s="5">
        <f t="shared" si="306"/>
        <v>0</v>
      </c>
      <c r="KZ101" s="5">
        <f t="shared" si="306"/>
        <v>0</v>
      </c>
      <c r="LA101" s="5">
        <f t="shared" si="306"/>
        <v>0</v>
      </c>
      <c r="LB101" s="5">
        <f t="shared" si="306"/>
        <v>0</v>
      </c>
      <c r="LC101" s="5">
        <f t="shared" si="306"/>
        <v>0</v>
      </c>
      <c r="LD101" s="5">
        <f t="shared" si="306"/>
        <v>0</v>
      </c>
      <c r="LE101" s="5">
        <f t="shared" si="306"/>
        <v>0</v>
      </c>
      <c r="LF101" s="5">
        <f t="shared" si="306"/>
        <v>0</v>
      </c>
    </row>
    <row r="102" spans="1:318" s="5" customFormat="1" ht="11.25" hidden="1" customHeight="1" x14ac:dyDescent="0.2">
      <c r="A102"/>
      <c r="G102" s="77">
        <f t="shared" si="263"/>
        <v>0</v>
      </c>
      <c r="H102" s="60"/>
      <c r="I102" s="60">
        <f t="shared" si="264"/>
        <v>0</v>
      </c>
      <c r="J102" s="60"/>
      <c r="K102" s="60">
        <f t="shared" si="265"/>
        <v>0</v>
      </c>
      <c r="L102" s="60"/>
      <c r="M102" s="60">
        <f t="shared" si="266"/>
        <v>0</v>
      </c>
      <c r="N102" s="60"/>
      <c r="O102" s="60">
        <f t="shared" si="267"/>
        <v>0</v>
      </c>
      <c r="P102" s="60"/>
      <c r="Q102" s="60">
        <f t="shared" si="268"/>
        <v>0</v>
      </c>
      <c r="R102" s="60"/>
      <c r="S102" s="60">
        <f t="shared" si="269"/>
        <v>0</v>
      </c>
      <c r="T102" s="60"/>
      <c r="U102" s="60">
        <f t="shared" si="270"/>
        <v>0</v>
      </c>
      <c r="V102" s="60"/>
      <c r="W102" s="60">
        <f t="shared" si="271"/>
        <v>0</v>
      </c>
      <c r="X102" s="196"/>
      <c r="Y102" s="60">
        <f t="shared" si="272"/>
        <v>0</v>
      </c>
      <c r="Z102" s="60"/>
      <c r="AA102" s="60">
        <f t="shared" si="273"/>
        <v>0</v>
      </c>
      <c r="AB102" s="60"/>
      <c r="AC102" s="60">
        <f t="shared" si="274"/>
        <v>0</v>
      </c>
      <c r="AD102" s="60"/>
      <c r="AE102" s="60">
        <f t="shared" si="275"/>
        <v>0</v>
      </c>
      <c r="AF102" s="60"/>
      <c r="AG102" s="60">
        <f t="shared" si="276"/>
        <v>0</v>
      </c>
      <c r="AH102" s="60"/>
      <c r="AI102" s="60">
        <f t="shared" si="277"/>
        <v>0</v>
      </c>
      <c r="AJ102" s="60"/>
      <c r="AK102" s="60">
        <f t="shared" si="278"/>
        <v>0</v>
      </c>
      <c r="AL102" s="60"/>
      <c r="AM102" s="60">
        <f t="shared" si="279"/>
        <v>0</v>
      </c>
      <c r="AN102" s="60"/>
      <c r="AO102" s="60">
        <f t="shared" si="280"/>
        <v>0</v>
      </c>
      <c r="AP102" s="60"/>
      <c r="AQ102" s="60">
        <f t="shared" si="281"/>
        <v>0</v>
      </c>
      <c r="AR102" s="60"/>
      <c r="AS102" s="60">
        <f t="shared" si="282"/>
        <v>0</v>
      </c>
      <c r="AT102" s="60"/>
      <c r="AU102" s="60">
        <f t="shared" si="283"/>
        <v>0</v>
      </c>
      <c r="AV102" s="60"/>
      <c r="AW102" s="60">
        <f t="shared" si="284"/>
        <v>0</v>
      </c>
      <c r="AX102" s="60"/>
      <c r="AY102" s="60">
        <f t="shared" si="285"/>
        <v>0</v>
      </c>
      <c r="AZ102" s="60"/>
      <c r="BA102" s="60">
        <f t="shared" si="286"/>
        <v>0</v>
      </c>
      <c r="BB102" s="60"/>
      <c r="BC102" s="60">
        <f t="shared" si="287"/>
        <v>0</v>
      </c>
      <c r="BD102" s="60"/>
      <c r="BE102" s="60">
        <f t="shared" si="288"/>
        <v>0</v>
      </c>
      <c r="BF102" s="60"/>
      <c r="BG102" s="60">
        <f t="shared" si="289"/>
        <v>0</v>
      </c>
      <c r="BH102" s="60"/>
      <c r="BI102" s="60">
        <f t="shared" si="290"/>
        <v>0</v>
      </c>
      <c r="BJ102" s="60"/>
      <c r="BK102" s="60">
        <f t="shared" si="291"/>
        <v>0</v>
      </c>
      <c r="BL102" s="60"/>
      <c r="BM102" s="78">
        <f t="shared" si="292"/>
        <v>0</v>
      </c>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KC102" s="148" t="s">
        <v>1211</v>
      </c>
      <c r="KD102" s="5">
        <f>COUNTIF(KD45:KD51,"C")</f>
        <v>0</v>
      </c>
      <c r="KE102" s="5">
        <f t="shared" ref="KE102:LF102" si="307">COUNTIF(KE45:KE51,"C")</f>
        <v>0</v>
      </c>
      <c r="KF102" s="5">
        <f t="shared" si="307"/>
        <v>0</v>
      </c>
      <c r="KG102" s="5">
        <f t="shared" si="307"/>
        <v>0</v>
      </c>
      <c r="KH102" s="5">
        <f t="shared" si="307"/>
        <v>0</v>
      </c>
      <c r="KI102" s="5">
        <f t="shared" si="307"/>
        <v>0</v>
      </c>
      <c r="KJ102" s="5">
        <f t="shared" si="307"/>
        <v>0</v>
      </c>
      <c r="KK102" s="5">
        <f t="shared" si="307"/>
        <v>0</v>
      </c>
      <c r="KL102" s="5">
        <f t="shared" si="307"/>
        <v>0</v>
      </c>
      <c r="KM102" s="5">
        <f t="shared" si="307"/>
        <v>0</v>
      </c>
      <c r="KN102" s="5">
        <f t="shared" si="307"/>
        <v>0</v>
      </c>
      <c r="KO102" s="5">
        <f t="shared" si="307"/>
        <v>0</v>
      </c>
      <c r="KP102" s="5">
        <f t="shared" si="307"/>
        <v>0</v>
      </c>
      <c r="KQ102" s="5">
        <f t="shared" si="307"/>
        <v>0</v>
      </c>
      <c r="KR102" s="5">
        <f t="shared" si="307"/>
        <v>0</v>
      </c>
      <c r="KS102" s="5">
        <f t="shared" si="307"/>
        <v>0</v>
      </c>
      <c r="KT102" s="5">
        <f t="shared" si="307"/>
        <v>0</v>
      </c>
      <c r="KU102" s="5">
        <f t="shared" si="307"/>
        <v>0</v>
      </c>
      <c r="KV102" s="5">
        <f t="shared" si="307"/>
        <v>0</v>
      </c>
      <c r="KW102" s="5">
        <f t="shared" si="307"/>
        <v>0</v>
      </c>
      <c r="KX102" s="5">
        <f t="shared" si="307"/>
        <v>0</v>
      </c>
      <c r="KY102" s="5">
        <f t="shared" si="307"/>
        <v>0</v>
      </c>
      <c r="KZ102" s="5">
        <f t="shared" si="307"/>
        <v>0</v>
      </c>
      <c r="LA102" s="5">
        <f t="shared" si="307"/>
        <v>0</v>
      </c>
      <c r="LB102" s="5">
        <f t="shared" si="307"/>
        <v>0</v>
      </c>
      <c r="LC102" s="5">
        <f t="shared" si="307"/>
        <v>0</v>
      </c>
      <c r="LD102" s="5">
        <f t="shared" si="307"/>
        <v>0</v>
      </c>
      <c r="LE102" s="5">
        <f t="shared" si="307"/>
        <v>0</v>
      </c>
      <c r="LF102" s="5">
        <f t="shared" si="307"/>
        <v>0</v>
      </c>
    </row>
    <row r="103" spans="1:318" s="5" customFormat="1" ht="11.25" hidden="1" customHeight="1" x14ac:dyDescent="0.2">
      <c r="A103"/>
      <c r="G103" s="77">
        <f t="shared" si="263"/>
        <v>0</v>
      </c>
      <c r="H103" s="60"/>
      <c r="I103" s="60">
        <f t="shared" si="264"/>
        <v>0</v>
      </c>
      <c r="J103" s="60"/>
      <c r="K103" s="60">
        <f t="shared" si="265"/>
        <v>0</v>
      </c>
      <c r="L103" s="60"/>
      <c r="M103" s="60">
        <f t="shared" si="266"/>
        <v>0</v>
      </c>
      <c r="N103" s="60"/>
      <c r="O103" s="60">
        <f t="shared" si="267"/>
        <v>0</v>
      </c>
      <c r="P103" s="60"/>
      <c r="Q103" s="60">
        <f t="shared" si="268"/>
        <v>0</v>
      </c>
      <c r="R103" s="60"/>
      <c r="S103" s="60">
        <f t="shared" si="269"/>
        <v>0</v>
      </c>
      <c r="T103" s="60"/>
      <c r="U103" s="60">
        <f t="shared" si="270"/>
        <v>0</v>
      </c>
      <c r="V103" s="60"/>
      <c r="W103" s="60">
        <f t="shared" si="271"/>
        <v>0</v>
      </c>
      <c r="X103" s="196"/>
      <c r="Y103" s="60">
        <f t="shared" si="272"/>
        <v>0</v>
      </c>
      <c r="Z103" s="60"/>
      <c r="AA103" s="60">
        <f t="shared" si="273"/>
        <v>0</v>
      </c>
      <c r="AB103" s="60"/>
      <c r="AC103" s="60">
        <f t="shared" si="274"/>
        <v>0</v>
      </c>
      <c r="AD103" s="60"/>
      <c r="AE103" s="60">
        <f t="shared" si="275"/>
        <v>0</v>
      </c>
      <c r="AF103" s="60"/>
      <c r="AG103" s="60">
        <f t="shared" si="276"/>
        <v>0</v>
      </c>
      <c r="AH103" s="60"/>
      <c r="AI103" s="60">
        <f t="shared" si="277"/>
        <v>0</v>
      </c>
      <c r="AJ103" s="60"/>
      <c r="AK103" s="60">
        <f t="shared" si="278"/>
        <v>0</v>
      </c>
      <c r="AL103" s="60"/>
      <c r="AM103" s="60">
        <f t="shared" si="279"/>
        <v>0</v>
      </c>
      <c r="AN103" s="60"/>
      <c r="AO103" s="60">
        <f t="shared" si="280"/>
        <v>0</v>
      </c>
      <c r="AP103" s="60"/>
      <c r="AQ103" s="60">
        <f t="shared" si="281"/>
        <v>0</v>
      </c>
      <c r="AR103" s="60"/>
      <c r="AS103" s="60">
        <f t="shared" si="282"/>
        <v>0</v>
      </c>
      <c r="AT103" s="60"/>
      <c r="AU103" s="60">
        <f t="shared" si="283"/>
        <v>0</v>
      </c>
      <c r="AV103" s="60"/>
      <c r="AW103" s="60">
        <f t="shared" si="284"/>
        <v>0</v>
      </c>
      <c r="AX103" s="60"/>
      <c r="AY103" s="60">
        <f t="shared" si="285"/>
        <v>0</v>
      </c>
      <c r="AZ103" s="60"/>
      <c r="BA103" s="60">
        <f t="shared" si="286"/>
        <v>0</v>
      </c>
      <c r="BB103" s="60"/>
      <c r="BC103" s="60">
        <f t="shared" si="287"/>
        <v>0</v>
      </c>
      <c r="BD103" s="60"/>
      <c r="BE103" s="60">
        <f t="shared" si="288"/>
        <v>0</v>
      </c>
      <c r="BF103" s="60"/>
      <c r="BG103" s="60">
        <f t="shared" si="289"/>
        <v>0</v>
      </c>
      <c r="BH103" s="60"/>
      <c r="BI103" s="60">
        <f t="shared" si="290"/>
        <v>0</v>
      </c>
      <c r="BJ103" s="60"/>
      <c r="BK103" s="60">
        <f t="shared" si="291"/>
        <v>0</v>
      </c>
      <c r="BL103" s="60"/>
      <c r="BM103" s="78">
        <f t="shared" si="292"/>
        <v>0</v>
      </c>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KC103" s="148" t="s">
        <v>839</v>
      </c>
      <c r="KD103" s="5">
        <f>SUM(KD100:KD102)</f>
        <v>0</v>
      </c>
      <c r="KE103" s="5">
        <f t="shared" ref="KE103:LF103" si="308">SUM(KE100:KE102)</f>
        <v>0</v>
      </c>
      <c r="KF103" s="5">
        <f t="shared" si="308"/>
        <v>0</v>
      </c>
      <c r="KG103" s="5">
        <f t="shared" si="308"/>
        <v>0</v>
      </c>
      <c r="KH103" s="5">
        <f t="shared" si="308"/>
        <v>0</v>
      </c>
      <c r="KI103" s="5">
        <f t="shared" si="308"/>
        <v>0</v>
      </c>
      <c r="KJ103" s="5">
        <f t="shared" si="308"/>
        <v>0</v>
      </c>
      <c r="KK103" s="5">
        <f t="shared" si="308"/>
        <v>0</v>
      </c>
      <c r="KL103" s="5">
        <f t="shared" si="308"/>
        <v>0</v>
      </c>
      <c r="KM103" s="5">
        <f t="shared" si="308"/>
        <v>0</v>
      </c>
      <c r="KN103" s="5">
        <f t="shared" si="308"/>
        <v>0</v>
      </c>
      <c r="KO103" s="5">
        <f t="shared" si="308"/>
        <v>0</v>
      </c>
      <c r="KP103" s="5">
        <f t="shared" si="308"/>
        <v>0</v>
      </c>
      <c r="KQ103" s="5">
        <f t="shared" si="308"/>
        <v>0</v>
      </c>
      <c r="KR103" s="5">
        <f t="shared" si="308"/>
        <v>0</v>
      </c>
      <c r="KS103" s="5">
        <f t="shared" si="308"/>
        <v>0</v>
      </c>
      <c r="KT103" s="5">
        <f t="shared" si="308"/>
        <v>0</v>
      </c>
      <c r="KU103" s="5">
        <f t="shared" si="308"/>
        <v>0</v>
      </c>
      <c r="KV103" s="5">
        <f t="shared" si="308"/>
        <v>0</v>
      </c>
      <c r="KW103" s="5">
        <f t="shared" si="308"/>
        <v>0</v>
      </c>
      <c r="KX103" s="5">
        <f t="shared" si="308"/>
        <v>0</v>
      </c>
      <c r="KY103" s="5">
        <f t="shared" si="308"/>
        <v>0</v>
      </c>
      <c r="KZ103" s="5">
        <f t="shared" si="308"/>
        <v>0</v>
      </c>
      <c r="LA103" s="5">
        <f t="shared" si="308"/>
        <v>0</v>
      </c>
      <c r="LB103" s="5">
        <f t="shared" si="308"/>
        <v>0</v>
      </c>
      <c r="LC103" s="5">
        <f t="shared" si="308"/>
        <v>0</v>
      </c>
      <c r="LD103" s="5">
        <f t="shared" si="308"/>
        <v>0</v>
      </c>
      <c r="LE103" s="5">
        <f t="shared" si="308"/>
        <v>0</v>
      </c>
      <c r="LF103" s="5">
        <f t="shared" si="308"/>
        <v>0</v>
      </c>
    </row>
    <row r="104" spans="1:318" s="5" customFormat="1" ht="11.25" hidden="1" customHeight="1" x14ac:dyDescent="0.2">
      <c r="A104"/>
      <c r="G104" s="77">
        <f t="shared" si="263"/>
        <v>0</v>
      </c>
      <c r="H104" s="60"/>
      <c r="I104" s="60">
        <f t="shared" si="264"/>
        <v>0</v>
      </c>
      <c r="J104" s="60"/>
      <c r="K104" s="60">
        <f t="shared" si="265"/>
        <v>0</v>
      </c>
      <c r="L104" s="60"/>
      <c r="M104" s="60">
        <f t="shared" si="266"/>
        <v>0</v>
      </c>
      <c r="N104" s="60"/>
      <c r="O104" s="60">
        <f t="shared" si="267"/>
        <v>0</v>
      </c>
      <c r="P104" s="60"/>
      <c r="Q104" s="60">
        <f t="shared" si="268"/>
        <v>0</v>
      </c>
      <c r="R104" s="60"/>
      <c r="S104" s="60">
        <f t="shared" si="269"/>
        <v>0</v>
      </c>
      <c r="T104" s="60"/>
      <c r="U104" s="60">
        <f t="shared" si="270"/>
        <v>0</v>
      </c>
      <c r="V104" s="60"/>
      <c r="W104" s="60">
        <f t="shared" si="271"/>
        <v>0</v>
      </c>
      <c r="X104" s="196"/>
      <c r="Y104" s="60">
        <f t="shared" si="272"/>
        <v>0</v>
      </c>
      <c r="Z104" s="60"/>
      <c r="AA104" s="60">
        <f t="shared" si="273"/>
        <v>0</v>
      </c>
      <c r="AB104" s="60"/>
      <c r="AC104" s="60">
        <f t="shared" si="274"/>
        <v>0</v>
      </c>
      <c r="AD104" s="60"/>
      <c r="AE104" s="60">
        <f t="shared" si="275"/>
        <v>0</v>
      </c>
      <c r="AF104" s="60"/>
      <c r="AG104" s="60">
        <f t="shared" si="276"/>
        <v>0</v>
      </c>
      <c r="AH104" s="60"/>
      <c r="AI104" s="60">
        <f t="shared" si="277"/>
        <v>0</v>
      </c>
      <c r="AJ104" s="60"/>
      <c r="AK104" s="60">
        <f t="shared" si="278"/>
        <v>0</v>
      </c>
      <c r="AL104" s="60"/>
      <c r="AM104" s="60">
        <f t="shared" si="279"/>
        <v>0</v>
      </c>
      <c r="AN104" s="60"/>
      <c r="AO104" s="60">
        <f t="shared" si="280"/>
        <v>0</v>
      </c>
      <c r="AP104" s="60"/>
      <c r="AQ104" s="60">
        <f t="shared" si="281"/>
        <v>0</v>
      </c>
      <c r="AR104" s="60"/>
      <c r="AS104" s="60">
        <f t="shared" si="282"/>
        <v>0</v>
      </c>
      <c r="AT104" s="60"/>
      <c r="AU104" s="60">
        <f t="shared" si="283"/>
        <v>0</v>
      </c>
      <c r="AV104" s="60"/>
      <c r="AW104" s="60">
        <f t="shared" si="284"/>
        <v>0</v>
      </c>
      <c r="AX104" s="60"/>
      <c r="AY104" s="60">
        <f t="shared" si="285"/>
        <v>0</v>
      </c>
      <c r="AZ104" s="60"/>
      <c r="BA104" s="60">
        <f t="shared" si="286"/>
        <v>0</v>
      </c>
      <c r="BB104" s="60"/>
      <c r="BC104" s="60">
        <f t="shared" si="287"/>
        <v>0</v>
      </c>
      <c r="BD104" s="60"/>
      <c r="BE104" s="60">
        <f t="shared" si="288"/>
        <v>0</v>
      </c>
      <c r="BF104" s="60"/>
      <c r="BG104" s="60">
        <f t="shared" si="289"/>
        <v>0</v>
      </c>
      <c r="BH104" s="60"/>
      <c r="BI104" s="60">
        <f t="shared" si="290"/>
        <v>0</v>
      </c>
      <c r="BJ104" s="60"/>
      <c r="BK104" s="60">
        <f t="shared" si="291"/>
        <v>0</v>
      </c>
      <c r="BL104" s="60"/>
      <c r="BM104" s="78">
        <f t="shared" si="292"/>
        <v>0</v>
      </c>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8"/>
      <c r="EC104" s="8"/>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KC104" s="148" t="s">
        <v>1182</v>
      </c>
      <c r="KD104" s="5" t="str">
        <f>IF(KD103&lt;&gt;0,IF(OR(KD100=KD103,(KD100+KD101)=KD103),"Y",IF(OR(AND(KD101=0,KD102&gt;0),KD102=KD103),"N","Y")),"")</f>
        <v/>
      </c>
      <c r="KE104" s="5" t="str">
        <f t="shared" ref="KE104:LF104" si="309">IF(KE103&lt;&gt;0,IF(OR(KE100=KE103,(KE100+KE101)=KE103),"Y",IF(OR(AND(KE101=0,KE102&gt;0),KE102=KE103),"N","Y")),"")</f>
        <v/>
      </c>
      <c r="KF104" s="5" t="str">
        <f t="shared" si="309"/>
        <v/>
      </c>
      <c r="KG104" s="5" t="str">
        <f t="shared" si="309"/>
        <v/>
      </c>
      <c r="KH104" s="5" t="str">
        <f t="shared" si="309"/>
        <v/>
      </c>
      <c r="KI104" s="5" t="str">
        <f t="shared" si="309"/>
        <v/>
      </c>
      <c r="KJ104" s="5" t="str">
        <f t="shared" si="309"/>
        <v/>
      </c>
      <c r="KK104" s="5" t="str">
        <f t="shared" si="309"/>
        <v/>
      </c>
      <c r="KL104" s="5" t="str">
        <f t="shared" si="309"/>
        <v/>
      </c>
      <c r="KM104" s="5" t="str">
        <f t="shared" si="309"/>
        <v/>
      </c>
      <c r="KN104" s="5" t="str">
        <f t="shared" si="309"/>
        <v/>
      </c>
      <c r="KO104" s="5" t="str">
        <f t="shared" si="309"/>
        <v/>
      </c>
      <c r="KP104" s="5" t="str">
        <f t="shared" si="309"/>
        <v/>
      </c>
      <c r="KQ104" s="5" t="str">
        <f t="shared" si="309"/>
        <v/>
      </c>
      <c r="KR104" s="5" t="str">
        <f t="shared" si="309"/>
        <v/>
      </c>
      <c r="KS104" s="5" t="str">
        <f t="shared" si="309"/>
        <v/>
      </c>
      <c r="KT104" s="5" t="str">
        <f t="shared" si="309"/>
        <v/>
      </c>
      <c r="KU104" s="5" t="str">
        <f t="shared" si="309"/>
        <v/>
      </c>
      <c r="KV104" s="5" t="str">
        <f t="shared" si="309"/>
        <v/>
      </c>
      <c r="KW104" s="5" t="str">
        <f t="shared" si="309"/>
        <v/>
      </c>
      <c r="KX104" s="5" t="str">
        <f t="shared" si="309"/>
        <v/>
      </c>
      <c r="KY104" s="5" t="str">
        <f t="shared" si="309"/>
        <v/>
      </c>
      <c r="KZ104" s="5" t="str">
        <f t="shared" si="309"/>
        <v/>
      </c>
      <c r="LA104" s="5" t="str">
        <f t="shared" si="309"/>
        <v/>
      </c>
      <c r="LB104" s="5" t="str">
        <f t="shared" si="309"/>
        <v/>
      </c>
      <c r="LC104" s="5" t="str">
        <f t="shared" si="309"/>
        <v/>
      </c>
      <c r="LD104" s="5" t="str">
        <f t="shared" si="309"/>
        <v/>
      </c>
      <c r="LE104" s="5" t="str">
        <f t="shared" si="309"/>
        <v/>
      </c>
      <c r="LF104" s="5" t="str">
        <f t="shared" si="309"/>
        <v/>
      </c>
    </row>
    <row r="105" spans="1:318" s="5" customFormat="1" ht="11.25" hidden="1" customHeight="1" x14ac:dyDescent="0.2">
      <c r="A105"/>
      <c r="G105" s="77">
        <f t="shared" si="263"/>
        <v>0</v>
      </c>
      <c r="H105" s="60"/>
      <c r="I105" s="60">
        <f t="shared" si="264"/>
        <v>0</v>
      </c>
      <c r="J105" s="60"/>
      <c r="K105" s="60">
        <f t="shared" si="265"/>
        <v>0</v>
      </c>
      <c r="L105" s="60"/>
      <c r="M105" s="60">
        <f t="shared" si="266"/>
        <v>0</v>
      </c>
      <c r="N105" s="60"/>
      <c r="O105" s="60">
        <f t="shared" si="267"/>
        <v>0</v>
      </c>
      <c r="P105" s="60"/>
      <c r="Q105" s="60">
        <f t="shared" si="268"/>
        <v>0</v>
      </c>
      <c r="R105" s="60"/>
      <c r="S105" s="60">
        <f t="shared" si="269"/>
        <v>0</v>
      </c>
      <c r="T105" s="60"/>
      <c r="U105" s="60">
        <f t="shared" si="270"/>
        <v>0</v>
      </c>
      <c r="V105" s="60"/>
      <c r="W105" s="60">
        <f t="shared" si="271"/>
        <v>0</v>
      </c>
      <c r="X105" s="196"/>
      <c r="Y105" s="60">
        <f t="shared" si="272"/>
        <v>0</v>
      </c>
      <c r="Z105" s="60"/>
      <c r="AA105" s="60">
        <f t="shared" si="273"/>
        <v>0</v>
      </c>
      <c r="AB105" s="60"/>
      <c r="AC105" s="60">
        <f t="shared" si="274"/>
        <v>0</v>
      </c>
      <c r="AD105" s="60"/>
      <c r="AE105" s="60">
        <f t="shared" si="275"/>
        <v>0</v>
      </c>
      <c r="AF105" s="60"/>
      <c r="AG105" s="60">
        <f t="shared" si="276"/>
        <v>0</v>
      </c>
      <c r="AH105" s="60"/>
      <c r="AI105" s="60">
        <f t="shared" si="277"/>
        <v>0</v>
      </c>
      <c r="AJ105" s="60"/>
      <c r="AK105" s="60">
        <f t="shared" si="278"/>
        <v>0</v>
      </c>
      <c r="AL105" s="60"/>
      <c r="AM105" s="60">
        <f t="shared" si="279"/>
        <v>0</v>
      </c>
      <c r="AN105" s="60"/>
      <c r="AO105" s="60">
        <f t="shared" si="280"/>
        <v>0</v>
      </c>
      <c r="AP105" s="60"/>
      <c r="AQ105" s="60">
        <f t="shared" si="281"/>
        <v>0</v>
      </c>
      <c r="AR105" s="60"/>
      <c r="AS105" s="60">
        <f t="shared" si="282"/>
        <v>0</v>
      </c>
      <c r="AT105" s="60"/>
      <c r="AU105" s="60">
        <f t="shared" si="283"/>
        <v>0</v>
      </c>
      <c r="AV105" s="60"/>
      <c r="AW105" s="60">
        <f t="shared" si="284"/>
        <v>0</v>
      </c>
      <c r="AX105" s="60"/>
      <c r="AY105" s="60">
        <f t="shared" si="285"/>
        <v>0</v>
      </c>
      <c r="AZ105" s="60"/>
      <c r="BA105" s="60">
        <f t="shared" si="286"/>
        <v>0</v>
      </c>
      <c r="BB105" s="60"/>
      <c r="BC105" s="60">
        <f t="shared" si="287"/>
        <v>0</v>
      </c>
      <c r="BD105" s="60"/>
      <c r="BE105" s="60">
        <f t="shared" si="288"/>
        <v>0</v>
      </c>
      <c r="BF105" s="60"/>
      <c r="BG105" s="60">
        <f t="shared" si="289"/>
        <v>0</v>
      </c>
      <c r="BH105" s="60"/>
      <c r="BI105" s="60">
        <f t="shared" si="290"/>
        <v>0</v>
      </c>
      <c r="BJ105" s="60"/>
      <c r="BK105" s="60">
        <f t="shared" si="291"/>
        <v>0</v>
      </c>
      <c r="BL105" s="60"/>
      <c r="BM105" s="78">
        <f t="shared" si="292"/>
        <v>0</v>
      </c>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KC105" s="148" t="s">
        <v>1212</v>
      </c>
      <c r="KD105" s="149" t="str">
        <f>IF($KD$53="Y",KD104,IF(BU66="Y","Y","N"))</f>
        <v>N</v>
      </c>
      <c r="KE105" s="5" t="str">
        <f t="shared" ref="KE105:LF105" si="310">IF($KD$53="Y",KE104,IF(BV66="Y","Y","N"))</f>
        <v>N</v>
      </c>
      <c r="KF105" s="5" t="str">
        <f t="shared" si="310"/>
        <v>N</v>
      </c>
      <c r="KG105" s="5" t="str">
        <f t="shared" si="310"/>
        <v>N</v>
      </c>
      <c r="KH105" s="5" t="str">
        <f t="shared" si="310"/>
        <v>N</v>
      </c>
      <c r="KI105" s="5" t="str">
        <f t="shared" si="310"/>
        <v>N</v>
      </c>
      <c r="KJ105" s="5" t="str">
        <f t="shared" si="310"/>
        <v>N</v>
      </c>
      <c r="KK105" s="5" t="str">
        <f t="shared" si="310"/>
        <v>N</v>
      </c>
      <c r="KL105" s="5" t="str">
        <f t="shared" si="310"/>
        <v>N</v>
      </c>
      <c r="KM105" s="5" t="str">
        <f t="shared" si="310"/>
        <v>N</v>
      </c>
      <c r="KN105" s="5" t="str">
        <f t="shared" si="310"/>
        <v>N</v>
      </c>
      <c r="KO105" s="5" t="str">
        <f t="shared" si="310"/>
        <v>N</v>
      </c>
      <c r="KP105" s="5" t="str">
        <f t="shared" si="310"/>
        <v>N</v>
      </c>
      <c r="KQ105" s="5" t="str">
        <f t="shared" si="310"/>
        <v>N</v>
      </c>
      <c r="KR105" s="5" t="str">
        <f t="shared" si="310"/>
        <v>N</v>
      </c>
      <c r="KS105" s="5" t="str">
        <f t="shared" si="310"/>
        <v>N</v>
      </c>
      <c r="KT105" s="5" t="str">
        <f t="shared" si="310"/>
        <v>N</v>
      </c>
      <c r="KU105" s="5" t="str">
        <f t="shared" si="310"/>
        <v>N</v>
      </c>
      <c r="KV105" s="5" t="str">
        <f t="shared" si="310"/>
        <v>N</v>
      </c>
      <c r="KW105" s="5" t="str">
        <f t="shared" si="310"/>
        <v>N</v>
      </c>
      <c r="KX105" s="5" t="str">
        <f t="shared" si="310"/>
        <v>N</v>
      </c>
      <c r="KY105" s="5" t="str">
        <f t="shared" si="310"/>
        <v>N</v>
      </c>
      <c r="KZ105" s="5" t="str">
        <f t="shared" si="310"/>
        <v>N</v>
      </c>
      <c r="LA105" s="5" t="str">
        <f t="shared" si="310"/>
        <v>N</v>
      </c>
      <c r="LB105" s="5" t="str">
        <f t="shared" si="310"/>
        <v>N</v>
      </c>
      <c r="LC105" s="5" t="str">
        <f t="shared" si="310"/>
        <v>N</v>
      </c>
      <c r="LD105" s="5" t="str">
        <f t="shared" si="310"/>
        <v>N</v>
      </c>
      <c r="LE105" s="5" t="str">
        <f t="shared" si="310"/>
        <v>N</v>
      </c>
      <c r="LF105" s="5" t="str">
        <f t="shared" si="310"/>
        <v>N</v>
      </c>
    </row>
    <row r="106" spans="1:318" s="5" customFormat="1" ht="11.25" hidden="1" customHeight="1" x14ac:dyDescent="0.2">
      <c r="A106"/>
      <c r="G106" s="77">
        <f t="shared" si="263"/>
        <v>0</v>
      </c>
      <c r="H106" s="60"/>
      <c r="I106" s="60">
        <f t="shared" si="264"/>
        <v>0</v>
      </c>
      <c r="J106" s="60"/>
      <c r="K106" s="60">
        <f t="shared" si="265"/>
        <v>0</v>
      </c>
      <c r="L106" s="60"/>
      <c r="M106" s="60">
        <f t="shared" si="266"/>
        <v>0</v>
      </c>
      <c r="N106" s="60"/>
      <c r="O106" s="60">
        <f t="shared" si="267"/>
        <v>0</v>
      </c>
      <c r="P106" s="60"/>
      <c r="Q106" s="60">
        <f t="shared" si="268"/>
        <v>0</v>
      </c>
      <c r="R106" s="60"/>
      <c r="S106" s="60">
        <f t="shared" si="269"/>
        <v>0</v>
      </c>
      <c r="T106" s="60"/>
      <c r="U106" s="60">
        <f t="shared" si="270"/>
        <v>0</v>
      </c>
      <c r="V106" s="60"/>
      <c r="W106" s="60">
        <f t="shared" si="271"/>
        <v>0</v>
      </c>
      <c r="X106" s="196"/>
      <c r="Y106" s="60">
        <f t="shared" si="272"/>
        <v>0</v>
      </c>
      <c r="Z106" s="60"/>
      <c r="AA106" s="60">
        <f t="shared" si="273"/>
        <v>0</v>
      </c>
      <c r="AB106" s="60"/>
      <c r="AC106" s="60">
        <f t="shared" si="274"/>
        <v>0</v>
      </c>
      <c r="AD106" s="60"/>
      <c r="AE106" s="60">
        <f t="shared" si="275"/>
        <v>0</v>
      </c>
      <c r="AF106" s="60"/>
      <c r="AG106" s="60">
        <f t="shared" si="276"/>
        <v>0</v>
      </c>
      <c r="AH106" s="60"/>
      <c r="AI106" s="60">
        <f t="shared" si="277"/>
        <v>0</v>
      </c>
      <c r="AJ106" s="60"/>
      <c r="AK106" s="60">
        <f t="shared" si="278"/>
        <v>0</v>
      </c>
      <c r="AL106" s="60"/>
      <c r="AM106" s="60">
        <f t="shared" si="279"/>
        <v>0</v>
      </c>
      <c r="AN106" s="60"/>
      <c r="AO106" s="60">
        <f t="shared" si="280"/>
        <v>0</v>
      </c>
      <c r="AP106" s="60"/>
      <c r="AQ106" s="60">
        <f t="shared" si="281"/>
        <v>0</v>
      </c>
      <c r="AR106" s="60"/>
      <c r="AS106" s="60">
        <f t="shared" si="282"/>
        <v>0</v>
      </c>
      <c r="AT106" s="60"/>
      <c r="AU106" s="60">
        <f t="shared" si="283"/>
        <v>0</v>
      </c>
      <c r="AV106" s="60"/>
      <c r="AW106" s="60">
        <f t="shared" si="284"/>
        <v>0</v>
      </c>
      <c r="AX106" s="60"/>
      <c r="AY106" s="60">
        <f t="shared" si="285"/>
        <v>0</v>
      </c>
      <c r="AZ106" s="60"/>
      <c r="BA106" s="60">
        <f t="shared" si="286"/>
        <v>0</v>
      </c>
      <c r="BB106" s="60"/>
      <c r="BC106" s="60">
        <f t="shared" si="287"/>
        <v>0</v>
      </c>
      <c r="BD106" s="60"/>
      <c r="BE106" s="60">
        <f t="shared" si="288"/>
        <v>0</v>
      </c>
      <c r="BF106" s="60"/>
      <c r="BG106" s="60">
        <f t="shared" si="289"/>
        <v>0</v>
      </c>
      <c r="BH106" s="60"/>
      <c r="BI106" s="60">
        <f t="shared" si="290"/>
        <v>0</v>
      </c>
      <c r="BJ106" s="60"/>
      <c r="BK106" s="60">
        <f t="shared" si="291"/>
        <v>0</v>
      </c>
      <c r="BL106" s="60"/>
      <c r="BM106" s="78">
        <f t="shared" si="292"/>
        <v>0</v>
      </c>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KC106" s="151"/>
    </row>
    <row r="107" spans="1:318" s="5" customFormat="1" ht="11.25" hidden="1" customHeight="1" x14ac:dyDescent="0.2">
      <c r="A107"/>
      <c r="G107" s="77">
        <f t="shared" si="263"/>
        <v>0</v>
      </c>
      <c r="H107" s="60"/>
      <c r="I107" s="60">
        <f t="shared" si="264"/>
        <v>0</v>
      </c>
      <c r="J107" s="60"/>
      <c r="K107" s="60">
        <f t="shared" si="265"/>
        <v>0</v>
      </c>
      <c r="L107" s="60"/>
      <c r="M107" s="60">
        <f t="shared" si="266"/>
        <v>0</v>
      </c>
      <c r="N107" s="60"/>
      <c r="O107" s="60">
        <f t="shared" si="267"/>
        <v>0</v>
      </c>
      <c r="P107" s="60"/>
      <c r="Q107" s="60">
        <f t="shared" si="268"/>
        <v>0</v>
      </c>
      <c r="R107" s="60"/>
      <c r="S107" s="60">
        <f t="shared" si="269"/>
        <v>0</v>
      </c>
      <c r="T107" s="60"/>
      <c r="U107" s="60">
        <f t="shared" si="270"/>
        <v>0</v>
      </c>
      <c r="V107" s="60"/>
      <c r="W107" s="60">
        <f t="shared" si="271"/>
        <v>0</v>
      </c>
      <c r="X107" s="196"/>
      <c r="Y107" s="60">
        <f t="shared" si="272"/>
        <v>0</v>
      </c>
      <c r="Z107" s="60"/>
      <c r="AA107" s="60">
        <f t="shared" si="273"/>
        <v>0</v>
      </c>
      <c r="AB107" s="60"/>
      <c r="AC107" s="60">
        <f t="shared" si="274"/>
        <v>0</v>
      </c>
      <c r="AD107" s="60"/>
      <c r="AE107" s="60">
        <f t="shared" si="275"/>
        <v>0</v>
      </c>
      <c r="AF107" s="60"/>
      <c r="AG107" s="60">
        <f t="shared" si="276"/>
        <v>0</v>
      </c>
      <c r="AH107" s="60"/>
      <c r="AI107" s="60">
        <f t="shared" si="277"/>
        <v>0</v>
      </c>
      <c r="AJ107" s="60"/>
      <c r="AK107" s="60">
        <f t="shared" si="278"/>
        <v>0</v>
      </c>
      <c r="AL107" s="60"/>
      <c r="AM107" s="60">
        <f t="shared" si="279"/>
        <v>0</v>
      </c>
      <c r="AN107" s="60"/>
      <c r="AO107" s="60">
        <f t="shared" si="280"/>
        <v>0</v>
      </c>
      <c r="AP107" s="60"/>
      <c r="AQ107" s="60">
        <f t="shared" si="281"/>
        <v>0</v>
      </c>
      <c r="AR107" s="60"/>
      <c r="AS107" s="60">
        <f t="shared" si="282"/>
        <v>0</v>
      </c>
      <c r="AT107" s="60"/>
      <c r="AU107" s="60">
        <f t="shared" si="283"/>
        <v>0</v>
      </c>
      <c r="AV107" s="60"/>
      <c r="AW107" s="60">
        <f t="shared" si="284"/>
        <v>0</v>
      </c>
      <c r="AX107" s="60"/>
      <c r="AY107" s="60">
        <f t="shared" si="285"/>
        <v>0</v>
      </c>
      <c r="AZ107" s="60"/>
      <c r="BA107" s="60">
        <f t="shared" si="286"/>
        <v>0</v>
      </c>
      <c r="BB107" s="60"/>
      <c r="BC107" s="60">
        <f t="shared" si="287"/>
        <v>0</v>
      </c>
      <c r="BD107" s="60"/>
      <c r="BE107" s="60">
        <f t="shared" si="288"/>
        <v>0</v>
      </c>
      <c r="BF107" s="60"/>
      <c r="BG107" s="60">
        <f t="shared" si="289"/>
        <v>0</v>
      </c>
      <c r="BH107" s="60"/>
      <c r="BI107" s="60">
        <f t="shared" si="290"/>
        <v>0</v>
      </c>
      <c r="BJ107" s="60"/>
      <c r="BK107" s="60">
        <f t="shared" si="291"/>
        <v>0</v>
      </c>
      <c r="BL107" s="60"/>
      <c r="BM107" s="78">
        <f t="shared" si="292"/>
        <v>0</v>
      </c>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KC107" s="151"/>
    </row>
    <row r="108" spans="1:318" s="5" customFormat="1" ht="11.25" hidden="1" customHeight="1" x14ac:dyDescent="0.2">
      <c r="A108"/>
      <c r="G108" s="77">
        <f t="shared" si="263"/>
        <v>0</v>
      </c>
      <c r="H108" s="60"/>
      <c r="I108" s="60">
        <f t="shared" si="264"/>
        <v>0</v>
      </c>
      <c r="J108" s="60"/>
      <c r="K108" s="60">
        <f t="shared" si="265"/>
        <v>0</v>
      </c>
      <c r="L108" s="60"/>
      <c r="M108" s="60">
        <f t="shared" si="266"/>
        <v>0</v>
      </c>
      <c r="N108" s="60"/>
      <c r="O108" s="60">
        <f t="shared" si="267"/>
        <v>0</v>
      </c>
      <c r="P108" s="60"/>
      <c r="Q108" s="60">
        <f t="shared" si="268"/>
        <v>0</v>
      </c>
      <c r="R108" s="60"/>
      <c r="S108" s="60">
        <f t="shared" si="269"/>
        <v>0</v>
      </c>
      <c r="T108" s="60"/>
      <c r="U108" s="60">
        <f t="shared" si="270"/>
        <v>0</v>
      </c>
      <c r="V108" s="60"/>
      <c r="W108" s="60">
        <f t="shared" si="271"/>
        <v>0</v>
      </c>
      <c r="X108" s="196"/>
      <c r="Y108" s="60">
        <f t="shared" si="272"/>
        <v>0</v>
      </c>
      <c r="Z108" s="60"/>
      <c r="AA108" s="60">
        <f t="shared" si="273"/>
        <v>0</v>
      </c>
      <c r="AB108" s="60"/>
      <c r="AC108" s="60">
        <f t="shared" si="274"/>
        <v>0</v>
      </c>
      <c r="AD108" s="60"/>
      <c r="AE108" s="60">
        <f t="shared" si="275"/>
        <v>0</v>
      </c>
      <c r="AF108" s="60"/>
      <c r="AG108" s="60">
        <f t="shared" si="276"/>
        <v>0</v>
      </c>
      <c r="AH108" s="60"/>
      <c r="AI108" s="60">
        <f t="shared" si="277"/>
        <v>0</v>
      </c>
      <c r="AJ108" s="60"/>
      <c r="AK108" s="60">
        <f t="shared" si="278"/>
        <v>0</v>
      </c>
      <c r="AL108" s="60"/>
      <c r="AM108" s="60">
        <f t="shared" si="279"/>
        <v>0</v>
      </c>
      <c r="AN108" s="60"/>
      <c r="AO108" s="60">
        <f t="shared" si="280"/>
        <v>0</v>
      </c>
      <c r="AP108" s="60"/>
      <c r="AQ108" s="60">
        <f t="shared" si="281"/>
        <v>0</v>
      </c>
      <c r="AR108" s="60"/>
      <c r="AS108" s="60">
        <f t="shared" si="282"/>
        <v>0</v>
      </c>
      <c r="AT108" s="60"/>
      <c r="AU108" s="60">
        <f t="shared" si="283"/>
        <v>0</v>
      </c>
      <c r="AV108" s="60"/>
      <c r="AW108" s="60">
        <f t="shared" si="284"/>
        <v>0</v>
      </c>
      <c r="AX108" s="60"/>
      <c r="AY108" s="60">
        <f t="shared" si="285"/>
        <v>0</v>
      </c>
      <c r="AZ108" s="60"/>
      <c r="BA108" s="60">
        <f t="shared" si="286"/>
        <v>0</v>
      </c>
      <c r="BB108" s="60"/>
      <c r="BC108" s="60">
        <f t="shared" si="287"/>
        <v>0</v>
      </c>
      <c r="BD108" s="60"/>
      <c r="BE108" s="60">
        <f t="shared" si="288"/>
        <v>0</v>
      </c>
      <c r="BF108" s="60"/>
      <c r="BG108" s="60">
        <f t="shared" si="289"/>
        <v>0</v>
      </c>
      <c r="BH108" s="60"/>
      <c r="BI108" s="60">
        <f t="shared" si="290"/>
        <v>0</v>
      </c>
      <c r="BJ108" s="60"/>
      <c r="BK108" s="60">
        <f t="shared" si="291"/>
        <v>0</v>
      </c>
      <c r="BL108" s="60"/>
      <c r="BM108" s="78">
        <f t="shared" si="292"/>
        <v>0</v>
      </c>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KC108" s="151"/>
    </row>
    <row r="109" spans="1:318" s="5" customFormat="1" ht="11.25" hidden="1" customHeight="1" x14ac:dyDescent="0.2">
      <c r="A109"/>
      <c r="G109" s="77">
        <f t="shared" si="263"/>
        <v>0</v>
      </c>
      <c r="H109" s="60"/>
      <c r="I109" s="60">
        <f t="shared" si="264"/>
        <v>0</v>
      </c>
      <c r="J109" s="60"/>
      <c r="K109" s="60">
        <f t="shared" si="265"/>
        <v>0</v>
      </c>
      <c r="L109" s="60"/>
      <c r="M109" s="60">
        <f t="shared" si="266"/>
        <v>0</v>
      </c>
      <c r="N109" s="60"/>
      <c r="O109" s="60">
        <f t="shared" si="267"/>
        <v>0</v>
      </c>
      <c r="P109" s="60"/>
      <c r="Q109" s="60">
        <f t="shared" si="268"/>
        <v>0</v>
      </c>
      <c r="R109" s="60"/>
      <c r="S109" s="60">
        <f t="shared" si="269"/>
        <v>0</v>
      </c>
      <c r="T109" s="60"/>
      <c r="U109" s="60">
        <f t="shared" si="270"/>
        <v>0</v>
      </c>
      <c r="V109" s="60"/>
      <c r="W109" s="60">
        <f t="shared" si="271"/>
        <v>0</v>
      </c>
      <c r="X109" s="196"/>
      <c r="Y109" s="60">
        <f t="shared" si="272"/>
        <v>0</v>
      </c>
      <c r="Z109" s="60"/>
      <c r="AA109" s="60">
        <f t="shared" si="273"/>
        <v>0</v>
      </c>
      <c r="AB109" s="60"/>
      <c r="AC109" s="60">
        <f t="shared" si="274"/>
        <v>0</v>
      </c>
      <c r="AD109" s="60"/>
      <c r="AE109" s="60">
        <f t="shared" si="275"/>
        <v>0</v>
      </c>
      <c r="AF109" s="60"/>
      <c r="AG109" s="60">
        <f t="shared" si="276"/>
        <v>0</v>
      </c>
      <c r="AH109" s="60"/>
      <c r="AI109" s="60">
        <f t="shared" si="277"/>
        <v>0</v>
      </c>
      <c r="AJ109" s="60"/>
      <c r="AK109" s="60">
        <f t="shared" si="278"/>
        <v>0</v>
      </c>
      <c r="AL109" s="60"/>
      <c r="AM109" s="60">
        <f t="shared" si="279"/>
        <v>0</v>
      </c>
      <c r="AN109" s="60"/>
      <c r="AO109" s="60">
        <f t="shared" si="280"/>
        <v>0</v>
      </c>
      <c r="AP109" s="60"/>
      <c r="AQ109" s="60">
        <f t="shared" si="281"/>
        <v>0</v>
      </c>
      <c r="AR109" s="60"/>
      <c r="AS109" s="60">
        <f t="shared" si="282"/>
        <v>0</v>
      </c>
      <c r="AT109" s="60"/>
      <c r="AU109" s="60">
        <f t="shared" si="283"/>
        <v>0</v>
      </c>
      <c r="AV109" s="60"/>
      <c r="AW109" s="60">
        <f t="shared" si="284"/>
        <v>0</v>
      </c>
      <c r="AX109" s="60"/>
      <c r="AY109" s="60">
        <f t="shared" si="285"/>
        <v>0</v>
      </c>
      <c r="AZ109" s="60"/>
      <c r="BA109" s="60">
        <f t="shared" si="286"/>
        <v>0</v>
      </c>
      <c r="BB109" s="60"/>
      <c r="BC109" s="60">
        <f t="shared" si="287"/>
        <v>0</v>
      </c>
      <c r="BD109" s="60"/>
      <c r="BE109" s="60">
        <f t="shared" si="288"/>
        <v>0</v>
      </c>
      <c r="BF109" s="60"/>
      <c r="BG109" s="60">
        <f t="shared" si="289"/>
        <v>0</v>
      </c>
      <c r="BH109" s="60"/>
      <c r="BI109" s="60">
        <f t="shared" si="290"/>
        <v>0</v>
      </c>
      <c r="BJ109" s="60"/>
      <c r="BK109" s="60">
        <f t="shared" si="291"/>
        <v>0</v>
      </c>
      <c r="BL109" s="60"/>
      <c r="BM109" s="78">
        <f t="shared" si="292"/>
        <v>0</v>
      </c>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KC109" s="151"/>
    </row>
    <row r="110" spans="1:318" s="5" customFormat="1" ht="11.25" hidden="1" customHeight="1" x14ac:dyDescent="0.2">
      <c r="A110"/>
      <c r="G110" s="77">
        <f t="shared" si="263"/>
        <v>0</v>
      </c>
      <c r="H110" s="60"/>
      <c r="I110" s="60">
        <f t="shared" si="264"/>
        <v>0</v>
      </c>
      <c r="J110" s="60"/>
      <c r="K110" s="60">
        <f t="shared" si="265"/>
        <v>0</v>
      </c>
      <c r="L110" s="60"/>
      <c r="M110" s="60">
        <f t="shared" si="266"/>
        <v>0</v>
      </c>
      <c r="N110" s="60"/>
      <c r="O110" s="60">
        <f t="shared" si="267"/>
        <v>0</v>
      </c>
      <c r="P110" s="60"/>
      <c r="Q110" s="60">
        <f t="shared" si="268"/>
        <v>0</v>
      </c>
      <c r="R110" s="60"/>
      <c r="S110" s="60">
        <f t="shared" si="269"/>
        <v>0</v>
      </c>
      <c r="T110" s="60"/>
      <c r="U110" s="60">
        <f t="shared" si="270"/>
        <v>0</v>
      </c>
      <c r="V110" s="60"/>
      <c r="W110" s="60">
        <f t="shared" si="271"/>
        <v>0</v>
      </c>
      <c r="X110" s="196"/>
      <c r="Y110" s="60">
        <f t="shared" si="272"/>
        <v>0</v>
      </c>
      <c r="Z110" s="60"/>
      <c r="AA110" s="60">
        <f t="shared" si="273"/>
        <v>0</v>
      </c>
      <c r="AB110" s="60"/>
      <c r="AC110" s="60">
        <f t="shared" si="274"/>
        <v>0</v>
      </c>
      <c r="AD110" s="60"/>
      <c r="AE110" s="60">
        <f t="shared" si="275"/>
        <v>0</v>
      </c>
      <c r="AF110" s="60"/>
      <c r="AG110" s="60">
        <f t="shared" si="276"/>
        <v>0</v>
      </c>
      <c r="AH110" s="60"/>
      <c r="AI110" s="60">
        <f t="shared" si="277"/>
        <v>0</v>
      </c>
      <c r="AJ110" s="60"/>
      <c r="AK110" s="60">
        <f t="shared" si="278"/>
        <v>0</v>
      </c>
      <c r="AL110" s="60"/>
      <c r="AM110" s="60">
        <f t="shared" si="279"/>
        <v>0</v>
      </c>
      <c r="AN110" s="60"/>
      <c r="AO110" s="60">
        <f t="shared" si="280"/>
        <v>0</v>
      </c>
      <c r="AP110" s="60"/>
      <c r="AQ110" s="60">
        <f t="shared" si="281"/>
        <v>0</v>
      </c>
      <c r="AR110" s="60"/>
      <c r="AS110" s="60">
        <f t="shared" si="282"/>
        <v>0</v>
      </c>
      <c r="AT110" s="60"/>
      <c r="AU110" s="60">
        <f t="shared" si="283"/>
        <v>0</v>
      </c>
      <c r="AV110" s="60"/>
      <c r="AW110" s="60">
        <f t="shared" si="284"/>
        <v>0</v>
      </c>
      <c r="AX110" s="60"/>
      <c r="AY110" s="60">
        <f t="shared" si="285"/>
        <v>0</v>
      </c>
      <c r="AZ110" s="60"/>
      <c r="BA110" s="60">
        <f t="shared" si="286"/>
        <v>0</v>
      </c>
      <c r="BB110" s="60"/>
      <c r="BC110" s="60">
        <f t="shared" si="287"/>
        <v>0</v>
      </c>
      <c r="BD110" s="60"/>
      <c r="BE110" s="60">
        <f t="shared" si="288"/>
        <v>0</v>
      </c>
      <c r="BF110" s="60"/>
      <c r="BG110" s="60">
        <f t="shared" si="289"/>
        <v>0</v>
      </c>
      <c r="BH110" s="60"/>
      <c r="BI110" s="60">
        <f t="shared" si="290"/>
        <v>0</v>
      </c>
      <c r="BJ110" s="60"/>
      <c r="BK110" s="60">
        <f t="shared" si="291"/>
        <v>0</v>
      </c>
      <c r="BL110" s="60"/>
      <c r="BM110" s="78">
        <f t="shared" si="292"/>
        <v>0</v>
      </c>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KC110" s="151"/>
    </row>
    <row r="111" spans="1:318" s="5" customFormat="1" ht="11.25" hidden="1" customHeight="1" x14ac:dyDescent="0.2">
      <c r="A111"/>
      <c r="G111" s="77">
        <f t="shared" si="263"/>
        <v>0</v>
      </c>
      <c r="H111" s="60"/>
      <c r="I111" s="60">
        <f t="shared" si="264"/>
        <v>0</v>
      </c>
      <c r="J111" s="60"/>
      <c r="K111" s="60">
        <f t="shared" si="265"/>
        <v>0</v>
      </c>
      <c r="L111" s="60"/>
      <c r="M111" s="60">
        <f t="shared" si="266"/>
        <v>0</v>
      </c>
      <c r="N111" s="60"/>
      <c r="O111" s="60">
        <f t="shared" si="267"/>
        <v>0</v>
      </c>
      <c r="P111" s="60"/>
      <c r="Q111" s="60">
        <f t="shared" si="268"/>
        <v>0</v>
      </c>
      <c r="R111" s="60"/>
      <c r="S111" s="60">
        <f t="shared" si="269"/>
        <v>0</v>
      </c>
      <c r="T111" s="60"/>
      <c r="U111" s="60">
        <f t="shared" si="270"/>
        <v>0</v>
      </c>
      <c r="V111" s="60"/>
      <c r="W111" s="60">
        <f t="shared" si="271"/>
        <v>0</v>
      </c>
      <c r="X111" s="196"/>
      <c r="Y111" s="60">
        <f t="shared" si="272"/>
        <v>0</v>
      </c>
      <c r="Z111" s="60"/>
      <c r="AA111" s="60">
        <f t="shared" si="273"/>
        <v>0</v>
      </c>
      <c r="AB111" s="60"/>
      <c r="AC111" s="60">
        <f t="shared" si="274"/>
        <v>0</v>
      </c>
      <c r="AD111" s="60"/>
      <c r="AE111" s="60">
        <f t="shared" si="275"/>
        <v>0</v>
      </c>
      <c r="AF111" s="60"/>
      <c r="AG111" s="60">
        <f t="shared" si="276"/>
        <v>0</v>
      </c>
      <c r="AH111" s="60"/>
      <c r="AI111" s="60">
        <f t="shared" si="277"/>
        <v>0</v>
      </c>
      <c r="AJ111" s="60"/>
      <c r="AK111" s="60">
        <f t="shared" si="278"/>
        <v>0</v>
      </c>
      <c r="AL111" s="60"/>
      <c r="AM111" s="60">
        <f t="shared" si="279"/>
        <v>0</v>
      </c>
      <c r="AN111" s="60"/>
      <c r="AO111" s="60">
        <f t="shared" si="280"/>
        <v>0</v>
      </c>
      <c r="AP111" s="60"/>
      <c r="AQ111" s="60">
        <f t="shared" si="281"/>
        <v>0</v>
      </c>
      <c r="AR111" s="60"/>
      <c r="AS111" s="60">
        <f t="shared" si="282"/>
        <v>0</v>
      </c>
      <c r="AT111" s="60"/>
      <c r="AU111" s="60">
        <f t="shared" si="283"/>
        <v>0</v>
      </c>
      <c r="AV111" s="60"/>
      <c r="AW111" s="60">
        <f t="shared" si="284"/>
        <v>0</v>
      </c>
      <c r="AX111" s="60"/>
      <c r="AY111" s="60">
        <f t="shared" si="285"/>
        <v>0</v>
      </c>
      <c r="AZ111" s="60"/>
      <c r="BA111" s="60">
        <f t="shared" si="286"/>
        <v>0</v>
      </c>
      <c r="BB111" s="60"/>
      <c r="BC111" s="60">
        <f t="shared" si="287"/>
        <v>0</v>
      </c>
      <c r="BD111" s="60"/>
      <c r="BE111" s="60">
        <f t="shared" si="288"/>
        <v>0</v>
      </c>
      <c r="BF111" s="60"/>
      <c r="BG111" s="60">
        <f t="shared" si="289"/>
        <v>0</v>
      </c>
      <c r="BH111" s="60"/>
      <c r="BI111" s="60">
        <f t="shared" si="290"/>
        <v>0</v>
      </c>
      <c r="BJ111" s="60"/>
      <c r="BK111" s="60">
        <f t="shared" si="291"/>
        <v>0</v>
      </c>
      <c r="BL111" s="60"/>
      <c r="BM111" s="78">
        <f t="shared" si="292"/>
        <v>0</v>
      </c>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R111" s="8"/>
      <c r="HS111" s="8"/>
      <c r="HT111" s="8"/>
      <c r="HU111" s="8"/>
      <c r="HV111" s="8"/>
      <c r="HW111" s="8"/>
      <c r="HX111" s="8"/>
      <c r="HY111" s="8"/>
      <c r="HZ111" s="8"/>
      <c r="IA111" s="8"/>
      <c r="IB111" s="8"/>
      <c r="IC111" s="8"/>
      <c r="ID111" s="8"/>
      <c r="IE111" s="8"/>
      <c r="IF111" s="8"/>
      <c r="IG111" s="8"/>
      <c r="IH111" s="8"/>
      <c r="II111" s="8"/>
      <c r="IJ111" s="8"/>
      <c r="IK111" s="8"/>
      <c r="IL111" s="8"/>
      <c r="IM111" s="8"/>
      <c r="IN111" s="8"/>
      <c r="IO111" s="8"/>
      <c r="IP111" s="8"/>
      <c r="IQ111" s="8"/>
      <c r="IR111" s="8"/>
      <c r="IS111" s="8"/>
      <c r="IT111" s="8"/>
      <c r="IU111" s="8"/>
      <c r="KC111" s="151"/>
    </row>
    <row r="112" spans="1:318" s="5" customFormat="1" ht="11.25" hidden="1" customHeight="1" x14ac:dyDescent="0.2">
      <c r="A112"/>
      <c r="G112" s="77">
        <f t="shared" si="263"/>
        <v>0</v>
      </c>
      <c r="H112" s="60"/>
      <c r="I112" s="60">
        <f t="shared" si="264"/>
        <v>0</v>
      </c>
      <c r="J112" s="60"/>
      <c r="K112" s="60">
        <f t="shared" si="265"/>
        <v>0</v>
      </c>
      <c r="L112" s="60"/>
      <c r="M112" s="60">
        <f t="shared" si="266"/>
        <v>0</v>
      </c>
      <c r="N112" s="60"/>
      <c r="O112" s="60">
        <f t="shared" si="267"/>
        <v>0</v>
      </c>
      <c r="P112" s="60"/>
      <c r="Q112" s="60">
        <f t="shared" si="268"/>
        <v>0</v>
      </c>
      <c r="R112" s="60"/>
      <c r="S112" s="60">
        <f t="shared" si="269"/>
        <v>0</v>
      </c>
      <c r="T112" s="60"/>
      <c r="U112" s="60">
        <f t="shared" si="270"/>
        <v>0</v>
      </c>
      <c r="V112" s="60"/>
      <c r="W112" s="60">
        <f t="shared" si="271"/>
        <v>0</v>
      </c>
      <c r="X112" s="196"/>
      <c r="Y112" s="60">
        <f t="shared" si="272"/>
        <v>0</v>
      </c>
      <c r="Z112" s="60"/>
      <c r="AA112" s="60">
        <f t="shared" si="273"/>
        <v>0</v>
      </c>
      <c r="AB112" s="60"/>
      <c r="AC112" s="60">
        <f t="shared" si="274"/>
        <v>0</v>
      </c>
      <c r="AD112" s="60"/>
      <c r="AE112" s="60">
        <f t="shared" si="275"/>
        <v>0</v>
      </c>
      <c r="AF112" s="60"/>
      <c r="AG112" s="60">
        <f t="shared" si="276"/>
        <v>0</v>
      </c>
      <c r="AH112" s="60"/>
      <c r="AI112" s="60">
        <f t="shared" si="277"/>
        <v>0</v>
      </c>
      <c r="AJ112" s="60"/>
      <c r="AK112" s="60">
        <f t="shared" si="278"/>
        <v>0</v>
      </c>
      <c r="AL112" s="60"/>
      <c r="AM112" s="60">
        <f t="shared" si="279"/>
        <v>0</v>
      </c>
      <c r="AN112" s="60"/>
      <c r="AO112" s="60">
        <f t="shared" si="280"/>
        <v>0</v>
      </c>
      <c r="AP112" s="60"/>
      <c r="AQ112" s="60">
        <f t="shared" si="281"/>
        <v>0</v>
      </c>
      <c r="AR112" s="60"/>
      <c r="AS112" s="60">
        <f t="shared" si="282"/>
        <v>0</v>
      </c>
      <c r="AT112" s="60"/>
      <c r="AU112" s="60">
        <f t="shared" si="283"/>
        <v>0</v>
      </c>
      <c r="AV112" s="60"/>
      <c r="AW112" s="60">
        <f t="shared" si="284"/>
        <v>0</v>
      </c>
      <c r="AX112" s="60"/>
      <c r="AY112" s="60">
        <f t="shared" si="285"/>
        <v>0</v>
      </c>
      <c r="AZ112" s="60"/>
      <c r="BA112" s="60">
        <f t="shared" si="286"/>
        <v>0</v>
      </c>
      <c r="BB112" s="60"/>
      <c r="BC112" s="60">
        <f t="shared" si="287"/>
        <v>0</v>
      </c>
      <c r="BD112" s="60"/>
      <c r="BE112" s="60">
        <f t="shared" si="288"/>
        <v>0</v>
      </c>
      <c r="BF112" s="60"/>
      <c r="BG112" s="60">
        <f t="shared" si="289"/>
        <v>0</v>
      </c>
      <c r="BH112" s="60"/>
      <c r="BI112" s="60">
        <f t="shared" si="290"/>
        <v>0</v>
      </c>
      <c r="BJ112" s="60"/>
      <c r="BK112" s="60">
        <f t="shared" si="291"/>
        <v>0</v>
      </c>
      <c r="BL112" s="60"/>
      <c r="BM112" s="78">
        <f t="shared" si="292"/>
        <v>0</v>
      </c>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KC112" s="152"/>
      <c r="KD112" s="8"/>
    </row>
    <row r="113" spans="1:290" s="5" customFormat="1" ht="11.25" hidden="1" customHeight="1" x14ac:dyDescent="0.2">
      <c r="A113"/>
      <c r="B113" s="8"/>
      <c r="C113" s="8"/>
      <c r="G113" s="77">
        <f t="shared" si="263"/>
        <v>0</v>
      </c>
      <c r="H113" s="60"/>
      <c r="I113" s="60">
        <f t="shared" si="264"/>
        <v>0</v>
      </c>
      <c r="J113" s="60"/>
      <c r="K113" s="60">
        <f t="shared" si="265"/>
        <v>0</v>
      </c>
      <c r="L113" s="60"/>
      <c r="M113" s="60">
        <f t="shared" si="266"/>
        <v>0</v>
      </c>
      <c r="N113" s="60"/>
      <c r="O113" s="60">
        <f t="shared" si="267"/>
        <v>0</v>
      </c>
      <c r="P113" s="60"/>
      <c r="Q113" s="60">
        <f t="shared" si="268"/>
        <v>0</v>
      </c>
      <c r="R113" s="60"/>
      <c r="S113" s="60">
        <f t="shared" si="269"/>
        <v>0</v>
      </c>
      <c r="T113" s="60"/>
      <c r="U113" s="60">
        <f t="shared" si="270"/>
        <v>0</v>
      </c>
      <c r="V113" s="60"/>
      <c r="W113" s="60">
        <f t="shared" si="271"/>
        <v>0</v>
      </c>
      <c r="X113" s="196"/>
      <c r="Y113" s="60">
        <f t="shared" si="272"/>
        <v>0</v>
      </c>
      <c r="Z113" s="60"/>
      <c r="AA113" s="60">
        <f t="shared" si="273"/>
        <v>0</v>
      </c>
      <c r="AB113" s="60"/>
      <c r="AC113" s="60">
        <f t="shared" si="274"/>
        <v>0</v>
      </c>
      <c r="AD113" s="60"/>
      <c r="AE113" s="60">
        <f t="shared" si="275"/>
        <v>0</v>
      </c>
      <c r="AF113" s="60"/>
      <c r="AG113" s="60">
        <f t="shared" si="276"/>
        <v>0</v>
      </c>
      <c r="AH113" s="60"/>
      <c r="AI113" s="60">
        <f t="shared" si="277"/>
        <v>0</v>
      </c>
      <c r="AJ113" s="60"/>
      <c r="AK113" s="60">
        <f t="shared" si="278"/>
        <v>0</v>
      </c>
      <c r="AL113" s="60"/>
      <c r="AM113" s="60">
        <f t="shared" si="279"/>
        <v>0</v>
      </c>
      <c r="AN113" s="60"/>
      <c r="AO113" s="60">
        <f t="shared" si="280"/>
        <v>0</v>
      </c>
      <c r="AP113" s="60"/>
      <c r="AQ113" s="60">
        <f t="shared" si="281"/>
        <v>0</v>
      </c>
      <c r="AR113" s="60"/>
      <c r="AS113" s="60">
        <f t="shared" si="282"/>
        <v>0</v>
      </c>
      <c r="AT113" s="60"/>
      <c r="AU113" s="60">
        <f t="shared" si="283"/>
        <v>0</v>
      </c>
      <c r="AV113" s="60"/>
      <c r="AW113" s="60">
        <f t="shared" si="284"/>
        <v>0</v>
      </c>
      <c r="AX113" s="60"/>
      <c r="AY113" s="60">
        <f t="shared" si="285"/>
        <v>0</v>
      </c>
      <c r="AZ113" s="60"/>
      <c r="BA113" s="60">
        <f t="shared" si="286"/>
        <v>0</v>
      </c>
      <c r="BB113" s="60"/>
      <c r="BC113" s="60">
        <f t="shared" si="287"/>
        <v>0</v>
      </c>
      <c r="BD113" s="60"/>
      <c r="BE113" s="60">
        <f t="shared" si="288"/>
        <v>0</v>
      </c>
      <c r="BF113" s="60"/>
      <c r="BG113" s="60">
        <f t="shared" si="289"/>
        <v>0</v>
      </c>
      <c r="BH113" s="60"/>
      <c r="BI113" s="60">
        <f t="shared" si="290"/>
        <v>0</v>
      </c>
      <c r="BJ113" s="60"/>
      <c r="BK113" s="60">
        <f t="shared" si="291"/>
        <v>0</v>
      </c>
      <c r="BL113" s="60"/>
      <c r="BM113" s="78">
        <f t="shared" si="292"/>
        <v>0</v>
      </c>
      <c r="BS113" s="11"/>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KC113" s="151"/>
    </row>
    <row r="114" spans="1:290" s="8" customFormat="1" hidden="1" x14ac:dyDescent="0.2">
      <c r="A114"/>
      <c r="B114" s="5"/>
      <c r="C114" s="5"/>
      <c r="D114" s="5"/>
      <c r="E114" s="5"/>
      <c r="F114" s="5"/>
      <c r="G114" s="77">
        <f t="shared" si="263"/>
        <v>0</v>
      </c>
      <c r="H114" s="60"/>
      <c r="I114" s="60">
        <f t="shared" si="264"/>
        <v>0</v>
      </c>
      <c r="J114" s="60"/>
      <c r="K114" s="60">
        <f t="shared" si="265"/>
        <v>0</v>
      </c>
      <c r="L114" s="60"/>
      <c r="M114" s="60">
        <f t="shared" si="266"/>
        <v>0</v>
      </c>
      <c r="N114" s="60"/>
      <c r="O114" s="60">
        <f t="shared" si="267"/>
        <v>0</v>
      </c>
      <c r="P114" s="60"/>
      <c r="Q114" s="60">
        <f t="shared" si="268"/>
        <v>0</v>
      </c>
      <c r="R114" s="60"/>
      <c r="S114" s="60">
        <f t="shared" si="269"/>
        <v>0</v>
      </c>
      <c r="T114" s="60"/>
      <c r="U114" s="60">
        <f t="shared" si="270"/>
        <v>0</v>
      </c>
      <c r="V114" s="60"/>
      <c r="W114" s="60">
        <f t="shared" si="271"/>
        <v>0</v>
      </c>
      <c r="X114" s="196"/>
      <c r="Y114" s="60">
        <f t="shared" si="272"/>
        <v>0</v>
      </c>
      <c r="Z114" s="60"/>
      <c r="AA114" s="60">
        <f t="shared" si="273"/>
        <v>0</v>
      </c>
      <c r="AB114" s="60"/>
      <c r="AC114" s="60">
        <f t="shared" si="274"/>
        <v>0</v>
      </c>
      <c r="AD114" s="60"/>
      <c r="AE114" s="60">
        <f t="shared" si="275"/>
        <v>0</v>
      </c>
      <c r="AF114" s="60"/>
      <c r="AG114" s="60">
        <f t="shared" si="276"/>
        <v>0</v>
      </c>
      <c r="AH114" s="60"/>
      <c r="AI114" s="60">
        <f t="shared" si="277"/>
        <v>0</v>
      </c>
      <c r="AJ114" s="60"/>
      <c r="AK114" s="60">
        <f t="shared" si="278"/>
        <v>0</v>
      </c>
      <c r="AL114" s="60"/>
      <c r="AM114" s="60">
        <f t="shared" si="279"/>
        <v>0</v>
      </c>
      <c r="AN114" s="60"/>
      <c r="AO114" s="60">
        <f t="shared" si="280"/>
        <v>0</v>
      </c>
      <c r="AP114" s="60"/>
      <c r="AQ114" s="60">
        <f t="shared" si="281"/>
        <v>0</v>
      </c>
      <c r="AR114" s="60"/>
      <c r="AS114" s="60">
        <f t="shared" si="282"/>
        <v>0</v>
      </c>
      <c r="AT114" s="60"/>
      <c r="AU114" s="60">
        <f t="shared" si="283"/>
        <v>0</v>
      </c>
      <c r="AV114" s="60"/>
      <c r="AW114" s="60">
        <f t="shared" si="284"/>
        <v>0</v>
      </c>
      <c r="AX114" s="60"/>
      <c r="AY114" s="60">
        <f t="shared" si="285"/>
        <v>0</v>
      </c>
      <c r="AZ114" s="60"/>
      <c r="BA114" s="60">
        <f t="shared" si="286"/>
        <v>0</v>
      </c>
      <c r="BB114" s="60"/>
      <c r="BC114" s="60">
        <f t="shared" si="287"/>
        <v>0</v>
      </c>
      <c r="BD114" s="60"/>
      <c r="BE114" s="60">
        <f t="shared" si="288"/>
        <v>0</v>
      </c>
      <c r="BF114" s="60"/>
      <c r="BG114" s="60">
        <f t="shared" si="289"/>
        <v>0</v>
      </c>
      <c r="BH114" s="60"/>
      <c r="BI114" s="60">
        <f t="shared" si="290"/>
        <v>0</v>
      </c>
      <c r="BJ114" s="60"/>
      <c r="BK114" s="60">
        <f t="shared" si="291"/>
        <v>0</v>
      </c>
      <c r="BL114" s="60"/>
      <c r="BM114" s="78">
        <f t="shared" si="292"/>
        <v>0</v>
      </c>
      <c r="BO114" s="11"/>
      <c r="BP114" s="11"/>
      <c r="BQ114" s="11"/>
      <c r="BR114" s="11"/>
      <c r="BS114" s="5"/>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KC114" s="151"/>
      <c r="KD114" s="5"/>
    </row>
    <row r="115" spans="1:290" s="5" customFormat="1" hidden="1" x14ac:dyDescent="0.2">
      <c r="A115"/>
      <c r="G115" s="77">
        <f t="shared" si="263"/>
        <v>0</v>
      </c>
      <c r="H115" s="60"/>
      <c r="I115" s="60">
        <f t="shared" si="264"/>
        <v>0</v>
      </c>
      <c r="J115" s="60"/>
      <c r="K115" s="60">
        <f t="shared" si="265"/>
        <v>0</v>
      </c>
      <c r="L115" s="60"/>
      <c r="M115" s="60">
        <f t="shared" si="266"/>
        <v>0</v>
      </c>
      <c r="N115" s="60"/>
      <c r="O115" s="60">
        <f t="shared" si="267"/>
        <v>0</v>
      </c>
      <c r="P115" s="60"/>
      <c r="Q115" s="60">
        <f t="shared" si="268"/>
        <v>0</v>
      </c>
      <c r="R115" s="60"/>
      <c r="S115" s="60">
        <f t="shared" si="269"/>
        <v>0</v>
      </c>
      <c r="T115" s="60"/>
      <c r="U115" s="60">
        <f t="shared" si="270"/>
        <v>0</v>
      </c>
      <c r="V115" s="60"/>
      <c r="W115" s="60">
        <f t="shared" si="271"/>
        <v>0</v>
      </c>
      <c r="X115" s="196"/>
      <c r="Y115" s="60">
        <f t="shared" si="272"/>
        <v>0</v>
      </c>
      <c r="Z115" s="60"/>
      <c r="AA115" s="60">
        <f t="shared" si="273"/>
        <v>0</v>
      </c>
      <c r="AB115" s="60"/>
      <c r="AC115" s="60">
        <f t="shared" si="274"/>
        <v>0</v>
      </c>
      <c r="AD115" s="60"/>
      <c r="AE115" s="60">
        <f t="shared" si="275"/>
        <v>0</v>
      </c>
      <c r="AF115" s="60"/>
      <c r="AG115" s="60">
        <f t="shared" si="276"/>
        <v>0</v>
      </c>
      <c r="AH115" s="60"/>
      <c r="AI115" s="60">
        <f t="shared" si="277"/>
        <v>0</v>
      </c>
      <c r="AJ115" s="60"/>
      <c r="AK115" s="60">
        <f t="shared" si="278"/>
        <v>0</v>
      </c>
      <c r="AL115" s="60"/>
      <c r="AM115" s="60">
        <f t="shared" si="279"/>
        <v>0</v>
      </c>
      <c r="AN115" s="60"/>
      <c r="AO115" s="60">
        <f t="shared" si="280"/>
        <v>0</v>
      </c>
      <c r="AP115" s="60"/>
      <c r="AQ115" s="60">
        <f t="shared" si="281"/>
        <v>0</v>
      </c>
      <c r="AR115" s="60"/>
      <c r="AS115" s="60">
        <f t="shared" si="282"/>
        <v>0</v>
      </c>
      <c r="AT115" s="60"/>
      <c r="AU115" s="60">
        <f t="shared" si="283"/>
        <v>0</v>
      </c>
      <c r="AV115" s="60"/>
      <c r="AW115" s="60">
        <f t="shared" si="284"/>
        <v>0</v>
      </c>
      <c r="AX115" s="60"/>
      <c r="AY115" s="60">
        <f t="shared" si="285"/>
        <v>0</v>
      </c>
      <c r="AZ115" s="60"/>
      <c r="BA115" s="60">
        <f t="shared" si="286"/>
        <v>0</v>
      </c>
      <c r="BB115" s="60"/>
      <c r="BC115" s="60">
        <f t="shared" si="287"/>
        <v>0</v>
      </c>
      <c r="BD115" s="60"/>
      <c r="BE115" s="60">
        <f t="shared" si="288"/>
        <v>0</v>
      </c>
      <c r="BF115" s="60"/>
      <c r="BG115" s="60">
        <f t="shared" si="289"/>
        <v>0</v>
      </c>
      <c r="BH115" s="60"/>
      <c r="BI115" s="60">
        <f t="shared" si="290"/>
        <v>0</v>
      </c>
      <c r="BJ115" s="60"/>
      <c r="BK115" s="60">
        <f t="shared" si="291"/>
        <v>0</v>
      </c>
      <c r="BL115" s="60"/>
      <c r="BM115" s="78">
        <f t="shared" si="292"/>
        <v>0</v>
      </c>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KC115" s="151"/>
    </row>
    <row r="116" spans="1:290" s="5" customFormat="1" hidden="1" x14ac:dyDescent="0.2">
      <c r="A116"/>
      <c r="G116" s="77">
        <f t="shared" si="263"/>
        <v>0</v>
      </c>
      <c r="H116" s="60"/>
      <c r="I116" s="60">
        <f t="shared" si="264"/>
        <v>0</v>
      </c>
      <c r="J116" s="60"/>
      <c r="K116" s="60">
        <f t="shared" si="265"/>
        <v>0</v>
      </c>
      <c r="L116" s="60"/>
      <c r="M116" s="60">
        <f t="shared" si="266"/>
        <v>0</v>
      </c>
      <c r="N116" s="60"/>
      <c r="O116" s="60">
        <f t="shared" si="267"/>
        <v>0</v>
      </c>
      <c r="P116" s="60"/>
      <c r="Q116" s="60">
        <f t="shared" si="268"/>
        <v>0</v>
      </c>
      <c r="R116" s="60"/>
      <c r="S116" s="60">
        <f t="shared" si="269"/>
        <v>0</v>
      </c>
      <c r="T116" s="60"/>
      <c r="U116" s="60">
        <f t="shared" si="270"/>
        <v>0</v>
      </c>
      <c r="V116" s="60"/>
      <c r="W116" s="60">
        <f t="shared" si="271"/>
        <v>0</v>
      </c>
      <c r="X116" s="196"/>
      <c r="Y116" s="60">
        <f t="shared" si="272"/>
        <v>0</v>
      </c>
      <c r="Z116" s="60"/>
      <c r="AA116" s="60">
        <f t="shared" si="273"/>
        <v>0</v>
      </c>
      <c r="AB116" s="60"/>
      <c r="AC116" s="60">
        <f t="shared" si="274"/>
        <v>0</v>
      </c>
      <c r="AD116" s="60"/>
      <c r="AE116" s="60">
        <f t="shared" si="275"/>
        <v>0</v>
      </c>
      <c r="AF116" s="60"/>
      <c r="AG116" s="60">
        <f t="shared" si="276"/>
        <v>0</v>
      </c>
      <c r="AH116" s="60"/>
      <c r="AI116" s="60">
        <f t="shared" si="277"/>
        <v>0</v>
      </c>
      <c r="AJ116" s="60"/>
      <c r="AK116" s="60">
        <f t="shared" si="278"/>
        <v>0</v>
      </c>
      <c r="AL116" s="60"/>
      <c r="AM116" s="60">
        <f t="shared" si="279"/>
        <v>0</v>
      </c>
      <c r="AN116" s="60"/>
      <c r="AO116" s="60">
        <f t="shared" si="280"/>
        <v>0</v>
      </c>
      <c r="AP116" s="60"/>
      <c r="AQ116" s="60">
        <f t="shared" si="281"/>
        <v>0</v>
      </c>
      <c r="AR116" s="60"/>
      <c r="AS116" s="60">
        <f t="shared" si="282"/>
        <v>0</v>
      </c>
      <c r="AT116" s="60"/>
      <c r="AU116" s="60">
        <f t="shared" si="283"/>
        <v>0</v>
      </c>
      <c r="AV116" s="60"/>
      <c r="AW116" s="60">
        <f t="shared" si="284"/>
        <v>0</v>
      </c>
      <c r="AX116" s="60"/>
      <c r="AY116" s="60">
        <f t="shared" si="285"/>
        <v>0</v>
      </c>
      <c r="AZ116" s="60"/>
      <c r="BA116" s="60">
        <f t="shared" si="286"/>
        <v>0</v>
      </c>
      <c r="BB116" s="60"/>
      <c r="BC116" s="60">
        <f t="shared" si="287"/>
        <v>0</v>
      </c>
      <c r="BD116" s="60"/>
      <c r="BE116" s="60">
        <f t="shared" si="288"/>
        <v>0</v>
      </c>
      <c r="BF116" s="60"/>
      <c r="BG116" s="60">
        <f t="shared" si="289"/>
        <v>0</v>
      </c>
      <c r="BH116" s="60"/>
      <c r="BI116" s="60">
        <f t="shared" si="290"/>
        <v>0</v>
      </c>
      <c r="BJ116" s="60"/>
      <c r="BK116" s="60">
        <f t="shared" si="291"/>
        <v>0</v>
      </c>
      <c r="BL116" s="60"/>
      <c r="BM116" s="78">
        <f t="shared" si="292"/>
        <v>0</v>
      </c>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KC116" s="151"/>
    </row>
    <row r="117" spans="1:290" s="5" customFormat="1" hidden="1" x14ac:dyDescent="0.2">
      <c r="A117"/>
      <c r="G117" s="77">
        <f t="shared" si="263"/>
        <v>0</v>
      </c>
      <c r="H117" s="60"/>
      <c r="I117" s="60">
        <f t="shared" si="264"/>
        <v>0</v>
      </c>
      <c r="J117" s="60"/>
      <c r="K117" s="60">
        <f t="shared" si="265"/>
        <v>0</v>
      </c>
      <c r="L117" s="60"/>
      <c r="M117" s="60">
        <f t="shared" si="266"/>
        <v>0</v>
      </c>
      <c r="N117" s="60"/>
      <c r="O117" s="60">
        <f t="shared" si="267"/>
        <v>0</v>
      </c>
      <c r="P117" s="60"/>
      <c r="Q117" s="60">
        <f t="shared" si="268"/>
        <v>0</v>
      </c>
      <c r="R117" s="60"/>
      <c r="S117" s="60">
        <f t="shared" si="269"/>
        <v>0</v>
      </c>
      <c r="T117" s="60"/>
      <c r="U117" s="60">
        <f t="shared" si="270"/>
        <v>0</v>
      </c>
      <c r="V117" s="60"/>
      <c r="W117" s="60">
        <f t="shared" si="271"/>
        <v>0</v>
      </c>
      <c r="X117" s="196"/>
      <c r="Y117" s="60">
        <f t="shared" si="272"/>
        <v>0</v>
      </c>
      <c r="Z117" s="60"/>
      <c r="AA117" s="60">
        <f t="shared" si="273"/>
        <v>0</v>
      </c>
      <c r="AB117" s="60"/>
      <c r="AC117" s="60">
        <f t="shared" si="274"/>
        <v>0</v>
      </c>
      <c r="AD117" s="60"/>
      <c r="AE117" s="60">
        <f t="shared" si="275"/>
        <v>0</v>
      </c>
      <c r="AF117" s="60"/>
      <c r="AG117" s="60">
        <f t="shared" si="276"/>
        <v>0</v>
      </c>
      <c r="AH117" s="60"/>
      <c r="AI117" s="60">
        <f t="shared" si="277"/>
        <v>0</v>
      </c>
      <c r="AJ117" s="60"/>
      <c r="AK117" s="60">
        <f t="shared" si="278"/>
        <v>0</v>
      </c>
      <c r="AL117" s="60"/>
      <c r="AM117" s="60">
        <f t="shared" si="279"/>
        <v>0</v>
      </c>
      <c r="AN117" s="60"/>
      <c r="AO117" s="60">
        <f t="shared" si="280"/>
        <v>0</v>
      </c>
      <c r="AP117" s="60"/>
      <c r="AQ117" s="60">
        <f t="shared" si="281"/>
        <v>0</v>
      </c>
      <c r="AR117" s="60"/>
      <c r="AS117" s="60">
        <f t="shared" si="282"/>
        <v>0</v>
      </c>
      <c r="AT117" s="60"/>
      <c r="AU117" s="60">
        <f t="shared" si="283"/>
        <v>0</v>
      </c>
      <c r="AV117" s="60"/>
      <c r="AW117" s="60">
        <f t="shared" si="284"/>
        <v>0</v>
      </c>
      <c r="AX117" s="60"/>
      <c r="AY117" s="60">
        <f t="shared" si="285"/>
        <v>0</v>
      </c>
      <c r="AZ117" s="60"/>
      <c r="BA117" s="60">
        <f t="shared" si="286"/>
        <v>0</v>
      </c>
      <c r="BB117" s="60"/>
      <c r="BC117" s="60">
        <f t="shared" si="287"/>
        <v>0</v>
      </c>
      <c r="BD117" s="60"/>
      <c r="BE117" s="60">
        <f t="shared" si="288"/>
        <v>0</v>
      </c>
      <c r="BF117" s="60"/>
      <c r="BG117" s="60">
        <f t="shared" si="289"/>
        <v>0</v>
      </c>
      <c r="BH117" s="60"/>
      <c r="BI117" s="60">
        <f t="shared" si="290"/>
        <v>0</v>
      </c>
      <c r="BJ117" s="60"/>
      <c r="BK117" s="60">
        <f t="shared" si="291"/>
        <v>0</v>
      </c>
      <c r="BL117" s="60"/>
      <c r="BM117" s="78">
        <f t="shared" si="292"/>
        <v>0</v>
      </c>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KC117" s="151"/>
    </row>
    <row r="118" spans="1:290" s="5" customFormat="1" hidden="1" x14ac:dyDescent="0.2">
      <c r="A118"/>
      <c r="G118" s="77">
        <f t="shared" si="263"/>
        <v>0</v>
      </c>
      <c r="H118" s="60"/>
      <c r="I118" s="60">
        <f t="shared" si="264"/>
        <v>0</v>
      </c>
      <c r="J118" s="60"/>
      <c r="K118" s="60">
        <f t="shared" si="265"/>
        <v>0</v>
      </c>
      <c r="L118" s="60"/>
      <c r="M118" s="60">
        <f t="shared" si="266"/>
        <v>0</v>
      </c>
      <c r="N118" s="60"/>
      <c r="O118" s="60">
        <f t="shared" si="267"/>
        <v>0</v>
      </c>
      <c r="P118" s="60"/>
      <c r="Q118" s="60">
        <f t="shared" si="268"/>
        <v>0</v>
      </c>
      <c r="R118" s="60"/>
      <c r="S118" s="60">
        <f t="shared" si="269"/>
        <v>0</v>
      </c>
      <c r="T118" s="60"/>
      <c r="U118" s="60">
        <f t="shared" si="270"/>
        <v>0</v>
      </c>
      <c r="V118" s="60"/>
      <c r="W118" s="60">
        <f t="shared" si="271"/>
        <v>0</v>
      </c>
      <c r="X118" s="196"/>
      <c r="Y118" s="60">
        <f t="shared" si="272"/>
        <v>0</v>
      </c>
      <c r="Z118" s="60"/>
      <c r="AA118" s="60">
        <f t="shared" si="273"/>
        <v>0</v>
      </c>
      <c r="AB118" s="60"/>
      <c r="AC118" s="60">
        <f t="shared" si="274"/>
        <v>0</v>
      </c>
      <c r="AD118" s="60"/>
      <c r="AE118" s="60">
        <f t="shared" si="275"/>
        <v>0</v>
      </c>
      <c r="AF118" s="60"/>
      <c r="AG118" s="60">
        <f t="shared" si="276"/>
        <v>0</v>
      </c>
      <c r="AH118" s="60"/>
      <c r="AI118" s="60">
        <f t="shared" si="277"/>
        <v>0</v>
      </c>
      <c r="AJ118" s="60"/>
      <c r="AK118" s="60">
        <f t="shared" si="278"/>
        <v>0</v>
      </c>
      <c r="AL118" s="60"/>
      <c r="AM118" s="60">
        <f t="shared" si="279"/>
        <v>0</v>
      </c>
      <c r="AN118" s="60"/>
      <c r="AO118" s="60">
        <f t="shared" si="280"/>
        <v>0</v>
      </c>
      <c r="AP118" s="60"/>
      <c r="AQ118" s="60">
        <f t="shared" si="281"/>
        <v>0</v>
      </c>
      <c r="AR118" s="60"/>
      <c r="AS118" s="60">
        <f t="shared" si="282"/>
        <v>0</v>
      </c>
      <c r="AT118" s="60"/>
      <c r="AU118" s="60">
        <f t="shared" si="283"/>
        <v>0</v>
      </c>
      <c r="AV118" s="60"/>
      <c r="AW118" s="60">
        <f t="shared" si="284"/>
        <v>0</v>
      </c>
      <c r="AX118" s="60"/>
      <c r="AY118" s="60">
        <f t="shared" si="285"/>
        <v>0</v>
      </c>
      <c r="AZ118" s="60"/>
      <c r="BA118" s="60">
        <f t="shared" si="286"/>
        <v>0</v>
      </c>
      <c r="BB118" s="60"/>
      <c r="BC118" s="60">
        <f t="shared" si="287"/>
        <v>0</v>
      </c>
      <c r="BD118" s="60"/>
      <c r="BE118" s="60">
        <f t="shared" si="288"/>
        <v>0</v>
      </c>
      <c r="BF118" s="60"/>
      <c r="BG118" s="60">
        <f t="shared" si="289"/>
        <v>0</v>
      </c>
      <c r="BH118" s="60"/>
      <c r="BI118" s="60">
        <f t="shared" si="290"/>
        <v>0</v>
      </c>
      <c r="BJ118" s="60"/>
      <c r="BK118" s="60">
        <f t="shared" si="291"/>
        <v>0</v>
      </c>
      <c r="BL118" s="60"/>
      <c r="BM118" s="78">
        <f t="shared" si="292"/>
        <v>0</v>
      </c>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KC118" s="151"/>
    </row>
    <row r="119" spans="1:290" s="5" customFormat="1" hidden="1" x14ac:dyDescent="0.2">
      <c r="A119"/>
      <c r="G119" s="77">
        <f t="shared" si="263"/>
        <v>0</v>
      </c>
      <c r="H119" s="60"/>
      <c r="I119" s="60">
        <f t="shared" si="264"/>
        <v>0</v>
      </c>
      <c r="J119" s="60"/>
      <c r="K119" s="60">
        <f t="shared" si="265"/>
        <v>0</v>
      </c>
      <c r="L119" s="60"/>
      <c r="M119" s="60">
        <f t="shared" si="266"/>
        <v>0</v>
      </c>
      <c r="N119" s="60"/>
      <c r="O119" s="60">
        <f t="shared" si="267"/>
        <v>0</v>
      </c>
      <c r="P119" s="60"/>
      <c r="Q119" s="60">
        <f t="shared" si="268"/>
        <v>0</v>
      </c>
      <c r="R119" s="60"/>
      <c r="S119" s="60">
        <f t="shared" si="269"/>
        <v>0</v>
      </c>
      <c r="T119" s="60"/>
      <c r="U119" s="60">
        <f t="shared" si="270"/>
        <v>0</v>
      </c>
      <c r="V119" s="60"/>
      <c r="W119" s="60">
        <f t="shared" si="271"/>
        <v>0</v>
      </c>
      <c r="X119" s="196"/>
      <c r="Y119" s="60">
        <f t="shared" si="272"/>
        <v>0</v>
      </c>
      <c r="Z119" s="60"/>
      <c r="AA119" s="60">
        <f t="shared" si="273"/>
        <v>0</v>
      </c>
      <c r="AB119" s="60"/>
      <c r="AC119" s="60">
        <f t="shared" si="274"/>
        <v>0</v>
      </c>
      <c r="AD119" s="60"/>
      <c r="AE119" s="60">
        <f t="shared" si="275"/>
        <v>0</v>
      </c>
      <c r="AF119" s="60"/>
      <c r="AG119" s="60">
        <f t="shared" si="276"/>
        <v>0</v>
      </c>
      <c r="AH119" s="60"/>
      <c r="AI119" s="60">
        <f t="shared" si="277"/>
        <v>0</v>
      </c>
      <c r="AJ119" s="60"/>
      <c r="AK119" s="60">
        <f t="shared" si="278"/>
        <v>0</v>
      </c>
      <c r="AL119" s="60"/>
      <c r="AM119" s="60">
        <f t="shared" si="279"/>
        <v>0</v>
      </c>
      <c r="AN119" s="60"/>
      <c r="AO119" s="60">
        <f t="shared" si="280"/>
        <v>0</v>
      </c>
      <c r="AP119" s="60"/>
      <c r="AQ119" s="60">
        <f t="shared" si="281"/>
        <v>0</v>
      </c>
      <c r="AR119" s="60"/>
      <c r="AS119" s="60">
        <f t="shared" si="282"/>
        <v>0</v>
      </c>
      <c r="AT119" s="60"/>
      <c r="AU119" s="60">
        <f t="shared" si="283"/>
        <v>0</v>
      </c>
      <c r="AV119" s="60"/>
      <c r="AW119" s="60">
        <f t="shared" si="284"/>
        <v>0</v>
      </c>
      <c r="AX119" s="60"/>
      <c r="AY119" s="60">
        <f t="shared" si="285"/>
        <v>0</v>
      </c>
      <c r="AZ119" s="60"/>
      <c r="BA119" s="60">
        <f t="shared" si="286"/>
        <v>0</v>
      </c>
      <c r="BB119" s="60"/>
      <c r="BC119" s="60">
        <f t="shared" si="287"/>
        <v>0</v>
      </c>
      <c r="BD119" s="60"/>
      <c r="BE119" s="60">
        <f t="shared" si="288"/>
        <v>0</v>
      </c>
      <c r="BF119" s="60"/>
      <c r="BG119" s="60">
        <f t="shared" si="289"/>
        <v>0</v>
      </c>
      <c r="BH119" s="60"/>
      <c r="BI119" s="60">
        <f t="shared" si="290"/>
        <v>0</v>
      </c>
      <c r="BJ119" s="60"/>
      <c r="BK119" s="60">
        <f t="shared" si="291"/>
        <v>0</v>
      </c>
      <c r="BL119" s="60"/>
      <c r="BM119" s="78">
        <f t="shared" si="292"/>
        <v>0</v>
      </c>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KC119" s="151"/>
    </row>
    <row r="120" spans="1:290" s="5" customFormat="1" hidden="1" x14ac:dyDescent="0.2">
      <c r="A120"/>
      <c r="G120" s="77">
        <f t="shared" si="263"/>
        <v>0</v>
      </c>
      <c r="H120" s="60"/>
      <c r="I120" s="60">
        <f t="shared" si="264"/>
        <v>0</v>
      </c>
      <c r="J120" s="60"/>
      <c r="K120" s="60">
        <f t="shared" si="265"/>
        <v>0</v>
      </c>
      <c r="L120" s="60"/>
      <c r="M120" s="60">
        <f t="shared" si="266"/>
        <v>0</v>
      </c>
      <c r="N120" s="60"/>
      <c r="O120" s="60">
        <f t="shared" si="267"/>
        <v>0</v>
      </c>
      <c r="P120" s="60"/>
      <c r="Q120" s="60">
        <f t="shared" si="268"/>
        <v>0</v>
      </c>
      <c r="R120" s="60"/>
      <c r="S120" s="60">
        <f t="shared" si="269"/>
        <v>0</v>
      </c>
      <c r="T120" s="60"/>
      <c r="U120" s="60">
        <f t="shared" si="270"/>
        <v>0</v>
      </c>
      <c r="V120" s="60"/>
      <c r="W120" s="60">
        <f t="shared" si="271"/>
        <v>0</v>
      </c>
      <c r="X120" s="196"/>
      <c r="Y120" s="60">
        <f t="shared" si="272"/>
        <v>0</v>
      </c>
      <c r="Z120" s="60"/>
      <c r="AA120" s="60">
        <f t="shared" si="273"/>
        <v>0</v>
      </c>
      <c r="AB120" s="60"/>
      <c r="AC120" s="60">
        <f t="shared" si="274"/>
        <v>0</v>
      </c>
      <c r="AD120" s="60"/>
      <c r="AE120" s="60">
        <f t="shared" si="275"/>
        <v>0</v>
      </c>
      <c r="AF120" s="60"/>
      <c r="AG120" s="60">
        <f t="shared" si="276"/>
        <v>0</v>
      </c>
      <c r="AH120" s="60"/>
      <c r="AI120" s="60">
        <f t="shared" si="277"/>
        <v>0</v>
      </c>
      <c r="AJ120" s="60"/>
      <c r="AK120" s="60">
        <f t="shared" si="278"/>
        <v>0</v>
      </c>
      <c r="AL120" s="60"/>
      <c r="AM120" s="60">
        <f t="shared" si="279"/>
        <v>0</v>
      </c>
      <c r="AN120" s="60"/>
      <c r="AO120" s="60">
        <f t="shared" si="280"/>
        <v>0</v>
      </c>
      <c r="AP120" s="60"/>
      <c r="AQ120" s="60">
        <f t="shared" si="281"/>
        <v>0</v>
      </c>
      <c r="AR120" s="60"/>
      <c r="AS120" s="60">
        <f t="shared" si="282"/>
        <v>0</v>
      </c>
      <c r="AT120" s="60"/>
      <c r="AU120" s="60">
        <f t="shared" si="283"/>
        <v>0</v>
      </c>
      <c r="AV120" s="60"/>
      <c r="AW120" s="60">
        <f t="shared" si="284"/>
        <v>0</v>
      </c>
      <c r="AX120" s="60"/>
      <c r="AY120" s="60">
        <f t="shared" si="285"/>
        <v>0</v>
      </c>
      <c r="AZ120" s="60"/>
      <c r="BA120" s="60">
        <f t="shared" si="286"/>
        <v>0</v>
      </c>
      <c r="BB120" s="60"/>
      <c r="BC120" s="60">
        <f t="shared" si="287"/>
        <v>0</v>
      </c>
      <c r="BD120" s="60"/>
      <c r="BE120" s="60">
        <f t="shared" si="288"/>
        <v>0</v>
      </c>
      <c r="BF120" s="60"/>
      <c r="BG120" s="60">
        <f t="shared" si="289"/>
        <v>0</v>
      </c>
      <c r="BH120" s="60"/>
      <c r="BI120" s="60">
        <f t="shared" si="290"/>
        <v>0</v>
      </c>
      <c r="BJ120" s="60"/>
      <c r="BK120" s="60">
        <f t="shared" si="291"/>
        <v>0</v>
      </c>
      <c r="BL120" s="60"/>
      <c r="BM120" s="78">
        <f t="shared" si="292"/>
        <v>0</v>
      </c>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KC120" s="151"/>
    </row>
    <row r="121" spans="1:290" s="5" customFormat="1" hidden="1" x14ac:dyDescent="0.2">
      <c r="A121"/>
      <c r="G121" s="77">
        <f t="shared" si="263"/>
        <v>0</v>
      </c>
      <c r="H121" s="60"/>
      <c r="I121" s="60">
        <f t="shared" si="264"/>
        <v>0</v>
      </c>
      <c r="J121" s="60"/>
      <c r="K121" s="60">
        <f t="shared" si="265"/>
        <v>0</v>
      </c>
      <c r="L121" s="60"/>
      <c r="M121" s="60">
        <f t="shared" si="266"/>
        <v>0</v>
      </c>
      <c r="N121" s="60"/>
      <c r="O121" s="60">
        <f t="shared" si="267"/>
        <v>0</v>
      </c>
      <c r="P121" s="60"/>
      <c r="Q121" s="60">
        <f t="shared" si="268"/>
        <v>0</v>
      </c>
      <c r="R121" s="60"/>
      <c r="S121" s="60">
        <f t="shared" si="269"/>
        <v>0</v>
      </c>
      <c r="T121" s="60"/>
      <c r="U121" s="60">
        <f t="shared" si="270"/>
        <v>0</v>
      </c>
      <c r="V121" s="60"/>
      <c r="W121" s="60">
        <f t="shared" si="271"/>
        <v>0</v>
      </c>
      <c r="X121" s="196"/>
      <c r="Y121" s="60">
        <f t="shared" si="272"/>
        <v>0</v>
      </c>
      <c r="Z121" s="60"/>
      <c r="AA121" s="60">
        <f t="shared" si="273"/>
        <v>0</v>
      </c>
      <c r="AB121" s="60"/>
      <c r="AC121" s="60">
        <f t="shared" si="274"/>
        <v>0</v>
      </c>
      <c r="AD121" s="60"/>
      <c r="AE121" s="60">
        <f t="shared" si="275"/>
        <v>0</v>
      </c>
      <c r="AF121" s="60"/>
      <c r="AG121" s="60">
        <f t="shared" si="276"/>
        <v>0</v>
      </c>
      <c r="AH121" s="60"/>
      <c r="AI121" s="60">
        <f t="shared" si="277"/>
        <v>0</v>
      </c>
      <c r="AJ121" s="60"/>
      <c r="AK121" s="60">
        <f t="shared" si="278"/>
        <v>0</v>
      </c>
      <c r="AL121" s="60"/>
      <c r="AM121" s="60">
        <f t="shared" si="279"/>
        <v>0</v>
      </c>
      <c r="AN121" s="60"/>
      <c r="AO121" s="60">
        <f t="shared" si="280"/>
        <v>0</v>
      </c>
      <c r="AP121" s="60"/>
      <c r="AQ121" s="60">
        <f t="shared" si="281"/>
        <v>0</v>
      </c>
      <c r="AR121" s="60"/>
      <c r="AS121" s="60">
        <f t="shared" si="282"/>
        <v>0</v>
      </c>
      <c r="AT121" s="60"/>
      <c r="AU121" s="60">
        <f t="shared" si="283"/>
        <v>0</v>
      </c>
      <c r="AV121" s="60"/>
      <c r="AW121" s="60">
        <f t="shared" si="284"/>
        <v>0</v>
      </c>
      <c r="AX121" s="60"/>
      <c r="AY121" s="60">
        <f t="shared" si="285"/>
        <v>0</v>
      </c>
      <c r="AZ121" s="60"/>
      <c r="BA121" s="60">
        <f t="shared" si="286"/>
        <v>0</v>
      </c>
      <c r="BB121" s="60"/>
      <c r="BC121" s="60">
        <f t="shared" si="287"/>
        <v>0</v>
      </c>
      <c r="BD121" s="60"/>
      <c r="BE121" s="60">
        <f t="shared" si="288"/>
        <v>0</v>
      </c>
      <c r="BF121" s="60"/>
      <c r="BG121" s="60">
        <f t="shared" si="289"/>
        <v>0</v>
      </c>
      <c r="BH121" s="60"/>
      <c r="BI121" s="60">
        <f t="shared" si="290"/>
        <v>0</v>
      </c>
      <c r="BJ121" s="60"/>
      <c r="BK121" s="60">
        <f t="shared" si="291"/>
        <v>0</v>
      </c>
      <c r="BL121" s="60"/>
      <c r="BM121" s="78">
        <f t="shared" si="292"/>
        <v>0</v>
      </c>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KC121" s="151"/>
    </row>
    <row r="122" spans="1:290" s="5" customFormat="1" hidden="1" x14ac:dyDescent="0.2">
      <c r="A122"/>
      <c r="G122" s="77">
        <f t="shared" si="263"/>
        <v>0</v>
      </c>
      <c r="H122" s="60"/>
      <c r="I122" s="60">
        <f t="shared" si="264"/>
        <v>0</v>
      </c>
      <c r="J122" s="60"/>
      <c r="K122" s="60">
        <f t="shared" si="265"/>
        <v>0</v>
      </c>
      <c r="L122" s="60"/>
      <c r="M122" s="60">
        <f t="shared" si="266"/>
        <v>0</v>
      </c>
      <c r="N122" s="60"/>
      <c r="O122" s="60">
        <f t="shared" si="267"/>
        <v>0</v>
      </c>
      <c r="P122" s="60"/>
      <c r="Q122" s="60">
        <f t="shared" si="268"/>
        <v>0</v>
      </c>
      <c r="R122" s="60"/>
      <c r="S122" s="60">
        <f t="shared" si="269"/>
        <v>0</v>
      </c>
      <c r="T122" s="60"/>
      <c r="U122" s="60">
        <f t="shared" si="270"/>
        <v>0</v>
      </c>
      <c r="V122" s="60"/>
      <c r="W122" s="60">
        <f t="shared" si="271"/>
        <v>0</v>
      </c>
      <c r="X122" s="196"/>
      <c r="Y122" s="60">
        <f t="shared" si="272"/>
        <v>0</v>
      </c>
      <c r="Z122" s="60"/>
      <c r="AA122" s="60">
        <f t="shared" si="273"/>
        <v>0</v>
      </c>
      <c r="AB122" s="60"/>
      <c r="AC122" s="60">
        <f t="shared" si="274"/>
        <v>0</v>
      </c>
      <c r="AD122" s="60"/>
      <c r="AE122" s="60">
        <f t="shared" si="275"/>
        <v>0</v>
      </c>
      <c r="AF122" s="60"/>
      <c r="AG122" s="60">
        <f t="shared" si="276"/>
        <v>0</v>
      </c>
      <c r="AH122" s="60"/>
      <c r="AI122" s="60">
        <f t="shared" si="277"/>
        <v>0</v>
      </c>
      <c r="AJ122" s="60"/>
      <c r="AK122" s="60">
        <f t="shared" si="278"/>
        <v>0</v>
      </c>
      <c r="AL122" s="60"/>
      <c r="AM122" s="60">
        <f t="shared" si="279"/>
        <v>0</v>
      </c>
      <c r="AN122" s="60"/>
      <c r="AO122" s="60">
        <f t="shared" si="280"/>
        <v>0</v>
      </c>
      <c r="AP122" s="60"/>
      <c r="AQ122" s="60">
        <f t="shared" si="281"/>
        <v>0</v>
      </c>
      <c r="AR122" s="60"/>
      <c r="AS122" s="60">
        <f t="shared" si="282"/>
        <v>0</v>
      </c>
      <c r="AT122" s="60"/>
      <c r="AU122" s="60">
        <f t="shared" si="283"/>
        <v>0</v>
      </c>
      <c r="AV122" s="60"/>
      <c r="AW122" s="60">
        <f t="shared" si="284"/>
        <v>0</v>
      </c>
      <c r="AX122" s="60"/>
      <c r="AY122" s="60">
        <f t="shared" si="285"/>
        <v>0</v>
      </c>
      <c r="AZ122" s="60"/>
      <c r="BA122" s="60">
        <f t="shared" si="286"/>
        <v>0</v>
      </c>
      <c r="BB122" s="60"/>
      <c r="BC122" s="60">
        <f t="shared" si="287"/>
        <v>0</v>
      </c>
      <c r="BD122" s="60"/>
      <c r="BE122" s="60">
        <f t="shared" si="288"/>
        <v>0</v>
      </c>
      <c r="BF122" s="60"/>
      <c r="BG122" s="60">
        <f t="shared" si="289"/>
        <v>0</v>
      </c>
      <c r="BH122" s="60"/>
      <c r="BI122" s="60">
        <f t="shared" si="290"/>
        <v>0</v>
      </c>
      <c r="BJ122" s="60"/>
      <c r="BK122" s="60">
        <f t="shared" si="291"/>
        <v>0</v>
      </c>
      <c r="BL122" s="60"/>
      <c r="BM122" s="78">
        <f t="shared" si="292"/>
        <v>0</v>
      </c>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KC122" s="151"/>
    </row>
    <row r="123" spans="1:290" s="5" customFormat="1" ht="11.25" hidden="1" customHeight="1" x14ac:dyDescent="0.2">
      <c r="A123"/>
      <c r="G123" s="77">
        <f t="shared" si="263"/>
        <v>0</v>
      </c>
      <c r="H123" s="60"/>
      <c r="I123" s="60">
        <f t="shared" si="264"/>
        <v>0</v>
      </c>
      <c r="J123" s="60"/>
      <c r="K123" s="60">
        <f t="shared" si="265"/>
        <v>0</v>
      </c>
      <c r="L123" s="60"/>
      <c r="M123" s="60">
        <f t="shared" si="266"/>
        <v>0</v>
      </c>
      <c r="N123" s="60"/>
      <c r="O123" s="60">
        <f t="shared" si="267"/>
        <v>0</v>
      </c>
      <c r="P123" s="60"/>
      <c r="Q123" s="60">
        <f t="shared" si="268"/>
        <v>0</v>
      </c>
      <c r="R123" s="60"/>
      <c r="S123" s="60">
        <f t="shared" si="269"/>
        <v>0</v>
      </c>
      <c r="T123" s="60"/>
      <c r="U123" s="60">
        <f t="shared" si="270"/>
        <v>0</v>
      </c>
      <c r="V123" s="60"/>
      <c r="W123" s="60">
        <f t="shared" si="271"/>
        <v>0</v>
      </c>
      <c r="X123" s="196"/>
      <c r="Y123" s="60">
        <f t="shared" si="272"/>
        <v>0</v>
      </c>
      <c r="Z123" s="60"/>
      <c r="AA123" s="60">
        <f t="shared" si="273"/>
        <v>0</v>
      </c>
      <c r="AB123" s="60"/>
      <c r="AC123" s="60">
        <f t="shared" si="274"/>
        <v>0</v>
      </c>
      <c r="AD123" s="60"/>
      <c r="AE123" s="60">
        <f t="shared" si="275"/>
        <v>0</v>
      </c>
      <c r="AF123" s="60"/>
      <c r="AG123" s="60">
        <f t="shared" si="276"/>
        <v>0</v>
      </c>
      <c r="AH123" s="60"/>
      <c r="AI123" s="60">
        <f t="shared" si="277"/>
        <v>0</v>
      </c>
      <c r="AJ123" s="60"/>
      <c r="AK123" s="60">
        <f t="shared" si="278"/>
        <v>0</v>
      </c>
      <c r="AL123" s="60"/>
      <c r="AM123" s="60">
        <f t="shared" si="279"/>
        <v>0</v>
      </c>
      <c r="AN123" s="60"/>
      <c r="AO123" s="60">
        <f t="shared" si="280"/>
        <v>0</v>
      </c>
      <c r="AP123" s="60"/>
      <c r="AQ123" s="60">
        <f t="shared" si="281"/>
        <v>0</v>
      </c>
      <c r="AR123" s="60"/>
      <c r="AS123" s="60">
        <f t="shared" si="282"/>
        <v>0</v>
      </c>
      <c r="AT123" s="60"/>
      <c r="AU123" s="60">
        <f t="shared" si="283"/>
        <v>0</v>
      </c>
      <c r="AV123" s="60"/>
      <c r="AW123" s="60">
        <f t="shared" si="284"/>
        <v>0</v>
      </c>
      <c r="AX123" s="60"/>
      <c r="AY123" s="60">
        <f t="shared" si="285"/>
        <v>0</v>
      </c>
      <c r="AZ123" s="60"/>
      <c r="BA123" s="60">
        <f t="shared" si="286"/>
        <v>0</v>
      </c>
      <c r="BB123" s="60"/>
      <c r="BC123" s="60">
        <f t="shared" si="287"/>
        <v>0</v>
      </c>
      <c r="BD123" s="60"/>
      <c r="BE123" s="60">
        <f t="shared" si="288"/>
        <v>0</v>
      </c>
      <c r="BF123" s="60"/>
      <c r="BG123" s="60">
        <f t="shared" si="289"/>
        <v>0</v>
      </c>
      <c r="BH123" s="60"/>
      <c r="BI123" s="60">
        <f t="shared" si="290"/>
        <v>0</v>
      </c>
      <c r="BJ123" s="60"/>
      <c r="BK123" s="60">
        <f t="shared" si="291"/>
        <v>0</v>
      </c>
      <c r="BL123" s="60"/>
      <c r="BM123" s="78">
        <f t="shared" si="292"/>
        <v>0</v>
      </c>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KC123" s="151"/>
    </row>
    <row r="124" spans="1:290" s="5" customFormat="1" ht="12.75" hidden="1" customHeight="1" x14ac:dyDescent="0.2">
      <c r="A124"/>
      <c r="G124" s="77">
        <f t="shared" si="263"/>
        <v>0</v>
      </c>
      <c r="H124" s="60"/>
      <c r="I124" s="60">
        <f t="shared" si="264"/>
        <v>0</v>
      </c>
      <c r="J124" s="60"/>
      <c r="K124" s="60">
        <f t="shared" si="265"/>
        <v>0</v>
      </c>
      <c r="L124" s="60"/>
      <c r="M124" s="60">
        <f t="shared" si="266"/>
        <v>0</v>
      </c>
      <c r="N124" s="60"/>
      <c r="O124" s="60">
        <f t="shared" si="267"/>
        <v>0</v>
      </c>
      <c r="P124" s="60"/>
      <c r="Q124" s="60">
        <f t="shared" si="268"/>
        <v>0</v>
      </c>
      <c r="R124" s="60"/>
      <c r="S124" s="60">
        <f t="shared" si="269"/>
        <v>0</v>
      </c>
      <c r="T124" s="60"/>
      <c r="U124" s="60">
        <f t="shared" si="270"/>
        <v>0</v>
      </c>
      <c r="V124" s="60"/>
      <c r="W124" s="60">
        <f t="shared" si="271"/>
        <v>0</v>
      </c>
      <c r="X124" s="196"/>
      <c r="Y124" s="60">
        <f t="shared" si="272"/>
        <v>0</v>
      </c>
      <c r="Z124" s="60"/>
      <c r="AA124" s="60">
        <f t="shared" si="273"/>
        <v>0</v>
      </c>
      <c r="AB124" s="60"/>
      <c r="AC124" s="60">
        <f t="shared" si="274"/>
        <v>0</v>
      </c>
      <c r="AD124" s="60"/>
      <c r="AE124" s="60">
        <f t="shared" si="275"/>
        <v>0</v>
      </c>
      <c r="AF124" s="60"/>
      <c r="AG124" s="60">
        <f t="shared" si="276"/>
        <v>0</v>
      </c>
      <c r="AH124" s="60"/>
      <c r="AI124" s="60">
        <f t="shared" si="277"/>
        <v>0</v>
      </c>
      <c r="AJ124" s="60"/>
      <c r="AK124" s="60">
        <f t="shared" si="278"/>
        <v>0</v>
      </c>
      <c r="AL124" s="60"/>
      <c r="AM124" s="60">
        <f t="shared" si="279"/>
        <v>0</v>
      </c>
      <c r="AN124" s="60"/>
      <c r="AO124" s="60">
        <f t="shared" si="280"/>
        <v>0</v>
      </c>
      <c r="AP124" s="60"/>
      <c r="AQ124" s="60">
        <f t="shared" si="281"/>
        <v>0</v>
      </c>
      <c r="AR124" s="60"/>
      <c r="AS124" s="60">
        <f t="shared" si="282"/>
        <v>0</v>
      </c>
      <c r="AT124" s="60"/>
      <c r="AU124" s="60">
        <f t="shared" si="283"/>
        <v>0</v>
      </c>
      <c r="AV124" s="60"/>
      <c r="AW124" s="60">
        <f t="shared" si="284"/>
        <v>0</v>
      </c>
      <c r="AX124" s="60"/>
      <c r="AY124" s="60">
        <f t="shared" si="285"/>
        <v>0</v>
      </c>
      <c r="AZ124" s="60"/>
      <c r="BA124" s="60">
        <f t="shared" si="286"/>
        <v>0</v>
      </c>
      <c r="BB124" s="60"/>
      <c r="BC124" s="60">
        <f t="shared" si="287"/>
        <v>0</v>
      </c>
      <c r="BD124" s="60"/>
      <c r="BE124" s="60">
        <f t="shared" si="288"/>
        <v>0</v>
      </c>
      <c r="BF124" s="60"/>
      <c r="BG124" s="60">
        <f t="shared" si="289"/>
        <v>0</v>
      </c>
      <c r="BH124" s="60"/>
      <c r="BI124" s="60">
        <f t="shared" si="290"/>
        <v>0</v>
      </c>
      <c r="BJ124" s="60"/>
      <c r="BK124" s="60">
        <f t="shared" si="291"/>
        <v>0</v>
      </c>
      <c r="BL124" s="60"/>
      <c r="BM124" s="78">
        <f t="shared" si="292"/>
        <v>0</v>
      </c>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KC124" s="151"/>
    </row>
    <row r="125" spans="1:290" s="5" customFormat="1" ht="12.75" hidden="1" customHeight="1" x14ac:dyDescent="0.2">
      <c r="A125"/>
      <c r="G125" s="77">
        <f t="shared" si="263"/>
        <v>0</v>
      </c>
      <c r="H125" s="60"/>
      <c r="I125" s="60">
        <f t="shared" si="264"/>
        <v>0</v>
      </c>
      <c r="J125" s="60"/>
      <c r="K125" s="60">
        <f t="shared" si="265"/>
        <v>0</v>
      </c>
      <c r="L125" s="60"/>
      <c r="M125" s="60">
        <f t="shared" si="266"/>
        <v>0</v>
      </c>
      <c r="N125" s="60"/>
      <c r="O125" s="60">
        <f t="shared" si="267"/>
        <v>0</v>
      </c>
      <c r="P125" s="60"/>
      <c r="Q125" s="60">
        <f t="shared" si="268"/>
        <v>0</v>
      </c>
      <c r="R125" s="60"/>
      <c r="S125" s="60">
        <f t="shared" si="269"/>
        <v>0</v>
      </c>
      <c r="T125" s="60"/>
      <c r="U125" s="60">
        <f t="shared" si="270"/>
        <v>0</v>
      </c>
      <c r="V125" s="60"/>
      <c r="W125" s="60">
        <f t="shared" si="271"/>
        <v>0</v>
      </c>
      <c r="X125" s="229"/>
      <c r="Y125" s="60">
        <f t="shared" si="272"/>
        <v>0</v>
      </c>
      <c r="Z125" s="60"/>
      <c r="AA125" s="60">
        <f t="shared" si="273"/>
        <v>0</v>
      </c>
      <c r="AB125" s="60"/>
      <c r="AC125" s="60">
        <f t="shared" si="274"/>
        <v>0</v>
      </c>
      <c r="AD125" s="60"/>
      <c r="AE125" s="60">
        <f t="shared" si="275"/>
        <v>0</v>
      </c>
      <c r="AF125" s="60"/>
      <c r="AG125" s="60">
        <f t="shared" si="276"/>
        <v>0</v>
      </c>
      <c r="AH125" s="60"/>
      <c r="AI125" s="60">
        <f t="shared" si="277"/>
        <v>0</v>
      </c>
      <c r="AJ125" s="60"/>
      <c r="AK125" s="60">
        <f t="shared" si="278"/>
        <v>0</v>
      </c>
      <c r="AL125" s="60"/>
      <c r="AM125" s="60">
        <f t="shared" si="279"/>
        <v>0</v>
      </c>
      <c r="AN125" s="60"/>
      <c r="AO125" s="60">
        <f t="shared" si="280"/>
        <v>0</v>
      </c>
      <c r="AP125" s="60"/>
      <c r="AQ125" s="60">
        <f t="shared" si="281"/>
        <v>0</v>
      </c>
      <c r="AR125" s="60"/>
      <c r="AS125" s="60">
        <f t="shared" si="282"/>
        <v>0</v>
      </c>
      <c r="AT125" s="60"/>
      <c r="AU125" s="60">
        <f t="shared" si="283"/>
        <v>0</v>
      </c>
      <c r="AV125" s="60"/>
      <c r="AW125" s="60">
        <f t="shared" si="284"/>
        <v>0</v>
      </c>
      <c r="AX125" s="60"/>
      <c r="AY125" s="60">
        <f t="shared" si="285"/>
        <v>0</v>
      </c>
      <c r="AZ125" s="60"/>
      <c r="BA125" s="60">
        <f t="shared" si="286"/>
        <v>0</v>
      </c>
      <c r="BB125" s="60"/>
      <c r="BC125" s="60">
        <f t="shared" si="287"/>
        <v>0</v>
      </c>
      <c r="BD125" s="60"/>
      <c r="BE125" s="60">
        <f t="shared" si="288"/>
        <v>0</v>
      </c>
      <c r="BF125" s="60"/>
      <c r="BG125" s="60">
        <f t="shared" si="289"/>
        <v>0</v>
      </c>
      <c r="BH125" s="60"/>
      <c r="BI125" s="60">
        <f t="shared" si="290"/>
        <v>0</v>
      </c>
      <c r="BJ125" s="60"/>
      <c r="BK125" s="60">
        <f t="shared" si="291"/>
        <v>0</v>
      </c>
      <c r="BL125" s="60"/>
      <c r="BM125" s="78">
        <f t="shared" si="292"/>
        <v>0</v>
      </c>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KC125" s="151"/>
    </row>
    <row r="126" spans="1:290" s="5" customFormat="1" ht="12.75" hidden="1" customHeight="1" thickBot="1" x14ac:dyDescent="0.25">
      <c r="A126"/>
      <c r="D126" s="8"/>
      <c r="E126" s="29" t="s">
        <v>407</v>
      </c>
      <c r="F126" s="8"/>
      <c r="G126" s="81">
        <f>MAX(G88:G125)</f>
        <v>0</v>
      </c>
      <c r="H126" s="82"/>
      <c r="I126" s="82">
        <f>MAX(I88:I125)</f>
        <v>0</v>
      </c>
      <c r="J126" s="82"/>
      <c r="K126" s="82">
        <f>MAX(K88:K125)</f>
        <v>0</v>
      </c>
      <c r="L126" s="82"/>
      <c r="M126" s="82">
        <f>MAX(M88:M125)</f>
        <v>0</v>
      </c>
      <c r="N126" s="82"/>
      <c r="O126" s="82">
        <f>MAX(O88:O125)</f>
        <v>0</v>
      </c>
      <c r="P126" s="82"/>
      <c r="Q126" s="82">
        <f>MAX(Q88:Q125)</f>
        <v>0</v>
      </c>
      <c r="R126" s="82"/>
      <c r="S126" s="82">
        <f>MAX(S88:S125)</f>
        <v>0</v>
      </c>
      <c r="T126" s="82"/>
      <c r="U126" s="82">
        <f>MAX(U88:U125)</f>
        <v>0</v>
      </c>
      <c r="V126" s="82"/>
      <c r="W126" s="82">
        <f>MAX(W88:W125)</f>
        <v>0</v>
      </c>
      <c r="X126" s="251"/>
      <c r="Y126" s="82">
        <f>MAX(Y88:Y125)</f>
        <v>0</v>
      </c>
      <c r="Z126" s="82"/>
      <c r="AA126" s="82">
        <f>MAX(AA88:AA125)</f>
        <v>0</v>
      </c>
      <c r="AB126" s="82"/>
      <c r="AC126" s="82">
        <f>MAX(AC88:AC125)</f>
        <v>0</v>
      </c>
      <c r="AD126" s="82"/>
      <c r="AE126" s="82">
        <f>MAX(AE88:AE125)</f>
        <v>0</v>
      </c>
      <c r="AF126" s="82"/>
      <c r="AG126" s="82">
        <f>MAX(AG88:AG125)</f>
        <v>0</v>
      </c>
      <c r="AH126" s="82"/>
      <c r="AI126" s="82">
        <f>MAX(AI88:AI125)</f>
        <v>0</v>
      </c>
      <c r="AJ126" s="82"/>
      <c r="AK126" s="82">
        <f>MAX(AK88:AK125)</f>
        <v>0</v>
      </c>
      <c r="AL126" s="82"/>
      <c r="AM126" s="82">
        <f>MAX(AM88:AM125)</f>
        <v>0</v>
      </c>
      <c r="AN126" s="82"/>
      <c r="AO126" s="82">
        <f>MAX(AO88:AO125)</f>
        <v>0</v>
      </c>
      <c r="AP126" s="82"/>
      <c r="AQ126" s="82">
        <f>MAX(AQ88:AQ125)</f>
        <v>0</v>
      </c>
      <c r="AR126" s="82"/>
      <c r="AS126" s="82">
        <f>MAX(AS88:AS125)</f>
        <v>0</v>
      </c>
      <c r="AT126" s="82"/>
      <c r="AU126" s="82">
        <f>MAX(AU88:AU125)</f>
        <v>0</v>
      </c>
      <c r="AV126" s="82"/>
      <c r="AW126" s="82">
        <f>MAX(AW88:AW125)</f>
        <v>0</v>
      </c>
      <c r="AX126" s="82"/>
      <c r="AY126" s="82">
        <f>MAX(AY88:AY125)</f>
        <v>0</v>
      </c>
      <c r="AZ126" s="82"/>
      <c r="BA126" s="82">
        <f>MAX(BA88:BA125)</f>
        <v>0</v>
      </c>
      <c r="BB126" s="82"/>
      <c r="BC126" s="82">
        <f>MAX(BC88:BC125)</f>
        <v>0</v>
      </c>
      <c r="BD126" s="82"/>
      <c r="BE126" s="82">
        <f>MAX(BE88:BE125)</f>
        <v>0</v>
      </c>
      <c r="BF126" s="82"/>
      <c r="BG126" s="82">
        <f>MAX(BG88:BG125)</f>
        <v>0</v>
      </c>
      <c r="BH126" s="82"/>
      <c r="BI126" s="82">
        <f>MAX(BI88:BI125)</f>
        <v>0</v>
      </c>
      <c r="BJ126" s="82"/>
      <c r="BK126" s="82">
        <f>MAX(BK88:BK125)</f>
        <v>0</v>
      </c>
      <c r="BL126" s="82"/>
      <c r="BM126" s="83">
        <f>MAX(BM88:BM125)</f>
        <v>0</v>
      </c>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KC126" s="151"/>
    </row>
    <row r="127" spans="1:290" s="5" customFormat="1" ht="12.75" hidden="1" customHeight="1" thickTop="1" x14ac:dyDescent="0.2">
      <c r="A127"/>
      <c r="X127" s="174"/>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KC127" s="151"/>
    </row>
    <row r="128" spans="1:290" s="5" customFormat="1" ht="12.75" hidden="1" customHeight="1" thickBot="1" x14ac:dyDescent="0.25">
      <c r="A128"/>
      <c r="H128" s="30"/>
      <c r="I128" s="30" t="s">
        <v>1140</v>
      </c>
      <c r="X128" s="174"/>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KC128" s="151"/>
    </row>
    <row r="129" spans="1:289" s="5" customFormat="1" ht="12.75" hidden="1" customHeight="1" thickTop="1" x14ac:dyDescent="0.2">
      <c r="A129"/>
      <c r="I129" s="101" t="str">
        <f>H11</f>
        <v/>
      </c>
      <c r="X129" s="174"/>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KC129" s="151"/>
    </row>
    <row r="130" spans="1:289" s="5" customFormat="1" ht="12.75" hidden="1" customHeight="1" x14ac:dyDescent="0.2">
      <c r="A130"/>
      <c r="I130" s="84" t="str">
        <f t="shared" ref="I130:I167" si="311">IF(AND(OR($H$11="Fecal Coliform",$H$11="Total Coliform"),$I$13="CFU/100 ml"),IF(H14="&gt;",1,""),"")</f>
        <v/>
      </c>
      <c r="X130" s="174"/>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KC130" s="151"/>
    </row>
    <row r="131" spans="1:289" s="5" customFormat="1" ht="12.75" hidden="1" customHeight="1" x14ac:dyDescent="0.2">
      <c r="A131"/>
      <c r="I131" s="84" t="str">
        <f t="shared" si="311"/>
        <v/>
      </c>
      <c r="X131" s="174"/>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KC131" s="151"/>
    </row>
    <row r="132" spans="1:289" s="5" customFormat="1" ht="12.75" hidden="1" customHeight="1" x14ac:dyDescent="0.2">
      <c r="A132"/>
      <c r="I132" s="84" t="str">
        <f t="shared" si="311"/>
        <v/>
      </c>
      <c r="X132" s="174"/>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KC132" s="151"/>
    </row>
    <row r="133" spans="1:289" s="5" customFormat="1" hidden="1" x14ac:dyDescent="0.2">
      <c r="A133"/>
      <c r="I133" s="84" t="str">
        <f t="shared" si="311"/>
        <v/>
      </c>
      <c r="X133" s="174"/>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KC133" s="151"/>
    </row>
    <row r="134" spans="1:289" s="5" customFormat="1" hidden="1" x14ac:dyDescent="0.2">
      <c r="A134"/>
      <c r="I134" s="84" t="str">
        <f t="shared" si="311"/>
        <v/>
      </c>
      <c r="X134" s="174"/>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KC134" s="151"/>
    </row>
    <row r="135" spans="1:289" s="5" customFormat="1" hidden="1" x14ac:dyDescent="0.2">
      <c r="A135"/>
      <c r="I135" s="84" t="str">
        <f t="shared" si="311"/>
        <v/>
      </c>
      <c r="X135" s="174"/>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KC135" s="151"/>
    </row>
    <row r="136" spans="1:289" s="5" customFormat="1" hidden="1" x14ac:dyDescent="0.2">
      <c r="A136"/>
      <c r="I136" s="84" t="str">
        <f t="shared" si="311"/>
        <v/>
      </c>
      <c r="X136" s="174"/>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KC136" s="151"/>
    </row>
    <row r="137" spans="1:289" s="5" customFormat="1" hidden="1" x14ac:dyDescent="0.2">
      <c r="A137"/>
      <c r="I137" s="84" t="str">
        <f t="shared" si="311"/>
        <v/>
      </c>
      <c r="X137" s="174"/>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KC137" s="151"/>
    </row>
    <row r="138" spans="1:289" s="5" customFormat="1" hidden="1" x14ac:dyDescent="0.2">
      <c r="A138"/>
      <c r="I138" s="84" t="str">
        <f t="shared" si="311"/>
        <v/>
      </c>
      <c r="X138" s="174"/>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KC138" s="151"/>
    </row>
    <row r="139" spans="1:289" s="5" customFormat="1" hidden="1" x14ac:dyDescent="0.2">
      <c r="A139"/>
      <c r="I139" s="84" t="str">
        <f t="shared" si="311"/>
        <v/>
      </c>
      <c r="X139" s="174"/>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KC139" s="151"/>
    </row>
    <row r="140" spans="1:289" s="5" customFormat="1" hidden="1" x14ac:dyDescent="0.2">
      <c r="A140"/>
      <c r="I140" s="84" t="str">
        <f t="shared" si="311"/>
        <v/>
      </c>
      <c r="X140" s="174"/>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KC140" s="151"/>
    </row>
    <row r="141" spans="1:289" s="5" customFormat="1" hidden="1" x14ac:dyDescent="0.2">
      <c r="A141"/>
      <c r="I141" s="84" t="str">
        <f t="shared" si="311"/>
        <v/>
      </c>
      <c r="X141" s="174"/>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KC141" s="151"/>
    </row>
    <row r="142" spans="1:289" s="5" customFormat="1" hidden="1" x14ac:dyDescent="0.2">
      <c r="A142"/>
      <c r="I142" s="84" t="str">
        <f t="shared" si="311"/>
        <v/>
      </c>
      <c r="X142" s="174"/>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KC142" s="151"/>
    </row>
    <row r="143" spans="1:289" s="5" customFormat="1" hidden="1" x14ac:dyDescent="0.2">
      <c r="A143"/>
      <c r="I143" s="84" t="str">
        <f t="shared" si="311"/>
        <v/>
      </c>
      <c r="X143" s="174"/>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KC143" s="151"/>
    </row>
    <row r="144" spans="1:289" s="5" customFormat="1" hidden="1" x14ac:dyDescent="0.2">
      <c r="A144"/>
      <c r="I144" s="84" t="str">
        <f t="shared" si="311"/>
        <v/>
      </c>
      <c r="X144" s="174"/>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KC144" s="151"/>
    </row>
    <row r="145" spans="1:289" s="5" customFormat="1" hidden="1" x14ac:dyDescent="0.2">
      <c r="A145"/>
      <c r="I145" s="84" t="str">
        <f t="shared" si="311"/>
        <v/>
      </c>
      <c r="X145" s="174"/>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KC145" s="151"/>
    </row>
    <row r="146" spans="1:289" s="5" customFormat="1" hidden="1" x14ac:dyDescent="0.2">
      <c r="A146"/>
      <c r="I146" s="84" t="str">
        <f t="shared" si="311"/>
        <v/>
      </c>
      <c r="X146" s="174"/>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GK146" s="10"/>
      <c r="GL146" s="10"/>
      <c r="GM146" s="10"/>
      <c r="GN146" s="10"/>
      <c r="GO146" s="10"/>
      <c r="GP146" s="10"/>
      <c r="GQ146" s="10"/>
      <c r="GR146" s="10"/>
      <c r="GS146" s="10"/>
      <c r="GT146" s="10"/>
      <c r="GU146" s="10"/>
      <c r="GV146" s="10"/>
      <c r="GW146" s="10"/>
      <c r="GX146" s="10"/>
      <c r="GY146" s="10"/>
      <c r="GZ146" s="10"/>
      <c r="HA146" s="10"/>
      <c r="HB146" s="10"/>
      <c r="HC146" s="10"/>
      <c r="HD146" s="10"/>
      <c r="HE146" s="10"/>
      <c r="HF146" s="10"/>
      <c r="HG146" s="10"/>
      <c r="HH146" s="10"/>
      <c r="HI146" s="10"/>
      <c r="HJ146" s="10"/>
      <c r="HK146" s="10"/>
      <c r="HL146" s="10"/>
      <c r="HM146" s="10"/>
      <c r="KC146" s="151"/>
    </row>
    <row r="147" spans="1:289" s="5" customFormat="1" hidden="1" x14ac:dyDescent="0.2">
      <c r="A147"/>
      <c r="I147" s="84" t="str">
        <f t="shared" si="311"/>
        <v/>
      </c>
      <c r="X147" s="174"/>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GK147" s="10"/>
      <c r="GL147" s="10"/>
      <c r="GM147" s="10"/>
      <c r="GN147" s="10"/>
      <c r="GO147" s="10"/>
      <c r="GP147" s="10"/>
      <c r="GQ147" s="10"/>
      <c r="GR147" s="10"/>
      <c r="GS147" s="10"/>
      <c r="GT147" s="10"/>
      <c r="GU147" s="10"/>
      <c r="GV147" s="10"/>
      <c r="GW147" s="10"/>
      <c r="GX147" s="10"/>
      <c r="GY147" s="10"/>
      <c r="GZ147" s="10"/>
      <c r="HA147" s="10"/>
      <c r="HB147" s="10"/>
      <c r="HC147" s="10"/>
      <c r="HD147" s="10"/>
      <c r="HE147" s="10"/>
      <c r="HF147" s="10"/>
      <c r="HG147" s="10"/>
      <c r="HH147" s="10"/>
      <c r="HI147" s="10"/>
      <c r="HJ147" s="10"/>
      <c r="HK147" s="10"/>
      <c r="HL147" s="10"/>
      <c r="HM147" s="10"/>
      <c r="KC147" s="151"/>
    </row>
    <row r="148" spans="1:289" s="5" customFormat="1" hidden="1" x14ac:dyDescent="0.2">
      <c r="A148"/>
      <c r="I148" s="84" t="str">
        <f t="shared" si="311"/>
        <v/>
      </c>
      <c r="X148" s="174"/>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GK148" s="10"/>
      <c r="GL148" s="10"/>
      <c r="GM148" s="10"/>
      <c r="GN148" s="10"/>
      <c r="GO148" s="10"/>
      <c r="GP148" s="10"/>
      <c r="GQ148" s="10"/>
      <c r="GR148" s="10"/>
      <c r="GS148" s="10"/>
      <c r="GT148" s="10"/>
      <c r="GU148" s="10"/>
      <c r="GV148" s="10"/>
      <c r="GW148" s="10"/>
      <c r="GX148" s="10"/>
      <c r="GY148" s="10"/>
      <c r="GZ148" s="10"/>
      <c r="HA148" s="10"/>
      <c r="HB148" s="10"/>
      <c r="HC148" s="10"/>
      <c r="HD148" s="10"/>
      <c r="HE148" s="10"/>
      <c r="HF148" s="10"/>
      <c r="HG148" s="10"/>
      <c r="HH148" s="10"/>
      <c r="HI148" s="10"/>
      <c r="HJ148" s="10"/>
      <c r="HK148" s="10"/>
      <c r="HL148" s="10"/>
      <c r="HM148" s="10"/>
      <c r="KC148" s="151"/>
    </row>
    <row r="149" spans="1:289" s="5" customFormat="1" hidden="1" x14ac:dyDescent="0.2">
      <c r="A149"/>
      <c r="I149" s="84" t="str">
        <f t="shared" si="311"/>
        <v/>
      </c>
      <c r="X149" s="174"/>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GK149" s="10"/>
      <c r="GL149" s="10"/>
      <c r="GM149" s="10"/>
      <c r="GN149" s="10"/>
      <c r="GO149" s="10"/>
      <c r="GP149" s="10"/>
      <c r="GQ149" s="10"/>
      <c r="GR149" s="10"/>
      <c r="GS149" s="10"/>
      <c r="GT149" s="10"/>
      <c r="GU149" s="10"/>
      <c r="GV149" s="10"/>
      <c r="GW149" s="10"/>
      <c r="GX149" s="10"/>
      <c r="GY149" s="10"/>
      <c r="GZ149" s="10"/>
      <c r="HA149" s="10"/>
      <c r="HB149" s="10"/>
      <c r="HC149" s="10"/>
      <c r="HD149" s="10"/>
      <c r="HE149" s="10"/>
      <c r="HF149" s="10"/>
      <c r="HG149" s="10"/>
      <c r="HH149" s="10"/>
      <c r="HI149" s="10"/>
      <c r="HJ149" s="10"/>
      <c r="HK149" s="10"/>
      <c r="HL149" s="10"/>
      <c r="HM149" s="10"/>
      <c r="KC149" s="151"/>
    </row>
    <row r="150" spans="1:289" s="5" customFormat="1" hidden="1" x14ac:dyDescent="0.2">
      <c r="A150"/>
      <c r="I150" s="84" t="str">
        <f t="shared" si="311"/>
        <v/>
      </c>
      <c r="X150" s="174"/>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GK150" s="10"/>
      <c r="GL150" s="10"/>
      <c r="GM150" s="10"/>
      <c r="GN150" s="10"/>
      <c r="GO150" s="10"/>
      <c r="GP150" s="10"/>
      <c r="GQ150" s="10"/>
      <c r="GR150" s="10"/>
      <c r="GS150" s="10"/>
      <c r="GT150" s="10"/>
      <c r="GU150" s="10"/>
      <c r="GV150" s="10"/>
      <c r="GW150" s="10"/>
      <c r="GX150" s="10"/>
      <c r="GY150" s="10"/>
      <c r="GZ150" s="10"/>
      <c r="HA150" s="10"/>
      <c r="HB150" s="10"/>
      <c r="HC150" s="10"/>
      <c r="HD150" s="10"/>
      <c r="HE150" s="10"/>
      <c r="HF150" s="10"/>
      <c r="HG150" s="10"/>
      <c r="HH150" s="10"/>
      <c r="HI150" s="10"/>
      <c r="HJ150" s="10"/>
      <c r="HK150" s="10"/>
      <c r="HL150" s="10"/>
      <c r="HM150" s="10"/>
      <c r="KC150" s="151"/>
    </row>
    <row r="151" spans="1:289" s="5" customFormat="1" hidden="1" x14ac:dyDescent="0.2">
      <c r="A151"/>
      <c r="I151" s="84" t="str">
        <f t="shared" si="311"/>
        <v/>
      </c>
      <c r="X151" s="174"/>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GK151" s="10"/>
      <c r="GL151" s="10"/>
      <c r="GM151" s="10"/>
      <c r="GN151" s="10"/>
      <c r="GO151" s="10"/>
      <c r="GP151" s="10"/>
      <c r="GQ151" s="10"/>
      <c r="GR151" s="10"/>
      <c r="GS151" s="10"/>
      <c r="GT151" s="10"/>
      <c r="GU151" s="10"/>
      <c r="GV151" s="10"/>
      <c r="GW151" s="10"/>
      <c r="GX151" s="10"/>
      <c r="GY151" s="10"/>
      <c r="GZ151" s="10"/>
      <c r="HA151" s="10"/>
      <c r="HB151" s="10"/>
      <c r="HC151" s="10"/>
      <c r="HD151" s="10"/>
      <c r="HE151" s="10"/>
      <c r="HF151" s="10"/>
      <c r="HG151" s="10"/>
      <c r="HH151" s="10"/>
      <c r="HI151" s="10"/>
      <c r="HJ151" s="10"/>
      <c r="HK151" s="10"/>
      <c r="HL151" s="10"/>
      <c r="HM151" s="10"/>
      <c r="KC151" s="151"/>
    </row>
    <row r="152" spans="1:289" s="5" customFormat="1" ht="11.25" hidden="1" customHeight="1" x14ac:dyDescent="0.2">
      <c r="A152"/>
      <c r="I152" s="84" t="str">
        <f t="shared" si="311"/>
        <v/>
      </c>
      <c r="X152" s="174"/>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GK152" s="10"/>
      <c r="GL152" s="10"/>
      <c r="GM152" s="10"/>
      <c r="GN152" s="10"/>
      <c r="GO152" s="10"/>
      <c r="GP152" s="10"/>
      <c r="GQ152" s="10"/>
      <c r="GR152" s="10"/>
      <c r="GS152" s="10"/>
      <c r="GT152" s="10"/>
      <c r="GU152" s="10"/>
      <c r="GV152" s="10"/>
      <c r="GW152" s="10"/>
      <c r="GX152" s="10"/>
      <c r="GY152" s="10"/>
      <c r="GZ152" s="10"/>
      <c r="HA152" s="10"/>
      <c r="HB152" s="10"/>
      <c r="HC152" s="10"/>
      <c r="HD152" s="10"/>
      <c r="HE152" s="10"/>
      <c r="HF152" s="10"/>
      <c r="HG152" s="10"/>
      <c r="HH152" s="10"/>
      <c r="HI152" s="10"/>
      <c r="HJ152" s="10"/>
      <c r="HK152" s="10"/>
      <c r="HL152" s="10"/>
      <c r="HM152" s="10"/>
      <c r="KC152" s="151"/>
    </row>
    <row r="153" spans="1:289" s="5" customFormat="1" hidden="1" x14ac:dyDescent="0.2">
      <c r="A153"/>
      <c r="I153" s="84" t="str">
        <f t="shared" si="311"/>
        <v/>
      </c>
      <c r="X153" s="174"/>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GK153" s="10"/>
      <c r="GL153" s="10"/>
      <c r="GM153" s="10"/>
      <c r="GN153" s="10"/>
      <c r="GO153" s="10"/>
      <c r="GP153" s="10"/>
      <c r="GQ153" s="10"/>
      <c r="GR153" s="10"/>
      <c r="GS153" s="10"/>
      <c r="GT153" s="10"/>
      <c r="GU153" s="10"/>
      <c r="GV153" s="10"/>
      <c r="GW153" s="10"/>
      <c r="GX153" s="10"/>
      <c r="GY153" s="10"/>
      <c r="GZ153" s="10"/>
      <c r="HA153" s="10"/>
      <c r="HB153" s="10"/>
      <c r="HC153" s="10"/>
      <c r="HD153" s="10"/>
      <c r="HE153" s="10"/>
      <c r="HF153" s="10"/>
      <c r="HG153" s="10"/>
      <c r="HH153" s="10"/>
      <c r="HI153" s="10"/>
      <c r="HJ153" s="10"/>
      <c r="HK153" s="10"/>
      <c r="HL153" s="10"/>
      <c r="HM153" s="10"/>
      <c r="KC153" s="151"/>
    </row>
    <row r="154" spans="1:289" s="5" customFormat="1" hidden="1" x14ac:dyDescent="0.2">
      <c r="A154"/>
      <c r="I154" s="84" t="str">
        <f t="shared" si="311"/>
        <v/>
      </c>
      <c r="X154" s="174"/>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GK154" s="10"/>
      <c r="GL154" s="10"/>
      <c r="GM154" s="10"/>
      <c r="GN154" s="10"/>
      <c r="GO154" s="10"/>
      <c r="GP154" s="10"/>
      <c r="GQ154" s="10"/>
      <c r="GR154" s="10"/>
      <c r="GS154" s="10"/>
      <c r="GT154" s="10"/>
      <c r="GU154" s="10"/>
      <c r="GV154" s="10"/>
      <c r="GW154" s="10"/>
      <c r="GX154" s="10"/>
      <c r="GY154" s="10"/>
      <c r="GZ154" s="10"/>
      <c r="HA154" s="10"/>
      <c r="HB154" s="10"/>
      <c r="HC154" s="10"/>
      <c r="HD154" s="10"/>
      <c r="HE154" s="10"/>
      <c r="HF154" s="10"/>
      <c r="HG154" s="10"/>
      <c r="HH154" s="10"/>
      <c r="HI154" s="10"/>
      <c r="HJ154" s="10"/>
      <c r="HK154" s="10"/>
      <c r="HL154" s="10"/>
      <c r="HM154" s="10"/>
      <c r="KC154" s="151"/>
    </row>
    <row r="155" spans="1:289" s="5" customFormat="1" hidden="1" x14ac:dyDescent="0.2">
      <c r="A155"/>
      <c r="I155" s="84" t="str">
        <f t="shared" si="311"/>
        <v/>
      </c>
      <c r="X155" s="174"/>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GK155" s="10"/>
      <c r="GL155" s="10"/>
      <c r="GM155" s="10"/>
      <c r="GN155" s="10"/>
      <c r="GO155" s="10"/>
      <c r="GP155" s="10"/>
      <c r="GQ155" s="10"/>
      <c r="GR155" s="10"/>
      <c r="GS155" s="10"/>
      <c r="GT155" s="10"/>
      <c r="GU155" s="10"/>
      <c r="GV155" s="10"/>
      <c r="GW155" s="10"/>
      <c r="GX155" s="10"/>
      <c r="GY155" s="10"/>
      <c r="GZ155" s="10"/>
      <c r="HA155" s="10"/>
      <c r="HB155" s="10"/>
      <c r="HC155" s="10"/>
      <c r="HD155" s="10"/>
      <c r="HE155" s="10"/>
      <c r="HF155" s="10"/>
      <c r="HG155" s="10"/>
      <c r="HH155" s="10"/>
      <c r="HI155" s="10"/>
      <c r="HJ155" s="10"/>
      <c r="HK155" s="10"/>
      <c r="HL155" s="10"/>
      <c r="HM155" s="10"/>
      <c r="KC155" s="151"/>
    </row>
    <row r="156" spans="1:289" s="5" customFormat="1" ht="12.75" hidden="1" customHeight="1" x14ac:dyDescent="0.2">
      <c r="A156"/>
      <c r="I156" s="84" t="str">
        <f t="shared" si="311"/>
        <v/>
      </c>
      <c r="X156" s="174"/>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GK156" s="10"/>
      <c r="GL156" s="10"/>
      <c r="GM156" s="10"/>
      <c r="GN156" s="10"/>
      <c r="GO156" s="10"/>
      <c r="GP156" s="10"/>
      <c r="GQ156" s="10"/>
      <c r="GR156" s="10"/>
      <c r="GS156" s="10"/>
      <c r="GT156" s="10"/>
      <c r="GU156" s="10"/>
      <c r="GV156" s="10"/>
      <c r="GW156" s="10"/>
      <c r="GX156" s="10"/>
      <c r="GY156" s="10"/>
      <c r="GZ156" s="10"/>
      <c r="HA156" s="10"/>
      <c r="HB156" s="10"/>
      <c r="HC156" s="10"/>
      <c r="HD156" s="10"/>
      <c r="HE156" s="10"/>
      <c r="HF156" s="10"/>
      <c r="HG156" s="10"/>
      <c r="HH156" s="10"/>
      <c r="HI156" s="10"/>
      <c r="HJ156" s="10"/>
      <c r="HK156" s="10"/>
      <c r="HL156" s="10"/>
      <c r="HM156" s="10"/>
      <c r="KC156" s="151"/>
    </row>
    <row r="157" spans="1:289" s="5" customFormat="1" ht="11.25" hidden="1" customHeight="1" x14ac:dyDescent="0.2">
      <c r="A157"/>
      <c r="I157" s="84" t="str">
        <f t="shared" si="311"/>
        <v/>
      </c>
      <c r="X157" s="174"/>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GK157" s="10"/>
      <c r="GL157" s="10"/>
      <c r="GM157" s="10"/>
      <c r="GN157" s="10"/>
      <c r="GO157" s="10"/>
      <c r="GP157" s="10"/>
      <c r="GQ157" s="10"/>
      <c r="GR157" s="10"/>
      <c r="GS157" s="10"/>
      <c r="GT157" s="10"/>
      <c r="GU157" s="10"/>
      <c r="GV157" s="10"/>
      <c r="GW157" s="10"/>
      <c r="GX157" s="10"/>
      <c r="GY157" s="10"/>
      <c r="GZ157" s="10"/>
      <c r="HA157" s="10"/>
      <c r="HB157" s="10"/>
      <c r="HC157" s="10"/>
      <c r="HD157" s="10"/>
      <c r="HE157" s="10"/>
      <c r="HF157" s="10"/>
      <c r="HG157" s="10"/>
      <c r="HH157" s="10"/>
      <c r="HI157" s="10"/>
      <c r="HJ157" s="10"/>
      <c r="HK157" s="10"/>
      <c r="HL157" s="10"/>
      <c r="HM157" s="10"/>
      <c r="KC157" s="151"/>
    </row>
    <row r="158" spans="1:289" s="5" customFormat="1" ht="12" hidden="1" customHeight="1" x14ac:dyDescent="0.2">
      <c r="A158"/>
      <c r="I158" s="84" t="str">
        <f t="shared" si="311"/>
        <v/>
      </c>
      <c r="X158" s="174"/>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GK158" s="10"/>
      <c r="GL158" s="10"/>
      <c r="GM158" s="10"/>
      <c r="GN158" s="10"/>
      <c r="GO158" s="10"/>
      <c r="GP158" s="10"/>
      <c r="GQ158" s="10"/>
      <c r="GR158" s="10"/>
      <c r="GS158" s="10"/>
      <c r="GT158" s="10"/>
      <c r="GU158" s="10"/>
      <c r="GV158" s="10"/>
      <c r="GW158" s="10"/>
      <c r="GX158" s="10"/>
      <c r="GY158" s="10"/>
      <c r="GZ158" s="10"/>
      <c r="HA158" s="10"/>
      <c r="HB158" s="10"/>
      <c r="HC158" s="10"/>
      <c r="HD158" s="10"/>
      <c r="HE158" s="10"/>
      <c r="HF158" s="10"/>
      <c r="HG158" s="10"/>
      <c r="HH158" s="10"/>
      <c r="HI158" s="10"/>
      <c r="HJ158" s="10"/>
      <c r="HK158" s="10"/>
      <c r="HL158" s="10"/>
      <c r="HM158" s="10"/>
      <c r="KC158" s="151"/>
    </row>
    <row r="159" spans="1:289" s="5" customFormat="1" ht="12.75" hidden="1" customHeight="1" x14ac:dyDescent="0.2">
      <c r="A159"/>
      <c r="B159"/>
      <c r="C159" s="12"/>
      <c r="I159" s="84" t="str">
        <f t="shared" si="311"/>
        <v/>
      </c>
      <c r="X159" s="174"/>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GK159" s="10"/>
      <c r="GL159" s="10"/>
      <c r="GM159" s="10"/>
      <c r="GN159" s="10"/>
      <c r="GO159" s="10"/>
      <c r="GP159" s="10"/>
      <c r="GQ159" s="10"/>
      <c r="GR159" s="10"/>
      <c r="GS159" s="10"/>
      <c r="GT159" s="10"/>
      <c r="GU159" s="10"/>
      <c r="GV159" s="10"/>
      <c r="GW159" s="10"/>
      <c r="GX159" s="10"/>
      <c r="GY159" s="10"/>
      <c r="GZ159" s="10"/>
      <c r="HA159" s="10"/>
      <c r="HB159" s="10"/>
      <c r="HC159" s="10"/>
      <c r="HD159" s="10"/>
      <c r="HE159" s="10"/>
      <c r="HF159" s="10"/>
      <c r="HG159" s="10"/>
      <c r="HH159" s="10"/>
      <c r="HI159" s="10"/>
      <c r="HJ159" s="10"/>
      <c r="HK159" s="10"/>
      <c r="HL159" s="10"/>
      <c r="HM159" s="10"/>
      <c r="KC159" s="151"/>
    </row>
    <row r="160" spans="1:289" s="5" customFormat="1" ht="12" hidden="1" customHeight="1" x14ac:dyDescent="0.2">
      <c r="A160"/>
      <c r="B160"/>
      <c r="C160" s="12"/>
      <c r="I160" s="84" t="str">
        <f t="shared" si="311"/>
        <v/>
      </c>
      <c r="X160" s="174"/>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GK160" s="10"/>
      <c r="GL160" s="10"/>
      <c r="GM160" s="10"/>
      <c r="GN160" s="10"/>
      <c r="GO160" s="10"/>
      <c r="GP160" s="10"/>
      <c r="GQ160" s="10"/>
      <c r="GR160" s="10"/>
      <c r="GS160" s="10"/>
      <c r="GT160" s="10"/>
      <c r="GU160" s="10"/>
      <c r="GV160" s="10"/>
      <c r="GW160" s="10"/>
      <c r="GX160" s="10"/>
      <c r="GY160" s="10"/>
      <c r="GZ160" s="10"/>
      <c r="HA160" s="10"/>
      <c r="HB160" s="10"/>
      <c r="HC160" s="10"/>
      <c r="HD160" s="10"/>
      <c r="HE160" s="10"/>
      <c r="HF160" s="10"/>
      <c r="HG160" s="10"/>
      <c r="HH160" s="10"/>
      <c r="HI160" s="10"/>
      <c r="HJ160" s="10"/>
      <c r="HK160" s="10"/>
      <c r="HL160" s="10"/>
      <c r="HM160" s="10"/>
      <c r="KC160" s="151"/>
    </row>
    <row r="161" spans="1:289" s="5" customFormat="1" ht="11.25" hidden="1" customHeight="1" x14ac:dyDescent="0.2">
      <c r="A161"/>
      <c r="B161"/>
      <c r="C161" s="12"/>
      <c r="I161" s="84" t="str">
        <f t="shared" si="311"/>
        <v/>
      </c>
      <c r="X161" s="174"/>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GK161" s="10"/>
      <c r="GL161" s="10"/>
      <c r="GM161" s="10"/>
      <c r="GN161" s="10"/>
      <c r="GO161" s="10"/>
      <c r="GP161" s="10"/>
      <c r="GQ161" s="10"/>
      <c r="GR161" s="10"/>
      <c r="GS161" s="10"/>
      <c r="GT161" s="10"/>
      <c r="GU161" s="10"/>
      <c r="GV161" s="10"/>
      <c r="GW161" s="10"/>
      <c r="GX161" s="10"/>
      <c r="GY161" s="10"/>
      <c r="GZ161" s="10"/>
      <c r="HA161" s="10"/>
      <c r="HB161" s="10"/>
      <c r="HC161" s="10"/>
      <c r="HD161" s="10"/>
      <c r="HE161" s="10"/>
      <c r="HF161" s="10"/>
      <c r="HG161" s="10"/>
      <c r="HH161" s="10"/>
      <c r="HI161" s="10"/>
      <c r="HJ161" s="10"/>
      <c r="HK161" s="10"/>
      <c r="HL161" s="10"/>
      <c r="HM161" s="10"/>
      <c r="KC161" s="151"/>
    </row>
    <row r="162" spans="1:289" s="5" customFormat="1" ht="11.25" hidden="1" customHeight="1" x14ac:dyDescent="0.2">
      <c r="A162"/>
      <c r="B162"/>
      <c r="C162" s="12"/>
      <c r="I162" s="84" t="str">
        <f t="shared" si="311"/>
        <v/>
      </c>
      <c r="X162" s="174"/>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GK162" s="10"/>
      <c r="GL162" s="10"/>
      <c r="GM162" s="10"/>
      <c r="GN162" s="10"/>
      <c r="GO162" s="10"/>
      <c r="GP162" s="10"/>
      <c r="GQ162" s="10"/>
      <c r="GR162" s="10"/>
      <c r="GS162" s="10"/>
      <c r="GT162" s="10"/>
      <c r="GU162" s="10"/>
      <c r="GV162" s="10"/>
      <c r="GW162" s="10"/>
      <c r="GX162" s="10"/>
      <c r="GY162" s="10"/>
      <c r="GZ162" s="10"/>
      <c r="HA162" s="10"/>
      <c r="HB162" s="10"/>
      <c r="HC162" s="10"/>
      <c r="HD162" s="10"/>
      <c r="HE162" s="10"/>
      <c r="HF162" s="10"/>
      <c r="HG162" s="10"/>
      <c r="HH162" s="10"/>
      <c r="HI162" s="10"/>
      <c r="HJ162" s="10"/>
      <c r="HK162" s="10"/>
      <c r="HL162" s="10"/>
      <c r="HM162" s="10"/>
      <c r="KC162" s="151"/>
    </row>
    <row r="163" spans="1:289" s="5" customFormat="1" ht="12.75" hidden="1" customHeight="1" x14ac:dyDescent="0.2">
      <c r="A163"/>
      <c r="B163"/>
      <c r="C163" s="12"/>
      <c r="I163" s="84" t="str">
        <f t="shared" si="311"/>
        <v/>
      </c>
      <c r="X163" s="174"/>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KC163" s="151"/>
    </row>
    <row r="164" spans="1:289" s="5" customFormat="1" ht="12.75" hidden="1" customHeight="1" x14ac:dyDescent="0.2">
      <c r="A164"/>
      <c r="B164"/>
      <c r="C164" s="12"/>
      <c r="I164" s="84" t="str">
        <f t="shared" si="311"/>
        <v/>
      </c>
      <c r="X164" s="174"/>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KC164" s="151"/>
    </row>
    <row r="165" spans="1:289" s="5" customFormat="1" ht="12.75" hidden="1" customHeight="1" x14ac:dyDescent="0.2">
      <c r="A165"/>
      <c r="B165"/>
      <c r="C165" s="12"/>
      <c r="I165" s="84" t="str">
        <f t="shared" si="311"/>
        <v/>
      </c>
      <c r="X165" s="174"/>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GK165" s="10"/>
      <c r="GL165" s="10"/>
      <c r="GM165" s="10"/>
      <c r="GN165" s="10"/>
      <c r="GO165" s="10"/>
      <c r="GP165" s="10"/>
      <c r="GQ165" s="10"/>
      <c r="GR165" s="10"/>
      <c r="GS165" s="10"/>
      <c r="GT165" s="10"/>
      <c r="GU165" s="10"/>
      <c r="GV165" s="10"/>
      <c r="GW165" s="10"/>
      <c r="GX165" s="10"/>
      <c r="GY165" s="10"/>
      <c r="GZ165" s="10"/>
      <c r="HA165" s="10"/>
      <c r="HB165" s="10"/>
      <c r="HC165" s="10"/>
      <c r="HD165" s="10"/>
      <c r="HE165" s="10"/>
      <c r="HF165" s="10"/>
      <c r="HG165" s="10"/>
      <c r="HH165" s="10"/>
      <c r="HI165" s="10"/>
      <c r="HJ165" s="10"/>
      <c r="HK165" s="10"/>
      <c r="HL165" s="10"/>
      <c r="HM165" s="10"/>
      <c r="KC165" s="151"/>
    </row>
    <row r="166" spans="1:289" s="5" customFormat="1" ht="12.75" hidden="1" customHeight="1" x14ac:dyDescent="0.2">
      <c r="A166"/>
      <c r="B166"/>
      <c r="C166" s="12"/>
      <c r="I166" s="84" t="str">
        <f t="shared" si="311"/>
        <v/>
      </c>
      <c r="X166" s="174"/>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GK166" s="10"/>
      <c r="GL166" s="10"/>
      <c r="GM166" s="10"/>
      <c r="GN166" s="10"/>
      <c r="GO166" s="10"/>
      <c r="GP166" s="10"/>
      <c r="GQ166" s="10"/>
      <c r="GR166" s="10"/>
      <c r="GS166" s="10"/>
      <c r="GT166" s="10"/>
      <c r="GU166" s="10"/>
      <c r="GV166" s="10"/>
      <c r="GW166" s="10"/>
      <c r="GX166" s="10"/>
      <c r="GY166" s="10"/>
      <c r="GZ166" s="10"/>
      <c r="HA166" s="10"/>
      <c r="HB166" s="10"/>
      <c r="HC166" s="10"/>
      <c r="HD166" s="10"/>
      <c r="HE166" s="10"/>
      <c r="HF166" s="10"/>
      <c r="HG166" s="10"/>
      <c r="HH166" s="10"/>
      <c r="HI166" s="10"/>
      <c r="HJ166" s="10"/>
      <c r="HK166" s="10"/>
      <c r="HL166" s="10"/>
      <c r="HM166" s="10"/>
      <c r="KC166" s="151"/>
    </row>
    <row r="167" spans="1:289" s="5" customFormat="1" ht="12.75" hidden="1" customHeight="1" x14ac:dyDescent="0.2">
      <c r="A167"/>
      <c r="B167"/>
      <c r="C167" s="12"/>
      <c r="I167" s="84" t="str">
        <f t="shared" si="311"/>
        <v/>
      </c>
      <c r="X167" s="174"/>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GK167" s="10"/>
      <c r="GL167" s="10"/>
      <c r="GM167" s="10"/>
      <c r="GN167" s="10"/>
      <c r="GO167" s="10"/>
      <c r="GP167" s="10"/>
      <c r="GQ167" s="10"/>
      <c r="GR167" s="10"/>
      <c r="GS167" s="10"/>
      <c r="GT167" s="10"/>
      <c r="GU167" s="10"/>
      <c r="GV167" s="10"/>
      <c r="GW167" s="10"/>
      <c r="GX167" s="10"/>
      <c r="GY167" s="10"/>
      <c r="GZ167" s="10"/>
      <c r="HA167" s="10"/>
      <c r="HB167" s="10"/>
      <c r="HC167" s="10"/>
      <c r="HD167" s="10"/>
      <c r="HE167" s="10"/>
      <c r="HF167" s="10"/>
      <c r="HG167" s="10"/>
      <c r="HH167" s="10"/>
      <c r="HI167" s="10"/>
      <c r="HJ167" s="10"/>
      <c r="HK167" s="10"/>
      <c r="HL167" s="10"/>
      <c r="HM167" s="10"/>
      <c r="KC167" s="151"/>
    </row>
    <row r="168" spans="1:289" s="5" customFormat="1" ht="12.75" hidden="1" customHeight="1" x14ac:dyDescent="0.2">
      <c r="A168"/>
      <c r="B168"/>
      <c r="C168" s="12"/>
      <c r="G168" s="79" t="s">
        <v>839</v>
      </c>
      <c r="I168" s="84">
        <f>SUM(I130:I167)</f>
        <v>0</v>
      </c>
      <c r="X168" s="174"/>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GK168" s="10"/>
      <c r="GL168" s="10"/>
      <c r="GM168" s="10"/>
      <c r="GN168" s="10"/>
      <c r="GO168" s="10"/>
      <c r="GP168" s="10"/>
      <c r="GQ168" s="10"/>
      <c r="GR168" s="10"/>
      <c r="GS168" s="10"/>
      <c r="GT168" s="10"/>
      <c r="GU168" s="10"/>
      <c r="GV168" s="10"/>
      <c r="GW168" s="10"/>
      <c r="GX168" s="10"/>
      <c r="GY168" s="10"/>
      <c r="GZ168" s="10"/>
      <c r="HA168" s="10"/>
      <c r="HB168" s="10"/>
      <c r="HC168" s="10"/>
      <c r="HD168" s="10"/>
      <c r="HE168" s="10"/>
      <c r="HF168" s="10"/>
      <c r="HG168" s="10"/>
      <c r="HH168" s="10"/>
      <c r="HI168" s="10"/>
      <c r="HJ168" s="10"/>
      <c r="HK168" s="10"/>
      <c r="HL168" s="10"/>
      <c r="HM168" s="10"/>
      <c r="KC168" s="151"/>
    </row>
    <row r="169" spans="1:289" s="5" customFormat="1" ht="12.75" hidden="1" customHeight="1" thickBot="1" x14ac:dyDescent="0.25">
      <c r="A169"/>
      <c r="B169"/>
      <c r="C169" s="12"/>
      <c r="D169" s="87" t="s">
        <v>838</v>
      </c>
      <c r="I169" s="85" t="str">
        <f>IF(I168&gt;0,"Y","N")</f>
        <v>N</v>
      </c>
      <c r="X169" s="174"/>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GK169" s="10"/>
      <c r="GL169" s="10"/>
      <c r="GM169" s="10"/>
      <c r="GN169" s="10"/>
      <c r="GO169" s="10"/>
      <c r="GP169" s="10"/>
      <c r="GQ169" s="10"/>
      <c r="GR169" s="10"/>
      <c r="GS169" s="10"/>
      <c r="GT169" s="10"/>
      <c r="GU169" s="10"/>
      <c r="GV169" s="10"/>
      <c r="GW169" s="10"/>
      <c r="GX169" s="10"/>
      <c r="GY169" s="10"/>
      <c r="GZ169" s="10"/>
      <c r="HA169" s="10"/>
      <c r="HB169" s="10"/>
      <c r="HC169" s="10"/>
      <c r="HD169" s="10"/>
      <c r="HE169" s="10"/>
      <c r="HF169" s="10"/>
      <c r="HG169" s="10"/>
      <c r="HH169" s="10"/>
      <c r="HI169" s="10"/>
      <c r="HJ169" s="10"/>
      <c r="HK169" s="10"/>
      <c r="HL169" s="10"/>
      <c r="HM169" s="10"/>
      <c r="KC169" s="151"/>
    </row>
    <row r="170" spans="1:289" s="5" customFormat="1" ht="12.75" hidden="1" customHeight="1" thickTop="1" x14ac:dyDescent="0.2">
      <c r="A170"/>
      <c r="B170"/>
      <c r="C170" s="12"/>
      <c r="D170" s="12"/>
      <c r="E170"/>
      <c r="F170"/>
      <c r="G170"/>
      <c r="H170"/>
      <c r="I170"/>
      <c r="J170"/>
      <c r="K170"/>
      <c r="L170"/>
      <c r="M170"/>
      <c r="N170"/>
      <c r="O170"/>
      <c r="P170"/>
      <c r="Q170"/>
      <c r="R170"/>
      <c r="S170"/>
      <c r="T170"/>
      <c r="U170"/>
      <c r="V170"/>
      <c r="W170"/>
      <c r="X170" s="172"/>
      <c r="Y170" s="2"/>
      <c r="Z170" s="2"/>
      <c r="AA170" s="2"/>
      <c r="AB170" s="2"/>
      <c r="AC170" s="2"/>
      <c r="AD170" s="2"/>
      <c r="AE170" s="2"/>
      <c r="AF170" s="2"/>
      <c r="AG170" s="2"/>
      <c r="AH170"/>
      <c r="AI170"/>
      <c r="AJ170"/>
      <c r="AK170"/>
      <c r="AL170"/>
      <c r="AM170"/>
      <c r="AN170" s="15"/>
      <c r="AO17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KC170" s="151"/>
    </row>
    <row r="171" spans="1:289" s="5" customFormat="1" ht="11.25" hidden="1" customHeight="1" x14ac:dyDescent="0.2">
      <c r="A171"/>
      <c r="B171"/>
      <c r="C171" s="12"/>
      <c r="D171" s="12"/>
      <c r="E171"/>
      <c r="F171"/>
      <c r="G171"/>
      <c r="H171"/>
      <c r="I171"/>
      <c r="J171"/>
      <c r="K171"/>
      <c r="L171"/>
      <c r="M171"/>
      <c r="N171"/>
      <c r="O171"/>
      <c r="P171"/>
      <c r="Q171"/>
      <c r="R171"/>
      <c r="S171"/>
      <c r="T171"/>
      <c r="U171"/>
      <c r="V171"/>
      <c r="W171"/>
      <c r="X171" s="172"/>
      <c r="Y171" s="2"/>
      <c r="Z171" s="2"/>
      <c r="AA171" s="2"/>
      <c r="AB171" s="2"/>
      <c r="AC171" s="2"/>
      <c r="AD171" s="2"/>
      <c r="AE171" s="2"/>
      <c r="AF171" s="2"/>
      <c r="AG171" s="2"/>
      <c r="AH171"/>
      <c r="AI171"/>
      <c r="AJ171"/>
      <c r="AK171"/>
      <c r="AL171"/>
      <c r="AM171"/>
      <c r="AN171" s="15"/>
      <c r="AO171"/>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GK171" s="10"/>
      <c r="GL171" s="10"/>
      <c r="GM171" s="10"/>
      <c r="GN171" s="10"/>
      <c r="GO171" s="10"/>
      <c r="GP171" s="10"/>
      <c r="GQ171" s="10"/>
      <c r="GR171" s="10"/>
      <c r="GS171" s="10"/>
      <c r="GT171" s="10"/>
      <c r="GU171" s="10"/>
      <c r="GV171" s="10"/>
      <c r="GW171" s="10"/>
      <c r="GX171" s="10"/>
      <c r="GY171" s="10"/>
      <c r="GZ171" s="10"/>
      <c r="HA171" s="10"/>
      <c r="HB171" s="10"/>
      <c r="HC171" s="10"/>
      <c r="HD171" s="10"/>
      <c r="HE171" s="10"/>
      <c r="HF171" s="10"/>
      <c r="HG171" s="10"/>
      <c r="HH171" s="10"/>
      <c r="HI171" s="10"/>
      <c r="HJ171" s="10"/>
      <c r="HK171" s="10"/>
      <c r="HL171" s="10"/>
      <c r="HM171" s="10"/>
      <c r="KC171" s="151"/>
    </row>
    <row r="172" spans="1:289" s="5" customFormat="1" ht="11.25" hidden="1" customHeight="1" x14ac:dyDescent="0.2">
      <c r="A172"/>
      <c r="B172"/>
      <c r="C172" s="12"/>
      <c r="D172" s="12"/>
      <c r="E172"/>
      <c r="F172"/>
      <c r="G172"/>
      <c r="H172"/>
      <c r="I172"/>
      <c r="J172"/>
      <c r="K172"/>
      <c r="L172"/>
      <c r="M172"/>
      <c r="N172"/>
      <c r="O172"/>
      <c r="P172"/>
      <c r="Q172"/>
      <c r="R172"/>
      <c r="S172"/>
      <c r="T172"/>
      <c r="U172"/>
      <c r="V172"/>
      <c r="W172"/>
      <c r="X172" s="172"/>
      <c r="Y172" s="2"/>
      <c r="Z172" s="2"/>
      <c r="AA172" s="2"/>
      <c r="AB172" s="2"/>
      <c r="AC172" s="2"/>
      <c r="AD172" s="2"/>
      <c r="AE172" s="2"/>
      <c r="AF172" s="2"/>
      <c r="AG172" s="2"/>
      <c r="AH172"/>
      <c r="AI172"/>
      <c r="AJ172"/>
      <c r="AK172"/>
      <c r="AL172"/>
      <c r="AM172"/>
      <c r="AN172" s="15"/>
      <c r="AO172"/>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GK172" s="10"/>
      <c r="GL172" s="10"/>
      <c r="GM172" s="10"/>
      <c r="GN172" s="10"/>
      <c r="GO172" s="10"/>
      <c r="GP172" s="10"/>
      <c r="GQ172" s="10"/>
      <c r="GR172" s="10"/>
      <c r="GS172" s="10"/>
      <c r="GT172" s="10"/>
      <c r="GU172" s="10"/>
      <c r="GV172" s="10"/>
      <c r="GW172" s="10"/>
      <c r="GX172" s="10"/>
      <c r="GY172" s="10"/>
      <c r="GZ172" s="10"/>
      <c r="HA172" s="10"/>
      <c r="HB172" s="10"/>
      <c r="HC172" s="10"/>
      <c r="HD172" s="10"/>
      <c r="HE172" s="10"/>
      <c r="HF172" s="10"/>
      <c r="HG172" s="10"/>
      <c r="HH172" s="10"/>
      <c r="HI172" s="10"/>
      <c r="HJ172" s="10"/>
      <c r="HK172" s="10"/>
      <c r="HL172" s="10"/>
      <c r="HM172" s="10"/>
      <c r="KC172" s="151"/>
    </row>
    <row r="173" spans="1:289" s="5" customFormat="1" ht="11.25" hidden="1" customHeight="1" x14ac:dyDescent="0.2">
      <c r="A173"/>
      <c r="B173"/>
      <c r="C173" s="12"/>
      <c r="D173" s="12"/>
      <c r="E173"/>
      <c r="F173"/>
      <c r="G173"/>
      <c r="H173"/>
      <c r="I173"/>
      <c r="J173"/>
      <c r="K173"/>
      <c r="L173"/>
      <c r="M173"/>
      <c r="N173"/>
      <c r="O173"/>
      <c r="P173"/>
      <c r="Q173"/>
      <c r="R173"/>
      <c r="S173"/>
      <c r="T173"/>
      <c r="U173"/>
      <c r="V173"/>
      <c r="W173"/>
      <c r="X173" s="172"/>
      <c r="Y173" s="2"/>
      <c r="Z173" s="2"/>
      <c r="AA173" s="2"/>
      <c r="AB173" s="2"/>
      <c r="AC173" s="2"/>
      <c r="AD173" s="2"/>
      <c r="AE173" s="2"/>
      <c r="AF173" s="2"/>
      <c r="AG173" s="2"/>
      <c r="AH173"/>
      <c r="AI173"/>
      <c r="AJ173"/>
      <c r="AK173"/>
      <c r="AL173"/>
      <c r="AM173"/>
      <c r="AN173" s="15"/>
      <c r="AO173"/>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GK173" s="10"/>
      <c r="GL173" s="10"/>
      <c r="GM173" s="10"/>
      <c r="GN173" s="10"/>
      <c r="GO173" s="10"/>
      <c r="GP173" s="10"/>
      <c r="GQ173" s="10"/>
      <c r="GR173" s="10"/>
      <c r="GS173" s="10"/>
      <c r="GT173" s="10"/>
      <c r="GU173" s="10"/>
      <c r="GV173" s="10"/>
      <c r="GW173" s="10"/>
      <c r="GX173" s="10"/>
      <c r="GY173" s="10"/>
      <c r="GZ173" s="10"/>
      <c r="HA173" s="10"/>
      <c r="HB173" s="10"/>
      <c r="HC173" s="10"/>
      <c r="HD173" s="10"/>
      <c r="HE173" s="10"/>
      <c r="HF173" s="10"/>
      <c r="HG173" s="10"/>
      <c r="HH173" s="10"/>
      <c r="HI173" s="10"/>
      <c r="HJ173" s="10"/>
      <c r="HK173" s="10"/>
      <c r="HL173" s="10"/>
      <c r="HM173" s="10"/>
      <c r="KC173" s="151"/>
    </row>
    <row r="174" spans="1:289" s="5" customFormat="1" ht="11.25" hidden="1" customHeight="1" x14ac:dyDescent="0.2">
      <c r="A174"/>
      <c r="B174"/>
      <c r="C174" s="12"/>
      <c r="D174" s="12"/>
      <c r="E174"/>
      <c r="F174"/>
      <c r="G174"/>
      <c r="H174"/>
      <c r="I174"/>
      <c r="J174"/>
      <c r="K174"/>
      <c r="L174"/>
      <c r="M174"/>
      <c r="N174"/>
      <c r="O174"/>
      <c r="P174"/>
      <c r="Q174"/>
      <c r="R174"/>
      <c r="S174"/>
      <c r="T174"/>
      <c r="U174"/>
      <c r="V174"/>
      <c r="W174"/>
      <c r="X174" s="172"/>
      <c r="Y174" s="2"/>
      <c r="Z174" s="2"/>
      <c r="AA174" s="2"/>
      <c r="AB174" s="2"/>
      <c r="AC174" s="2"/>
      <c r="AD174" s="2"/>
      <c r="AE174" s="2"/>
      <c r="AF174" s="2"/>
      <c r="AG174" s="2"/>
      <c r="AH174"/>
      <c r="AI174"/>
      <c r="AJ174"/>
      <c r="AK174"/>
      <c r="AL174"/>
      <c r="AM174"/>
      <c r="AN174" s="15"/>
      <c r="AO174"/>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GK174" s="10"/>
      <c r="GL174" s="10"/>
      <c r="GM174" s="10"/>
      <c r="GN174" s="10"/>
      <c r="GO174" s="10"/>
      <c r="GP174" s="10"/>
      <c r="GQ174" s="10"/>
      <c r="GR174" s="10"/>
      <c r="GS174" s="10"/>
      <c r="GT174" s="10"/>
      <c r="GU174" s="10"/>
      <c r="GV174" s="10"/>
      <c r="GW174" s="10"/>
      <c r="GX174" s="10"/>
      <c r="GY174" s="10"/>
      <c r="GZ174" s="10"/>
      <c r="HA174" s="10"/>
      <c r="HB174" s="10"/>
      <c r="HC174" s="10"/>
      <c r="HD174" s="10"/>
      <c r="HE174" s="10"/>
      <c r="HF174" s="10"/>
      <c r="HG174" s="10"/>
      <c r="HH174" s="10"/>
      <c r="HI174" s="10"/>
      <c r="HJ174" s="10"/>
      <c r="HK174" s="10"/>
      <c r="HL174" s="10"/>
      <c r="HM174" s="10"/>
      <c r="KC174" s="151"/>
    </row>
    <row r="175" spans="1:289" s="5" customFormat="1" ht="11.25" hidden="1" customHeight="1" x14ac:dyDescent="0.2">
      <c r="A175"/>
      <c r="B175"/>
      <c r="C175" s="12"/>
      <c r="D175" s="12"/>
      <c r="E175"/>
      <c r="F175"/>
      <c r="G175"/>
      <c r="H175"/>
      <c r="I175"/>
      <c r="J175"/>
      <c r="K175"/>
      <c r="L175"/>
      <c r="M175"/>
      <c r="N175"/>
      <c r="O175"/>
      <c r="P175"/>
      <c r="Q175"/>
      <c r="R175"/>
      <c r="S175"/>
      <c r="T175"/>
      <c r="U175"/>
      <c r="V175"/>
      <c r="W175"/>
      <c r="X175" s="172"/>
      <c r="Y175" s="2"/>
      <c r="Z175" s="2"/>
      <c r="AA175" s="2"/>
      <c r="AB175" s="2"/>
      <c r="AC175" s="2"/>
      <c r="AD175" s="2"/>
      <c r="AE175" s="2"/>
      <c r="AF175" s="2"/>
      <c r="AG175" s="2"/>
      <c r="AH175"/>
      <c r="AI175"/>
      <c r="AJ175"/>
      <c r="AK175"/>
      <c r="AL175"/>
      <c r="AM175"/>
      <c r="AN175" s="15"/>
      <c r="AO175"/>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GK175" s="10"/>
      <c r="GL175" s="10"/>
      <c r="GM175" s="10"/>
      <c r="GN175" s="10"/>
      <c r="GO175" s="10"/>
      <c r="GP175" s="10"/>
      <c r="GQ175" s="10"/>
      <c r="GR175" s="10"/>
      <c r="GS175" s="10"/>
      <c r="GT175" s="10"/>
      <c r="GU175" s="10"/>
      <c r="GV175" s="10"/>
      <c r="GW175" s="10"/>
      <c r="GX175" s="10"/>
      <c r="GY175" s="10"/>
      <c r="GZ175" s="10"/>
      <c r="HA175" s="10"/>
      <c r="HB175" s="10"/>
      <c r="HC175" s="10"/>
      <c r="HD175" s="10"/>
      <c r="HE175" s="10"/>
      <c r="HF175" s="10"/>
      <c r="HG175" s="10"/>
      <c r="HH175" s="10"/>
      <c r="HI175" s="10"/>
      <c r="HJ175" s="10"/>
      <c r="HK175" s="10"/>
      <c r="HL175" s="10"/>
      <c r="HM175" s="10"/>
      <c r="KC175" s="151"/>
    </row>
    <row r="176" spans="1:289" s="5" customFormat="1" ht="11.25" hidden="1" customHeight="1" x14ac:dyDescent="0.2">
      <c r="A176"/>
      <c r="B176"/>
      <c r="C176" s="12"/>
      <c r="D176" s="12"/>
      <c r="E176"/>
      <c r="F176"/>
      <c r="G176"/>
      <c r="H176"/>
      <c r="I176"/>
      <c r="J176"/>
      <c r="K176"/>
      <c r="L176"/>
      <c r="M176"/>
      <c r="N176"/>
      <c r="O176"/>
      <c r="P176"/>
      <c r="Q176"/>
      <c r="R176"/>
      <c r="S176"/>
      <c r="T176"/>
      <c r="U176"/>
      <c r="V176"/>
      <c r="W176"/>
      <c r="X176" s="172"/>
      <c r="Y176" s="2"/>
      <c r="Z176" s="2"/>
      <c r="AA176" s="2"/>
      <c r="AB176" s="2"/>
      <c r="AC176" s="2"/>
      <c r="AD176" s="2"/>
      <c r="AE176" s="2"/>
      <c r="AF176" s="2"/>
      <c r="AG176" s="2"/>
      <c r="AH176"/>
      <c r="AI176"/>
      <c r="AJ176"/>
      <c r="AK176"/>
      <c r="AL176"/>
      <c r="AM176"/>
      <c r="AN176" s="15"/>
      <c r="AO176"/>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GK176" s="10"/>
      <c r="GL176" s="10"/>
      <c r="GM176" s="10"/>
      <c r="GN176" s="10"/>
      <c r="GO176" s="10"/>
      <c r="GP176" s="10"/>
      <c r="GQ176" s="10"/>
      <c r="GR176" s="10"/>
      <c r="GS176" s="10"/>
      <c r="GT176" s="10"/>
      <c r="GU176" s="10"/>
      <c r="GV176" s="10"/>
      <c r="GW176" s="10"/>
      <c r="GX176" s="10"/>
      <c r="GY176" s="10"/>
      <c r="GZ176" s="10"/>
      <c r="HA176" s="10"/>
      <c r="HB176" s="10"/>
      <c r="HC176" s="10"/>
      <c r="HD176" s="10"/>
      <c r="HE176" s="10"/>
      <c r="HF176" s="10"/>
      <c r="HG176" s="10"/>
      <c r="HH176" s="10"/>
      <c r="HI176" s="10"/>
      <c r="HJ176" s="10"/>
      <c r="HK176" s="10"/>
      <c r="HL176" s="10"/>
      <c r="HM176" s="10"/>
      <c r="KC176" s="151"/>
    </row>
    <row r="177" spans="1:290" s="5" customFormat="1" ht="11.25" hidden="1" customHeight="1" x14ac:dyDescent="0.2">
      <c r="A177"/>
      <c r="B177"/>
      <c r="C177" s="12"/>
      <c r="D177" s="12"/>
      <c r="E177"/>
      <c r="F177"/>
      <c r="G177"/>
      <c r="H177"/>
      <c r="I177"/>
      <c r="J177"/>
      <c r="K177"/>
      <c r="L177"/>
      <c r="M177"/>
      <c r="N177"/>
      <c r="O177"/>
      <c r="P177"/>
      <c r="Q177"/>
      <c r="R177"/>
      <c r="S177"/>
      <c r="T177"/>
      <c r="U177"/>
      <c r="V177"/>
      <c r="W177"/>
      <c r="X177" s="172"/>
      <c r="Y177" s="2"/>
      <c r="Z177" s="2"/>
      <c r="AA177" s="2"/>
      <c r="AB177" s="2"/>
      <c r="AC177" s="2"/>
      <c r="AD177" s="2"/>
      <c r="AE177" s="2"/>
      <c r="AF177" s="2"/>
      <c r="AG177" s="2"/>
      <c r="AH177"/>
      <c r="AI177"/>
      <c r="AJ177"/>
      <c r="AK177"/>
      <c r="AL177"/>
      <c r="AM177"/>
      <c r="AN177" s="15"/>
      <c r="AO177"/>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KC177" s="151"/>
    </row>
    <row r="178" spans="1:290" s="5" customFormat="1" ht="11.25" hidden="1" customHeight="1" x14ac:dyDescent="0.2">
      <c r="A178"/>
      <c r="B178"/>
      <c r="C178" s="12"/>
      <c r="D178" s="12"/>
      <c r="E178"/>
      <c r="F178"/>
      <c r="G178"/>
      <c r="H178"/>
      <c r="I178"/>
      <c r="J178"/>
      <c r="K178"/>
      <c r="L178"/>
      <c r="M178"/>
      <c r="N178"/>
      <c r="O178"/>
      <c r="P178"/>
      <c r="Q178"/>
      <c r="R178"/>
      <c r="S178"/>
      <c r="T178"/>
      <c r="U178"/>
      <c r="V178"/>
      <c r="W178"/>
      <c r="X178" s="172"/>
      <c r="Y178" s="2"/>
      <c r="Z178" s="2"/>
      <c r="AA178" s="2"/>
      <c r="AB178" s="2"/>
      <c r="AC178" s="2"/>
      <c r="AD178" s="2"/>
      <c r="AE178" s="2"/>
      <c r="AF178" s="2"/>
      <c r="AG178" s="2"/>
      <c r="AH178"/>
      <c r="AI178"/>
      <c r="AJ178"/>
      <c r="AK178"/>
      <c r="AL178"/>
      <c r="AM178"/>
      <c r="AN178" s="15"/>
      <c r="AO178"/>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KC178" s="151"/>
    </row>
    <row r="179" spans="1:290" s="5" customFormat="1" ht="11.25" hidden="1" customHeight="1" x14ac:dyDescent="0.2">
      <c r="A179"/>
      <c r="B179"/>
      <c r="C179" s="12"/>
      <c r="D179" s="12"/>
      <c r="E179"/>
      <c r="F179"/>
      <c r="G179"/>
      <c r="H179"/>
      <c r="I179"/>
      <c r="J179"/>
      <c r="K179"/>
      <c r="L179"/>
      <c r="M179"/>
      <c r="N179"/>
      <c r="O179"/>
      <c r="P179"/>
      <c r="Q179"/>
      <c r="R179"/>
      <c r="S179"/>
      <c r="T179"/>
      <c r="U179"/>
      <c r="V179"/>
      <c r="W179"/>
      <c r="X179" s="172"/>
      <c r="Y179" s="2"/>
      <c r="Z179" s="2"/>
      <c r="AA179" s="2"/>
      <c r="AB179" s="2"/>
      <c r="AC179" s="2"/>
      <c r="AD179" s="2"/>
      <c r="AE179" s="2"/>
      <c r="AF179" s="2"/>
      <c r="AG179" s="2"/>
      <c r="AH179"/>
      <c r="AI179"/>
      <c r="AJ179"/>
      <c r="AK179"/>
      <c r="AL179"/>
      <c r="AM179"/>
      <c r="AN179" s="15"/>
      <c r="AO179"/>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KC179" s="151"/>
    </row>
    <row r="180" spans="1:290" s="5" customFormat="1" ht="11.25" hidden="1" customHeight="1" x14ac:dyDescent="0.2">
      <c r="A180"/>
      <c r="B180"/>
      <c r="C180" s="12"/>
      <c r="D180" s="12"/>
      <c r="E180"/>
      <c r="F180"/>
      <c r="G180"/>
      <c r="H180"/>
      <c r="I180"/>
      <c r="J180"/>
      <c r="K180"/>
      <c r="L180"/>
      <c r="M180"/>
      <c r="N180"/>
      <c r="O180"/>
      <c r="P180"/>
      <c r="Q180"/>
      <c r="R180"/>
      <c r="S180"/>
      <c r="T180"/>
      <c r="U180"/>
      <c r="V180"/>
      <c r="W180"/>
      <c r="X180" s="172"/>
      <c r="Y180" s="2"/>
      <c r="Z180" s="2"/>
      <c r="AA180" s="2"/>
      <c r="AB180" s="2"/>
      <c r="AC180" s="2"/>
      <c r="AD180" s="2"/>
      <c r="AE180" s="2"/>
      <c r="AF180" s="2"/>
      <c r="AG180" s="2"/>
      <c r="AH180"/>
      <c r="AI180"/>
      <c r="AJ180"/>
      <c r="AK180"/>
      <c r="AL180"/>
      <c r="AM180"/>
      <c r="AN180" s="15"/>
      <c r="AO18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KC180" s="151"/>
    </row>
    <row r="181" spans="1:290" s="5" customFormat="1" ht="11.25" hidden="1" customHeight="1" x14ac:dyDescent="0.2">
      <c r="A181"/>
      <c r="B181"/>
      <c r="C181" s="12"/>
      <c r="D181" s="12"/>
      <c r="E181"/>
      <c r="F181"/>
      <c r="G181"/>
      <c r="H181"/>
      <c r="I181"/>
      <c r="J181"/>
      <c r="K181"/>
      <c r="L181"/>
      <c r="M181"/>
      <c r="N181"/>
      <c r="O181"/>
      <c r="P181"/>
      <c r="Q181"/>
      <c r="R181"/>
      <c r="S181"/>
      <c r="T181"/>
      <c r="U181"/>
      <c r="V181"/>
      <c r="W181"/>
      <c r="X181" s="172"/>
      <c r="Y181" s="2"/>
      <c r="Z181" s="2"/>
      <c r="AA181" s="2"/>
      <c r="AB181" s="2"/>
      <c r="AC181" s="2"/>
      <c r="AD181" s="2"/>
      <c r="AE181" s="2"/>
      <c r="AF181" s="2"/>
      <c r="AG181" s="2"/>
      <c r="AH181"/>
      <c r="AI181"/>
      <c r="AJ181"/>
      <c r="AK181"/>
      <c r="AL181"/>
      <c r="AM181"/>
      <c r="AN181" s="15"/>
      <c r="AO181"/>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GK181" s="10"/>
      <c r="GL181" s="10"/>
      <c r="GM181" s="10"/>
      <c r="GN181" s="10"/>
      <c r="GO181" s="10"/>
      <c r="GP181" s="10"/>
      <c r="GQ181" s="10"/>
      <c r="GR181" s="10"/>
      <c r="GS181" s="10"/>
      <c r="GT181" s="10"/>
      <c r="GU181" s="10"/>
      <c r="GV181" s="10"/>
      <c r="GW181" s="10"/>
      <c r="GX181" s="10"/>
      <c r="GY181" s="10"/>
      <c r="GZ181" s="10"/>
      <c r="HA181" s="10"/>
      <c r="HB181" s="10"/>
      <c r="HC181" s="10"/>
      <c r="HD181" s="10"/>
      <c r="HE181" s="10"/>
      <c r="HF181" s="10"/>
      <c r="HG181" s="10"/>
      <c r="HH181" s="10"/>
      <c r="HI181" s="10"/>
      <c r="HJ181" s="10"/>
      <c r="HK181" s="10"/>
      <c r="HL181" s="10"/>
      <c r="HM181" s="10"/>
      <c r="KC181" s="151"/>
    </row>
    <row r="182" spans="1:290" s="5" customFormat="1" ht="11.25" hidden="1" customHeight="1" x14ac:dyDescent="0.2">
      <c r="A182"/>
      <c r="B182"/>
      <c r="C182" s="12"/>
      <c r="D182" s="12"/>
      <c r="E182"/>
      <c r="F182"/>
      <c r="G182"/>
      <c r="H182"/>
      <c r="I182"/>
      <c r="J182"/>
      <c r="K182"/>
      <c r="L182"/>
      <c r="M182"/>
      <c r="N182"/>
      <c r="O182"/>
      <c r="P182"/>
      <c r="Q182"/>
      <c r="R182"/>
      <c r="S182"/>
      <c r="T182"/>
      <c r="U182"/>
      <c r="V182"/>
      <c r="W182"/>
      <c r="X182" s="172"/>
      <c r="Y182" s="2"/>
      <c r="Z182" s="2"/>
      <c r="AA182" s="2"/>
      <c r="AB182" s="2"/>
      <c r="AC182" s="2"/>
      <c r="AD182" s="2"/>
      <c r="AE182" s="2"/>
      <c r="AF182" s="2"/>
      <c r="AG182" s="2"/>
      <c r="AH182"/>
      <c r="AI182"/>
      <c r="AJ182"/>
      <c r="AK182"/>
      <c r="AL182"/>
      <c r="AM182"/>
      <c r="AN182" s="15"/>
      <c r="AO182"/>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GK182" s="10"/>
      <c r="GL182" s="10"/>
      <c r="GM182" s="10"/>
      <c r="GN182" s="10"/>
      <c r="GO182" s="10"/>
      <c r="GP182" s="10"/>
      <c r="GQ182" s="10"/>
      <c r="GR182" s="10"/>
      <c r="GS182" s="10"/>
      <c r="GT182" s="10"/>
      <c r="GU182" s="10"/>
      <c r="GV182" s="10"/>
      <c r="GW182" s="10"/>
      <c r="GX182" s="10"/>
      <c r="GY182" s="10"/>
      <c r="GZ182" s="10"/>
      <c r="HA182" s="10"/>
      <c r="HB182" s="10"/>
      <c r="HC182" s="10"/>
      <c r="HD182" s="10"/>
      <c r="HE182" s="10"/>
      <c r="HF182" s="10"/>
      <c r="HG182" s="10"/>
      <c r="HH182" s="10"/>
      <c r="HI182" s="10"/>
      <c r="HJ182" s="10"/>
      <c r="HK182" s="10"/>
      <c r="HL182" s="10"/>
      <c r="HM182" s="10"/>
      <c r="KC182" s="151"/>
    </row>
    <row r="183" spans="1:290" s="5" customFormat="1" ht="11.25" hidden="1" customHeight="1" x14ac:dyDescent="0.2">
      <c r="A183"/>
      <c r="B183"/>
      <c r="C183" s="12"/>
      <c r="D183" s="12"/>
      <c r="E183"/>
      <c r="F183"/>
      <c r="G183"/>
      <c r="H183"/>
      <c r="I183"/>
      <c r="J183"/>
      <c r="K183"/>
      <c r="L183"/>
      <c r="M183"/>
      <c r="N183"/>
      <c r="O183"/>
      <c r="P183"/>
      <c r="Q183"/>
      <c r="R183"/>
      <c r="S183"/>
      <c r="T183"/>
      <c r="U183"/>
      <c r="V183"/>
      <c r="W183"/>
      <c r="X183" s="172"/>
      <c r="Y183" s="2"/>
      <c r="Z183" s="2"/>
      <c r="AA183" s="2"/>
      <c r="AB183" s="2"/>
      <c r="AC183" s="2"/>
      <c r="AD183" s="2"/>
      <c r="AE183" s="2"/>
      <c r="AF183" s="2"/>
      <c r="AG183" s="2"/>
      <c r="AH183"/>
      <c r="AI183"/>
      <c r="AJ183"/>
      <c r="AK183"/>
      <c r="AL183"/>
      <c r="AM183"/>
      <c r="AN183" s="15"/>
      <c r="AO183"/>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GK183" s="10"/>
      <c r="GL183" s="10"/>
      <c r="GM183" s="10"/>
      <c r="GN183" s="10"/>
      <c r="GO183" s="10"/>
      <c r="GP183" s="10"/>
      <c r="GQ183" s="10"/>
      <c r="GR183" s="10"/>
      <c r="GS183" s="10"/>
      <c r="GT183" s="10"/>
      <c r="GU183" s="10"/>
      <c r="GV183" s="10"/>
      <c r="GW183" s="10"/>
      <c r="GX183" s="10"/>
      <c r="GY183" s="10"/>
      <c r="GZ183" s="10"/>
      <c r="HA183" s="10"/>
      <c r="HB183" s="10"/>
      <c r="HC183" s="10"/>
      <c r="HD183" s="10"/>
      <c r="HE183" s="10"/>
      <c r="HF183" s="10"/>
      <c r="HG183" s="10"/>
      <c r="HH183" s="10"/>
      <c r="HI183" s="10"/>
      <c r="HJ183" s="10"/>
      <c r="HK183" s="10"/>
      <c r="HL183" s="10"/>
      <c r="HM183" s="10"/>
      <c r="KC183" s="151"/>
    </row>
    <row r="184" spans="1:290" s="5" customFormat="1" ht="11.25" hidden="1" customHeight="1" x14ac:dyDescent="0.2">
      <c r="A184"/>
      <c r="B184"/>
      <c r="C184" s="12"/>
      <c r="D184" s="12"/>
      <c r="E184"/>
      <c r="F184"/>
      <c r="G184"/>
      <c r="H184"/>
      <c r="I184"/>
      <c r="J184"/>
      <c r="K184"/>
      <c r="L184"/>
      <c r="M184"/>
      <c r="N184"/>
      <c r="O184"/>
      <c r="P184"/>
      <c r="Q184"/>
      <c r="R184"/>
      <c r="S184"/>
      <c r="T184"/>
      <c r="U184"/>
      <c r="V184"/>
      <c r="W184"/>
      <c r="X184" s="172"/>
      <c r="Y184" s="2"/>
      <c r="Z184" s="2"/>
      <c r="AA184" s="2"/>
      <c r="AB184" s="2"/>
      <c r="AC184" s="2"/>
      <c r="AD184" s="2"/>
      <c r="AE184" s="2"/>
      <c r="AF184" s="2"/>
      <c r="AG184" s="2"/>
      <c r="AH184"/>
      <c r="AI184"/>
      <c r="AJ184"/>
      <c r="AK184"/>
      <c r="AL184"/>
      <c r="AM184"/>
      <c r="AN184" s="15"/>
      <c r="AO184"/>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
      <c r="EC184"/>
      <c r="GK184" s="10"/>
      <c r="GL184" s="10"/>
      <c r="GM184" s="10"/>
      <c r="GN184" s="10"/>
      <c r="GO184" s="10"/>
      <c r="GP184" s="10"/>
      <c r="GQ184" s="10"/>
      <c r="GR184" s="10"/>
      <c r="GS184" s="10"/>
      <c r="GT184" s="10"/>
      <c r="GU184" s="10"/>
      <c r="GV184" s="10"/>
      <c r="GW184" s="10"/>
      <c r="GX184" s="10"/>
      <c r="GY184" s="10"/>
      <c r="GZ184" s="10"/>
      <c r="HA184" s="10"/>
      <c r="HB184" s="10"/>
      <c r="HC184" s="10"/>
      <c r="HD184" s="10"/>
      <c r="HE184" s="10"/>
      <c r="HF184" s="10"/>
      <c r="HG184" s="10"/>
      <c r="HH184" s="10"/>
      <c r="HI184" s="10"/>
      <c r="HJ184" s="10"/>
      <c r="HK184" s="10"/>
      <c r="HL184" s="10"/>
      <c r="HM184" s="10"/>
      <c r="KC184" s="151"/>
    </row>
    <row r="185" spans="1:290" s="5" customFormat="1" ht="12.75" hidden="1" customHeight="1" x14ac:dyDescent="0.2">
      <c r="A185"/>
      <c r="B185"/>
      <c r="C185" s="12"/>
      <c r="D185" s="12"/>
      <c r="E185"/>
      <c r="F185"/>
      <c r="G185"/>
      <c r="H185"/>
      <c r="I185"/>
      <c r="J185"/>
      <c r="K185"/>
      <c r="L185"/>
      <c r="M185"/>
      <c r="N185"/>
      <c r="O185"/>
      <c r="P185"/>
      <c r="Q185"/>
      <c r="R185"/>
      <c r="S185"/>
      <c r="T185"/>
      <c r="U185"/>
      <c r="V185"/>
      <c r="W185"/>
      <c r="X185" s="172"/>
      <c r="Y185" s="2"/>
      <c r="Z185" s="2"/>
      <c r="AA185" s="2"/>
      <c r="AB185" s="2"/>
      <c r="AC185" s="2"/>
      <c r="AD185" s="2"/>
      <c r="AE185" s="2"/>
      <c r="AF185" s="2"/>
      <c r="AG185" s="2"/>
      <c r="AH185"/>
      <c r="AI185"/>
      <c r="AJ185"/>
      <c r="AK185"/>
      <c r="AL185"/>
      <c r="AM185"/>
      <c r="AN185" s="15"/>
      <c r="AO185"/>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
      <c r="EC185"/>
      <c r="GK185" s="10"/>
      <c r="GL185" s="10"/>
      <c r="GM185" s="10"/>
      <c r="GN185" s="10"/>
      <c r="GO185" s="10"/>
      <c r="GP185" s="10"/>
      <c r="GQ185" s="10"/>
      <c r="GR185" s="10"/>
      <c r="GS185" s="10"/>
      <c r="GT185" s="10"/>
      <c r="GU185" s="10"/>
      <c r="GV185" s="10"/>
      <c r="GW185" s="10"/>
      <c r="GX185" s="10"/>
      <c r="GY185" s="10"/>
      <c r="GZ185" s="10"/>
      <c r="HA185" s="10"/>
      <c r="HB185" s="10"/>
      <c r="HC185" s="10"/>
      <c r="HD185" s="10"/>
      <c r="HE185" s="10"/>
      <c r="HF185" s="10"/>
      <c r="HG185" s="10"/>
      <c r="HH185" s="10"/>
      <c r="HI185" s="10"/>
      <c r="HJ185" s="10"/>
      <c r="HK185" s="10"/>
      <c r="HL185" s="10"/>
      <c r="HM185" s="10"/>
      <c r="KC185" s="151"/>
    </row>
    <row r="186" spans="1:290" s="5" customFormat="1" ht="12.75" hidden="1" customHeight="1" x14ac:dyDescent="0.2">
      <c r="A186"/>
      <c r="B186"/>
      <c r="C186" s="12"/>
      <c r="D186" s="12"/>
      <c r="E186"/>
      <c r="F186"/>
      <c r="G186"/>
      <c r="H186"/>
      <c r="I186"/>
      <c r="J186"/>
      <c r="K186"/>
      <c r="L186"/>
      <c r="M186"/>
      <c r="N186"/>
      <c r="O186"/>
      <c r="P186"/>
      <c r="Q186"/>
      <c r="R186"/>
      <c r="S186"/>
      <c r="T186"/>
      <c r="U186"/>
      <c r="V186"/>
      <c r="W186"/>
      <c r="X186" s="172"/>
      <c r="Y186" s="2"/>
      <c r="Z186" s="2"/>
      <c r="AA186" s="2"/>
      <c r="AB186" s="2"/>
      <c r="AC186" s="2"/>
      <c r="AD186" s="2"/>
      <c r="AE186" s="2"/>
      <c r="AF186" s="2"/>
      <c r="AG186" s="2"/>
      <c r="AH186"/>
      <c r="AI186"/>
      <c r="AJ186"/>
      <c r="AK186"/>
      <c r="AL186"/>
      <c r="AM186"/>
      <c r="AN186" s="15"/>
      <c r="AO186"/>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
      <c r="EC186"/>
      <c r="GK186" s="10"/>
      <c r="GL186" s="10"/>
      <c r="GM186" s="10"/>
      <c r="GN186" s="10"/>
      <c r="GO186" s="10"/>
      <c r="GP186" s="10"/>
      <c r="GQ186" s="10"/>
      <c r="GR186" s="10"/>
      <c r="GS186" s="10"/>
      <c r="GT186" s="10"/>
      <c r="GU186" s="10"/>
      <c r="GV186" s="10"/>
      <c r="GW186" s="10"/>
      <c r="GX186" s="10"/>
      <c r="GY186" s="10"/>
      <c r="GZ186" s="10"/>
      <c r="HA186" s="10"/>
      <c r="HB186" s="10"/>
      <c r="HC186" s="10"/>
      <c r="HD186" s="10"/>
      <c r="HE186" s="10"/>
      <c r="HF186" s="10"/>
      <c r="HG186" s="10"/>
      <c r="HH186" s="10"/>
      <c r="HI186" s="10"/>
      <c r="HJ186" s="10"/>
      <c r="HK186" s="10"/>
      <c r="HL186" s="10"/>
      <c r="HM186" s="10"/>
      <c r="KC186" s="151"/>
    </row>
    <row r="187" spans="1:290" s="5" customFormat="1" ht="12.75" hidden="1" customHeight="1" x14ac:dyDescent="0.2">
      <c r="A187"/>
      <c r="B187"/>
      <c r="C187" s="12"/>
      <c r="D187" s="12"/>
      <c r="E187"/>
      <c r="F187"/>
      <c r="G187"/>
      <c r="H187"/>
      <c r="I187"/>
      <c r="J187"/>
      <c r="K187"/>
      <c r="L187"/>
      <c r="M187"/>
      <c r="N187"/>
      <c r="O187"/>
      <c r="P187"/>
      <c r="Q187"/>
      <c r="R187"/>
      <c r="S187"/>
      <c r="T187"/>
      <c r="U187"/>
      <c r="V187"/>
      <c r="W187"/>
      <c r="X187" s="172"/>
      <c r="Y187" s="2"/>
      <c r="Z187" s="2"/>
      <c r="AA187" s="2"/>
      <c r="AB187" s="2"/>
      <c r="AC187" s="2"/>
      <c r="AD187" s="2"/>
      <c r="AE187" s="2"/>
      <c r="AF187" s="2"/>
      <c r="AG187" s="2"/>
      <c r="AH187"/>
      <c r="AI187"/>
      <c r="AJ187"/>
      <c r="AK187"/>
      <c r="AL187"/>
      <c r="AM187"/>
      <c r="AN187" s="15"/>
      <c r="AO187"/>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
      <c r="EC187"/>
      <c r="GK187" s="10"/>
      <c r="GL187" s="10"/>
      <c r="GM187" s="10"/>
      <c r="GN187" s="10"/>
      <c r="GO187" s="10"/>
      <c r="GP187" s="10"/>
      <c r="GQ187" s="10"/>
      <c r="GR187" s="10"/>
      <c r="GS187" s="10"/>
      <c r="GT187" s="10"/>
      <c r="GU187" s="10"/>
      <c r="GV187" s="10"/>
      <c r="GW187" s="10"/>
      <c r="GX187" s="10"/>
      <c r="GY187" s="10"/>
      <c r="GZ187" s="10"/>
      <c r="HA187" s="10"/>
      <c r="HB187" s="10"/>
      <c r="HC187" s="10"/>
      <c r="HD187" s="10"/>
      <c r="HE187" s="10"/>
      <c r="HF187" s="10"/>
      <c r="HG187" s="10"/>
      <c r="HH187" s="10"/>
      <c r="HI187" s="10"/>
      <c r="HJ187" s="10"/>
      <c r="HK187" s="10"/>
      <c r="HL187" s="10"/>
      <c r="HM187" s="10"/>
      <c r="KC187" s="151"/>
    </row>
    <row r="188" spans="1:290" s="5" customFormat="1" ht="12.75" hidden="1" customHeight="1" x14ac:dyDescent="0.2">
      <c r="A188"/>
      <c r="B188"/>
      <c r="C188" s="12"/>
      <c r="D188" s="12"/>
      <c r="E188"/>
      <c r="F188"/>
      <c r="G188"/>
      <c r="H188"/>
      <c r="I188"/>
      <c r="J188"/>
      <c r="K188"/>
      <c r="L188"/>
      <c r="M188"/>
      <c r="N188"/>
      <c r="O188"/>
      <c r="P188"/>
      <c r="Q188"/>
      <c r="R188"/>
      <c r="S188"/>
      <c r="T188"/>
      <c r="U188"/>
      <c r="V188"/>
      <c r="W188"/>
      <c r="X188" s="172"/>
      <c r="Y188" s="2"/>
      <c r="Z188" s="2"/>
      <c r="AA188" s="2"/>
      <c r="AB188" s="2"/>
      <c r="AC188" s="2"/>
      <c r="AD188" s="2"/>
      <c r="AE188" s="2"/>
      <c r="AF188" s="2"/>
      <c r="AG188" s="2"/>
      <c r="AH188"/>
      <c r="AI188"/>
      <c r="AJ188"/>
      <c r="AK188"/>
      <c r="AL188"/>
      <c r="AM188"/>
      <c r="AN188" s="15"/>
      <c r="AO188"/>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
      <c r="EC188"/>
      <c r="ED188"/>
      <c r="EE188"/>
      <c r="EF188"/>
      <c r="EG188"/>
      <c r="EH188"/>
      <c r="EI188"/>
      <c r="EJ188"/>
      <c r="EK188"/>
      <c r="EL188"/>
      <c r="EM188"/>
      <c r="EN188"/>
      <c r="EO188"/>
      <c r="EP188"/>
      <c r="EQ188"/>
      <c r="ER188"/>
      <c r="ES188"/>
      <c r="ET188"/>
      <c r="EU188"/>
      <c r="EV188"/>
      <c r="EW188"/>
      <c r="EX188"/>
      <c r="EY188"/>
      <c r="EZ188"/>
      <c r="FA188"/>
      <c r="FB188"/>
      <c r="FC188"/>
      <c r="FD188"/>
      <c r="FE188"/>
      <c r="GK188" s="10"/>
      <c r="GL188" s="10"/>
      <c r="GM188" s="10"/>
      <c r="GN188" s="10"/>
      <c r="GO188" s="10"/>
      <c r="GP188" s="10"/>
      <c r="GQ188" s="10"/>
      <c r="GR188" s="10"/>
      <c r="GS188" s="10"/>
      <c r="GT188" s="10"/>
      <c r="GU188" s="10"/>
      <c r="GV188" s="10"/>
      <c r="GW188" s="10"/>
      <c r="GX188" s="10"/>
      <c r="GY188" s="10"/>
      <c r="GZ188" s="10"/>
      <c r="HA188" s="10"/>
      <c r="HB188" s="10"/>
      <c r="HC188" s="10"/>
      <c r="HD188" s="10"/>
      <c r="HE188" s="10"/>
      <c r="HF188" s="10"/>
      <c r="HG188" s="10"/>
      <c r="HH188" s="10"/>
      <c r="HI188" s="10"/>
      <c r="HJ188" s="10"/>
      <c r="HK188" s="10"/>
      <c r="HL188" s="10"/>
      <c r="HM188" s="10"/>
      <c r="KC188" s="151"/>
    </row>
    <row r="189" spans="1:290" s="5" customFormat="1" ht="12.75" hidden="1" customHeight="1" x14ac:dyDescent="0.2">
      <c r="A189"/>
      <c r="B189"/>
      <c r="C189" s="12"/>
      <c r="D189" s="12"/>
      <c r="E189"/>
      <c r="F189"/>
      <c r="G189"/>
      <c r="H189"/>
      <c r="I189"/>
      <c r="J189"/>
      <c r="K189"/>
      <c r="L189"/>
      <c r="M189"/>
      <c r="N189"/>
      <c r="O189"/>
      <c r="P189"/>
      <c r="Q189"/>
      <c r="R189"/>
      <c r="S189"/>
      <c r="T189"/>
      <c r="U189"/>
      <c r="V189"/>
      <c r="W189"/>
      <c r="X189" s="172"/>
      <c r="Y189" s="2"/>
      <c r="Z189" s="2"/>
      <c r="AA189" s="2"/>
      <c r="AB189" s="2"/>
      <c r="AC189" s="2"/>
      <c r="AD189" s="2"/>
      <c r="AE189" s="2"/>
      <c r="AF189" s="2"/>
      <c r="AG189" s="2"/>
      <c r="AH189"/>
      <c r="AI189"/>
      <c r="AJ189"/>
      <c r="AK189"/>
      <c r="AL189"/>
      <c r="AM189"/>
      <c r="AN189" s="15"/>
      <c r="AO189"/>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
      <c r="EC189"/>
      <c r="ED189"/>
      <c r="EE189"/>
      <c r="EF189"/>
      <c r="EG189"/>
      <c r="EH189"/>
      <c r="EI189"/>
      <c r="EJ189"/>
      <c r="EK189"/>
      <c r="EL189"/>
      <c r="EM189"/>
      <c r="EN189"/>
      <c r="EO189"/>
      <c r="EP189"/>
      <c r="EQ189"/>
      <c r="ER189"/>
      <c r="ES189"/>
      <c r="ET189"/>
      <c r="EU189"/>
      <c r="EV189"/>
      <c r="EW189"/>
      <c r="EX189"/>
      <c r="EY189"/>
      <c r="EZ189"/>
      <c r="FA189"/>
      <c r="FB189"/>
      <c r="FC189"/>
      <c r="FD189"/>
      <c r="FE189"/>
      <c r="GK189" s="10"/>
      <c r="GL189" s="10"/>
      <c r="GM189" s="10"/>
      <c r="GN189" s="10"/>
      <c r="GO189" s="10"/>
      <c r="GP189" s="10"/>
      <c r="GQ189" s="10"/>
      <c r="GR189" s="10"/>
      <c r="GS189" s="10"/>
      <c r="GT189" s="10"/>
      <c r="GU189" s="10"/>
      <c r="GV189" s="10"/>
      <c r="GW189" s="10"/>
      <c r="GX189" s="10"/>
      <c r="GY189" s="10"/>
      <c r="GZ189" s="10"/>
      <c r="HA189" s="10"/>
      <c r="HB189" s="10"/>
      <c r="HC189" s="10"/>
      <c r="HD189" s="10"/>
      <c r="HE189" s="10"/>
      <c r="HF189" s="10"/>
      <c r="HG189" s="10"/>
      <c r="HH189" s="10"/>
      <c r="HI189" s="10"/>
      <c r="HJ189" s="10"/>
      <c r="HK189" s="10"/>
      <c r="HL189" s="10"/>
      <c r="HM189" s="10"/>
      <c r="KC189" s="151"/>
    </row>
    <row r="190" spans="1:290" s="5" customFormat="1" ht="12.75" hidden="1" customHeight="1" x14ac:dyDescent="0.2">
      <c r="A190"/>
      <c r="B190"/>
      <c r="C190" s="12"/>
      <c r="D190" s="12"/>
      <c r="E190"/>
      <c r="F190"/>
      <c r="G190"/>
      <c r="H190"/>
      <c r="I190"/>
      <c r="J190"/>
      <c r="K190"/>
      <c r="L190"/>
      <c r="M190"/>
      <c r="N190"/>
      <c r="O190"/>
      <c r="P190"/>
      <c r="Q190"/>
      <c r="R190"/>
      <c r="S190"/>
      <c r="T190"/>
      <c r="U190"/>
      <c r="V190"/>
      <c r="W190"/>
      <c r="X190" s="172"/>
      <c r="Y190" s="2"/>
      <c r="Z190" s="2"/>
      <c r="AA190" s="2"/>
      <c r="AB190" s="2"/>
      <c r="AC190" s="2"/>
      <c r="AD190" s="2"/>
      <c r="AE190" s="2"/>
      <c r="AF190" s="2"/>
      <c r="AG190" s="2"/>
      <c r="AH190"/>
      <c r="AI190"/>
      <c r="AJ190"/>
      <c r="AK190"/>
      <c r="AL190"/>
      <c r="AM190"/>
      <c r="AN190" s="15"/>
      <c r="AO19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
      <c r="EC190"/>
      <c r="ED190"/>
      <c r="EE190"/>
      <c r="EF190"/>
      <c r="EG190"/>
      <c r="EH190"/>
      <c r="EI190"/>
      <c r="EJ190"/>
      <c r="EK190"/>
      <c r="EL190"/>
      <c r="EM190"/>
      <c r="EN190"/>
      <c r="EO190"/>
      <c r="EP190"/>
      <c r="EQ190"/>
      <c r="ER190"/>
      <c r="ES190"/>
      <c r="ET190"/>
      <c r="EU190"/>
      <c r="EV190"/>
      <c r="EW190"/>
      <c r="EX190"/>
      <c r="EY190"/>
      <c r="EZ190"/>
      <c r="FA190"/>
      <c r="FB190"/>
      <c r="FC190"/>
      <c r="FD190"/>
      <c r="FE190"/>
      <c r="GK190" s="10"/>
      <c r="GL190" s="10"/>
      <c r="GM190" s="10"/>
      <c r="GN190" s="10"/>
      <c r="GO190" s="10"/>
      <c r="GP190" s="10"/>
      <c r="GQ190" s="10"/>
      <c r="GR190" s="10"/>
      <c r="GS190" s="10"/>
      <c r="GT190" s="10"/>
      <c r="GU190" s="10"/>
      <c r="GV190" s="10"/>
      <c r="GW190" s="10"/>
      <c r="GX190" s="10"/>
      <c r="GY190" s="10"/>
      <c r="GZ190" s="10"/>
      <c r="HA190" s="10"/>
      <c r="HB190" s="10"/>
      <c r="HC190" s="10"/>
      <c r="HD190" s="10"/>
      <c r="HE190" s="10"/>
      <c r="HF190" s="10"/>
      <c r="HG190" s="10"/>
      <c r="HH190" s="10"/>
      <c r="HI190" s="10"/>
      <c r="HJ190" s="10"/>
      <c r="HK190" s="10"/>
      <c r="HL190" s="10"/>
      <c r="HM190" s="10"/>
      <c r="KC190" s="151"/>
    </row>
    <row r="191" spans="1:290" s="5" customFormat="1" ht="12.75" hidden="1" customHeight="1" x14ac:dyDescent="0.2">
      <c r="A191"/>
      <c r="B191"/>
      <c r="C191" s="12"/>
      <c r="D191" s="12"/>
      <c r="E191"/>
      <c r="F191"/>
      <c r="G191"/>
      <c r="H191"/>
      <c r="I191"/>
      <c r="J191"/>
      <c r="K191"/>
      <c r="L191"/>
      <c r="M191"/>
      <c r="N191"/>
      <c r="O191"/>
      <c r="P191"/>
      <c r="Q191"/>
      <c r="R191"/>
      <c r="S191"/>
      <c r="T191"/>
      <c r="U191"/>
      <c r="V191"/>
      <c r="W191"/>
      <c r="X191" s="172"/>
      <c r="Y191" s="2"/>
      <c r="Z191" s="2"/>
      <c r="AA191" s="2"/>
      <c r="AB191" s="2"/>
      <c r="AC191" s="2"/>
      <c r="AD191" s="2"/>
      <c r="AE191" s="2"/>
      <c r="AF191" s="2"/>
      <c r="AG191" s="2"/>
      <c r="AH191"/>
      <c r="AI191"/>
      <c r="AJ191"/>
      <c r="AK191"/>
      <c r="AL191"/>
      <c r="AM191"/>
      <c r="AN191" s="15"/>
      <c r="AO191"/>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
      <c r="EC191"/>
      <c r="ED191"/>
      <c r="EE191"/>
      <c r="EF191"/>
      <c r="EG191"/>
      <c r="EH191"/>
      <c r="EI191"/>
      <c r="EJ191"/>
      <c r="EK191"/>
      <c r="EL191"/>
      <c r="EM191"/>
      <c r="EN191"/>
      <c r="EO191"/>
      <c r="EP191"/>
      <c r="EQ191"/>
      <c r="ER191"/>
      <c r="ES191"/>
      <c r="ET191"/>
      <c r="EU191"/>
      <c r="EV191"/>
      <c r="EW191"/>
      <c r="EX191"/>
      <c r="EY191"/>
      <c r="EZ191"/>
      <c r="FA191"/>
      <c r="FB191"/>
      <c r="FC191"/>
      <c r="FD191"/>
      <c r="FE191"/>
      <c r="GK191" s="10"/>
      <c r="GL191" s="10"/>
      <c r="GM191" s="10"/>
      <c r="GN191" s="10"/>
      <c r="GO191" s="10"/>
      <c r="GP191" s="10"/>
      <c r="GQ191" s="10"/>
      <c r="GR191" s="10"/>
      <c r="GS191" s="10"/>
      <c r="GT191" s="10"/>
      <c r="GU191" s="10"/>
      <c r="GV191" s="10"/>
      <c r="GW191" s="10"/>
      <c r="GX191" s="10"/>
      <c r="GY191" s="10"/>
      <c r="GZ191" s="10"/>
      <c r="HA191" s="10"/>
      <c r="HB191" s="10"/>
      <c r="HC191" s="10"/>
      <c r="HD191" s="10"/>
      <c r="HE191" s="10"/>
      <c r="HF191" s="10"/>
      <c r="HG191" s="10"/>
      <c r="HH191" s="10"/>
      <c r="HI191" s="10"/>
      <c r="HJ191" s="10"/>
      <c r="HK191" s="10"/>
      <c r="HL191" s="10"/>
      <c r="HM191" s="10"/>
      <c r="HR191"/>
      <c r="KC191" s="151"/>
    </row>
    <row r="192" spans="1:290" s="5" customFormat="1" ht="12.75" hidden="1" customHeight="1" x14ac:dyDescent="0.2">
      <c r="A192"/>
      <c r="B192"/>
      <c r="C192" s="12"/>
      <c r="D192" s="12"/>
      <c r="E192"/>
      <c r="F192"/>
      <c r="G192"/>
      <c r="H192"/>
      <c r="I192"/>
      <c r="J192"/>
      <c r="K192"/>
      <c r="L192"/>
      <c r="M192"/>
      <c r="N192"/>
      <c r="O192"/>
      <c r="P192"/>
      <c r="Q192"/>
      <c r="R192"/>
      <c r="S192"/>
      <c r="T192"/>
      <c r="U192"/>
      <c r="V192"/>
      <c r="W192"/>
      <c r="X192" s="172"/>
      <c r="Y192" s="2"/>
      <c r="Z192" s="2"/>
      <c r="AA192" s="2"/>
      <c r="AB192" s="2"/>
      <c r="AC192" s="2"/>
      <c r="AD192" s="2"/>
      <c r="AE192" s="2"/>
      <c r="AF192" s="2"/>
      <c r="AG192" s="2"/>
      <c r="AH192"/>
      <c r="AI192"/>
      <c r="AJ192"/>
      <c r="AK192"/>
      <c r="AL192"/>
      <c r="AM192"/>
      <c r="AN192" s="15"/>
      <c r="AO192"/>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
      <c r="EC192"/>
      <c r="ED192"/>
      <c r="EE192"/>
      <c r="EF192"/>
      <c r="EG192"/>
      <c r="EH192"/>
      <c r="EI192"/>
      <c r="EJ192"/>
      <c r="EK192"/>
      <c r="EL192"/>
      <c r="EM192"/>
      <c r="EN192"/>
      <c r="EO192"/>
      <c r="EP192"/>
      <c r="EQ192"/>
      <c r="ER192"/>
      <c r="ES192"/>
      <c r="ET192"/>
      <c r="EU192"/>
      <c r="EV192"/>
      <c r="EW192"/>
      <c r="EX192"/>
      <c r="EY192"/>
      <c r="EZ192"/>
      <c r="FA192"/>
      <c r="FB192"/>
      <c r="FC192"/>
      <c r="FD192"/>
      <c r="FE192"/>
      <c r="GK192" s="10"/>
      <c r="GL192" s="10"/>
      <c r="GM192" s="10"/>
      <c r="GN192" s="10"/>
      <c r="GO192" s="10"/>
      <c r="GP192" s="10"/>
      <c r="GQ192" s="10"/>
      <c r="GR192" s="10"/>
      <c r="GS192" s="10"/>
      <c r="GT192" s="10"/>
      <c r="GU192" s="10"/>
      <c r="GV192" s="10"/>
      <c r="GW192" s="10"/>
      <c r="GX192" s="10"/>
      <c r="GY192" s="10"/>
      <c r="GZ192" s="10"/>
      <c r="HA192" s="10"/>
      <c r="HB192" s="10"/>
      <c r="HC192" s="10"/>
      <c r="HD192" s="10"/>
      <c r="HE192" s="10"/>
      <c r="HF192" s="10"/>
      <c r="HG192" s="10"/>
      <c r="HH192" s="10"/>
      <c r="HI192" s="10"/>
      <c r="HJ192" s="10"/>
      <c r="HK192" s="10"/>
      <c r="HL192" s="10"/>
      <c r="HM192" s="10"/>
      <c r="HR192"/>
      <c r="KC192" s="150"/>
      <c r="KD192" s="1"/>
    </row>
    <row r="193" spans="1:290" s="5" customFormat="1" ht="12.75" hidden="1" customHeight="1" x14ac:dyDescent="0.2">
      <c r="A193"/>
      <c r="B193"/>
      <c r="C193" s="12"/>
      <c r="D193" s="12"/>
      <c r="E193"/>
      <c r="F193"/>
      <c r="G193"/>
      <c r="H193"/>
      <c r="I193"/>
      <c r="J193"/>
      <c r="K193"/>
      <c r="L193"/>
      <c r="M193"/>
      <c r="N193"/>
      <c r="O193"/>
      <c r="P193"/>
      <c r="Q193"/>
      <c r="R193"/>
      <c r="S193"/>
      <c r="T193"/>
      <c r="U193"/>
      <c r="V193"/>
      <c r="W193"/>
      <c r="X193" s="172"/>
      <c r="Y193" s="2"/>
      <c r="Z193" s="2"/>
      <c r="AA193" s="2"/>
      <c r="AB193" s="2"/>
      <c r="AC193" s="2"/>
      <c r="AD193" s="2"/>
      <c r="AE193" s="2"/>
      <c r="AF193" s="2"/>
      <c r="AG193" s="2"/>
      <c r="AH193"/>
      <c r="AI193"/>
      <c r="AJ193"/>
      <c r="AK193"/>
      <c r="AL193"/>
      <c r="AM193"/>
      <c r="AN193" s="15"/>
      <c r="AO193"/>
      <c r="AP193"/>
      <c r="AQ193"/>
      <c r="AR193"/>
      <c r="AS193"/>
      <c r="AT193"/>
      <c r="AU193"/>
      <c r="AV193"/>
      <c r="AW193"/>
      <c r="AX193"/>
      <c r="AY193"/>
      <c r="AZ193"/>
      <c r="BA193"/>
      <c r="BB193"/>
      <c r="BC193"/>
      <c r="BD193"/>
      <c r="BE193"/>
      <c r="BF193"/>
      <c r="BG193"/>
      <c r="BH193"/>
      <c r="BI193"/>
      <c r="BJ193"/>
      <c r="BK193"/>
      <c r="BL193"/>
      <c r="BM193"/>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
      <c r="EC193"/>
      <c r="ED193"/>
      <c r="EE193"/>
      <c r="EF193"/>
      <c r="EG193"/>
      <c r="EH193"/>
      <c r="EI193"/>
      <c r="EJ193"/>
      <c r="EK193"/>
      <c r="EL193"/>
      <c r="EM193"/>
      <c r="EN193"/>
      <c r="EO193"/>
      <c r="EP193"/>
      <c r="EQ193"/>
      <c r="ER193"/>
      <c r="ES193"/>
      <c r="ET193"/>
      <c r="EU193"/>
      <c r="EV193"/>
      <c r="EW193"/>
      <c r="EX193"/>
      <c r="EY193"/>
      <c r="EZ193"/>
      <c r="FA193"/>
      <c r="FB193"/>
      <c r="FC193"/>
      <c r="FD193"/>
      <c r="FE193"/>
      <c r="GK193" s="10"/>
      <c r="GL193" s="10"/>
      <c r="GM193" s="10"/>
      <c r="GN193" s="10"/>
      <c r="GO193" s="10"/>
      <c r="GP193" s="10"/>
      <c r="GQ193" s="10"/>
      <c r="GR193" s="10"/>
      <c r="GS193" s="10"/>
      <c r="GT193" s="10"/>
      <c r="GU193" s="10"/>
      <c r="GV193" s="10"/>
      <c r="GW193" s="10"/>
      <c r="GX193" s="10"/>
      <c r="GY193" s="10"/>
      <c r="GZ193" s="10"/>
      <c r="HA193" s="10"/>
      <c r="HB193" s="10"/>
      <c r="HC193" s="10"/>
      <c r="HD193" s="10"/>
      <c r="HE193" s="10"/>
      <c r="HF193" s="10"/>
      <c r="HG193" s="10"/>
      <c r="HH193" s="10"/>
      <c r="HI193" s="10"/>
      <c r="HJ193" s="10"/>
      <c r="HK193" s="10"/>
      <c r="HL193" s="10"/>
      <c r="HM193" s="10"/>
      <c r="HR193"/>
      <c r="KC193" s="150"/>
      <c r="KD193" s="1"/>
    </row>
    <row r="194" spans="1:290" ht="12.75" hidden="1" customHeight="1" x14ac:dyDescent="0.2">
      <c r="Y194" s="2"/>
      <c r="Z194" s="2"/>
      <c r="AA194" s="2"/>
      <c r="AB194" s="2"/>
      <c r="AC194" s="2"/>
      <c r="AD194" s="2"/>
      <c r="AE194" s="2"/>
      <c r="AF194" s="2"/>
      <c r="AG194" s="2"/>
    </row>
    <row r="195" spans="1:290" ht="12.75" hidden="1" customHeight="1" x14ac:dyDescent="0.2">
      <c r="Y195" s="2"/>
      <c r="Z195" s="2"/>
      <c r="AA195" s="2"/>
      <c r="AB195" s="2"/>
      <c r="AC195" s="2"/>
      <c r="AD195" s="2"/>
      <c r="AE195" s="2"/>
      <c r="AF195" s="2"/>
      <c r="AG195" s="2"/>
    </row>
    <row r="196" spans="1:290" ht="12.75" hidden="1" customHeight="1" x14ac:dyDescent="0.2">
      <c r="Y196" s="2"/>
      <c r="Z196" s="2"/>
      <c r="AA196" s="2"/>
      <c r="AB196" s="2"/>
      <c r="AC196" s="2"/>
      <c r="AD196" s="2"/>
      <c r="AE196" s="2"/>
      <c r="AF196" s="2"/>
      <c r="AG196" s="2"/>
    </row>
    <row r="197" spans="1:290" ht="13.5" hidden="1" customHeight="1" x14ac:dyDescent="0.2">
      <c r="Y197" s="2"/>
      <c r="Z197" s="2"/>
      <c r="AA197" s="2"/>
      <c r="AB197" s="2"/>
      <c r="AC197" s="2"/>
      <c r="AD197" s="2"/>
      <c r="AE197" s="2"/>
      <c r="AF197" s="2"/>
      <c r="AG197" s="2"/>
    </row>
    <row r="198" spans="1:290" hidden="1" x14ac:dyDescent="0.2">
      <c r="Y198" s="2"/>
      <c r="Z198" s="2"/>
      <c r="AA198" s="2"/>
      <c r="AB198" s="2"/>
      <c r="AC198" s="2"/>
      <c r="AD198" s="2"/>
      <c r="AE198" s="2"/>
      <c r="AF198" s="2"/>
      <c r="AG198" s="2"/>
    </row>
    <row r="199" spans="1:290" hidden="1" x14ac:dyDescent="0.2">
      <c r="Y199" s="2"/>
      <c r="Z199" s="2"/>
      <c r="AA199" s="2"/>
      <c r="AB199" s="2"/>
      <c r="AC199" s="2"/>
      <c r="AD199" s="2"/>
      <c r="AE199" s="2"/>
      <c r="AF199" s="2"/>
      <c r="AG199" s="2"/>
    </row>
    <row r="200" spans="1:290" hidden="1" x14ac:dyDescent="0.2">
      <c r="Y200" s="2"/>
      <c r="Z200" s="2"/>
      <c r="AA200" s="2"/>
      <c r="AB200" s="2"/>
      <c r="AC200" s="2"/>
      <c r="AD200" s="2"/>
      <c r="AE200" s="2"/>
      <c r="AF200" s="2"/>
      <c r="AG200" s="2"/>
    </row>
    <row r="201" spans="1:290" ht="14.25" hidden="1" customHeight="1" x14ac:dyDescent="0.2">
      <c r="Y201" s="2"/>
      <c r="Z201" s="2"/>
      <c r="AA201" s="2"/>
      <c r="AB201" s="2"/>
      <c r="AC201" s="2"/>
      <c r="AD201" s="2"/>
      <c r="AE201" s="2"/>
      <c r="AF201" s="2"/>
      <c r="AG201" s="2"/>
    </row>
    <row r="202" spans="1:290" ht="13.5" hidden="1" customHeight="1" x14ac:dyDescent="0.2">
      <c r="Y202" s="2"/>
      <c r="Z202" s="2"/>
      <c r="AA202" s="2"/>
      <c r="AB202" s="2"/>
      <c r="AC202" s="2"/>
      <c r="AD202" s="2"/>
      <c r="AE202" s="2"/>
      <c r="AF202" s="2"/>
      <c r="AG202" s="2"/>
    </row>
    <row r="203" spans="1:290" ht="12.75" hidden="1" customHeight="1" x14ac:dyDescent="0.2">
      <c r="Y203" s="2"/>
      <c r="Z203" s="2"/>
      <c r="AA203" s="2"/>
      <c r="AB203" s="2"/>
      <c r="AC203" s="2"/>
      <c r="AD203" s="2"/>
      <c r="AE203" s="2"/>
      <c r="AF203" s="2"/>
      <c r="AG203" s="2"/>
    </row>
    <row r="204" spans="1:290" ht="12.75" hidden="1" customHeight="1" x14ac:dyDescent="0.2">
      <c r="Y204" s="2"/>
      <c r="Z204" s="2"/>
      <c r="AA204" s="2"/>
      <c r="AB204" s="2"/>
      <c r="AC204" s="2"/>
      <c r="AD204" s="2"/>
      <c r="AE204" s="2"/>
      <c r="AF204" s="2"/>
      <c r="AG204" s="2"/>
    </row>
    <row r="205" spans="1:290" ht="12.75" hidden="1" customHeight="1" x14ac:dyDescent="0.2">
      <c r="Y205" s="2"/>
      <c r="Z205" s="2"/>
      <c r="AA205" s="2"/>
      <c r="AB205" s="2"/>
      <c r="AC205" s="2"/>
      <c r="AD205" s="2"/>
      <c r="AE205" s="2"/>
      <c r="AF205" s="2"/>
      <c r="AG205" s="2"/>
    </row>
    <row r="206" spans="1:290" ht="12.75" hidden="1" customHeight="1" x14ac:dyDescent="0.2">
      <c r="Y206" s="2"/>
      <c r="Z206" s="2"/>
      <c r="AA206" s="2"/>
      <c r="AB206" s="2"/>
      <c r="AC206" s="2"/>
      <c r="AD206" s="2"/>
      <c r="AE206" s="2"/>
      <c r="AF206" s="2"/>
      <c r="AG206" s="2"/>
    </row>
    <row r="207" spans="1:290" ht="12.75" hidden="1" customHeight="1" x14ac:dyDescent="0.2">
      <c r="Y207" s="2"/>
      <c r="Z207" s="2"/>
      <c r="AA207" s="2"/>
      <c r="AB207" s="2"/>
      <c r="AC207" s="2"/>
      <c r="AD207" s="2"/>
      <c r="AE207" s="2"/>
      <c r="AF207" s="2"/>
      <c r="AG207" s="2"/>
    </row>
    <row r="208" spans="1:290" ht="12.75" hidden="1" customHeight="1" x14ac:dyDescent="0.2">
      <c r="Y208" s="2"/>
      <c r="Z208" s="2"/>
      <c r="AA208" s="2"/>
      <c r="AB208" s="2"/>
      <c r="AC208" s="2"/>
      <c r="AD208" s="2"/>
      <c r="AE208" s="2"/>
      <c r="AF208" s="2"/>
      <c r="AG208" s="2"/>
    </row>
    <row r="209" spans="25:33" ht="12.75" hidden="1" customHeight="1" x14ac:dyDescent="0.2">
      <c r="Y209" s="2"/>
      <c r="Z209" s="2"/>
      <c r="AA209" s="2"/>
      <c r="AB209" s="2"/>
      <c r="AC209" s="2"/>
      <c r="AD209" s="2"/>
      <c r="AE209" s="2"/>
      <c r="AF209" s="2"/>
      <c r="AG209" s="2"/>
    </row>
    <row r="210" spans="25:33" ht="12.75" hidden="1" customHeight="1" x14ac:dyDescent="0.2">
      <c r="Y210" s="2"/>
      <c r="Z210" s="2"/>
      <c r="AA210" s="2"/>
      <c r="AB210" s="2"/>
      <c r="AC210" s="2"/>
      <c r="AD210" s="2"/>
      <c r="AE210" s="2"/>
      <c r="AF210" s="2"/>
      <c r="AG210" s="2"/>
    </row>
    <row r="211" spans="25:33" ht="12.75" hidden="1" customHeight="1" x14ac:dyDescent="0.2">
      <c r="Y211" s="2"/>
      <c r="Z211" s="2"/>
      <c r="AA211" s="2"/>
      <c r="AB211" s="2"/>
      <c r="AC211" s="2"/>
      <c r="AD211" s="2"/>
      <c r="AE211" s="2"/>
      <c r="AF211" s="2"/>
      <c r="AG211" s="2"/>
    </row>
    <row r="212" spans="25:33" ht="12.75" hidden="1" customHeight="1" x14ac:dyDescent="0.2">
      <c r="Y212" s="2"/>
      <c r="Z212" s="2"/>
      <c r="AA212" s="2"/>
      <c r="AB212" s="2"/>
      <c r="AC212" s="2"/>
      <c r="AD212" s="2"/>
      <c r="AE212" s="2"/>
      <c r="AF212" s="2"/>
      <c r="AG212" s="2"/>
    </row>
    <row r="213" spans="25:33" ht="12.75" hidden="1" customHeight="1" x14ac:dyDescent="0.2">
      <c r="Y213" s="2"/>
      <c r="Z213" s="2"/>
      <c r="AA213" s="2"/>
      <c r="AB213" s="2"/>
      <c r="AC213" s="2"/>
      <c r="AD213" s="2"/>
      <c r="AE213" s="2"/>
      <c r="AF213" s="2"/>
      <c r="AG213" s="2"/>
    </row>
    <row r="214" spans="25:33" ht="12.75" hidden="1" customHeight="1" x14ac:dyDescent="0.2">
      <c r="Y214" s="2"/>
      <c r="Z214" s="2"/>
      <c r="AA214" s="2"/>
      <c r="AB214" s="2"/>
      <c r="AC214" s="2"/>
      <c r="AD214" s="2"/>
      <c r="AE214" s="2"/>
      <c r="AF214" s="2"/>
      <c r="AG214" s="2"/>
    </row>
    <row r="215" spans="25:33" ht="12.75" hidden="1" customHeight="1" x14ac:dyDescent="0.2">
      <c r="Y215" s="2"/>
      <c r="Z215" s="2"/>
      <c r="AA215" s="2"/>
      <c r="AB215" s="2"/>
      <c r="AC215" s="2"/>
      <c r="AD215" s="2"/>
      <c r="AE215" s="2"/>
      <c r="AF215" s="2"/>
      <c r="AG215" s="2"/>
    </row>
    <row r="216" spans="25:33" ht="12.75" hidden="1" customHeight="1" x14ac:dyDescent="0.2">
      <c r="Y216" s="2"/>
      <c r="Z216" s="2"/>
      <c r="AA216" s="2"/>
      <c r="AB216" s="2"/>
      <c r="AC216" s="2"/>
      <c r="AD216" s="2"/>
      <c r="AE216" s="2"/>
      <c r="AF216" s="2"/>
      <c r="AG216" s="2"/>
    </row>
    <row r="217" spans="25:33" ht="12.75" hidden="1" customHeight="1" x14ac:dyDescent="0.2">
      <c r="Y217" s="2"/>
      <c r="Z217" s="2"/>
      <c r="AA217" s="2"/>
      <c r="AB217" s="2"/>
      <c r="AC217" s="2"/>
      <c r="AD217" s="2"/>
      <c r="AE217" s="2"/>
      <c r="AF217" s="2"/>
      <c r="AG217" s="2"/>
    </row>
    <row r="218" spans="25:33" ht="12.75" hidden="1" customHeight="1" x14ac:dyDescent="0.2">
      <c r="Y218" s="2"/>
      <c r="Z218" s="2"/>
      <c r="AA218" s="2"/>
      <c r="AB218" s="2"/>
      <c r="AC218" s="2"/>
      <c r="AD218" s="2"/>
      <c r="AE218" s="2"/>
      <c r="AF218" s="2"/>
      <c r="AG218" s="2"/>
    </row>
    <row r="219" spans="25:33" ht="12.75" hidden="1" customHeight="1" x14ac:dyDescent="0.2">
      <c r="Y219" s="2"/>
      <c r="Z219" s="2"/>
      <c r="AA219" s="2"/>
      <c r="AB219" s="2"/>
      <c r="AC219" s="2"/>
      <c r="AD219" s="2"/>
      <c r="AE219" s="2"/>
      <c r="AF219" s="2"/>
      <c r="AG219" s="2"/>
    </row>
    <row r="220" spans="25:33" ht="12.75" hidden="1" customHeight="1" x14ac:dyDescent="0.2">
      <c r="Y220" s="2"/>
      <c r="Z220" s="2"/>
      <c r="AA220" s="2"/>
      <c r="AB220" s="2"/>
      <c r="AC220" s="2"/>
      <c r="AD220" s="2"/>
      <c r="AE220" s="2"/>
      <c r="AF220" s="2"/>
      <c r="AG220" s="2"/>
    </row>
    <row r="221" spans="25:33" ht="12.75" hidden="1" customHeight="1" x14ac:dyDescent="0.2">
      <c r="Y221" s="2"/>
      <c r="Z221" s="2"/>
      <c r="AA221" s="2"/>
      <c r="AB221" s="2"/>
      <c r="AC221" s="2"/>
      <c r="AD221" s="2"/>
      <c r="AE221" s="2"/>
      <c r="AF221" s="2"/>
      <c r="AG221" s="2"/>
    </row>
    <row r="222" spans="25:33" ht="12.75" hidden="1" customHeight="1" x14ac:dyDescent="0.2">
      <c r="Y222" s="2"/>
      <c r="Z222" s="2"/>
      <c r="AA222" s="2"/>
      <c r="AB222" s="2"/>
      <c r="AC222" s="2"/>
      <c r="AD222" s="2"/>
      <c r="AE222" s="2"/>
      <c r="AF222" s="2"/>
      <c r="AG222" s="2"/>
    </row>
    <row r="223" spans="25:33" ht="12.75" hidden="1" customHeight="1" x14ac:dyDescent="0.2">
      <c r="Y223" s="2"/>
      <c r="Z223" s="2"/>
      <c r="AA223" s="2"/>
      <c r="AB223" s="2"/>
      <c r="AC223" s="2"/>
      <c r="AD223" s="2"/>
      <c r="AE223" s="2"/>
      <c r="AF223" s="2"/>
      <c r="AG223" s="2"/>
    </row>
    <row r="224" spans="25:33" ht="12.75" hidden="1" customHeight="1" x14ac:dyDescent="0.2">
      <c r="Y224" s="2"/>
      <c r="Z224" s="2"/>
      <c r="AA224" s="2"/>
      <c r="AB224" s="2"/>
      <c r="AC224" s="2"/>
      <c r="AD224" s="2"/>
      <c r="AE224" s="2"/>
      <c r="AF224" s="2"/>
      <c r="AG224" s="2"/>
    </row>
    <row r="225" spans="25:33" ht="12.75" hidden="1" customHeight="1" x14ac:dyDescent="0.2">
      <c r="Y225" s="2"/>
      <c r="Z225" s="2"/>
      <c r="AA225" s="2"/>
      <c r="AB225" s="2"/>
      <c r="AC225" s="2"/>
      <c r="AD225" s="2"/>
      <c r="AE225" s="2"/>
      <c r="AF225" s="2"/>
      <c r="AG225" s="2"/>
    </row>
    <row r="226" spans="25:33" ht="12.75" hidden="1" customHeight="1" x14ac:dyDescent="0.2">
      <c r="Y226" s="2"/>
      <c r="Z226" s="2"/>
      <c r="AA226" s="2"/>
      <c r="AB226" s="2"/>
      <c r="AC226" s="2"/>
      <c r="AD226" s="2"/>
      <c r="AE226" s="2"/>
      <c r="AF226" s="2"/>
      <c r="AG226" s="2"/>
    </row>
    <row r="227" spans="25:33" ht="12.75" hidden="1" customHeight="1" x14ac:dyDescent="0.2">
      <c r="Y227" s="2"/>
      <c r="Z227" s="2"/>
      <c r="AA227" s="2"/>
      <c r="AB227" s="2"/>
      <c r="AC227" s="2"/>
      <c r="AD227" s="2"/>
      <c r="AE227" s="2"/>
      <c r="AF227" s="2"/>
      <c r="AG227" s="2"/>
    </row>
    <row r="228" spans="25:33" ht="12.75" hidden="1" customHeight="1" x14ac:dyDescent="0.2">
      <c r="Y228" s="2"/>
      <c r="Z228" s="2"/>
      <c r="AA228" s="2"/>
      <c r="AB228" s="2"/>
      <c r="AC228" s="2"/>
      <c r="AD228" s="2"/>
      <c r="AE228" s="2"/>
      <c r="AF228" s="2"/>
      <c r="AG228" s="2"/>
    </row>
    <row r="229" spans="25:33" ht="12.75" hidden="1" customHeight="1" x14ac:dyDescent="0.2">
      <c r="Y229" s="2"/>
      <c r="Z229" s="2"/>
      <c r="AA229" s="2"/>
      <c r="AB229" s="2"/>
      <c r="AC229" s="2"/>
      <c r="AD229" s="2"/>
      <c r="AE229" s="2"/>
      <c r="AF229" s="2"/>
      <c r="AG229" s="2"/>
    </row>
    <row r="230" spans="25:33" ht="12.75" hidden="1" customHeight="1" x14ac:dyDescent="0.2">
      <c r="Y230" s="2"/>
      <c r="Z230" s="2"/>
      <c r="AA230" s="2"/>
      <c r="AB230" s="2"/>
      <c r="AC230" s="2"/>
      <c r="AD230" s="2"/>
      <c r="AE230" s="2"/>
      <c r="AF230" s="2"/>
      <c r="AG230" s="2"/>
    </row>
    <row r="231" spans="25:33" ht="12.75" hidden="1" customHeight="1" x14ac:dyDescent="0.2">
      <c r="Y231" s="2"/>
      <c r="Z231" s="2"/>
      <c r="AA231" s="2"/>
      <c r="AB231" s="2"/>
      <c r="AC231" s="2"/>
      <c r="AD231" s="2"/>
      <c r="AE231" s="2"/>
      <c r="AF231" s="2"/>
      <c r="AG231" s="2"/>
    </row>
    <row r="232" spans="25:33" ht="12.75" hidden="1" customHeight="1" x14ac:dyDescent="0.2">
      <c r="Y232" s="2"/>
      <c r="Z232" s="2"/>
      <c r="AA232" s="2"/>
      <c r="AB232" s="2"/>
      <c r="AC232" s="2"/>
      <c r="AD232" s="2"/>
      <c r="AE232" s="2"/>
      <c r="AF232" s="2"/>
      <c r="AG232" s="2"/>
    </row>
    <row r="233" spans="25:33" hidden="1" x14ac:dyDescent="0.2">
      <c r="Y233" s="2"/>
      <c r="Z233" s="2"/>
      <c r="AA233" s="2"/>
      <c r="AB233" s="2"/>
      <c r="AC233" s="2"/>
      <c r="AD233" s="2"/>
      <c r="AE233" s="2"/>
      <c r="AF233" s="2"/>
      <c r="AG233" s="2"/>
    </row>
    <row r="234" spans="25:33" hidden="1" x14ac:dyDescent="0.2">
      <c r="Y234" s="2"/>
      <c r="Z234" s="2"/>
      <c r="AA234" s="2"/>
      <c r="AB234" s="2"/>
      <c r="AC234" s="2"/>
      <c r="AD234" s="2"/>
      <c r="AE234" s="2"/>
      <c r="AF234" s="2"/>
      <c r="AG234" s="2"/>
    </row>
    <row r="235" spans="25:33" ht="14.25" hidden="1" customHeight="1" x14ac:dyDescent="0.2">
      <c r="Y235" s="2"/>
      <c r="Z235" s="2"/>
      <c r="AA235" s="2"/>
      <c r="AB235" s="2"/>
      <c r="AC235" s="2"/>
      <c r="AD235" s="2"/>
      <c r="AE235" s="2"/>
      <c r="AF235" s="2"/>
      <c r="AG235" s="2"/>
    </row>
    <row r="236" spans="25:33" ht="13.5" hidden="1" customHeight="1" x14ac:dyDescent="0.2">
      <c r="Y236" s="2"/>
      <c r="Z236" s="2"/>
      <c r="AA236" s="2"/>
      <c r="AB236" s="2"/>
      <c r="AC236" s="2"/>
      <c r="AD236" s="2"/>
      <c r="AE236" s="2"/>
      <c r="AF236" s="2"/>
      <c r="AG236" s="2"/>
    </row>
    <row r="237" spans="25:33" ht="12.75" hidden="1" customHeight="1" x14ac:dyDescent="0.2">
      <c r="Y237" s="2"/>
      <c r="Z237" s="2"/>
      <c r="AA237" s="2"/>
      <c r="AB237" s="2"/>
      <c r="AC237" s="2"/>
      <c r="AD237" s="2"/>
      <c r="AE237" s="2"/>
      <c r="AF237" s="2"/>
      <c r="AG237" s="2"/>
    </row>
    <row r="238" spans="25:33" ht="12.75" hidden="1" customHeight="1" x14ac:dyDescent="0.2">
      <c r="Y238" s="2"/>
      <c r="Z238" s="2"/>
      <c r="AA238" s="2"/>
      <c r="AB238" s="2"/>
      <c r="AC238" s="2"/>
      <c r="AD238" s="2"/>
      <c r="AE238" s="2"/>
      <c r="AF238" s="2"/>
      <c r="AG238" s="2"/>
    </row>
    <row r="239" spans="25:33" ht="12.75" hidden="1" customHeight="1" x14ac:dyDescent="0.2">
      <c r="Y239" s="2"/>
      <c r="Z239" s="2"/>
      <c r="AA239" s="2"/>
      <c r="AB239" s="2"/>
      <c r="AC239" s="2"/>
      <c r="AD239" s="2"/>
      <c r="AE239" s="2"/>
      <c r="AF239" s="2"/>
      <c r="AG239" s="2"/>
    </row>
    <row r="240" spans="25:33" ht="12.75" hidden="1" customHeight="1" x14ac:dyDescent="0.2">
      <c r="Y240" s="2"/>
      <c r="Z240" s="2"/>
      <c r="AA240" s="2"/>
      <c r="AB240" s="2"/>
      <c r="AC240" s="2"/>
      <c r="AD240" s="2"/>
      <c r="AE240" s="2"/>
      <c r="AF240" s="2"/>
      <c r="AG240" s="2"/>
    </row>
    <row r="241" spans="25:33" ht="12.75" hidden="1" customHeight="1" x14ac:dyDescent="0.2">
      <c r="Y241" s="2"/>
      <c r="Z241" s="2"/>
      <c r="AA241" s="2"/>
      <c r="AB241" s="2"/>
      <c r="AC241" s="2"/>
      <c r="AD241" s="2"/>
      <c r="AE241" s="2"/>
      <c r="AF241" s="2"/>
      <c r="AG241" s="2"/>
    </row>
    <row r="242" spans="25:33" ht="12.75" hidden="1" customHeight="1" x14ac:dyDescent="0.2">
      <c r="Y242" s="2"/>
      <c r="Z242" s="2"/>
      <c r="AA242" s="2"/>
      <c r="AB242" s="2"/>
      <c r="AC242" s="2"/>
      <c r="AD242" s="2"/>
      <c r="AE242" s="2"/>
      <c r="AF242" s="2"/>
      <c r="AG242" s="2"/>
    </row>
    <row r="243" spans="25:33" ht="12.75" hidden="1" customHeight="1" x14ac:dyDescent="0.2">
      <c r="Y243" s="2"/>
      <c r="Z243" s="2"/>
      <c r="AA243" s="2"/>
      <c r="AB243" s="2"/>
      <c r="AC243" s="2"/>
      <c r="AD243" s="2"/>
      <c r="AE243" s="2"/>
      <c r="AF243" s="2"/>
      <c r="AG243" s="2"/>
    </row>
    <row r="244" spans="25:33" ht="12.75" hidden="1" customHeight="1" x14ac:dyDescent="0.2">
      <c r="Y244" s="2"/>
      <c r="Z244" s="2"/>
      <c r="AA244" s="2"/>
      <c r="AB244" s="2"/>
      <c r="AC244" s="2"/>
      <c r="AD244" s="2"/>
      <c r="AE244" s="2"/>
      <c r="AF244" s="2"/>
      <c r="AG244" s="2"/>
    </row>
    <row r="245" spans="25:33" ht="12.75" hidden="1" customHeight="1" x14ac:dyDescent="0.2">
      <c r="Y245" s="2"/>
      <c r="Z245" s="2"/>
      <c r="AA245" s="2"/>
      <c r="AB245" s="2"/>
      <c r="AC245" s="2"/>
      <c r="AD245" s="2"/>
      <c r="AE245" s="2"/>
      <c r="AF245" s="2"/>
      <c r="AG245" s="2"/>
    </row>
    <row r="246" spans="25:33" ht="12.75" hidden="1" customHeight="1" x14ac:dyDescent="0.2">
      <c r="Y246" s="2"/>
      <c r="Z246" s="2"/>
      <c r="AA246" s="2"/>
      <c r="AB246" s="2"/>
      <c r="AC246" s="2"/>
      <c r="AD246" s="2"/>
      <c r="AE246" s="2"/>
      <c r="AF246" s="2"/>
      <c r="AG246" s="2"/>
    </row>
    <row r="247" spans="25:33" ht="12.75" hidden="1" customHeight="1" x14ac:dyDescent="0.2">
      <c r="Y247" s="2"/>
      <c r="Z247" s="2"/>
      <c r="AA247" s="2"/>
      <c r="AB247" s="2"/>
      <c r="AC247" s="2"/>
      <c r="AD247" s="2"/>
      <c r="AE247" s="2"/>
      <c r="AF247" s="2"/>
      <c r="AG247" s="2"/>
    </row>
    <row r="248" spans="25:33" ht="12.75" hidden="1" customHeight="1" x14ac:dyDescent="0.2">
      <c r="Y248" s="2"/>
      <c r="Z248" s="2"/>
      <c r="AA248" s="2"/>
      <c r="AB248" s="2"/>
      <c r="AC248" s="2"/>
      <c r="AD248" s="2"/>
      <c r="AE248" s="2"/>
      <c r="AF248" s="2"/>
      <c r="AG248" s="2"/>
    </row>
    <row r="249" spans="25:33" ht="12.75" hidden="1" customHeight="1" x14ac:dyDescent="0.2">
      <c r="Y249" s="2"/>
      <c r="Z249" s="2"/>
      <c r="AA249" s="2"/>
      <c r="AB249" s="2"/>
      <c r="AC249" s="2"/>
      <c r="AD249" s="2"/>
      <c r="AE249" s="2"/>
      <c r="AF249" s="2"/>
      <c r="AG249" s="2"/>
    </row>
    <row r="250" spans="25:33" ht="12.75" hidden="1" customHeight="1" x14ac:dyDescent="0.2">
      <c r="Y250" s="2"/>
      <c r="Z250" s="2"/>
      <c r="AA250" s="2"/>
      <c r="AB250" s="2"/>
      <c r="AC250" s="2"/>
      <c r="AD250" s="2"/>
      <c r="AE250" s="2"/>
      <c r="AF250" s="2"/>
      <c r="AG250" s="2"/>
    </row>
    <row r="251" spans="25:33" ht="12.75" hidden="1" customHeight="1" x14ac:dyDescent="0.2">
      <c r="Y251" s="2"/>
      <c r="Z251" s="2"/>
      <c r="AA251" s="2"/>
      <c r="AB251" s="2"/>
      <c r="AC251" s="2"/>
      <c r="AD251" s="2"/>
      <c r="AE251" s="2"/>
      <c r="AF251" s="2"/>
      <c r="AG251" s="2"/>
    </row>
    <row r="252" spans="25:33" ht="12.75" hidden="1" customHeight="1" x14ac:dyDescent="0.2">
      <c r="Y252" s="2"/>
      <c r="Z252" s="2"/>
      <c r="AA252" s="2"/>
      <c r="AB252" s="2"/>
      <c r="AC252" s="2"/>
      <c r="AD252" s="2"/>
      <c r="AE252" s="2"/>
      <c r="AF252" s="2"/>
      <c r="AG252" s="2"/>
    </row>
    <row r="253" spans="25:33" ht="12.75" hidden="1" customHeight="1" x14ac:dyDescent="0.2">
      <c r="Y253" s="2"/>
      <c r="Z253" s="2"/>
      <c r="AA253" s="2"/>
      <c r="AB253" s="2"/>
      <c r="AC253" s="2"/>
      <c r="AD253" s="2"/>
      <c r="AE253" s="2"/>
      <c r="AF253" s="2"/>
      <c r="AG253" s="2"/>
    </row>
    <row r="254" spans="25:33" ht="12.75" hidden="1" customHeight="1" x14ac:dyDescent="0.2">
      <c r="Y254" s="2"/>
      <c r="Z254" s="2"/>
      <c r="AA254" s="2"/>
      <c r="AB254" s="2"/>
      <c r="AC254" s="2"/>
      <c r="AD254" s="2"/>
      <c r="AE254" s="2"/>
      <c r="AF254" s="2"/>
      <c r="AG254" s="2"/>
    </row>
    <row r="255" spans="25:33" ht="12.75" hidden="1" customHeight="1" x14ac:dyDescent="0.2">
      <c r="Y255" s="2"/>
      <c r="Z255" s="2"/>
      <c r="AA255" s="2"/>
      <c r="AB255" s="2"/>
      <c r="AC255" s="2"/>
      <c r="AD255" s="2"/>
      <c r="AE255" s="2"/>
      <c r="AF255" s="2"/>
      <c r="AG255" s="2"/>
    </row>
    <row r="256" spans="25:33" ht="12.75" hidden="1" customHeight="1" x14ac:dyDescent="0.2">
      <c r="Y256" s="2"/>
      <c r="Z256" s="2"/>
      <c r="AA256" s="2"/>
      <c r="AB256" s="2"/>
      <c r="AC256" s="2"/>
      <c r="AD256" s="2"/>
      <c r="AE256" s="2"/>
      <c r="AF256" s="2"/>
      <c r="AG256" s="2"/>
    </row>
    <row r="257" spans="25:33" ht="12.75" hidden="1" customHeight="1" x14ac:dyDescent="0.2">
      <c r="Y257" s="2"/>
      <c r="Z257" s="2"/>
      <c r="AA257" s="2"/>
      <c r="AB257" s="2"/>
      <c r="AC257" s="2"/>
      <c r="AD257" s="2"/>
      <c r="AE257" s="2"/>
      <c r="AF257" s="2"/>
      <c r="AG257" s="2"/>
    </row>
    <row r="258" spans="25:33" ht="12.75" hidden="1" customHeight="1" x14ac:dyDescent="0.2">
      <c r="Y258" s="2"/>
      <c r="Z258" s="2"/>
      <c r="AA258" s="2"/>
      <c r="AB258" s="2"/>
      <c r="AC258" s="2"/>
      <c r="AD258" s="2"/>
      <c r="AE258" s="2"/>
      <c r="AF258" s="2"/>
      <c r="AG258" s="2"/>
    </row>
    <row r="259" spans="25:33" ht="12.75" hidden="1" customHeight="1" x14ac:dyDescent="0.2">
      <c r="Y259" s="2"/>
      <c r="Z259" s="2"/>
      <c r="AA259" s="2"/>
      <c r="AB259" s="2"/>
      <c r="AC259" s="2"/>
      <c r="AD259" s="2"/>
      <c r="AE259" s="2"/>
      <c r="AF259" s="2"/>
      <c r="AG259" s="2"/>
    </row>
    <row r="260" spans="25:33" ht="12.75" hidden="1" customHeight="1" x14ac:dyDescent="0.2">
      <c r="Y260" s="2"/>
      <c r="Z260" s="2"/>
      <c r="AA260" s="2"/>
      <c r="AB260" s="2"/>
      <c r="AC260" s="2"/>
      <c r="AD260" s="2"/>
      <c r="AE260" s="2"/>
      <c r="AF260" s="2"/>
      <c r="AG260" s="2"/>
    </row>
    <row r="261" spans="25:33" ht="12.75" hidden="1" customHeight="1" x14ac:dyDescent="0.2">
      <c r="Y261" s="2"/>
      <c r="Z261" s="2"/>
      <c r="AA261" s="2"/>
      <c r="AB261" s="2"/>
      <c r="AC261" s="2"/>
      <c r="AD261" s="2"/>
      <c r="AE261" s="2"/>
      <c r="AF261" s="2"/>
      <c r="AG261" s="2"/>
    </row>
    <row r="262" spans="25:33" ht="12.75" hidden="1" customHeight="1" x14ac:dyDescent="0.2">
      <c r="Y262" s="2"/>
      <c r="Z262" s="2"/>
      <c r="AA262" s="2"/>
      <c r="AB262" s="2"/>
      <c r="AC262" s="2"/>
      <c r="AD262" s="2"/>
      <c r="AE262" s="2"/>
      <c r="AF262" s="2"/>
      <c r="AG262" s="2"/>
    </row>
    <row r="263" spans="25:33" ht="12.75" hidden="1" customHeight="1" x14ac:dyDescent="0.2">
      <c r="Y263" s="2"/>
      <c r="Z263" s="2"/>
      <c r="AA263" s="2"/>
      <c r="AB263" s="2"/>
      <c r="AC263" s="2"/>
      <c r="AD263" s="2"/>
      <c r="AE263" s="2"/>
      <c r="AF263" s="2"/>
      <c r="AG263" s="2"/>
    </row>
    <row r="264" spans="25:33" ht="12.75" hidden="1" customHeight="1" x14ac:dyDescent="0.2">
      <c r="Y264" s="2"/>
      <c r="Z264" s="2"/>
      <c r="AA264" s="2"/>
      <c r="AB264" s="2"/>
      <c r="AC264" s="2"/>
      <c r="AD264" s="2"/>
      <c r="AE264" s="2"/>
      <c r="AF264" s="2"/>
      <c r="AG264" s="2"/>
    </row>
    <row r="265" spans="25:33" ht="12.75" hidden="1" customHeight="1" x14ac:dyDescent="0.2">
      <c r="Y265" s="2"/>
      <c r="Z265" s="2"/>
      <c r="AA265" s="2"/>
      <c r="AB265" s="2"/>
      <c r="AC265" s="2"/>
      <c r="AD265" s="2"/>
      <c r="AE265" s="2"/>
      <c r="AF265" s="2"/>
      <c r="AG265" s="2"/>
    </row>
    <row r="266" spans="25:33" ht="12.75" hidden="1" customHeight="1" x14ac:dyDescent="0.2">
      <c r="Y266" s="2"/>
      <c r="Z266" s="2"/>
      <c r="AA266" s="2"/>
      <c r="AB266" s="2"/>
      <c r="AC266" s="2"/>
      <c r="AD266" s="2"/>
      <c r="AE266" s="2"/>
      <c r="AF266" s="2"/>
      <c r="AG266" s="2"/>
    </row>
    <row r="267" spans="25:33" hidden="1" x14ac:dyDescent="0.2">
      <c r="Y267" s="2"/>
      <c r="Z267" s="2"/>
      <c r="AA267" s="2"/>
      <c r="AB267" s="2"/>
      <c r="AC267" s="2"/>
      <c r="AD267" s="2"/>
      <c r="AE267" s="2"/>
      <c r="AF267" s="2"/>
      <c r="AG267" s="2"/>
    </row>
    <row r="268" spans="25:33" hidden="1" x14ac:dyDescent="0.2">
      <c r="Y268" s="2"/>
      <c r="Z268" s="2"/>
      <c r="AA268" s="2"/>
      <c r="AB268" s="2"/>
      <c r="AC268" s="2"/>
      <c r="AD268" s="2"/>
      <c r="AE268" s="2"/>
      <c r="AF268" s="2"/>
      <c r="AG268" s="2"/>
    </row>
    <row r="269" spans="25:33" ht="14.25" hidden="1" customHeight="1" x14ac:dyDescent="0.2">
      <c r="Y269" s="2"/>
      <c r="Z269" s="2"/>
      <c r="AA269" s="2"/>
      <c r="AB269" s="2"/>
      <c r="AC269" s="2"/>
      <c r="AD269" s="2"/>
      <c r="AE269" s="2"/>
      <c r="AF269" s="2"/>
      <c r="AG269" s="2"/>
    </row>
    <row r="270" spans="25:33" ht="13.5" hidden="1" customHeight="1" x14ac:dyDescent="0.2">
      <c r="Y270" s="2"/>
      <c r="Z270" s="2"/>
      <c r="AA270" s="2"/>
      <c r="AB270" s="2"/>
      <c r="AC270" s="2"/>
      <c r="AD270" s="2"/>
      <c r="AE270" s="2"/>
      <c r="AF270" s="2"/>
      <c r="AG270" s="2"/>
    </row>
    <row r="271" spans="25:33" ht="12.75" hidden="1" customHeight="1" x14ac:dyDescent="0.2">
      <c r="Y271" s="2"/>
      <c r="Z271" s="2"/>
      <c r="AA271" s="2"/>
      <c r="AB271" s="2"/>
      <c r="AC271" s="2"/>
      <c r="AD271" s="2"/>
      <c r="AE271" s="2"/>
      <c r="AF271" s="2"/>
      <c r="AG271" s="2"/>
    </row>
    <row r="272" spans="25:33" ht="12.75" hidden="1" customHeight="1" x14ac:dyDescent="0.2">
      <c r="Y272" s="2"/>
      <c r="Z272" s="2"/>
      <c r="AA272" s="2"/>
      <c r="AB272" s="2"/>
      <c r="AC272" s="2"/>
      <c r="AD272" s="2"/>
      <c r="AE272" s="2"/>
      <c r="AF272" s="2"/>
      <c r="AG272" s="2"/>
    </row>
    <row r="273" spans="25:33" ht="12.75" hidden="1" customHeight="1" x14ac:dyDescent="0.2">
      <c r="Y273" s="2"/>
      <c r="Z273" s="2"/>
      <c r="AA273" s="2"/>
      <c r="AB273" s="2"/>
      <c r="AC273" s="2"/>
      <c r="AD273" s="2"/>
      <c r="AE273" s="2"/>
      <c r="AF273" s="2"/>
      <c r="AG273" s="2"/>
    </row>
    <row r="274" spans="25:33" ht="12.75" hidden="1" customHeight="1" x14ac:dyDescent="0.2">
      <c r="Y274" s="2"/>
      <c r="Z274" s="2"/>
      <c r="AA274" s="2"/>
      <c r="AB274" s="2"/>
      <c r="AC274" s="2"/>
      <c r="AD274" s="2"/>
      <c r="AE274" s="2"/>
      <c r="AF274" s="2"/>
      <c r="AG274" s="2"/>
    </row>
    <row r="275" spans="25:33" ht="12.75" hidden="1" customHeight="1" x14ac:dyDescent="0.2">
      <c r="Y275" s="2"/>
      <c r="Z275" s="2"/>
      <c r="AA275" s="2"/>
      <c r="AB275" s="2"/>
      <c r="AC275" s="2"/>
      <c r="AD275" s="2"/>
      <c r="AE275" s="2"/>
      <c r="AF275" s="2"/>
      <c r="AG275" s="2"/>
    </row>
    <row r="276" spans="25:33" ht="12.75" hidden="1" customHeight="1" x14ac:dyDescent="0.2">
      <c r="Y276" s="2"/>
      <c r="Z276" s="2"/>
      <c r="AA276" s="2"/>
      <c r="AB276" s="2"/>
      <c r="AC276" s="2"/>
      <c r="AD276" s="2"/>
      <c r="AE276" s="2"/>
      <c r="AF276" s="2"/>
      <c r="AG276" s="2"/>
    </row>
    <row r="277" spans="25:33" ht="12.75" hidden="1" customHeight="1" x14ac:dyDescent="0.2">
      <c r="Y277" s="2"/>
      <c r="Z277" s="2"/>
      <c r="AA277" s="2"/>
      <c r="AB277" s="2"/>
      <c r="AC277" s="2"/>
      <c r="AD277" s="2"/>
      <c r="AE277" s="2"/>
      <c r="AF277" s="2"/>
      <c r="AG277" s="2"/>
    </row>
    <row r="278" spans="25:33" ht="12.75" hidden="1" customHeight="1" x14ac:dyDescent="0.2">
      <c r="Y278" s="2"/>
      <c r="Z278" s="2"/>
      <c r="AA278" s="2"/>
      <c r="AB278" s="2"/>
      <c r="AC278" s="2"/>
      <c r="AD278" s="2"/>
      <c r="AE278" s="2"/>
      <c r="AF278" s="2"/>
      <c r="AG278" s="2"/>
    </row>
    <row r="279" spans="25:33" ht="12.75" hidden="1" customHeight="1" x14ac:dyDescent="0.2">
      <c r="Y279" s="2"/>
      <c r="Z279" s="2"/>
      <c r="AA279" s="2"/>
      <c r="AB279" s="2"/>
      <c r="AC279" s="2"/>
      <c r="AD279" s="2"/>
      <c r="AE279" s="2"/>
      <c r="AF279" s="2"/>
      <c r="AG279" s="2"/>
    </row>
    <row r="280" spans="25:33" ht="12.75" hidden="1" customHeight="1" x14ac:dyDescent="0.2">
      <c r="Y280" s="2"/>
      <c r="Z280" s="2"/>
      <c r="AA280" s="2"/>
      <c r="AB280" s="2"/>
      <c r="AC280" s="2"/>
      <c r="AD280" s="2"/>
      <c r="AE280" s="2"/>
      <c r="AF280" s="2"/>
      <c r="AG280" s="2"/>
    </row>
    <row r="281" spans="25:33" ht="12.75" hidden="1" customHeight="1" x14ac:dyDescent="0.2">
      <c r="Y281" s="2"/>
      <c r="Z281" s="2"/>
      <c r="AA281" s="2"/>
      <c r="AB281" s="2"/>
      <c r="AC281" s="2"/>
      <c r="AD281" s="2"/>
      <c r="AE281" s="2"/>
      <c r="AF281" s="2"/>
      <c r="AG281" s="2"/>
    </row>
    <row r="282" spans="25:33" ht="12.75" hidden="1" customHeight="1" x14ac:dyDescent="0.2">
      <c r="Y282" s="2"/>
      <c r="Z282" s="2"/>
      <c r="AA282" s="2"/>
      <c r="AB282" s="2"/>
      <c r="AC282" s="2"/>
      <c r="AD282" s="2"/>
      <c r="AE282" s="2"/>
      <c r="AF282" s="2"/>
      <c r="AG282" s="2"/>
    </row>
    <row r="283" spans="25:33" ht="12.75" hidden="1" customHeight="1" x14ac:dyDescent="0.2">
      <c r="Y283" s="2"/>
      <c r="Z283" s="2"/>
      <c r="AA283" s="2"/>
      <c r="AB283" s="2"/>
      <c r="AC283" s="2"/>
      <c r="AD283" s="2"/>
      <c r="AE283" s="2"/>
      <c r="AF283" s="2"/>
      <c r="AG283" s="2"/>
    </row>
    <row r="284" spans="25:33" ht="12.75" hidden="1" customHeight="1" x14ac:dyDescent="0.2">
      <c r="Y284" s="2"/>
      <c r="Z284" s="2"/>
      <c r="AA284" s="2"/>
      <c r="AB284" s="2"/>
      <c r="AC284" s="2"/>
      <c r="AD284" s="2"/>
      <c r="AE284" s="2"/>
      <c r="AF284" s="2"/>
      <c r="AG284" s="2"/>
    </row>
    <row r="285" spans="25:33" ht="12.75" hidden="1" customHeight="1" x14ac:dyDescent="0.2">
      <c r="Y285" s="2"/>
      <c r="Z285" s="2"/>
      <c r="AA285" s="2"/>
      <c r="AB285" s="2"/>
      <c r="AC285" s="2"/>
      <c r="AD285" s="2"/>
      <c r="AE285" s="2"/>
      <c r="AF285" s="2"/>
      <c r="AG285" s="2"/>
    </row>
    <row r="286" spans="25:33" ht="12.75" hidden="1" customHeight="1" x14ac:dyDescent="0.2">
      <c r="Y286" s="2"/>
      <c r="Z286" s="2"/>
      <c r="AA286" s="2"/>
      <c r="AB286" s="2"/>
      <c r="AC286" s="2"/>
      <c r="AD286" s="2"/>
      <c r="AE286" s="2"/>
      <c r="AF286" s="2"/>
      <c r="AG286" s="2"/>
    </row>
    <row r="287" spans="25:33" ht="12.75" hidden="1" customHeight="1" x14ac:dyDescent="0.2">
      <c r="Y287" s="2"/>
      <c r="Z287" s="2"/>
      <c r="AA287" s="2"/>
      <c r="AB287" s="2"/>
      <c r="AC287" s="2"/>
      <c r="AD287" s="2"/>
      <c r="AE287" s="2"/>
      <c r="AF287" s="2"/>
      <c r="AG287" s="2"/>
    </row>
    <row r="288" spans="25:33" ht="12.75" hidden="1" customHeight="1" x14ac:dyDescent="0.2">
      <c r="Y288" s="2"/>
      <c r="Z288" s="2"/>
      <c r="AA288" s="2"/>
      <c r="AB288" s="2"/>
      <c r="AC288" s="2"/>
      <c r="AD288" s="2"/>
      <c r="AE288" s="2"/>
      <c r="AF288" s="2"/>
      <c r="AG288" s="2"/>
    </row>
    <row r="289" spans="25:33" ht="12.75" hidden="1" customHeight="1" x14ac:dyDescent="0.2">
      <c r="Y289" s="2"/>
      <c r="Z289" s="2"/>
      <c r="AA289" s="2"/>
      <c r="AB289" s="2"/>
      <c r="AC289" s="2"/>
      <c r="AD289" s="2"/>
      <c r="AE289" s="2"/>
      <c r="AF289" s="2"/>
      <c r="AG289" s="2"/>
    </row>
    <row r="290" spans="25:33" ht="12.75" hidden="1" customHeight="1" x14ac:dyDescent="0.2">
      <c r="Y290" s="2"/>
      <c r="Z290" s="2"/>
      <c r="AA290" s="2"/>
      <c r="AB290" s="2"/>
      <c r="AC290" s="2"/>
      <c r="AD290" s="2"/>
      <c r="AE290" s="2"/>
      <c r="AF290" s="2"/>
      <c r="AG290" s="2"/>
    </row>
    <row r="291" spans="25:33" ht="12.75" hidden="1" customHeight="1" x14ac:dyDescent="0.2">
      <c r="Y291" s="2"/>
      <c r="Z291" s="2"/>
      <c r="AA291" s="2"/>
      <c r="AB291" s="2"/>
      <c r="AC291" s="2"/>
      <c r="AD291" s="2"/>
      <c r="AE291" s="2"/>
      <c r="AF291" s="2"/>
      <c r="AG291" s="2"/>
    </row>
    <row r="292" spans="25:33" ht="12.75" hidden="1" customHeight="1" x14ac:dyDescent="0.2">
      <c r="Y292" s="2"/>
      <c r="Z292" s="2"/>
      <c r="AA292" s="2"/>
      <c r="AB292" s="2"/>
      <c r="AC292" s="2"/>
      <c r="AD292" s="2"/>
      <c r="AE292" s="2"/>
      <c r="AF292" s="2"/>
      <c r="AG292" s="2"/>
    </row>
    <row r="293" spans="25:33" ht="12.75" hidden="1" customHeight="1" x14ac:dyDescent="0.2">
      <c r="Y293" s="2"/>
      <c r="Z293" s="2"/>
      <c r="AA293" s="2"/>
      <c r="AB293" s="2"/>
      <c r="AC293" s="2"/>
      <c r="AD293" s="2"/>
      <c r="AE293" s="2"/>
      <c r="AF293" s="2"/>
      <c r="AG293" s="2"/>
    </row>
    <row r="294" spans="25:33" ht="12.75" hidden="1" customHeight="1" x14ac:dyDescent="0.2">
      <c r="Y294" s="2"/>
      <c r="Z294" s="2"/>
      <c r="AA294" s="2"/>
      <c r="AB294" s="2"/>
      <c r="AC294" s="2"/>
      <c r="AD294" s="2"/>
      <c r="AE294" s="2"/>
      <c r="AF294" s="2"/>
      <c r="AG294" s="2"/>
    </row>
    <row r="295" spans="25:33" ht="12.75" hidden="1" customHeight="1" x14ac:dyDescent="0.2">
      <c r="Y295" s="2"/>
      <c r="Z295" s="2"/>
      <c r="AA295" s="2"/>
      <c r="AB295" s="2"/>
      <c r="AC295" s="2"/>
      <c r="AD295" s="2"/>
      <c r="AE295" s="2"/>
      <c r="AF295" s="2"/>
      <c r="AG295" s="2"/>
    </row>
    <row r="296" spans="25:33" ht="12.75" hidden="1" customHeight="1" x14ac:dyDescent="0.2">
      <c r="Y296" s="2"/>
      <c r="Z296" s="2"/>
      <c r="AA296" s="2"/>
      <c r="AB296" s="2"/>
      <c r="AC296" s="2"/>
      <c r="AD296" s="2"/>
      <c r="AE296" s="2"/>
      <c r="AF296" s="2"/>
      <c r="AG296" s="2"/>
    </row>
    <row r="297" spans="25:33" ht="12.75" hidden="1" customHeight="1" x14ac:dyDescent="0.2">
      <c r="Y297" s="2"/>
      <c r="Z297" s="2"/>
      <c r="AA297" s="2"/>
      <c r="AB297" s="2"/>
      <c r="AC297" s="2"/>
      <c r="AD297" s="2"/>
      <c r="AE297" s="2"/>
      <c r="AF297" s="2"/>
      <c r="AG297" s="2"/>
    </row>
    <row r="298" spans="25:33" ht="12.75" hidden="1" customHeight="1" x14ac:dyDescent="0.2">
      <c r="Y298" s="2"/>
      <c r="Z298" s="2"/>
      <c r="AA298" s="2"/>
      <c r="AB298" s="2"/>
      <c r="AC298" s="2"/>
      <c r="AD298" s="2"/>
      <c r="AE298" s="2"/>
      <c r="AF298" s="2"/>
      <c r="AG298" s="2"/>
    </row>
    <row r="299" spans="25:33" ht="12.75" hidden="1" customHeight="1" x14ac:dyDescent="0.2">
      <c r="Y299" s="2"/>
      <c r="Z299" s="2"/>
      <c r="AA299" s="2"/>
      <c r="AB299" s="2"/>
      <c r="AC299" s="2"/>
      <c r="AD299" s="2"/>
      <c r="AE299" s="2"/>
      <c r="AF299" s="2"/>
      <c r="AG299" s="2"/>
    </row>
    <row r="300" spans="25:33" ht="12.75" hidden="1" customHeight="1" x14ac:dyDescent="0.2">
      <c r="Y300" s="2"/>
      <c r="Z300" s="2"/>
      <c r="AA300" s="2"/>
      <c r="AB300" s="2"/>
      <c r="AC300" s="2"/>
      <c r="AD300" s="2"/>
      <c r="AE300" s="2"/>
      <c r="AF300" s="2"/>
      <c r="AG300" s="2"/>
    </row>
    <row r="301" spans="25:33" hidden="1" x14ac:dyDescent="0.2">
      <c r="Y301" s="2"/>
      <c r="Z301" s="2"/>
      <c r="AA301" s="2"/>
      <c r="AB301" s="2"/>
      <c r="AC301" s="2"/>
      <c r="AD301" s="2"/>
      <c r="AE301" s="2"/>
      <c r="AF301" s="2"/>
      <c r="AG301" s="2"/>
    </row>
    <row r="302" spans="25:33" hidden="1" x14ac:dyDescent="0.2">
      <c r="Y302" s="2"/>
      <c r="Z302" s="2"/>
      <c r="AA302" s="2"/>
      <c r="AB302" s="2"/>
      <c r="AC302" s="2"/>
      <c r="AD302" s="2"/>
      <c r="AE302" s="2"/>
      <c r="AF302" s="2"/>
      <c r="AG302" s="2"/>
    </row>
    <row r="303" spans="25:33" ht="14.25" hidden="1" customHeight="1" x14ac:dyDescent="0.2">
      <c r="Y303" s="2"/>
      <c r="Z303" s="2"/>
      <c r="AA303" s="2"/>
      <c r="AB303" s="2"/>
      <c r="AC303" s="2"/>
      <c r="AD303" s="2"/>
      <c r="AE303" s="2"/>
      <c r="AF303" s="2"/>
      <c r="AG303" s="2"/>
    </row>
    <row r="304" spans="25:33" ht="13.5" hidden="1" customHeight="1" x14ac:dyDescent="0.2">
      <c r="Y304" s="2"/>
      <c r="Z304" s="2"/>
      <c r="AA304" s="2"/>
      <c r="AB304" s="2"/>
      <c r="AC304" s="2"/>
      <c r="AD304" s="2"/>
      <c r="AE304" s="2"/>
      <c r="AF304" s="2"/>
      <c r="AG304" s="2"/>
    </row>
    <row r="305" spans="25:33" ht="12.75" hidden="1" customHeight="1" x14ac:dyDescent="0.2">
      <c r="Y305" s="2"/>
      <c r="Z305" s="2"/>
      <c r="AA305" s="2"/>
      <c r="AB305" s="2"/>
      <c r="AC305" s="2"/>
      <c r="AD305" s="2"/>
      <c r="AE305" s="2"/>
      <c r="AF305" s="2"/>
      <c r="AG305" s="2"/>
    </row>
    <row r="306" spans="25:33" ht="12.75" hidden="1" customHeight="1" x14ac:dyDescent="0.2">
      <c r="Y306" s="2"/>
      <c r="Z306" s="2"/>
      <c r="AA306" s="2"/>
      <c r="AB306" s="2"/>
      <c r="AC306" s="2"/>
      <c r="AD306" s="2"/>
      <c r="AE306" s="2"/>
      <c r="AF306" s="2"/>
      <c r="AG306" s="2"/>
    </row>
    <row r="307" spans="25:33" ht="12.75" hidden="1" customHeight="1" x14ac:dyDescent="0.2">
      <c r="Y307" s="2"/>
      <c r="Z307" s="2"/>
      <c r="AA307" s="2"/>
      <c r="AB307" s="2"/>
      <c r="AC307" s="2"/>
      <c r="AD307" s="2"/>
      <c r="AE307" s="2"/>
      <c r="AF307" s="2"/>
      <c r="AG307" s="2"/>
    </row>
    <row r="308" spans="25:33" ht="12.75" hidden="1" customHeight="1" x14ac:dyDescent="0.2">
      <c r="Y308" s="2"/>
      <c r="Z308" s="2"/>
      <c r="AA308" s="2"/>
      <c r="AB308" s="2"/>
      <c r="AC308" s="2"/>
      <c r="AD308" s="2"/>
      <c r="AE308" s="2"/>
      <c r="AF308" s="2"/>
      <c r="AG308" s="2"/>
    </row>
    <row r="309" spans="25:33" ht="12.75" hidden="1" customHeight="1" x14ac:dyDescent="0.2">
      <c r="Y309" s="2"/>
      <c r="Z309" s="2"/>
      <c r="AA309" s="2"/>
      <c r="AB309" s="2"/>
      <c r="AC309" s="2"/>
      <c r="AD309" s="2"/>
      <c r="AE309" s="2"/>
      <c r="AF309" s="2"/>
      <c r="AG309" s="2"/>
    </row>
    <row r="310" spans="25:33" ht="12.75" hidden="1" customHeight="1" x14ac:dyDescent="0.2">
      <c r="Y310" s="2"/>
      <c r="Z310" s="2"/>
      <c r="AA310" s="2"/>
      <c r="AB310" s="2"/>
      <c r="AC310" s="2"/>
      <c r="AD310" s="2"/>
      <c r="AE310" s="2"/>
      <c r="AF310" s="2"/>
      <c r="AG310" s="2"/>
    </row>
    <row r="311" spans="25:33" ht="12.75" hidden="1" customHeight="1" x14ac:dyDescent="0.2">
      <c r="Y311" s="2"/>
      <c r="Z311" s="2"/>
      <c r="AA311" s="2"/>
      <c r="AB311" s="2"/>
      <c r="AC311" s="2"/>
      <c r="AD311" s="2"/>
      <c r="AE311" s="2"/>
      <c r="AF311" s="2"/>
      <c r="AG311" s="2"/>
    </row>
    <row r="312" spans="25:33" ht="12.75" hidden="1" customHeight="1" x14ac:dyDescent="0.2">
      <c r="Y312" s="2"/>
      <c r="Z312" s="2"/>
      <c r="AA312" s="2"/>
      <c r="AB312" s="2"/>
      <c r="AC312" s="2"/>
      <c r="AD312" s="2"/>
      <c r="AE312" s="2"/>
      <c r="AF312" s="2"/>
      <c r="AG312" s="2"/>
    </row>
    <row r="313" spans="25:33" ht="12.75" hidden="1" customHeight="1" x14ac:dyDescent="0.2">
      <c r="Y313" s="2"/>
      <c r="Z313" s="2"/>
      <c r="AA313" s="2"/>
      <c r="AB313" s="2"/>
      <c r="AC313" s="2"/>
      <c r="AD313" s="2"/>
      <c r="AE313" s="2"/>
      <c r="AF313" s="2"/>
      <c r="AG313" s="2"/>
    </row>
    <row r="314" spans="25:33" ht="12.75" hidden="1" customHeight="1" x14ac:dyDescent="0.2">
      <c r="Y314" s="2"/>
      <c r="Z314" s="2"/>
      <c r="AA314" s="2"/>
      <c r="AB314" s="2"/>
      <c r="AC314" s="2"/>
      <c r="AD314" s="2"/>
      <c r="AE314" s="2"/>
      <c r="AF314" s="2"/>
      <c r="AG314" s="2"/>
    </row>
    <row r="315" spans="25:33" ht="12.75" hidden="1" customHeight="1" x14ac:dyDescent="0.2">
      <c r="Y315" s="2"/>
      <c r="Z315" s="2"/>
      <c r="AA315" s="2"/>
      <c r="AB315" s="2"/>
      <c r="AC315" s="2"/>
      <c r="AD315" s="2"/>
      <c r="AE315" s="2"/>
      <c r="AF315" s="2"/>
      <c r="AG315" s="2"/>
    </row>
    <row r="316" spans="25:33" ht="12.75" hidden="1" customHeight="1" x14ac:dyDescent="0.2">
      <c r="Y316" s="2"/>
      <c r="Z316" s="2"/>
      <c r="AA316" s="2"/>
      <c r="AB316" s="2"/>
      <c r="AC316" s="2"/>
      <c r="AD316" s="2"/>
      <c r="AE316" s="2"/>
      <c r="AF316" s="2"/>
      <c r="AG316" s="2"/>
    </row>
    <row r="317" spans="25:33" ht="12.75" hidden="1" customHeight="1" x14ac:dyDescent="0.2">
      <c r="Y317" s="2"/>
      <c r="Z317" s="2"/>
      <c r="AA317" s="2"/>
      <c r="AB317" s="2"/>
      <c r="AC317" s="2"/>
      <c r="AD317" s="2"/>
      <c r="AE317" s="2"/>
      <c r="AF317" s="2"/>
      <c r="AG317" s="2"/>
    </row>
    <row r="318" spans="25:33" ht="12.75" hidden="1" customHeight="1" x14ac:dyDescent="0.2">
      <c r="Y318" s="2"/>
      <c r="Z318" s="2"/>
      <c r="AA318" s="2"/>
      <c r="AB318" s="2"/>
      <c r="AC318" s="2"/>
      <c r="AD318" s="2"/>
      <c r="AE318" s="2"/>
      <c r="AF318" s="2"/>
      <c r="AG318" s="2"/>
    </row>
    <row r="319" spans="25:33" ht="12.75" hidden="1" customHeight="1" x14ac:dyDescent="0.2">
      <c r="Y319" s="2"/>
      <c r="Z319" s="2"/>
      <c r="AA319" s="2"/>
      <c r="AB319" s="2"/>
      <c r="AC319" s="2"/>
      <c r="AD319" s="2"/>
      <c r="AE319" s="2"/>
      <c r="AF319" s="2"/>
      <c r="AG319" s="2"/>
    </row>
    <row r="320" spans="25:33" ht="12.75" hidden="1" customHeight="1" x14ac:dyDescent="0.2">
      <c r="Y320" s="2"/>
      <c r="Z320" s="2"/>
      <c r="AA320" s="2"/>
      <c r="AB320" s="2"/>
      <c r="AC320" s="2"/>
      <c r="AD320" s="2"/>
      <c r="AE320" s="2"/>
      <c r="AF320" s="2"/>
      <c r="AG320" s="2"/>
    </row>
    <row r="321" spans="25:33" ht="12.75" hidden="1" customHeight="1" x14ac:dyDescent="0.2">
      <c r="Y321" s="2"/>
      <c r="Z321" s="2"/>
      <c r="AA321" s="2"/>
      <c r="AB321" s="2"/>
      <c r="AC321" s="2"/>
      <c r="AD321" s="2"/>
      <c r="AE321" s="2"/>
      <c r="AF321" s="2"/>
      <c r="AG321" s="2"/>
    </row>
    <row r="322" spans="25:33" ht="12.75" hidden="1" customHeight="1" x14ac:dyDescent="0.2">
      <c r="Y322" s="2"/>
      <c r="Z322" s="2"/>
      <c r="AA322" s="2"/>
      <c r="AB322" s="2"/>
      <c r="AC322" s="2"/>
      <c r="AD322" s="2"/>
      <c r="AE322" s="2"/>
      <c r="AF322" s="2"/>
      <c r="AG322" s="2"/>
    </row>
    <row r="323" spans="25:33" ht="12.75" hidden="1" customHeight="1" x14ac:dyDescent="0.2">
      <c r="Y323" s="2"/>
      <c r="Z323" s="2"/>
      <c r="AA323" s="2"/>
      <c r="AB323" s="2"/>
      <c r="AC323" s="2"/>
      <c r="AD323" s="2"/>
      <c r="AE323" s="2"/>
      <c r="AF323" s="2"/>
      <c r="AG323" s="2"/>
    </row>
    <row r="324" spans="25:33" ht="12.75" hidden="1" customHeight="1" x14ac:dyDescent="0.2">
      <c r="Y324" s="2"/>
      <c r="Z324" s="2"/>
      <c r="AA324" s="2"/>
      <c r="AB324" s="2"/>
      <c r="AC324" s="2"/>
      <c r="AD324" s="2"/>
      <c r="AE324" s="2"/>
      <c r="AF324" s="2"/>
      <c r="AG324" s="2"/>
    </row>
    <row r="325" spans="25:33" ht="12.75" hidden="1" customHeight="1" x14ac:dyDescent="0.2">
      <c r="Y325" s="2"/>
      <c r="Z325" s="2"/>
      <c r="AA325" s="2"/>
      <c r="AB325" s="2"/>
      <c r="AC325" s="2"/>
      <c r="AD325" s="2"/>
      <c r="AE325" s="2"/>
      <c r="AF325" s="2"/>
      <c r="AG325" s="2"/>
    </row>
    <row r="326" spans="25:33" ht="12.75" hidden="1" customHeight="1" x14ac:dyDescent="0.2">
      <c r="Y326" s="2"/>
      <c r="Z326" s="2"/>
      <c r="AA326" s="2"/>
      <c r="AB326" s="2"/>
      <c r="AC326" s="2"/>
      <c r="AD326" s="2"/>
      <c r="AE326" s="2"/>
      <c r="AF326" s="2"/>
      <c r="AG326" s="2"/>
    </row>
    <row r="327" spans="25:33" ht="12.75" hidden="1" customHeight="1" x14ac:dyDescent="0.2">
      <c r="Y327" s="2"/>
      <c r="Z327" s="2"/>
      <c r="AA327" s="2"/>
      <c r="AB327" s="2"/>
      <c r="AC327" s="2"/>
      <c r="AD327" s="2"/>
      <c r="AE327" s="2"/>
      <c r="AF327" s="2"/>
      <c r="AG327" s="2"/>
    </row>
    <row r="328" spans="25:33" ht="12.75" hidden="1" customHeight="1" x14ac:dyDescent="0.2">
      <c r="Y328" s="2"/>
      <c r="Z328" s="2"/>
      <c r="AA328" s="2"/>
      <c r="AB328" s="2"/>
      <c r="AC328" s="2"/>
      <c r="AD328" s="2"/>
      <c r="AE328" s="2"/>
      <c r="AF328" s="2"/>
      <c r="AG328" s="2"/>
    </row>
    <row r="329" spans="25:33" ht="12.75" hidden="1" customHeight="1" x14ac:dyDescent="0.2">
      <c r="Y329" s="2"/>
      <c r="Z329" s="2"/>
      <c r="AA329" s="2"/>
      <c r="AB329" s="2"/>
      <c r="AC329" s="2"/>
      <c r="AD329" s="2"/>
      <c r="AE329" s="2"/>
      <c r="AF329" s="2"/>
      <c r="AG329" s="2"/>
    </row>
    <row r="330" spans="25:33" ht="12.75" hidden="1" customHeight="1" x14ac:dyDescent="0.2">
      <c r="Y330" s="2"/>
      <c r="Z330" s="2"/>
      <c r="AA330" s="2"/>
      <c r="AB330" s="2"/>
      <c r="AC330" s="2"/>
      <c r="AD330" s="2"/>
      <c r="AE330" s="2"/>
      <c r="AF330" s="2"/>
      <c r="AG330" s="2"/>
    </row>
    <row r="331" spans="25:33" ht="12.75" hidden="1" customHeight="1" x14ac:dyDescent="0.2">
      <c r="Y331" s="2"/>
      <c r="Z331" s="2"/>
      <c r="AA331" s="2"/>
      <c r="AB331" s="2"/>
      <c r="AC331" s="2"/>
      <c r="AD331" s="2"/>
      <c r="AE331" s="2"/>
      <c r="AF331" s="2"/>
      <c r="AG331" s="2"/>
    </row>
    <row r="332" spans="25:33" ht="12.75" hidden="1" customHeight="1" x14ac:dyDescent="0.2">
      <c r="Y332" s="2"/>
      <c r="Z332" s="2"/>
      <c r="AA332" s="2"/>
      <c r="AB332" s="2"/>
      <c r="AC332" s="2"/>
      <c r="AD332" s="2"/>
      <c r="AE332" s="2"/>
      <c r="AF332" s="2"/>
      <c r="AG332" s="2"/>
    </row>
    <row r="333" spans="25:33" ht="12.75" hidden="1" customHeight="1" x14ac:dyDescent="0.2">
      <c r="Y333" s="2"/>
      <c r="Z333" s="2"/>
      <c r="AA333" s="2"/>
      <c r="AB333" s="2"/>
      <c r="AC333" s="2"/>
      <c r="AD333" s="2"/>
      <c r="AE333" s="2"/>
      <c r="AF333" s="2"/>
      <c r="AG333" s="2"/>
    </row>
    <row r="334" spans="25:33" ht="12.75" hidden="1" customHeight="1" x14ac:dyDescent="0.2">
      <c r="Y334" s="2"/>
      <c r="Z334" s="2"/>
      <c r="AA334" s="2"/>
      <c r="AB334" s="2"/>
      <c r="AC334" s="2"/>
      <c r="AD334" s="2"/>
      <c r="AE334" s="2"/>
      <c r="AF334" s="2"/>
      <c r="AG334" s="2"/>
    </row>
    <row r="335" spans="25:33" hidden="1" x14ac:dyDescent="0.2">
      <c r="Y335" s="2"/>
      <c r="Z335" s="2"/>
      <c r="AA335" s="2"/>
      <c r="AB335" s="2"/>
      <c r="AC335" s="2"/>
      <c r="AD335" s="2"/>
      <c r="AE335" s="2"/>
      <c r="AF335" s="2"/>
      <c r="AG335" s="2"/>
    </row>
    <row r="336" spans="25:33" hidden="1" x14ac:dyDescent="0.2">
      <c r="Y336" s="2"/>
      <c r="Z336" s="2"/>
      <c r="AA336" s="2"/>
      <c r="AB336" s="2"/>
      <c r="AC336" s="2"/>
      <c r="AD336" s="2"/>
      <c r="AE336" s="2"/>
      <c r="AF336" s="2"/>
      <c r="AG336" s="2"/>
    </row>
    <row r="337" spans="25:33" hidden="1" x14ac:dyDescent="0.2">
      <c r="Y337" s="2"/>
      <c r="Z337" s="2"/>
      <c r="AA337" s="2"/>
      <c r="AB337" s="2"/>
      <c r="AC337" s="2"/>
      <c r="AD337" s="2"/>
      <c r="AE337" s="2"/>
      <c r="AF337" s="2"/>
      <c r="AG337" s="2"/>
    </row>
    <row r="338" spans="25:33" hidden="1" x14ac:dyDescent="0.2">
      <c r="Y338" s="2"/>
      <c r="Z338" s="2"/>
      <c r="AA338" s="2"/>
      <c r="AB338" s="2"/>
      <c r="AC338" s="2"/>
      <c r="AD338" s="2"/>
      <c r="AE338" s="2"/>
      <c r="AF338" s="2"/>
      <c r="AG338" s="2"/>
    </row>
    <row r="339" spans="25:33" ht="14.25" hidden="1" customHeight="1" x14ac:dyDescent="0.2">
      <c r="Y339" s="2"/>
      <c r="Z339" s="2"/>
      <c r="AA339" s="2"/>
      <c r="AB339" s="2"/>
      <c r="AC339" s="2"/>
      <c r="AD339" s="2"/>
      <c r="AE339" s="2"/>
      <c r="AF339" s="2"/>
      <c r="AG339" s="2"/>
    </row>
    <row r="340" spans="25:33" ht="13.5" hidden="1" customHeight="1" x14ac:dyDescent="0.2">
      <c r="Y340" s="2"/>
      <c r="Z340" s="2"/>
      <c r="AA340" s="2"/>
      <c r="AB340" s="2"/>
      <c r="AC340" s="2"/>
      <c r="AD340" s="2"/>
      <c r="AE340" s="2"/>
      <c r="AF340" s="2"/>
      <c r="AG340" s="2"/>
    </row>
    <row r="341" spans="25:33" ht="12.75" hidden="1" customHeight="1" x14ac:dyDescent="0.2">
      <c r="Y341" s="2"/>
      <c r="Z341" s="2"/>
      <c r="AA341" s="2"/>
      <c r="AB341" s="2"/>
      <c r="AC341" s="2"/>
      <c r="AD341" s="2"/>
      <c r="AE341" s="2"/>
      <c r="AF341" s="2"/>
      <c r="AG341" s="2"/>
    </row>
    <row r="342" spans="25:33" ht="12.75" hidden="1" customHeight="1" x14ac:dyDescent="0.2">
      <c r="Y342" s="2"/>
      <c r="Z342" s="2"/>
      <c r="AA342" s="2"/>
      <c r="AB342" s="2"/>
      <c r="AC342" s="2"/>
      <c r="AD342" s="2"/>
      <c r="AE342" s="2"/>
      <c r="AF342" s="2"/>
      <c r="AG342" s="2"/>
    </row>
    <row r="343" spans="25:33" ht="12.75" hidden="1" customHeight="1" x14ac:dyDescent="0.2">
      <c r="Y343" s="2"/>
      <c r="Z343" s="2"/>
      <c r="AA343" s="2"/>
      <c r="AB343" s="2"/>
      <c r="AC343" s="2"/>
      <c r="AD343" s="2"/>
      <c r="AE343" s="2"/>
      <c r="AF343" s="2"/>
      <c r="AG343" s="2"/>
    </row>
    <row r="344" spans="25:33" ht="12.75" hidden="1" customHeight="1" x14ac:dyDescent="0.2">
      <c r="Y344" s="2"/>
      <c r="Z344" s="2"/>
      <c r="AA344" s="2"/>
      <c r="AB344" s="2"/>
      <c r="AC344" s="2"/>
      <c r="AD344" s="2"/>
      <c r="AE344" s="2"/>
      <c r="AF344" s="2"/>
      <c r="AG344" s="2"/>
    </row>
    <row r="345" spans="25:33" ht="12.75" hidden="1" customHeight="1" x14ac:dyDescent="0.2">
      <c r="Y345" s="2"/>
      <c r="Z345" s="2"/>
      <c r="AA345" s="2"/>
      <c r="AB345" s="2"/>
      <c r="AC345" s="2"/>
      <c r="AD345" s="2"/>
      <c r="AE345" s="2"/>
      <c r="AF345" s="2"/>
      <c r="AG345" s="2"/>
    </row>
    <row r="346" spans="25:33" ht="12.75" hidden="1" customHeight="1" x14ac:dyDescent="0.2">
      <c r="Y346" s="2"/>
      <c r="Z346" s="2"/>
      <c r="AA346" s="2"/>
      <c r="AB346" s="2"/>
      <c r="AC346" s="2"/>
      <c r="AD346" s="2"/>
      <c r="AE346" s="2"/>
      <c r="AF346" s="2"/>
      <c r="AG346" s="2"/>
    </row>
    <row r="347" spans="25:33" ht="12.75" hidden="1" customHeight="1" x14ac:dyDescent="0.2">
      <c r="Y347" s="2"/>
      <c r="Z347" s="2"/>
      <c r="AA347" s="2"/>
      <c r="AB347" s="2"/>
      <c r="AC347" s="2"/>
      <c r="AD347" s="2"/>
      <c r="AE347" s="2"/>
      <c r="AF347" s="2"/>
      <c r="AG347" s="2"/>
    </row>
    <row r="348" spans="25:33" ht="12.75" hidden="1" customHeight="1" x14ac:dyDescent="0.2">
      <c r="Y348" s="2"/>
      <c r="Z348" s="2"/>
      <c r="AA348" s="2"/>
      <c r="AB348" s="2"/>
      <c r="AC348" s="2"/>
      <c r="AD348" s="2"/>
      <c r="AE348" s="2"/>
      <c r="AF348" s="2"/>
      <c r="AG348" s="2"/>
    </row>
    <row r="349" spans="25:33" ht="12.75" hidden="1" customHeight="1" x14ac:dyDescent="0.2">
      <c r="Y349" s="2"/>
      <c r="Z349" s="2"/>
      <c r="AA349" s="2"/>
      <c r="AB349" s="2"/>
      <c r="AC349" s="2"/>
      <c r="AD349" s="2"/>
      <c r="AE349" s="2"/>
      <c r="AF349" s="2"/>
      <c r="AG349" s="2"/>
    </row>
    <row r="350" spans="25:33" ht="12.75" hidden="1" customHeight="1" x14ac:dyDescent="0.2">
      <c r="Y350" s="2"/>
      <c r="Z350" s="2"/>
      <c r="AA350" s="2"/>
      <c r="AB350" s="2"/>
      <c r="AC350" s="2"/>
      <c r="AD350" s="2"/>
      <c r="AE350" s="2"/>
      <c r="AF350" s="2"/>
      <c r="AG350" s="2"/>
    </row>
    <row r="351" spans="25:33" ht="12.75" hidden="1" customHeight="1" x14ac:dyDescent="0.2">
      <c r="Y351" s="2"/>
      <c r="Z351" s="2"/>
      <c r="AA351" s="2"/>
      <c r="AB351" s="2"/>
      <c r="AC351" s="2"/>
      <c r="AD351" s="2"/>
      <c r="AE351" s="2"/>
      <c r="AF351" s="2"/>
      <c r="AG351" s="2"/>
    </row>
    <row r="352" spans="25:33" ht="12.75" hidden="1" customHeight="1" x14ac:dyDescent="0.2">
      <c r="Y352" s="2"/>
      <c r="Z352" s="2"/>
      <c r="AA352" s="2"/>
      <c r="AB352" s="2"/>
      <c r="AC352" s="2"/>
      <c r="AD352" s="2"/>
      <c r="AE352" s="2"/>
      <c r="AF352" s="2"/>
      <c r="AG352" s="2"/>
    </row>
    <row r="353" spans="25:33" ht="12.75" hidden="1" customHeight="1" x14ac:dyDescent="0.2">
      <c r="Y353" s="2"/>
      <c r="Z353" s="2"/>
      <c r="AA353" s="2"/>
      <c r="AB353" s="2"/>
      <c r="AC353" s="2"/>
      <c r="AD353" s="2"/>
      <c r="AE353" s="2"/>
      <c r="AF353" s="2"/>
      <c r="AG353" s="2"/>
    </row>
    <row r="354" spans="25:33" ht="12.75" hidden="1" customHeight="1" x14ac:dyDescent="0.2">
      <c r="Y354" s="2"/>
      <c r="Z354" s="2"/>
      <c r="AA354" s="2"/>
      <c r="AB354" s="2"/>
      <c r="AC354" s="2"/>
      <c r="AD354" s="2"/>
      <c r="AE354" s="2"/>
      <c r="AF354" s="2"/>
      <c r="AG354" s="2"/>
    </row>
    <row r="355" spans="25:33" ht="12.75" hidden="1" customHeight="1" x14ac:dyDescent="0.2">
      <c r="Y355" s="2"/>
      <c r="Z355" s="2"/>
      <c r="AA355" s="2"/>
      <c r="AB355" s="2"/>
      <c r="AC355" s="2"/>
      <c r="AD355" s="2"/>
      <c r="AE355" s="2"/>
      <c r="AF355" s="2"/>
      <c r="AG355" s="2"/>
    </row>
    <row r="356" spans="25:33" ht="12.75" hidden="1" customHeight="1" x14ac:dyDescent="0.2">
      <c r="Y356" s="2"/>
      <c r="Z356" s="2"/>
      <c r="AA356" s="2"/>
      <c r="AB356" s="2"/>
      <c r="AC356" s="2"/>
      <c r="AD356" s="2"/>
      <c r="AE356" s="2"/>
      <c r="AF356" s="2"/>
      <c r="AG356" s="2"/>
    </row>
    <row r="357" spans="25:33" ht="12.75" hidden="1" customHeight="1" x14ac:dyDescent="0.2">
      <c r="Y357" s="2"/>
      <c r="Z357" s="2"/>
      <c r="AA357" s="2"/>
      <c r="AB357" s="2"/>
      <c r="AC357" s="2"/>
      <c r="AD357" s="2"/>
      <c r="AE357" s="2"/>
      <c r="AF357" s="2"/>
      <c r="AG357" s="2"/>
    </row>
    <row r="358" spans="25:33" ht="12.75" hidden="1" customHeight="1" x14ac:dyDescent="0.2">
      <c r="Y358" s="2"/>
      <c r="Z358" s="2"/>
      <c r="AA358" s="2"/>
      <c r="AB358" s="2"/>
      <c r="AC358" s="2"/>
      <c r="AD358" s="2"/>
      <c r="AE358" s="2"/>
      <c r="AF358" s="2"/>
      <c r="AG358" s="2"/>
    </row>
    <row r="359" spans="25:33" ht="12.75" hidden="1" customHeight="1" x14ac:dyDescent="0.2">
      <c r="Y359" s="2"/>
      <c r="Z359" s="2"/>
      <c r="AA359" s="2"/>
      <c r="AB359" s="2"/>
      <c r="AC359" s="2"/>
      <c r="AD359" s="2"/>
      <c r="AE359" s="2"/>
      <c r="AF359" s="2"/>
      <c r="AG359" s="2"/>
    </row>
    <row r="360" spans="25:33" ht="12.75" hidden="1" customHeight="1" x14ac:dyDescent="0.2">
      <c r="Y360" s="2"/>
      <c r="Z360" s="2"/>
      <c r="AA360" s="2"/>
      <c r="AB360" s="2"/>
      <c r="AC360" s="2"/>
      <c r="AD360" s="2"/>
      <c r="AE360" s="2"/>
      <c r="AF360" s="2"/>
      <c r="AG360" s="2"/>
    </row>
    <row r="361" spans="25:33" ht="12.75" hidden="1" customHeight="1" x14ac:dyDescent="0.2">
      <c r="Y361" s="2"/>
      <c r="Z361" s="2"/>
      <c r="AA361" s="2"/>
      <c r="AB361" s="2"/>
      <c r="AC361" s="2"/>
      <c r="AD361" s="2"/>
      <c r="AE361" s="2"/>
      <c r="AF361" s="2"/>
      <c r="AG361" s="2"/>
    </row>
    <row r="362" spans="25:33" ht="12.75" hidden="1" customHeight="1" x14ac:dyDescent="0.2">
      <c r="Y362" s="2"/>
      <c r="Z362" s="2"/>
      <c r="AA362" s="2"/>
      <c r="AB362" s="2"/>
      <c r="AC362" s="2"/>
      <c r="AD362" s="2"/>
      <c r="AE362" s="2"/>
      <c r="AF362" s="2"/>
      <c r="AG362" s="2"/>
    </row>
    <row r="363" spans="25:33" ht="12.75" hidden="1" customHeight="1" x14ac:dyDescent="0.2">
      <c r="Y363" s="2"/>
      <c r="Z363" s="2"/>
      <c r="AA363" s="2"/>
      <c r="AB363" s="2"/>
      <c r="AC363" s="2"/>
      <c r="AD363" s="2"/>
      <c r="AE363" s="2"/>
      <c r="AF363" s="2"/>
      <c r="AG363" s="2"/>
    </row>
    <row r="364" spans="25:33" ht="12.75" hidden="1" customHeight="1" x14ac:dyDescent="0.2">
      <c r="Y364" s="2"/>
      <c r="Z364" s="2"/>
      <c r="AA364" s="2"/>
      <c r="AB364" s="2"/>
      <c r="AC364" s="2"/>
      <c r="AD364" s="2"/>
      <c r="AE364" s="2"/>
      <c r="AF364" s="2"/>
      <c r="AG364" s="2"/>
    </row>
    <row r="365" spans="25:33" ht="12.75" hidden="1" customHeight="1" x14ac:dyDescent="0.2">
      <c r="Y365" s="2"/>
      <c r="Z365" s="2"/>
      <c r="AA365" s="2"/>
      <c r="AB365" s="2"/>
      <c r="AC365" s="2"/>
      <c r="AD365" s="2"/>
      <c r="AE365" s="2"/>
      <c r="AF365" s="2"/>
      <c r="AG365" s="2"/>
    </row>
    <row r="366" spans="25:33" ht="12.75" hidden="1" customHeight="1" x14ac:dyDescent="0.2">
      <c r="Y366" s="2"/>
      <c r="Z366" s="2"/>
      <c r="AA366" s="2"/>
      <c r="AB366" s="2"/>
      <c r="AC366" s="2"/>
      <c r="AD366" s="2"/>
      <c r="AE366" s="2"/>
      <c r="AF366" s="2"/>
      <c r="AG366" s="2"/>
    </row>
    <row r="367" spans="25:33" ht="12.75" hidden="1" customHeight="1" x14ac:dyDescent="0.2">
      <c r="Y367" s="2"/>
      <c r="Z367" s="2"/>
      <c r="AA367" s="2"/>
      <c r="AB367" s="2"/>
      <c r="AC367" s="2"/>
      <c r="AD367" s="2"/>
      <c r="AE367" s="2"/>
      <c r="AF367" s="2"/>
      <c r="AG367" s="2"/>
    </row>
    <row r="368" spans="25:33" ht="12.75" hidden="1" customHeight="1" x14ac:dyDescent="0.2">
      <c r="Y368" s="2"/>
      <c r="Z368" s="2"/>
      <c r="AA368" s="2"/>
      <c r="AB368" s="2"/>
      <c r="AC368" s="2"/>
      <c r="AD368" s="2"/>
      <c r="AE368" s="2"/>
      <c r="AF368" s="2"/>
      <c r="AG368" s="2"/>
    </row>
    <row r="369" spans="25:33" ht="12.75" hidden="1" customHeight="1" x14ac:dyDescent="0.2">
      <c r="Y369" s="2"/>
      <c r="Z369" s="2"/>
      <c r="AA369" s="2"/>
      <c r="AB369" s="2"/>
      <c r="AC369" s="2"/>
      <c r="AD369" s="2"/>
      <c r="AE369" s="2"/>
      <c r="AF369" s="2"/>
      <c r="AG369" s="2"/>
    </row>
    <row r="370" spans="25:33" ht="12.75" hidden="1" customHeight="1" x14ac:dyDescent="0.2">
      <c r="Y370" s="2"/>
      <c r="Z370" s="2"/>
      <c r="AA370" s="2"/>
      <c r="AB370" s="2"/>
      <c r="AC370" s="2"/>
      <c r="AD370" s="2"/>
      <c r="AE370" s="2"/>
      <c r="AF370" s="2"/>
      <c r="AG370" s="2"/>
    </row>
    <row r="371" spans="25:33" hidden="1" x14ac:dyDescent="0.2">
      <c r="Y371" s="2"/>
      <c r="Z371" s="2"/>
      <c r="AA371" s="2"/>
      <c r="AB371" s="2"/>
      <c r="AC371" s="2"/>
      <c r="AD371" s="2"/>
      <c r="AE371" s="2"/>
      <c r="AF371" s="2"/>
      <c r="AG371" s="2"/>
    </row>
    <row r="372" spans="25:33" hidden="1" x14ac:dyDescent="0.2">
      <c r="Y372" s="2"/>
      <c r="Z372" s="2"/>
      <c r="AA372" s="2"/>
      <c r="AB372" s="2"/>
      <c r="AC372" s="2"/>
      <c r="AD372" s="2"/>
      <c r="AE372" s="2"/>
      <c r="AF372" s="2"/>
      <c r="AG372" s="2"/>
    </row>
    <row r="373" spans="25:33" hidden="1" x14ac:dyDescent="0.2">
      <c r="Y373" s="2"/>
      <c r="Z373" s="2"/>
      <c r="AA373" s="2"/>
      <c r="AB373" s="2"/>
      <c r="AC373" s="2"/>
      <c r="AD373" s="2"/>
      <c r="AE373" s="2"/>
      <c r="AF373" s="2"/>
      <c r="AG373" s="2"/>
    </row>
    <row r="374" spans="25:33" hidden="1" x14ac:dyDescent="0.2">
      <c r="Y374" s="2"/>
      <c r="Z374" s="2"/>
      <c r="AA374" s="2"/>
      <c r="AB374" s="2"/>
      <c r="AC374" s="2"/>
      <c r="AD374" s="2"/>
      <c r="AE374" s="2"/>
      <c r="AF374" s="2"/>
      <c r="AG374" s="2"/>
    </row>
    <row r="375" spans="25:33" hidden="1" x14ac:dyDescent="0.2">
      <c r="Y375" s="2"/>
      <c r="Z375" s="2"/>
      <c r="AA375" s="2"/>
      <c r="AB375" s="2"/>
      <c r="AC375" s="2"/>
      <c r="AD375" s="2"/>
      <c r="AE375" s="2"/>
      <c r="AF375" s="2"/>
      <c r="AG375" s="2"/>
    </row>
    <row r="376" spans="25:33" hidden="1" x14ac:dyDescent="0.2">
      <c r="Y376" s="2"/>
      <c r="Z376" s="2"/>
      <c r="AA376" s="2"/>
      <c r="AB376" s="2"/>
      <c r="AC376" s="2"/>
      <c r="AD376" s="2"/>
      <c r="AE376" s="2"/>
      <c r="AF376" s="2"/>
      <c r="AG376" s="2"/>
    </row>
    <row r="377" spans="25:33" ht="14.25" hidden="1" customHeight="1" x14ac:dyDescent="0.2">
      <c r="Y377" s="2"/>
      <c r="Z377" s="2"/>
      <c r="AA377" s="2"/>
      <c r="AB377" s="2"/>
      <c r="AC377" s="2"/>
      <c r="AD377" s="2"/>
      <c r="AE377" s="2"/>
      <c r="AF377" s="2"/>
      <c r="AG377" s="2"/>
    </row>
    <row r="378" spans="25:33" hidden="1" x14ac:dyDescent="0.2">
      <c r="Y378" s="2"/>
      <c r="Z378" s="2"/>
      <c r="AA378" s="2"/>
      <c r="AB378" s="2"/>
      <c r="AC378" s="2"/>
      <c r="AD378" s="2"/>
      <c r="AE378" s="2"/>
      <c r="AF378" s="2"/>
      <c r="AG378" s="2"/>
    </row>
    <row r="379" spans="25:33" hidden="1" x14ac:dyDescent="0.2">
      <c r="Y379" s="2"/>
      <c r="Z379" s="2"/>
      <c r="AA379" s="2"/>
      <c r="AB379" s="2"/>
      <c r="AC379" s="2"/>
      <c r="AD379" s="2"/>
      <c r="AE379" s="2"/>
      <c r="AF379" s="2"/>
      <c r="AG379" s="2"/>
    </row>
    <row r="380" spans="25:33" hidden="1" x14ac:dyDescent="0.2">
      <c r="Y380" s="2"/>
      <c r="Z380" s="2"/>
      <c r="AA380" s="2"/>
      <c r="AB380" s="2"/>
      <c r="AC380" s="2"/>
      <c r="AD380" s="2"/>
      <c r="AE380" s="2"/>
      <c r="AF380" s="2"/>
      <c r="AG380" s="2"/>
    </row>
    <row r="381" spans="25:33" hidden="1" x14ac:dyDescent="0.2">
      <c r="Y381" s="2"/>
      <c r="Z381" s="2"/>
      <c r="AA381" s="2"/>
      <c r="AB381" s="2"/>
      <c r="AC381" s="2"/>
      <c r="AD381" s="2"/>
      <c r="AE381" s="2"/>
      <c r="AF381" s="2"/>
      <c r="AG381" s="2"/>
    </row>
    <row r="382" spans="25:33" hidden="1" x14ac:dyDescent="0.2">
      <c r="Y382" s="2"/>
      <c r="Z382" s="2"/>
      <c r="AA382" s="2"/>
      <c r="AB382" s="2"/>
      <c r="AC382" s="2"/>
      <c r="AD382" s="2"/>
      <c r="AE382" s="2"/>
      <c r="AF382" s="2"/>
      <c r="AG382" s="2"/>
    </row>
    <row r="383" spans="25:33" hidden="1" x14ac:dyDescent="0.2">
      <c r="Y383" s="2"/>
      <c r="Z383" s="2"/>
      <c r="AA383" s="2"/>
      <c r="AB383" s="2"/>
      <c r="AC383" s="2"/>
      <c r="AD383" s="2"/>
      <c r="AE383" s="2"/>
      <c r="AF383" s="2"/>
      <c r="AG383" s="2"/>
    </row>
    <row r="384" spans="25:33" hidden="1" x14ac:dyDescent="0.2">
      <c r="Y384" s="2"/>
      <c r="Z384" s="2"/>
      <c r="AA384" s="2"/>
      <c r="AB384" s="2"/>
      <c r="AC384" s="2"/>
      <c r="AD384" s="2"/>
      <c r="AE384" s="2"/>
      <c r="AF384" s="2"/>
      <c r="AG384" s="2"/>
    </row>
    <row r="385" spans="25:33" hidden="1" x14ac:dyDescent="0.2">
      <c r="Y385" s="2"/>
      <c r="Z385" s="2"/>
      <c r="AA385" s="2"/>
      <c r="AB385" s="2"/>
      <c r="AC385" s="2"/>
      <c r="AD385" s="2"/>
      <c r="AE385" s="2"/>
      <c r="AF385" s="2"/>
      <c r="AG385" s="2"/>
    </row>
    <row r="386" spans="25:33" hidden="1" x14ac:dyDescent="0.2">
      <c r="Y386" s="2"/>
      <c r="Z386" s="2"/>
      <c r="AA386" s="2"/>
      <c r="AB386" s="2"/>
      <c r="AC386" s="2"/>
      <c r="AD386" s="2"/>
      <c r="AE386" s="2"/>
      <c r="AF386" s="2"/>
      <c r="AG386" s="2"/>
    </row>
    <row r="387" spans="25:33" hidden="1" x14ac:dyDescent="0.2">
      <c r="Y387" s="2"/>
      <c r="Z387" s="2"/>
      <c r="AA387" s="2"/>
      <c r="AB387" s="2"/>
      <c r="AC387" s="2"/>
      <c r="AD387" s="2"/>
      <c r="AE387" s="2"/>
      <c r="AF387" s="2"/>
      <c r="AG387" s="2"/>
    </row>
    <row r="388" spans="25:33" hidden="1" x14ac:dyDescent="0.2">
      <c r="Y388" s="2"/>
      <c r="Z388" s="2"/>
      <c r="AA388" s="2"/>
      <c r="AB388" s="2"/>
      <c r="AC388" s="2"/>
      <c r="AD388" s="2"/>
      <c r="AE388" s="2"/>
      <c r="AF388" s="2"/>
      <c r="AG388" s="2"/>
    </row>
    <row r="389" spans="25:33" hidden="1" x14ac:dyDescent="0.2">
      <c r="Y389" s="2"/>
      <c r="Z389" s="2"/>
      <c r="AA389" s="2"/>
      <c r="AB389" s="2"/>
      <c r="AC389" s="2"/>
      <c r="AD389" s="2"/>
      <c r="AE389" s="2"/>
      <c r="AF389" s="2"/>
      <c r="AG389" s="2"/>
    </row>
    <row r="390" spans="25:33" hidden="1" x14ac:dyDescent="0.2">
      <c r="Y390" s="2"/>
      <c r="Z390" s="2"/>
      <c r="AA390" s="2"/>
      <c r="AB390" s="2"/>
      <c r="AC390" s="2"/>
      <c r="AD390" s="2"/>
      <c r="AE390" s="2"/>
      <c r="AF390" s="2"/>
      <c r="AG390" s="2"/>
    </row>
    <row r="391" spans="25:33" hidden="1" x14ac:dyDescent="0.2">
      <c r="Y391" s="2"/>
      <c r="Z391" s="2"/>
      <c r="AA391" s="2"/>
      <c r="AB391" s="2"/>
      <c r="AC391" s="2"/>
      <c r="AD391" s="2"/>
      <c r="AE391" s="2"/>
      <c r="AF391" s="2"/>
      <c r="AG391" s="2"/>
    </row>
    <row r="392" spans="25:33" hidden="1" x14ac:dyDescent="0.2">
      <c r="Y392" s="2"/>
      <c r="Z392" s="2"/>
      <c r="AA392" s="2"/>
      <c r="AB392" s="2"/>
      <c r="AC392" s="2"/>
      <c r="AD392" s="2"/>
      <c r="AE392" s="2"/>
      <c r="AF392" s="2"/>
      <c r="AG392" s="2"/>
    </row>
    <row r="393" spans="25:33" hidden="1" x14ac:dyDescent="0.2">
      <c r="Y393" s="2"/>
      <c r="Z393" s="2"/>
      <c r="AA393" s="2"/>
      <c r="AB393" s="2"/>
      <c r="AC393" s="2"/>
      <c r="AD393" s="2"/>
      <c r="AE393" s="2"/>
      <c r="AF393" s="2"/>
      <c r="AG393" s="2"/>
    </row>
    <row r="394" spans="25:33" hidden="1" x14ac:dyDescent="0.2">
      <c r="Y394" s="2"/>
      <c r="Z394" s="2"/>
      <c r="AA394" s="2"/>
      <c r="AB394" s="2"/>
      <c r="AC394" s="2"/>
      <c r="AD394" s="2"/>
      <c r="AE394" s="2"/>
      <c r="AF394" s="2"/>
      <c r="AG394" s="2"/>
    </row>
    <row r="395" spans="25:33" hidden="1" x14ac:dyDescent="0.2">
      <c r="Y395" s="2"/>
      <c r="Z395" s="2"/>
      <c r="AA395" s="2"/>
      <c r="AB395" s="2"/>
      <c r="AC395" s="2"/>
      <c r="AD395" s="2"/>
      <c r="AE395" s="2"/>
      <c r="AF395" s="2"/>
      <c r="AG395" s="2"/>
    </row>
    <row r="396" spans="25:33" hidden="1" x14ac:dyDescent="0.2">
      <c r="Y396" s="2"/>
      <c r="Z396" s="2"/>
      <c r="AA396" s="2"/>
      <c r="AB396" s="2"/>
      <c r="AC396" s="2"/>
      <c r="AD396" s="2"/>
      <c r="AE396" s="2"/>
      <c r="AF396" s="2"/>
      <c r="AG396" s="2"/>
    </row>
    <row r="397" spans="25:33" hidden="1" x14ac:dyDescent="0.2">
      <c r="Y397" s="2"/>
      <c r="Z397" s="2"/>
      <c r="AA397" s="2"/>
      <c r="AB397" s="2"/>
      <c r="AC397" s="2"/>
      <c r="AD397" s="2"/>
      <c r="AE397" s="2"/>
      <c r="AF397" s="2"/>
      <c r="AG397" s="2"/>
    </row>
    <row r="398" spans="25:33" hidden="1" x14ac:dyDescent="0.2">
      <c r="Y398" s="2"/>
      <c r="Z398" s="2"/>
      <c r="AA398" s="2"/>
      <c r="AB398" s="2"/>
      <c r="AC398" s="2"/>
      <c r="AD398" s="2"/>
      <c r="AE398" s="2"/>
      <c r="AF398" s="2"/>
      <c r="AG398" s="2"/>
    </row>
    <row r="399" spans="25:33" hidden="1" x14ac:dyDescent="0.2">
      <c r="Y399" s="2"/>
      <c r="Z399" s="2"/>
      <c r="AA399" s="2"/>
      <c r="AB399" s="2"/>
      <c r="AC399" s="2"/>
      <c r="AD399" s="2"/>
      <c r="AE399" s="2"/>
      <c r="AF399" s="2"/>
      <c r="AG399" s="2"/>
    </row>
    <row r="400" spans="25:33" hidden="1" x14ac:dyDescent="0.2">
      <c r="Y400" s="2"/>
      <c r="Z400" s="2"/>
      <c r="AA400" s="2"/>
      <c r="AB400" s="2"/>
      <c r="AC400" s="2"/>
      <c r="AD400" s="2"/>
      <c r="AE400" s="2"/>
      <c r="AF400" s="2"/>
      <c r="AG400" s="2"/>
    </row>
    <row r="401" spans="25:33" hidden="1" x14ac:dyDescent="0.2">
      <c r="Y401" s="2"/>
      <c r="Z401" s="2"/>
      <c r="AA401" s="2"/>
      <c r="AB401" s="2"/>
      <c r="AC401" s="2"/>
      <c r="AD401" s="2"/>
      <c r="AE401" s="2"/>
      <c r="AF401" s="2"/>
      <c r="AG401" s="2"/>
    </row>
    <row r="402" spans="25:33" hidden="1" x14ac:dyDescent="0.2">
      <c r="Y402" s="2"/>
      <c r="Z402" s="2"/>
      <c r="AA402" s="2"/>
      <c r="AB402" s="2"/>
      <c r="AC402" s="2"/>
      <c r="AD402" s="2"/>
      <c r="AE402" s="2"/>
      <c r="AF402" s="2"/>
      <c r="AG402" s="2"/>
    </row>
    <row r="403" spans="25:33" hidden="1" x14ac:dyDescent="0.2">
      <c r="Y403" s="2"/>
      <c r="Z403" s="2"/>
      <c r="AA403" s="2"/>
      <c r="AB403" s="2"/>
      <c r="AC403" s="2"/>
      <c r="AD403" s="2"/>
      <c r="AE403" s="2"/>
      <c r="AF403" s="2"/>
      <c r="AG403" s="2"/>
    </row>
    <row r="404" spans="25:33" hidden="1" x14ac:dyDescent="0.2">
      <c r="Y404" s="2"/>
      <c r="Z404" s="2"/>
      <c r="AA404" s="2"/>
      <c r="AB404" s="2"/>
      <c r="AC404" s="2"/>
      <c r="AD404" s="2"/>
      <c r="AE404" s="2"/>
      <c r="AF404" s="2"/>
      <c r="AG404" s="2"/>
    </row>
    <row r="405" spans="25:33" hidden="1" x14ac:dyDescent="0.2">
      <c r="Y405" s="2"/>
      <c r="Z405" s="2"/>
      <c r="AA405" s="2"/>
      <c r="AB405" s="2"/>
      <c r="AC405" s="2"/>
      <c r="AD405" s="2"/>
      <c r="AE405" s="2"/>
      <c r="AF405" s="2"/>
      <c r="AG405" s="2"/>
    </row>
    <row r="406" spans="25:33" hidden="1" x14ac:dyDescent="0.2">
      <c r="Y406" s="2"/>
      <c r="Z406" s="2"/>
      <c r="AA406" s="2"/>
      <c r="AB406" s="2"/>
      <c r="AC406" s="2"/>
      <c r="AD406" s="2"/>
      <c r="AE406" s="2"/>
      <c r="AF406" s="2"/>
      <c r="AG406" s="2"/>
    </row>
    <row r="407" spans="25:33" hidden="1" x14ac:dyDescent="0.2">
      <c r="Y407" s="2"/>
      <c r="Z407" s="2"/>
      <c r="AA407" s="2"/>
      <c r="AB407" s="2"/>
      <c r="AC407" s="2"/>
      <c r="AD407" s="2"/>
      <c r="AE407" s="2"/>
      <c r="AF407" s="2"/>
      <c r="AG407" s="2"/>
    </row>
    <row r="408" spans="25:33" hidden="1" x14ac:dyDescent="0.2">
      <c r="Y408" s="2"/>
      <c r="Z408" s="2"/>
      <c r="AA408" s="2"/>
      <c r="AB408" s="2"/>
      <c r="AC408" s="2"/>
      <c r="AD408" s="2"/>
      <c r="AE408" s="2"/>
      <c r="AF408" s="2"/>
      <c r="AG408" s="2"/>
    </row>
    <row r="409" spans="25:33" hidden="1" x14ac:dyDescent="0.2">
      <c r="Y409" s="2"/>
      <c r="Z409" s="2"/>
      <c r="AA409" s="2"/>
      <c r="AB409" s="2"/>
      <c r="AC409" s="2"/>
      <c r="AD409" s="2"/>
      <c r="AE409" s="2"/>
      <c r="AF409" s="2"/>
      <c r="AG409" s="2"/>
    </row>
    <row r="410" spans="25:33" hidden="1" x14ac:dyDescent="0.2">
      <c r="Y410" s="2"/>
      <c r="Z410" s="2"/>
      <c r="AA410" s="2"/>
      <c r="AB410" s="2"/>
      <c r="AC410" s="2"/>
      <c r="AD410" s="2"/>
      <c r="AE410" s="2"/>
      <c r="AF410" s="2"/>
      <c r="AG410" s="2"/>
    </row>
    <row r="411" spans="25:33" hidden="1" x14ac:dyDescent="0.2">
      <c r="Y411" s="2"/>
      <c r="Z411" s="2"/>
      <c r="AA411" s="2"/>
      <c r="AB411" s="2"/>
      <c r="AC411" s="2"/>
      <c r="AD411" s="2"/>
      <c r="AE411" s="2"/>
      <c r="AF411" s="2"/>
      <c r="AG411" s="2"/>
    </row>
    <row r="412" spans="25:33" hidden="1" x14ac:dyDescent="0.2">
      <c r="Y412" s="2"/>
      <c r="Z412" s="2"/>
      <c r="AA412" s="2"/>
      <c r="AB412" s="2"/>
      <c r="AC412" s="2"/>
      <c r="AD412" s="2"/>
      <c r="AE412" s="2"/>
      <c r="AF412" s="2"/>
      <c r="AG412" s="2"/>
    </row>
    <row r="413" spans="25:33" hidden="1" x14ac:dyDescent="0.2">
      <c r="Y413" s="2"/>
      <c r="Z413" s="2"/>
      <c r="AA413" s="2"/>
      <c r="AB413" s="2"/>
      <c r="AC413" s="2"/>
      <c r="AD413" s="2"/>
      <c r="AE413" s="2"/>
      <c r="AF413" s="2"/>
      <c r="AG413" s="2"/>
    </row>
    <row r="414" spans="25:33" hidden="1" x14ac:dyDescent="0.2">
      <c r="Y414" s="2"/>
      <c r="Z414" s="2"/>
      <c r="AA414" s="2"/>
      <c r="AB414" s="2"/>
      <c r="AC414" s="2"/>
      <c r="AD414" s="2"/>
      <c r="AE414" s="2"/>
      <c r="AF414" s="2"/>
      <c r="AG414" s="2"/>
    </row>
    <row r="415" spans="25:33" ht="14.25" hidden="1" customHeight="1" x14ac:dyDescent="0.2">
      <c r="Y415" s="2"/>
      <c r="Z415" s="2"/>
      <c r="AA415" s="2"/>
      <c r="AB415" s="2"/>
      <c r="AC415" s="2"/>
      <c r="AD415" s="2"/>
      <c r="AE415" s="2"/>
      <c r="AF415" s="2"/>
      <c r="AG415" s="2"/>
    </row>
    <row r="416" spans="25:33" ht="13.5" hidden="1" customHeight="1" x14ac:dyDescent="0.2">
      <c r="Y416" s="2"/>
      <c r="Z416" s="2"/>
      <c r="AA416" s="2"/>
      <c r="AB416" s="2"/>
      <c r="AC416" s="2"/>
      <c r="AD416" s="2"/>
      <c r="AE416" s="2"/>
      <c r="AF416" s="2"/>
      <c r="AG416" s="2"/>
    </row>
    <row r="417" spans="25:33" ht="12.75" hidden="1" customHeight="1" x14ac:dyDescent="0.2">
      <c r="Y417" s="2"/>
      <c r="Z417" s="2"/>
      <c r="AA417" s="2"/>
      <c r="AB417" s="2"/>
      <c r="AC417" s="2"/>
      <c r="AD417" s="2"/>
      <c r="AE417" s="2"/>
      <c r="AF417" s="2"/>
      <c r="AG417" s="2"/>
    </row>
    <row r="418" spans="25:33" ht="12.75" hidden="1" customHeight="1" x14ac:dyDescent="0.2">
      <c r="Y418" s="2"/>
      <c r="Z418" s="2"/>
      <c r="AA418" s="2"/>
      <c r="AB418" s="2"/>
      <c r="AC418" s="2"/>
      <c r="AD418" s="2"/>
      <c r="AE418" s="2"/>
      <c r="AF418" s="2"/>
      <c r="AG418" s="2"/>
    </row>
    <row r="419" spans="25:33" ht="12.75" hidden="1" customHeight="1" x14ac:dyDescent="0.2">
      <c r="Y419" s="2"/>
      <c r="Z419" s="2"/>
      <c r="AA419" s="2"/>
      <c r="AB419" s="2"/>
      <c r="AC419" s="2"/>
      <c r="AD419" s="2"/>
      <c r="AE419" s="2"/>
      <c r="AF419" s="2"/>
      <c r="AG419" s="2"/>
    </row>
    <row r="420" spans="25:33" ht="12.75" hidden="1" customHeight="1" x14ac:dyDescent="0.2">
      <c r="Y420" s="2"/>
      <c r="Z420" s="2"/>
      <c r="AA420" s="2"/>
      <c r="AB420" s="2"/>
      <c r="AC420" s="2"/>
      <c r="AD420" s="2"/>
      <c r="AE420" s="2"/>
      <c r="AF420" s="2"/>
      <c r="AG420" s="2"/>
    </row>
    <row r="421" spans="25:33" ht="12.75" hidden="1" customHeight="1" x14ac:dyDescent="0.2">
      <c r="Y421" s="2"/>
      <c r="Z421" s="2"/>
      <c r="AA421" s="2"/>
      <c r="AB421" s="2"/>
      <c r="AC421" s="2"/>
      <c r="AD421" s="2"/>
      <c r="AE421" s="2"/>
      <c r="AF421" s="2"/>
      <c r="AG421" s="2"/>
    </row>
    <row r="422" spans="25:33" ht="12.75" hidden="1" customHeight="1" x14ac:dyDescent="0.2">
      <c r="Y422" s="2"/>
      <c r="Z422" s="2"/>
      <c r="AA422" s="2"/>
      <c r="AB422" s="2"/>
      <c r="AC422" s="2"/>
      <c r="AD422" s="2"/>
      <c r="AE422" s="2"/>
      <c r="AF422" s="2"/>
      <c r="AG422" s="2"/>
    </row>
    <row r="423" spans="25:33" ht="12.75" hidden="1" customHeight="1" x14ac:dyDescent="0.2">
      <c r="Y423" s="2"/>
      <c r="Z423" s="2"/>
      <c r="AA423" s="2"/>
      <c r="AB423" s="2"/>
      <c r="AC423" s="2"/>
      <c r="AD423" s="2"/>
      <c r="AE423" s="2"/>
      <c r="AF423" s="2"/>
      <c r="AG423" s="2"/>
    </row>
    <row r="424" spans="25:33" ht="12.75" hidden="1" customHeight="1" x14ac:dyDescent="0.2">
      <c r="Y424" s="2"/>
      <c r="Z424" s="2"/>
      <c r="AA424" s="2"/>
      <c r="AB424" s="2"/>
      <c r="AC424" s="2"/>
      <c r="AD424" s="2"/>
      <c r="AE424" s="2"/>
      <c r="AF424" s="2"/>
      <c r="AG424" s="2"/>
    </row>
    <row r="425" spans="25:33" ht="12.75" hidden="1" customHeight="1" x14ac:dyDescent="0.2">
      <c r="Y425" s="2"/>
      <c r="Z425" s="2"/>
      <c r="AA425" s="2"/>
      <c r="AB425" s="2"/>
      <c r="AC425" s="2"/>
      <c r="AD425" s="2"/>
      <c r="AE425" s="2"/>
      <c r="AF425" s="2"/>
      <c r="AG425" s="2"/>
    </row>
    <row r="426" spans="25:33" ht="12.75" hidden="1" customHeight="1" x14ac:dyDescent="0.2">
      <c r="Y426" s="2"/>
      <c r="Z426" s="2"/>
      <c r="AA426" s="2"/>
      <c r="AB426" s="2"/>
      <c r="AC426" s="2"/>
      <c r="AD426" s="2"/>
      <c r="AE426" s="2"/>
      <c r="AF426" s="2"/>
      <c r="AG426" s="2"/>
    </row>
    <row r="427" spans="25:33" ht="12.75" hidden="1" customHeight="1" x14ac:dyDescent="0.2">
      <c r="Y427" s="2"/>
      <c r="Z427" s="2"/>
      <c r="AA427" s="2"/>
      <c r="AB427" s="2"/>
      <c r="AC427" s="2"/>
      <c r="AD427" s="2"/>
      <c r="AE427" s="2"/>
      <c r="AF427" s="2"/>
      <c r="AG427" s="2"/>
    </row>
    <row r="428" spans="25:33" ht="12.75" hidden="1" customHeight="1" x14ac:dyDescent="0.2">
      <c r="Y428" s="2"/>
      <c r="Z428" s="2"/>
      <c r="AA428" s="2"/>
      <c r="AB428" s="2"/>
      <c r="AC428" s="2"/>
      <c r="AD428" s="2"/>
      <c r="AE428" s="2"/>
      <c r="AF428" s="2"/>
      <c r="AG428" s="2"/>
    </row>
    <row r="429" spans="25:33" ht="12.75" hidden="1" customHeight="1" x14ac:dyDescent="0.2">
      <c r="Y429" s="2"/>
      <c r="Z429" s="2"/>
      <c r="AA429" s="2"/>
      <c r="AB429" s="2"/>
      <c r="AC429" s="2"/>
      <c r="AD429" s="2"/>
      <c r="AE429" s="2"/>
      <c r="AF429" s="2"/>
      <c r="AG429" s="2"/>
    </row>
    <row r="430" spans="25:33" ht="12.75" hidden="1" customHeight="1" x14ac:dyDescent="0.2">
      <c r="Y430" s="2"/>
      <c r="Z430" s="2"/>
      <c r="AA430" s="2"/>
      <c r="AB430" s="2"/>
      <c r="AC430" s="2"/>
      <c r="AD430" s="2"/>
      <c r="AE430" s="2"/>
      <c r="AF430" s="2"/>
      <c r="AG430" s="2"/>
    </row>
    <row r="431" spans="25:33" ht="12.75" hidden="1" customHeight="1" x14ac:dyDescent="0.2">
      <c r="Y431" s="2"/>
      <c r="Z431" s="2"/>
      <c r="AA431" s="2"/>
      <c r="AB431" s="2"/>
      <c r="AC431" s="2"/>
      <c r="AD431" s="2"/>
      <c r="AE431" s="2"/>
      <c r="AF431" s="2"/>
      <c r="AG431" s="2"/>
    </row>
    <row r="432" spans="25:33" ht="12.75" hidden="1" customHeight="1" x14ac:dyDescent="0.2">
      <c r="Y432" s="2"/>
      <c r="Z432" s="2"/>
      <c r="AA432" s="2"/>
      <c r="AB432" s="2"/>
      <c r="AC432" s="2"/>
      <c r="AD432" s="2"/>
      <c r="AE432" s="2"/>
      <c r="AF432" s="2"/>
      <c r="AG432" s="2"/>
    </row>
    <row r="433" spans="25:33" ht="12.75" hidden="1" customHeight="1" x14ac:dyDescent="0.2">
      <c r="Y433" s="2"/>
      <c r="Z433" s="2"/>
      <c r="AA433" s="2"/>
      <c r="AB433" s="2"/>
      <c r="AC433" s="2"/>
      <c r="AD433" s="2"/>
      <c r="AE433" s="2"/>
      <c r="AF433" s="2"/>
      <c r="AG433" s="2"/>
    </row>
    <row r="434" spans="25:33" ht="12.75" hidden="1" customHeight="1" x14ac:dyDescent="0.2">
      <c r="Y434" s="2"/>
      <c r="Z434" s="2"/>
      <c r="AA434" s="2"/>
      <c r="AB434" s="2"/>
      <c r="AC434" s="2"/>
      <c r="AD434" s="2"/>
      <c r="AE434" s="2"/>
      <c r="AF434" s="2"/>
      <c r="AG434" s="2"/>
    </row>
    <row r="435" spans="25:33" ht="12.75" hidden="1" customHeight="1" x14ac:dyDescent="0.2">
      <c r="Y435" s="2"/>
      <c r="Z435" s="2"/>
      <c r="AA435" s="2"/>
      <c r="AB435" s="2"/>
      <c r="AC435" s="2"/>
      <c r="AD435" s="2"/>
      <c r="AE435" s="2"/>
      <c r="AF435" s="2"/>
      <c r="AG435" s="2"/>
    </row>
    <row r="436" spans="25:33" ht="12.75" hidden="1" customHeight="1" x14ac:dyDescent="0.2">
      <c r="Y436" s="2"/>
      <c r="Z436" s="2"/>
      <c r="AA436" s="2"/>
      <c r="AB436" s="2"/>
      <c r="AC436" s="2"/>
      <c r="AD436" s="2"/>
      <c r="AE436" s="2"/>
      <c r="AF436" s="2"/>
      <c r="AG436" s="2"/>
    </row>
    <row r="437" spans="25:33" ht="12.75" hidden="1" customHeight="1" x14ac:dyDescent="0.2">
      <c r="Y437" s="2"/>
      <c r="Z437" s="2"/>
      <c r="AA437" s="2"/>
      <c r="AB437" s="2"/>
      <c r="AC437" s="2"/>
      <c r="AD437" s="2"/>
      <c r="AE437" s="2"/>
      <c r="AF437" s="2"/>
      <c r="AG437" s="2"/>
    </row>
    <row r="438" spans="25:33" ht="12.75" hidden="1" customHeight="1" x14ac:dyDescent="0.2">
      <c r="Y438" s="2"/>
      <c r="Z438" s="2"/>
      <c r="AA438" s="2"/>
      <c r="AB438" s="2"/>
      <c r="AC438" s="2"/>
      <c r="AD438" s="2"/>
      <c r="AE438" s="2"/>
      <c r="AF438" s="2"/>
      <c r="AG438" s="2"/>
    </row>
    <row r="439" spans="25:33" ht="12.75" hidden="1" customHeight="1" x14ac:dyDescent="0.2">
      <c r="Y439" s="2"/>
      <c r="Z439" s="2"/>
      <c r="AA439" s="2"/>
      <c r="AB439" s="2"/>
      <c r="AC439" s="2"/>
      <c r="AD439" s="2"/>
      <c r="AE439" s="2"/>
      <c r="AF439" s="2"/>
      <c r="AG439" s="2"/>
    </row>
    <row r="440" spans="25:33" ht="12.75" hidden="1" customHeight="1" x14ac:dyDescent="0.2">
      <c r="Y440" s="2"/>
      <c r="Z440" s="2"/>
      <c r="AA440" s="2"/>
      <c r="AB440" s="2"/>
      <c r="AC440" s="2"/>
      <c r="AD440" s="2"/>
      <c r="AE440" s="2"/>
      <c r="AF440" s="2"/>
      <c r="AG440" s="2"/>
    </row>
    <row r="441" spans="25:33" ht="12.75" hidden="1" customHeight="1" x14ac:dyDescent="0.2">
      <c r="Y441" s="2"/>
      <c r="Z441" s="2"/>
      <c r="AA441" s="2"/>
      <c r="AB441" s="2"/>
      <c r="AC441" s="2"/>
      <c r="AD441" s="2"/>
      <c r="AE441" s="2"/>
      <c r="AF441" s="2"/>
      <c r="AG441" s="2"/>
    </row>
    <row r="442" spans="25:33" ht="12.75" hidden="1" customHeight="1" x14ac:dyDescent="0.2">
      <c r="Y442" s="2"/>
      <c r="Z442" s="2"/>
      <c r="AA442" s="2"/>
      <c r="AB442" s="2"/>
      <c r="AC442" s="2"/>
      <c r="AD442" s="2"/>
      <c r="AE442" s="2"/>
      <c r="AF442" s="2"/>
      <c r="AG442" s="2"/>
    </row>
    <row r="443" spans="25:33" ht="12.75" hidden="1" customHeight="1" x14ac:dyDescent="0.2">
      <c r="Y443" s="2"/>
      <c r="Z443" s="2"/>
      <c r="AA443" s="2"/>
      <c r="AB443" s="2"/>
      <c r="AC443" s="2"/>
      <c r="AD443" s="2"/>
      <c r="AE443" s="2"/>
      <c r="AF443" s="2"/>
      <c r="AG443" s="2"/>
    </row>
    <row r="444" spans="25:33" ht="12.75" hidden="1" customHeight="1" x14ac:dyDescent="0.2">
      <c r="Y444" s="2"/>
      <c r="Z444" s="2"/>
      <c r="AA444" s="2"/>
      <c r="AB444" s="2"/>
      <c r="AC444" s="2"/>
      <c r="AD444" s="2"/>
      <c r="AE444" s="2"/>
      <c r="AF444" s="2"/>
      <c r="AG444" s="2"/>
    </row>
    <row r="445" spans="25:33" ht="12.75" hidden="1" customHeight="1" x14ac:dyDescent="0.2">
      <c r="Y445" s="2"/>
      <c r="Z445" s="2"/>
      <c r="AA445" s="2"/>
      <c r="AB445" s="2"/>
      <c r="AC445" s="2"/>
      <c r="AD445" s="2"/>
      <c r="AE445" s="2"/>
      <c r="AF445" s="2"/>
      <c r="AG445" s="2"/>
    </row>
    <row r="446" spans="25:33" ht="12.75" hidden="1" customHeight="1" x14ac:dyDescent="0.2">
      <c r="Y446" s="2"/>
      <c r="Z446" s="2"/>
      <c r="AA446" s="2"/>
      <c r="AB446" s="2"/>
      <c r="AC446" s="2"/>
      <c r="AD446" s="2"/>
      <c r="AE446" s="2"/>
      <c r="AF446" s="2"/>
      <c r="AG446" s="2"/>
    </row>
    <row r="447" spans="25:33" hidden="1" x14ac:dyDescent="0.2">
      <c r="Y447" s="2"/>
      <c r="Z447" s="2"/>
      <c r="AA447" s="2"/>
      <c r="AB447" s="2"/>
      <c r="AC447" s="2"/>
      <c r="AD447" s="2"/>
      <c r="AE447" s="2"/>
      <c r="AF447" s="2"/>
      <c r="AG447" s="2"/>
    </row>
    <row r="448" spans="25:33" hidden="1" x14ac:dyDescent="0.2">
      <c r="Y448" s="2"/>
      <c r="Z448" s="2"/>
      <c r="AA448" s="2"/>
      <c r="AB448" s="2"/>
      <c r="AC448" s="2"/>
      <c r="AD448" s="2"/>
      <c r="AE448" s="2"/>
      <c r="AF448" s="2"/>
      <c r="AG448" s="2"/>
    </row>
    <row r="449" spans="25:33" hidden="1" x14ac:dyDescent="0.2">
      <c r="Y449" s="2"/>
      <c r="Z449" s="2"/>
      <c r="AA449" s="2"/>
      <c r="AB449" s="2"/>
      <c r="AC449" s="2"/>
      <c r="AD449" s="2"/>
      <c r="AE449" s="2"/>
      <c r="AF449" s="2"/>
      <c r="AG449" s="2"/>
    </row>
    <row r="450" spans="25:33" hidden="1" x14ac:dyDescent="0.2">
      <c r="Y450" s="2"/>
      <c r="Z450" s="2"/>
      <c r="AA450" s="2"/>
      <c r="AB450" s="2"/>
      <c r="AC450" s="2"/>
      <c r="AD450" s="2"/>
      <c r="AE450" s="2"/>
      <c r="AF450" s="2"/>
      <c r="AG450" s="2"/>
    </row>
    <row r="451" spans="25:33" ht="14.25" hidden="1" customHeight="1" x14ac:dyDescent="0.2">
      <c r="Y451" s="2"/>
      <c r="Z451" s="2"/>
      <c r="AA451" s="2"/>
      <c r="AB451" s="2"/>
      <c r="AC451" s="2"/>
      <c r="AD451" s="2"/>
      <c r="AE451" s="2"/>
      <c r="AF451" s="2"/>
      <c r="AG451" s="2"/>
    </row>
    <row r="452" spans="25:33" ht="13.5" hidden="1" customHeight="1" x14ac:dyDescent="0.2">
      <c r="Y452" s="2"/>
      <c r="Z452" s="2"/>
      <c r="AA452" s="2"/>
      <c r="AB452" s="2"/>
      <c r="AC452" s="2"/>
      <c r="AD452" s="2"/>
      <c r="AE452" s="2"/>
      <c r="AF452" s="2"/>
      <c r="AG452" s="2"/>
    </row>
    <row r="453" spans="25:33" ht="12.75" hidden="1" customHeight="1" x14ac:dyDescent="0.2">
      <c r="Y453" s="2"/>
      <c r="Z453" s="2"/>
      <c r="AA453" s="2"/>
      <c r="AB453" s="2"/>
      <c r="AC453" s="2"/>
      <c r="AD453" s="2"/>
      <c r="AE453" s="2"/>
      <c r="AF453" s="2"/>
      <c r="AG453" s="2"/>
    </row>
    <row r="454" spans="25:33" ht="12.75" hidden="1" customHeight="1" x14ac:dyDescent="0.2">
      <c r="Y454" s="2"/>
      <c r="Z454" s="2"/>
      <c r="AA454" s="2"/>
      <c r="AB454" s="2"/>
      <c r="AC454" s="2"/>
      <c r="AD454" s="2"/>
      <c r="AE454" s="2"/>
      <c r="AF454" s="2"/>
      <c r="AG454" s="2"/>
    </row>
    <row r="455" spans="25:33" ht="12.75" hidden="1" customHeight="1" x14ac:dyDescent="0.2">
      <c r="Y455" s="2"/>
      <c r="Z455" s="2"/>
      <c r="AA455" s="2"/>
      <c r="AB455" s="2"/>
      <c r="AC455" s="2"/>
      <c r="AD455" s="2"/>
      <c r="AE455" s="2"/>
      <c r="AF455" s="2"/>
      <c r="AG455" s="2"/>
    </row>
    <row r="456" spans="25:33" ht="12.75" hidden="1" customHeight="1" x14ac:dyDescent="0.2">
      <c r="Y456" s="2"/>
      <c r="Z456" s="2"/>
      <c r="AA456" s="2"/>
      <c r="AB456" s="2"/>
      <c r="AC456" s="2"/>
      <c r="AD456" s="2"/>
      <c r="AE456" s="2"/>
      <c r="AF456" s="2"/>
      <c r="AG456" s="2"/>
    </row>
    <row r="457" spans="25:33" ht="12.75" hidden="1" customHeight="1" x14ac:dyDescent="0.2">
      <c r="Y457" s="2"/>
      <c r="Z457" s="2"/>
      <c r="AA457" s="2"/>
      <c r="AB457" s="2"/>
      <c r="AC457" s="2"/>
      <c r="AD457" s="2"/>
      <c r="AE457" s="2"/>
      <c r="AF457" s="2"/>
      <c r="AG457" s="2"/>
    </row>
    <row r="458" spans="25:33" ht="12.75" hidden="1" customHeight="1" x14ac:dyDescent="0.2">
      <c r="Y458" s="2"/>
      <c r="Z458" s="2"/>
      <c r="AA458" s="2"/>
      <c r="AB458" s="2"/>
      <c r="AC458" s="2"/>
      <c r="AD458" s="2"/>
      <c r="AE458" s="2"/>
      <c r="AF458" s="2"/>
      <c r="AG458" s="2"/>
    </row>
    <row r="459" spans="25:33" ht="12.75" hidden="1" customHeight="1" x14ac:dyDescent="0.2">
      <c r="Y459" s="2"/>
      <c r="Z459" s="2"/>
      <c r="AA459" s="2"/>
      <c r="AB459" s="2"/>
      <c r="AC459" s="2"/>
      <c r="AD459" s="2"/>
      <c r="AE459" s="2"/>
      <c r="AF459" s="2"/>
      <c r="AG459" s="2"/>
    </row>
    <row r="460" spans="25:33" ht="12.75" hidden="1" customHeight="1" x14ac:dyDescent="0.2">
      <c r="Y460" s="2"/>
      <c r="Z460" s="2"/>
      <c r="AA460" s="2"/>
      <c r="AB460" s="2"/>
      <c r="AC460" s="2"/>
      <c r="AD460" s="2"/>
      <c r="AE460" s="2"/>
      <c r="AF460" s="2"/>
      <c r="AG460" s="2"/>
    </row>
    <row r="461" spans="25:33" ht="12.75" hidden="1" customHeight="1" x14ac:dyDescent="0.2">
      <c r="Y461" s="2"/>
      <c r="Z461" s="2"/>
      <c r="AA461" s="2"/>
      <c r="AB461" s="2"/>
      <c r="AC461" s="2"/>
      <c r="AD461" s="2"/>
      <c r="AE461" s="2"/>
      <c r="AF461" s="2"/>
      <c r="AG461" s="2"/>
    </row>
    <row r="462" spans="25:33" ht="12.75" hidden="1" customHeight="1" x14ac:dyDescent="0.2">
      <c r="Y462" s="2"/>
      <c r="Z462" s="2"/>
      <c r="AA462" s="2"/>
      <c r="AB462" s="2"/>
      <c r="AC462" s="2"/>
      <c r="AD462" s="2"/>
      <c r="AE462" s="2"/>
      <c r="AF462" s="2"/>
      <c r="AG462" s="2"/>
    </row>
    <row r="463" spans="25:33" ht="12.75" hidden="1" customHeight="1" x14ac:dyDescent="0.2">
      <c r="Y463" s="2"/>
      <c r="Z463" s="2"/>
      <c r="AA463" s="2"/>
      <c r="AB463" s="2"/>
      <c r="AC463" s="2"/>
      <c r="AD463" s="2"/>
      <c r="AE463" s="2"/>
      <c r="AF463" s="2"/>
      <c r="AG463" s="2"/>
    </row>
    <row r="464" spans="25:33" ht="12.75" hidden="1" customHeight="1" x14ac:dyDescent="0.2">
      <c r="Y464" s="2"/>
      <c r="Z464" s="2"/>
      <c r="AA464" s="2"/>
      <c r="AB464" s="2"/>
      <c r="AC464" s="2"/>
      <c r="AD464" s="2"/>
      <c r="AE464" s="2"/>
      <c r="AF464" s="2"/>
      <c r="AG464" s="2"/>
    </row>
    <row r="465" spans="25:33" ht="12.75" hidden="1" customHeight="1" x14ac:dyDescent="0.2">
      <c r="Y465" s="2"/>
      <c r="Z465" s="2"/>
      <c r="AA465" s="2"/>
      <c r="AB465" s="2"/>
      <c r="AC465" s="2"/>
      <c r="AD465" s="2"/>
      <c r="AE465" s="2"/>
      <c r="AF465" s="2"/>
      <c r="AG465" s="2"/>
    </row>
    <row r="466" spans="25:33" ht="12.75" hidden="1" customHeight="1" x14ac:dyDescent="0.2">
      <c r="Y466" s="2"/>
      <c r="Z466" s="2"/>
      <c r="AA466" s="2"/>
      <c r="AB466" s="2"/>
      <c r="AC466" s="2"/>
      <c r="AD466" s="2"/>
      <c r="AE466" s="2"/>
      <c r="AF466" s="2"/>
      <c r="AG466" s="2"/>
    </row>
    <row r="467" spans="25:33" ht="12.75" hidden="1" customHeight="1" x14ac:dyDescent="0.2">
      <c r="Y467" s="2"/>
      <c r="Z467" s="2"/>
      <c r="AA467" s="2"/>
      <c r="AB467" s="2"/>
      <c r="AC467" s="2"/>
      <c r="AD467" s="2"/>
      <c r="AE467" s="2"/>
      <c r="AF467" s="2"/>
      <c r="AG467" s="2"/>
    </row>
    <row r="468" spans="25:33" ht="12.75" hidden="1" customHeight="1" x14ac:dyDescent="0.2">
      <c r="Y468" s="2"/>
      <c r="Z468" s="2"/>
      <c r="AA468" s="2"/>
      <c r="AB468" s="2"/>
      <c r="AC468" s="2"/>
      <c r="AD468" s="2"/>
      <c r="AE468" s="2"/>
      <c r="AF468" s="2"/>
      <c r="AG468" s="2"/>
    </row>
    <row r="469" spans="25:33" ht="12.75" hidden="1" customHeight="1" x14ac:dyDescent="0.2">
      <c r="Y469" s="2"/>
      <c r="Z469" s="2"/>
      <c r="AA469" s="2"/>
      <c r="AB469" s="2"/>
      <c r="AC469" s="2"/>
      <c r="AD469" s="2"/>
      <c r="AE469" s="2"/>
      <c r="AF469" s="2"/>
      <c r="AG469" s="2"/>
    </row>
    <row r="470" spans="25:33" ht="12.75" hidden="1" customHeight="1" x14ac:dyDescent="0.2">
      <c r="Y470" s="2"/>
      <c r="Z470" s="2"/>
      <c r="AA470" s="2"/>
      <c r="AB470" s="2"/>
      <c r="AC470" s="2"/>
      <c r="AD470" s="2"/>
      <c r="AE470" s="2"/>
      <c r="AF470" s="2"/>
      <c r="AG470" s="2"/>
    </row>
    <row r="471" spans="25:33" ht="12.75" hidden="1" customHeight="1" x14ac:dyDescent="0.2">
      <c r="Y471" s="2"/>
      <c r="Z471" s="2"/>
      <c r="AA471" s="2"/>
      <c r="AB471" s="2"/>
      <c r="AC471" s="2"/>
      <c r="AD471" s="2"/>
      <c r="AE471" s="2"/>
      <c r="AF471" s="2"/>
      <c r="AG471" s="2"/>
    </row>
    <row r="472" spans="25:33" ht="12.75" hidden="1" customHeight="1" x14ac:dyDescent="0.2">
      <c r="Y472" s="2"/>
      <c r="Z472" s="2"/>
      <c r="AA472" s="2"/>
      <c r="AB472" s="2"/>
      <c r="AC472" s="2"/>
      <c r="AD472" s="2"/>
      <c r="AE472" s="2"/>
      <c r="AF472" s="2"/>
      <c r="AG472" s="2"/>
    </row>
    <row r="473" spans="25:33" ht="12.75" hidden="1" customHeight="1" x14ac:dyDescent="0.2">
      <c r="Y473" s="2"/>
      <c r="Z473" s="2"/>
      <c r="AA473" s="2"/>
      <c r="AB473" s="2"/>
      <c r="AC473" s="2"/>
      <c r="AD473" s="2"/>
      <c r="AE473" s="2"/>
      <c r="AF473" s="2"/>
      <c r="AG473" s="2"/>
    </row>
    <row r="474" spans="25:33" ht="12.75" hidden="1" customHeight="1" x14ac:dyDescent="0.2">
      <c r="Y474" s="2"/>
      <c r="Z474" s="2"/>
      <c r="AA474" s="2"/>
      <c r="AB474" s="2"/>
      <c r="AC474" s="2"/>
      <c r="AD474" s="2"/>
      <c r="AE474" s="2"/>
      <c r="AF474" s="2"/>
      <c r="AG474" s="2"/>
    </row>
    <row r="475" spans="25:33" ht="12.75" hidden="1" customHeight="1" x14ac:dyDescent="0.2">
      <c r="Y475" s="2"/>
      <c r="Z475" s="2"/>
      <c r="AA475" s="2"/>
      <c r="AB475" s="2"/>
      <c r="AC475" s="2"/>
      <c r="AD475" s="2"/>
      <c r="AE475" s="2"/>
      <c r="AF475" s="2"/>
      <c r="AG475" s="2"/>
    </row>
    <row r="476" spans="25:33" ht="12.75" hidden="1" customHeight="1" x14ac:dyDescent="0.2">
      <c r="Y476" s="2"/>
      <c r="Z476" s="2"/>
      <c r="AA476" s="2"/>
      <c r="AB476" s="2"/>
      <c r="AC476" s="2"/>
      <c r="AD476" s="2"/>
      <c r="AE476" s="2"/>
      <c r="AF476" s="2"/>
      <c r="AG476" s="2"/>
    </row>
    <row r="477" spans="25:33" ht="12.75" hidden="1" customHeight="1" x14ac:dyDescent="0.2">
      <c r="Y477" s="2"/>
      <c r="Z477" s="2"/>
      <c r="AA477" s="2"/>
      <c r="AB477" s="2"/>
      <c r="AC477" s="2"/>
      <c r="AD477" s="2"/>
      <c r="AE477" s="2"/>
      <c r="AF477" s="2"/>
      <c r="AG477" s="2"/>
    </row>
    <row r="478" spans="25:33" ht="12.75" hidden="1" customHeight="1" x14ac:dyDescent="0.2">
      <c r="Y478" s="2"/>
      <c r="Z478" s="2"/>
      <c r="AA478" s="2"/>
      <c r="AB478" s="2"/>
      <c r="AC478" s="2"/>
      <c r="AD478" s="2"/>
      <c r="AE478" s="2"/>
      <c r="AF478" s="2"/>
      <c r="AG478" s="2"/>
    </row>
    <row r="479" spans="25:33" ht="12.75" hidden="1" customHeight="1" x14ac:dyDescent="0.2">
      <c r="Y479" s="2"/>
      <c r="Z479" s="2"/>
      <c r="AA479" s="2"/>
      <c r="AB479" s="2"/>
      <c r="AC479" s="2"/>
      <c r="AD479" s="2"/>
      <c r="AE479" s="2"/>
      <c r="AF479" s="2"/>
      <c r="AG479" s="2"/>
    </row>
    <row r="480" spans="25:33" ht="12.75" hidden="1" customHeight="1" x14ac:dyDescent="0.2">
      <c r="Y480" s="2"/>
      <c r="Z480" s="2"/>
      <c r="AA480" s="2"/>
      <c r="AB480" s="2"/>
      <c r="AC480" s="2"/>
      <c r="AD480" s="2"/>
      <c r="AE480" s="2"/>
      <c r="AF480" s="2"/>
      <c r="AG480" s="2"/>
    </row>
    <row r="481" spans="25:33" ht="12.75" hidden="1" customHeight="1" x14ac:dyDescent="0.2">
      <c r="Y481" s="2"/>
      <c r="Z481" s="2"/>
      <c r="AA481" s="2"/>
      <c r="AB481" s="2"/>
      <c r="AC481" s="2"/>
      <c r="AD481" s="2"/>
      <c r="AE481" s="2"/>
      <c r="AF481" s="2"/>
      <c r="AG481" s="2"/>
    </row>
    <row r="482" spans="25:33" ht="12.75" hidden="1" customHeight="1" x14ac:dyDescent="0.2">
      <c r="Y482" s="2"/>
      <c r="Z482" s="2"/>
      <c r="AA482" s="2"/>
      <c r="AB482" s="2"/>
      <c r="AC482" s="2"/>
      <c r="AD482" s="2"/>
      <c r="AE482" s="2"/>
      <c r="AF482" s="2"/>
      <c r="AG482" s="2"/>
    </row>
    <row r="483" spans="25:33" hidden="1" x14ac:dyDescent="0.2">
      <c r="Y483" s="2"/>
      <c r="Z483" s="2"/>
      <c r="AA483" s="2"/>
      <c r="AB483" s="2"/>
      <c r="AC483" s="2"/>
      <c r="AD483" s="2"/>
      <c r="AE483" s="2"/>
      <c r="AF483" s="2"/>
      <c r="AG483" s="2"/>
    </row>
    <row r="484" spans="25:33" hidden="1" x14ac:dyDescent="0.2">
      <c r="Y484" s="2"/>
      <c r="Z484" s="2"/>
      <c r="AA484" s="2"/>
      <c r="AB484" s="2"/>
      <c r="AC484" s="2"/>
      <c r="AD484" s="2"/>
      <c r="AE484" s="2"/>
      <c r="AF484" s="2"/>
      <c r="AG484" s="2"/>
    </row>
    <row r="485" spans="25:33" hidden="1" x14ac:dyDescent="0.2">
      <c r="Y485" s="2"/>
      <c r="Z485" s="2"/>
      <c r="AA485" s="2"/>
      <c r="AB485" s="2"/>
      <c r="AC485" s="2"/>
      <c r="AD485" s="2"/>
      <c r="AE485" s="2"/>
      <c r="AF485" s="2"/>
      <c r="AG485" s="2"/>
    </row>
    <row r="486" spans="25:33" hidden="1" x14ac:dyDescent="0.2">
      <c r="Y486" s="2"/>
      <c r="Z486" s="2"/>
      <c r="AA486" s="2"/>
      <c r="AB486" s="2"/>
      <c r="AC486" s="2"/>
      <c r="AD486" s="2"/>
      <c r="AE486" s="2"/>
      <c r="AF486" s="2"/>
      <c r="AG486" s="2"/>
    </row>
    <row r="487" spans="25:33" hidden="1" x14ac:dyDescent="0.2">
      <c r="Y487" s="2"/>
      <c r="Z487" s="2"/>
      <c r="AA487" s="2"/>
      <c r="AB487" s="2"/>
      <c r="AC487" s="2"/>
      <c r="AD487" s="2"/>
      <c r="AE487" s="2"/>
      <c r="AF487" s="2"/>
      <c r="AG487" s="2"/>
    </row>
    <row r="488" spans="25:33" hidden="1" x14ac:dyDescent="0.2">
      <c r="Y488" s="2"/>
      <c r="Z488" s="2"/>
      <c r="AA488" s="2"/>
      <c r="AB488" s="2"/>
      <c r="AC488" s="2"/>
      <c r="AD488" s="2"/>
      <c r="AE488" s="2"/>
      <c r="AF488" s="2"/>
      <c r="AG488" s="2"/>
    </row>
    <row r="489" spans="25:33" hidden="1" x14ac:dyDescent="0.2">
      <c r="Y489" s="2"/>
      <c r="Z489" s="2"/>
      <c r="AA489" s="2"/>
      <c r="AB489" s="2"/>
      <c r="AC489" s="2"/>
      <c r="AD489" s="2"/>
      <c r="AE489" s="2"/>
      <c r="AF489" s="2"/>
      <c r="AG489" s="2"/>
    </row>
    <row r="490" spans="25:33" hidden="1" x14ac:dyDescent="0.2">
      <c r="Y490" s="2"/>
      <c r="Z490" s="2"/>
      <c r="AA490" s="2"/>
      <c r="AB490" s="2"/>
      <c r="AC490" s="2"/>
      <c r="AD490" s="2"/>
      <c r="AE490" s="2"/>
      <c r="AF490" s="2"/>
      <c r="AG490" s="2"/>
    </row>
    <row r="491" spans="25:33" hidden="1" x14ac:dyDescent="0.2">
      <c r="Y491" s="2"/>
      <c r="Z491" s="2"/>
      <c r="AA491" s="2"/>
      <c r="AB491" s="2"/>
      <c r="AC491" s="2"/>
      <c r="AD491" s="2"/>
      <c r="AE491" s="2"/>
      <c r="AF491" s="2"/>
      <c r="AG491" s="2"/>
    </row>
    <row r="492" spans="25:33" hidden="1" x14ac:dyDescent="0.2">
      <c r="Y492" s="2"/>
      <c r="Z492" s="2"/>
      <c r="AA492" s="2"/>
      <c r="AB492" s="2"/>
      <c r="AC492" s="2"/>
      <c r="AD492" s="2"/>
      <c r="AE492" s="2"/>
      <c r="AF492" s="2"/>
      <c r="AG492" s="2"/>
    </row>
    <row r="493" spans="25:33" hidden="1" x14ac:dyDescent="0.2">
      <c r="Y493" s="2"/>
      <c r="Z493" s="2"/>
      <c r="AA493" s="2"/>
      <c r="AB493" s="2"/>
      <c r="AC493" s="2"/>
      <c r="AD493" s="2"/>
      <c r="AE493" s="2"/>
      <c r="AF493" s="2"/>
      <c r="AG493" s="2"/>
    </row>
    <row r="494" spans="25:33" hidden="1" x14ac:dyDescent="0.2">
      <c r="Y494" s="2"/>
      <c r="Z494" s="2"/>
      <c r="AA494" s="2"/>
      <c r="AB494" s="2"/>
      <c r="AC494" s="2"/>
      <c r="AD494" s="2"/>
      <c r="AE494" s="2"/>
      <c r="AF494" s="2"/>
      <c r="AG494" s="2"/>
    </row>
    <row r="495" spans="25:33" hidden="1" x14ac:dyDescent="0.2">
      <c r="Y495" s="2"/>
      <c r="Z495" s="2"/>
      <c r="AA495" s="2"/>
      <c r="AB495" s="2"/>
      <c r="AC495" s="2"/>
      <c r="AD495" s="2"/>
      <c r="AE495" s="2"/>
      <c r="AF495" s="2"/>
      <c r="AG495" s="2"/>
    </row>
    <row r="496" spans="25:33" hidden="1" x14ac:dyDescent="0.2">
      <c r="Y496" s="2"/>
      <c r="Z496" s="2"/>
      <c r="AA496" s="2"/>
      <c r="AB496" s="2"/>
      <c r="AC496" s="2"/>
      <c r="AD496" s="2"/>
      <c r="AE496" s="2"/>
      <c r="AF496" s="2"/>
      <c r="AG496" s="2"/>
    </row>
    <row r="497" spans="25:33" hidden="1" x14ac:dyDescent="0.2">
      <c r="Y497" s="2"/>
      <c r="Z497" s="2"/>
      <c r="AA497" s="2"/>
      <c r="AB497" s="2"/>
      <c r="AC497" s="2"/>
      <c r="AD497" s="2"/>
      <c r="AE497" s="2"/>
      <c r="AF497" s="2"/>
      <c r="AG497" s="2"/>
    </row>
    <row r="498" spans="25:33" hidden="1" x14ac:dyDescent="0.2">
      <c r="Y498" s="2"/>
      <c r="Z498" s="2"/>
      <c r="AA498" s="2"/>
      <c r="AB498" s="2"/>
      <c r="AC498" s="2"/>
      <c r="AD498" s="2"/>
      <c r="AE498" s="2"/>
      <c r="AF498" s="2"/>
      <c r="AG498" s="2"/>
    </row>
    <row r="499" spans="25:33" hidden="1" x14ac:dyDescent="0.2">
      <c r="Y499" s="2"/>
      <c r="Z499" s="2"/>
      <c r="AA499" s="2"/>
      <c r="AB499" s="2"/>
      <c r="AC499" s="2"/>
      <c r="AD499" s="2"/>
      <c r="AE499" s="2"/>
      <c r="AF499" s="2"/>
      <c r="AG499" s="2"/>
    </row>
    <row r="500" spans="25:33" hidden="1" x14ac:dyDescent="0.2">
      <c r="Y500" s="2"/>
      <c r="Z500" s="2"/>
      <c r="AA500" s="2"/>
      <c r="AB500" s="2"/>
      <c r="AC500" s="2"/>
      <c r="AD500" s="2"/>
      <c r="AE500" s="2"/>
      <c r="AF500" s="2"/>
      <c r="AG500" s="2"/>
    </row>
    <row r="501" spans="25:33" hidden="1" x14ac:dyDescent="0.2">
      <c r="Y501" s="2"/>
      <c r="Z501" s="2"/>
      <c r="AA501" s="2"/>
      <c r="AB501" s="2"/>
      <c r="AC501" s="2"/>
      <c r="AD501" s="2"/>
      <c r="AE501" s="2"/>
      <c r="AF501" s="2"/>
      <c r="AG501" s="2"/>
    </row>
    <row r="502" spans="25:33" hidden="1" x14ac:dyDescent="0.2">
      <c r="Y502" s="2"/>
      <c r="Z502" s="2"/>
      <c r="AA502" s="2"/>
      <c r="AB502" s="2"/>
      <c r="AC502" s="2"/>
      <c r="AD502" s="2"/>
      <c r="AE502" s="2"/>
      <c r="AF502" s="2"/>
      <c r="AG502" s="2"/>
    </row>
    <row r="503" spans="25:33" hidden="1" x14ac:dyDescent="0.2">
      <c r="Y503" s="2"/>
      <c r="Z503" s="2"/>
      <c r="AA503" s="2"/>
      <c r="AB503" s="2"/>
      <c r="AC503" s="2"/>
      <c r="AD503" s="2"/>
      <c r="AE503" s="2"/>
      <c r="AF503" s="2"/>
      <c r="AG503" s="2"/>
    </row>
    <row r="504" spans="25:33" hidden="1" x14ac:dyDescent="0.2">
      <c r="Y504" s="2"/>
      <c r="Z504" s="2"/>
      <c r="AA504" s="2"/>
      <c r="AB504" s="2"/>
      <c r="AC504" s="2"/>
      <c r="AD504" s="2"/>
      <c r="AE504" s="2"/>
      <c r="AF504" s="2"/>
      <c r="AG504" s="2"/>
    </row>
    <row r="505" spans="25:33" hidden="1" x14ac:dyDescent="0.2">
      <c r="Y505" s="2"/>
      <c r="Z505" s="2"/>
      <c r="AA505" s="2"/>
      <c r="AB505" s="2"/>
      <c r="AC505" s="2"/>
      <c r="AD505" s="2"/>
      <c r="AE505" s="2"/>
      <c r="AF505" s="2"/>
      <c r="AG505" s="2"/>
    </row>
    <row r="506" spans="25:33" hidden="1" x14ac:dyDescent="0.2">
      <c r="Y506" s="2"/>
      <c r="Z506" s="2"/>
      <c r="AA506" s="2"/>
      <c r="AB506" s="2"/>
      <c r="AC506" s="2"/>
      <c r="AD506" s="2"/>
      <c r="AE506" s="2"/>
      <c r="AF506" s="2"/>
      <c r="AG506" s="2"/>
    </row>
    <row r="507" spans="25:33" hidden="1" x14ac:dyDescent="0.2">
      <c r="Y507" s="2"/>
      <c r="Z507" s="2"/>
      <c r="AA507" s="2"/>
      <c r="AB507" s="2"/>
      <c r="AC507" s="2"/>
      <c r="AD507" s="2"/>
      <c r="AE507" s="2"/>
      <c r="AF507" s="2"/>
      <c r="AG507" s="2"/>
    </row>
    <row r="508" spans="25:33" hidden="1" x14ac:dyDescent="0.2">
      <c r="Y508" s="2"/>
      <c r="Z508" s="2"/>
      <c r="AA508" s="2"/>
      <c r="AB508" s="2"/>
      <c r="AC508" s="2"/>
      <c r="AD508" s="2"/>
      <c r="AE508" s="2"/>
      <c r="AF508" s="2"/>
      <c r="AG508" s="2"/>
    </row>
    <row r="509" spans="25:33" hidden="1" x14ac:dyDescent="0.2">
      <c r="Y509" s="2"/>
      <c r="Z509" s="2"/>
      <c r="AA509" s="2"/>
      <c r="AB509" s="2"/>
      <c r="AC509" s="2"/>
      <c r="AD509" s="2"/>
      <c r="AE509" s="2"/>
      <c r="AF509" s="2"/>
      <c r="AG509" s="2"/>
    </row>
    <row r="510" spans="25:33" hidden="1" x14ac:dyDescent="0.2">
      <c r="Y510" s="2"/>
      <c r="Z510" s="2"/>
      <c r="AA510" s="2"/>
      <c r="AB510" s="2"/>
      <c r="AC510" s="2"/>
      <c r="AD510" s="2"/>
      <c r="AE510" s="2"/>
      <c r="AF510" s="2"/>
      <c r="AG510" s="2"/>
    </row>
    <row r="511" spans="25:33" hidden="1" x14ac:dyDescent="0.2">
      <c r="Y511" s="2"/>
      <c r="Z511" s="2"/>
      <c r="AA511" s="2"/>
      <c r="AB511" s="2"/>
      <c r="AC511" s="2"/>
      <c r="AD511" s="2"/>
      <c r="AE511" s="2"/>
      <c r="AF511" s="2"/>
      <c r="AG511" s="2"/>
    </row>
    <row r="512" spans="25:33" hidden="1" x14ac:dyDescent="0.2">
      <c r="Y512" s="2"/>
      <c r="Z512" s="2"/>
      <c r="AA512" s="2"/>
      <c r="AB512" s="2"/>
      <c r="AC512" s="2"/>
      <c r="AD512" s="2"/>
      <c r="AE512" s="2"/>
      <c r="AF512" s="2"/>
      <c r="AG512" s="2"/>
    </row>
    <row r="513" spans="25:33" hidden="1" x14ac:dyDescent="0.2">
      <c r="Y513" s="2"/>
      <c r="Z513" s="2"/>
      <c r="AA513" s="2"/>
      <c r="AB513" s="2"/>
      <c r="AC513" s="2"/>
      <c r="AD513" s="2"/>
      <c r="AE513" s="2"/>
      <c r="AF513" s="2"/>
      <c r="AG513" s="2"/>
    </row>
    <row r="514" spans="25:33" hidden="1" x14ac:dyDescent="0.2">
      <c r="Y514" s="2"/>
      <c r="Z514" s="2"/>
      <c r="AA514" s="2"/>
      <c r="AB514" s="2"/>
      <c r="AC514" s="2"/>
      <c r="AD514" s="2"/>
      <c r="AE514" s="2"/>
      <c r="AF514" s="2"/>
      <c r="AG514" s="2"/>
    </row>
    <row r="515" spans="25:33" hidden="1" x14ac:dyDescent="0.2">
      <c r="Y515" s="2"/>
      <c r="Z515" s="2"/>
      <c r="AA515" s="2"/>
      <c r="AB515" s="2"/>
      <c r="AC515" s="2"/>
      <c r="AD515" s="2"/>
      <c r="AE515" s="2"/>
      <c r="AF515" s="2"/>
      <c r="AG515" s="2"/>
    </row>
    <row r="516" spans="25:33" hidden="1" x14ac:dyDescent="0.2">
      <c r="Y516" s="2"/>
      <c r="Z516" s="2"/>
      <c r="AA516" s="2"/>
      <c r="AB516" s="2"/>
      <c r="AC516" s="2"/>
      <c r="AD516" s="2"/>
      <c r="AE516" s="2"/>
      <c r="AF516" s="2"/>
      <c r="AG516" s="2"/>
    </row>
    <row r="517" spans="25:33" hidden="1" x14ac:dyDescent="0.2">
      <c r="Y517" s="2"/>
      <c r="Z517" s="2"/>
      <c r="AA517" s="2"/>
      <c r="AB517" s="2"/>
      <c r="AC517" s="2"/>
      <c r="AD517" s="2"/>
      <c r="AE517" s="2"/>
      <c r="AF517" s="2"/>
      <c r="AG517" s="2"/>
    </row>
    <row r="518" spans="25:33" hidden="1" x14ac:dyDescent="0.2">
      <c r="Y518" s="2"/>
      <c r="Z518" s="2"/>
      <c r="AA518" s="2"/>
      <c r="AB518" s="2"/>
      <c r="AC518" s="2"/>
      <c r="AD518" s="2"/>
      <c r="AE518" s="2"/>
      <c r="AF518" s="2"/>
      <c r="AG518" s="2"/>
    </row>
    <row r="519" spans="25:33" hidden="1" x14ac:dyDescent="0.2">
      <c r="Y519" s="2"/>
      <c r="Z519" s="2"/>
      <c r="AA519" s="2"/>
      <c r="AB519" s="2"/>
      <c r="AC519" s="2"/>
      <c r="AD519" s="2"/>
      <c r="AE519" s="2"/>
      <c r="AF519" s="2"/>
      <c r="AG519" s="2"/>
    </row>
    <row r="520" spans="25:33" hidden="1" x14ac:dyDescent="0.2">
      <c r="Y520" s="2"/>
      <c r="Z520" s="2"/>
      <c r="AA520" s="2"/>
      <c r="AB520" s="2"/>
      <c r="AC520" s="2"/>
      <c r="AD520" s="2"/>
      <c r="AE520" s="2"/>
      <c r="AF520" s="2"/>
      <c r="AG520" s="2"/>
    </row>
    <row r="521" spans="25:33" hidden="1" x14ac:dyDescent="0.2">
      <c r="Y521" s="2"/>
      <c r="Z521" s="2"/>
      <c r="AA521" s="2"/>
      <c r="AB521" s="2"/>
      <c r="AC521" s="2"/>
      <c r="AD521" s="2"/>
      <c r="AE521" s="2"/>
      <c r="AF521" s="2"/>
      <c r="AG521" s="2"/>
    </row>
    <row r="522" spans="25:33" hidden="1" x14ac:dyDescent="0.2">
      <c r="Y522" s="2"/>
      <c r="Z522" s="2"/>
      <c r="AA522" s="2"/>
      <c r="AB522" s="2"/>
      <c r="AC522" s="2"/>
      <c r="AD522" s="2"/>
      <c r="AE522" s="2"/>
      <c r="AF522" s="2"/>
      <c r="AG522" s="2"/>
    </row>
    <row r="523" spans="25:33" hidden="1" x14ac:dyDescent="0.2">
      <c r="Y523" s="2"/>
      <c r="Z523" s="2"/>
      <c r="AA523" s="2"/>
      <c r="AB523" s="2"/>
      <c r="AC523" s="2"/>
      <c r="AD523" s="2"/>
      <c r="AE523" s="2"/>
      <c r="AF523" s="2"/>
      <c r="AG523" s="2"/>
    </row>
    <row r="524" spans="25:33" hidden="1" x14ac:dyDescent="0.2">
      <c r="Y524" s="2"/>
      <c r="Z524" s="2"/>
      <c r="AA524" s="2"/>
      <c r="AB524" s="2"/>
      <c r="AC524" s="2"/>
      <c r="AD524" s="2"/>
      <c r="AE524" s="2"/>
      <c r="AF524" s="2"/>
      <c r="AG524" s="2"/>
    </row>
    <row r="525" spans="25:33" hidden="1" x14ac:dyDescent="0.2">
      <c r="Y525" s="2"/>
      <c r="Z525" s="2"/>
      <c r="AA525" s="2"/>
      <c r="AB525" s="2"/>
      <c r="AC525" s="2"/>
      <c r="AD525" s="2"/>
      <c r="AE525" s="2"/>
      <c r="AF525" s="2"/>
      <c r="AG525" s="2"/>
    </row>
    <row r="526" spans="25:33" hidden="1" x14ac:dyDescent="0.2">
      <c r="Y526" s="2"/>
      <c r="Z526" s="2"/>
      <c r="AA526" s="2"/>
      <c r="AB526" s="2"/>
      <c r="AC526" s="2"/>
      <c r="AD526" s="2"/>
      <c r="AE526" s="2"/>
      <c r="AF526" s="2"/>
      <c r="AG526" s="2"/>
    </row>
    <row r="527" spans="25:33" hidden="1" x14ac:dyDescent="0.2">
      <c r="Y527" s="2"/>
      <c r="Z527" s="2"/>
      <c r="AA527" s="2"/>
      <c r="AB527" s="2"/>
      <c r="AC527" s="2"/>
      <c r="AD527" s="2"/>
      <c r="AE527" s="2"/>
      <c r="AF527" s="2"/>
      <c r="AG527" s="2"/>
    </row>
    <row r="528" spans="25:33" hidden="1" x14ac:dyDescent="0.2">
      <c r="Y528" s="2"/>
      <c r="Z528" s="2"/>
      <c r="AA528" s="2"/>
      <c r="AB528" s="2"/>
      <c r="AC528" s="2"/>
      <c r="AD528" s="2"/>
      <c r="AE528" s="2"/>
      <c r="AF528" s="2"/>
      <c r="AG528" s="2"/>
    </row>
    <row r="529" spans="25:33" hidden="1" x14ac:dyDescent="0.2">
      <c r="Y529" s="2"/>
      <c r="Z529" s="2"/>
      <c r="AA529" s="2"/>
      <c r="AB529" s="2"/>
      <c r="AC529" s="2"/>
      <c r="AD529" s="2"/>
      <c r="AE529" s="2"/>
      <c r="AF529" s="2"/>
      <c r="AG529" s="2"/>
    </row>
    <row r="530" spans="25:33" hidden="1" x14ac:dyDescent="0.2">
      <c r="Y530" s="2"/>
      <c r="Z530" s="2"/>
      <c r="AA530" s="2"/>
      <c r="AB530" s="2"/>
      <c r="AC530" s="2"/>
      <c r="AD530" s="2"/>
      <c r="AE530" s="2"/>
      <c r="AF530" s="2"/>
      <c r="AG530" s="2"/>
    </row>
    <row r="531" spans="25:33" hidden="1" x14ac:dyDescent="0.2">
      <c r="Y531" s="2"/>
      <c r="Z531" s="2"/>
      <c r="AA531" s="2"/>
      <c r="AB531" s="2"/>
      <c r="AC531" s="2"/>
      <c r="AD531" s="2"/>
      <c r="AE531" s="2"/>
      <c r="AF531" s="2"/>
      <c r="AG531" s="2"/>
    </row>
    <row r="532" spans="25:33" hidden="1" x14ac:dyDescent="0.2">
      <c r="Y532" s="2"/>
      <c r="Z532" s="2"/>
      <c r="AA532" s="2"/>
      <c r="AB532" s="2"/>
      <c r="AC532" s="2"/>
      <c r="AD532" s="2"/>
      <c r="AE532" s="2"/>
      <c r="AF532" s="2"/>
      <c r="AG532" s="2"/>
    </row>
    <row r="533" spans="25:33" hidden="1" x14ac:dyDescent="0.2">
      <c r="Y533" s="2"/>
      <c r="Z533" s="2"/>
      <c r="AA533" s="2"/>
      <c r="AB533" s="2"/>
      <c r="AC533" s="2"/>
      <c r="AD533" s="2"/>
      <c r="AE533" s="2"/>
      <c r="AF533" s="2"/>
      <c r="AG533" s="2"/>
    </row>
    <row r="534" spans="25:33" hidden="1" x14ac:dyDescent="0.2">
      <c r="Y534" s="2"/>
      <c r="Z534" s="2"/>
      <c r="AA534" s="2"/>
      <c r="AB534" s="2"/>
      <c r="AC534" s="2"/>
      <c r="AD534" s="2"/>
      <c r="AE534" s="2"/>
      <c r="AF534" s="2"/>
      <c r="AG534" s="2"/>
    </row>
    <row r="535" spans="25:33" hidden="1" x14ac:dyDescent="0.2">
      <c r="Y535" s="2"/>
      <c r="Z535" s="2"/>
      <c r="AA535" s="2"/>
      <c r="AB535" s="2"/>
      <c r="AC535" s="2"/>
      <c r="AD535" s="2"/>
      <c r="AE535" s="2"/>
      <c r="AF535" s="2"/>
      <c r="AG535" s="2"/>
    </row>
    <row r="536" spans="25:33" hidden="1" x14ac:dyDescent="0.2">
      <c r="Y536" s="2"/>
      <c r="Z536" s="2"/>
      <c r="AA536" s="2"/>
      <c r="AB536" s="2"/>
      <c r="AC536" s="2"/>
      <c r="AD536" s="2"/>
      <c r="AE536" s="2"/>
      <c r="AF536" s="2"/>
      <c r="AG536" s="2"/>
    </row>
    <row r="537" spans="25:33" hidden="1" x14ac:dyDescent="0.2">
      <c r="Y537" s="2"/>
      <c r="Z537" s="2"/>
      <c r="AA537" s="2"/>
      <c r="AB537" s="2"/>
      <c r="AC537" s="2"/>
      <c r="AD537" s="2"/>
      <c r="AE537" s="2"/>
      <c r="AF537" s="2"/>
      <c r="AG537" s="2"/>
    </row>
    <row r="538" spans="25:33" hidden="1" x14ac:dyDescent="0.2">
      <c r="Y538" s="2"/>
      <c r="Z538" s="2"/>
      <c r="AA538" s="2"/>
      <c r="AB538" s="2"/>
      <c r="AC538" s="2"/>
      <c r="AD538" s="2"/>
      <c r="AE538" s="2"/>
      <c r="AF538" s="2"/>
      <c r="AG538" s="2"/>
    </row>
    <row r="539" spans="25:33" hidden="1" x14ac:dyDescent="0.2">
      <c r="Y539" s="2"/>
      <c r="Z539" s="2"/>
      <c r="AA539" s="2"/>
      <c r="AB539" s="2"/>
      <c r="AC539" s="2"/>
      <c r="AD539" s="2"/>
      <c r="AE539" s="2"/>
      <c r="AF539" s="2"/>
      <c r="AG539" s="2"/>
    </row>
    <row r="540" spans="25:33" hidden="1" x14ac:dyDescent="0.2">
      <c r="Y540" s="2"/>
      <c r="Z540" s="2"/>
      <c r="AA540" s="2"/>
      <c r="AB540" s="2"/>
      <c r="AC540" s="2"/>
      <c r="AD540" s="2"/>
      <c r="AE540" s="2"/>
      <c r="AF540" s="2"/>
      <c r="AG540" s="2"/>
    </row>
    <row r="541" spans="25:33" hidden="1" x14ac:dyDescent="0.2">
      <c r="Y541" s="2"/>
      <c r="Z541" s="2"/>
      <c r="AA541" s="2"/>
      <c r="AB541" s="2"/>
      <c r="AC541" s="2"/>
      <c r="AD541" s="2"/>
      <c r="AE541" s="2"/>
      <c r="AF541" s="2"/>
      <c r="AG541" s="2"/>
    </row>
    <row r="542" spans="25:33" hidden="1" x14ac:dyDescent="0.2">
      <c r="Y542" s="2"/>
      <c r="Z542" s="2"/>
      <c r="AA542" s="2"/>
      <c r="AB542" s="2"/>
      <c r="AC542" s="2"/>
      <c r="AD542" s="2"/>
      <c r="AE542" s="2"/>
      <c r="AF542" s="2"/>
      <c r="AG542" s="2"/>
    </row>
    <row r="543" spans="25:33" hidden="1" x14ac:dyDescent="0.2">
      <c r="Y543" s="2"/>
      <c r="Z543" s="2"/>
      <c r="AA543" s="2"/>
      <c r="AB543" s="2"/>
      <c r="AC543" s="2"/>
      <c r="AD543" s="2"/>
      <c r="AE543" s="2"/>
      <c r="AF543" s="2"/>
      <c r="AG543" s="2"/>
    </row>
    <row r="544" spans="25:33" hidden="1" x14ac:dyDescent="0.2">
      <c r="Y544" s="2"/>
      <c r="Z544" s="2"/>
      <c r="AA544" s="2"/>
      <c r="AB544" s="2"/>
      <c r="AC544" s="2"/>
      <c r="AD544" s="2"/>
      <c r="AE544" s="2"/>
      <c r="AF544" s="2"/>
      <c r="AG544" s="2"/>
    </row>
    <row r="545" spans="25:33" hidden="1" x14ac:dyDescent="0.2">
      <c r="Y545" s="2"/>
      <c r="Z545" s="2"/>
      <c r="AA545" s="2"/>
      <c r="AB545" s="2"/>
      <c r="AC545" s="2"/>
      <c r="AD545" s="2"/>
      <c r="AE545" s="2"/>
      <c r="AF545" s="2"/>
      <c r="AG545" s="2"/>
    </row>
    <row r="546" spans="25:33" hidden="1" x14ac:dyDescent="0.2">
      <c r="Y546" s="2"/>
      <c r="Z546" s="2"/>
      <c r="AA546" s="2"/>
      <c r="AB546" s="2"/>
      <c r="AC546" s="2"/>
      <c r="AD546" s="2"/>
      <c r="AE546" s="2"/>
      <c r="AF546" s="2"/>
      <c r="AG546" s="2"/>
    </row>
    <row r="547" spans="25:33" hidden="1" x14ac:dyDescent="0.2">
      <c r="Y547" s="2"/>
      <c r="Z547" s="2"/>
      <c r="AA547" s="2"/>
      <c r="AB547" s="2"/>
      <c r="AC547" s="2"/>
      <c r="AD547" s="2"/>
      <c r="AE547" s="2"/>
      <c r="AF547" s="2"/>
      <c r="AG547" s="2"/>
    </row>
    <row r="548" spans="25:33" hidden="1" x14ac:dyDescent="0.2">
      <c r="Y548" s="2"/>
      <c r="Z548" s="2"/>
      <c r="AA548" s="2"/>
      <c r="AB548" s="2"/>
      <c r="AC548" s="2"/>
      <c r="AD548" s="2"/>
      <c r="AE548" s="2"/>
      <c r="AF548" s="2"/>
      <c r="AG548" s="2"/>
    </row>
    <row r="549" spans="25:33" hidden="1" x14ac:dyDescent="0.2">
      <c r="Y549" s="2"/>
      <c r="Z549" s="2"/>
      <c r="AA549" s="2"/>
      <c r="AB549" s="2"/>
      <c r="AC549" s="2"/>
      <c r="AD549" s="2"/>
      <c r="AE549" s="2"/>
      <c r="AF549" s="2"/>
      <c r="AG549" s="2"/>
    </row>
    <row r="550" spans="25:33" hidden="1" x14ac:dyDescent="0.2">
      <c r="Y550" s="2"/>
      <c r="Z550" s="2"/>
      <c r="AA550" s="2"/>
      <c r="AB550" s="2"/>
      <c r="AC550" s="2"/>
      <c r="AD550" s="2"/>
      <c r="AE550" s="2"/>
      <c r="AF550" s="2"/>
      <c r="AG550" s="2"/>
    </row>
    <row r="551" spans="25:33" hidden="1" x14ac:dyDescent="0.2">
      <c r="Y551" s="2"/>
      <c r="Z551" s="2"/>
      <c r="AA551" s="2"/>
      <c r="AB551" s="2"/>
      <c r="AC551" s="2"/>
      <c r="AD551" s="2"/>
      <c r="AE551" s="2"/>
      <c r="AF551" s="2"/>
      <c r="AG551" s="2"/>
    </row>
    <row r="552" spans="25:33" hidden="1" x14ac:dyDescent="0.2">
      <c r="Y552" s="2"/>
      <c r="Z552" s="2"/>
      <c r="AA552" s="2"/>
      <c r="AB552" s="2"/>
      <c r="AC552" s="2"/>
      <c r="AD552" s="2"/>
      <c r="AE552" s="2"/>
      <c r="AF552" s="2"/>
      <c r="AG552" s="2"/>
    </row>
    <row r="553" spans="25:33" hidden="1" x14ac:dyDescent="0.2">
      <c r="Y553" s="2"/>
      <c r="Z553" s="2"/>
      <c r="AA553" s="2"/>
      <c r="AB553" s="2"/>
      <c r="AC553" s="2"/>
      <c r="AD553" s="2"/>
      <c r="AE553" s="2"/>
      <c r="AF553" s="2"/>
      <c r="AG553" s="2"/>
    </row>
    <row r="554" spans="25:33" hidden="1" x14ac:dyDescent="0.2">
      <c r="Y554" s="2"/>
      <c r="Z554" s="2"/>
      <c r="AA554" s="2"/>
      <c r="AB554" s="2"/>
      <c r="AC554" s="2"/>
      <c r="AD554" s="2"/>
      <c r="AE554" s="2"/>
      <c r="AF554" s="2"/>
      <c r="AG554" s="2"/>
    </row>
    <row r="555" spans="25:33" hidden="1" x14ac:dyDescent="0.2">
      <c r="Y555" s="2"/>
      <c r="Z555" s="2"/>
      <c r="AA555" s="2"/>
      <c r="AB555" s="2"/>
      <c r="AC555" s="2"/>
      <c r="AD555" s="2"/>
      <c r="AE555" s="2"/>
      <c r="AF555" s="2"/>
      <c r="AG555" s="2"/>
    </row>
    <row r="556" spans="25:33" hidden="1" x14ac:dyDescent="0.2">
      <c r="Y556" s="2"/>
      <c r="Z556" s="2"/>
      <c r="AA556" s="2"/>
      <c r="AB556" s="2"/>
      <c r="AC556" s="2"/>
      <c r="AD556" s="2"/>
      <c r="AE556" s="2"/>
      <c r="AF556" s="2"/>
      <c r="AG556" s="2"/>
    </row>
    <row r="557" spans="25:33" hidden="1" x14ac:dyDescent="0.2">
      <c r="Y557" s="2"/>
      <c r="Z557" s="2"/>
      <c r="AA557" s="2"/>
      <c r="AB557" s="2"/>
      <c r="AC557" s="2"/>
      <c r="AD557" s="2"/>
      <c r="AE557" s="2"/>
      <c r="AF557" s="2"/>
      <c r="AG557" s="2"/>
    </row>
    <row r="558" spans="25:33" hidden="1" x14ac:dyDescent="0.2">
      <c r="Y558" s="2"/>
      <c r="Z558" s="2"/>
      <c r="AA558" s="2"/>
      <c r="AB558" s="2"/>
      <c r="AC558" s="2"/>
      <c r="AD558" s="2"/>
      <c r="AE558" s="2"/>
      <c r="AF558" s="2"/>
      <c r="AG558" s="2"/>
    </row>
    <row r="559" spans="25:33" hidden="1" x14ac:dyDescent="0.2">
      <c r="Y559" s="2"/>
      <c r="Z559" s="2"/>
      <c r="AA559" s="2"/>
      <c r="AB559" s="2"/>
      <c r="AC559" s="2"/>
      <c r="AD559" s="2"/>
      <c r="AE559" s="2"/>
      <c r="AF559" s="2"/>
      <c r="AG559" s="2"/>
    </row>
    <row r="560" spans="25:33" hidden="1" x14ac:dyDescent="0.2">
      <c r="Y560" s="2"/>
      <c r="Z560" s="2"/>
      <c r="AA560" s="2"/>
      <c r="AB560" s="2"/>
      <c r="AC560" s="2"/>
      <c r="AD560" s="2"/>
      <c r="AE560" s="2"/>
      <c r="AF560" s="2"/>
      <c r="AG560" s="2"/>
    </row>
    <row r="561" spans="25:33" hidden="1" x14ac:dyDescent="0.2">
      <c r="Y561" s="2"/>
      <c r="Z561" s="2"/>
      <c r="AA561" s="2"/>
      <c r="AB561" s="2"/>
      <c r="AC561" s="2"/>
      <c r="AD561" s="2"/>
      <c r="AE561" s="2"/>
      <c r="AF561" s="2"/>
      <c r="AG561" s="2"/>
    </row>
    <row r="562" spans="25:33" hidden="1" x14ac:dyDescent="0.2">
      <c r="Y562" s="2"/>
      <c r="Z562" s="2"/>
      <c r="AA562" s="2"/>
      <c r="AB562" s="2"/>
      <c r="AC562" s="2"/>
      <c r="AD562" s="2"/>
      <c r="AE562" s="2"/>
      <c r="AF562" s="2"/>
      <c r="AG562" s="2"/>
    </row>
    <row r="563" spans="25:33" hidden="1" x14ac:dyDescent="0.2">
      <c r="Y563" s="2"/>
      <c r="Z563" s="2"/>
      <c r="AA563" s="2"/>
      <c r="AB563" s="2"/>
      <c r="AC563" s="2"/>
      <c r="AD563" s="2"/>
      <c r="AE563" s="2"/>
      <c r="AF563" s="2"/>
      <c r="AG563" s="2"/>
    </row>
    <row r="564" spans="25:33" hidden="1" x14ac:dyDescent="0.2">
      <c r="Y564" s="2"/>
      <c r="Z564" s="2"/>
      <c r="AA564" s="2"/>
      <c r="AB564" s="2"/>
      <c r="AC564" s="2"/>
      <c r="AD564" s="2"/>
      <c r="AE564" s="2"/>
      <c r="AF564" s="2"/>
      <c r="AG564" s="2"/>
    </row>
    <row r="565" spans="25:33" hidden="1" x14ac:dyDescent="0.2">
      <c r="Y565" s="2"/>
      <c r="Z565" s="2"/>
      <c r="AA565" s="2"/>
      <c r="AB565" s="2"/>
      <c r="AC565" s="2"/>
      <c r="AD565" s="2"/>
      <c r="AE565" s="2"/>
      <c r="AF565" s="2"/>
      <c r="AG565" s="2"/>
    </row>
    <row r="566" spans="25:33" hidden="1" x14ac:dyDescent="0.2">
      <c r="Y566" s="2"/>
      <c r="Z566" s="2"/>
      <c r="AA566" s="2"/>
      <c r="AB566" s="2"/>
      <c r="AC566" s="2"/>
      <c r="AD566" s="2"/>
      <c r="AE566" s="2"/>
      <c r="AF566" s="2"/>
      <c r="AG566" s="2"/>
    </row>
    <row r="567" spans="25:33" hidden="1" x14ac:dyDescent="0.2">
      <c r="Y567" s="2"/>
      <c r="Z567" s="2"/>
      <c r="AA567" s="2"/>
      <c r="AB567" s="2"/>
      <c r="AC567" s="2"/>
      <c r="AD567" s="2"/>
      <c r="AE567" s="2"/>
      <c r="AF567" s="2"/>
      <c r="AG567" s="2"/>
    </row>
    <row r="568" spans="25:33" hidden="1" x14ac:dyDescent="0.2">
      <c r="Y568" s="2"/>
      <c r="Z568" s="2"/>
      <c r="AA568" s="2"/>
      <c r="AB568" s="2"/>
      <c r="AC568" s="2"/>
      <c r="AD568" s="2"/>
      <c r="AE568" s="2"/>
      <c r="AF568" s="2"/>
      <c r="AG568" s="2"/>
    </row>
    <row r="569" spans="25:33" hidden="1" x14ac:dyDescent="0.2">
      <c r="Y569" s="2"/>
      <c r="Z569" s="2"/>
      <c r="AA569" s="2"/>
      <c r="AB569" s="2"/>
      <c r="AC569" s="2"/>
      <c r="AD569" s="2"/>
      <c r="AE569" s="2"/>
      <c r="AF569" s="2"/>
      <c r="AG569" s="2"/>
    </row>
    <row r="570" spans="25:33" hidden="1" x14ac:dyDescent="0.2">
      <c r="Y570" s="2"/>
      <c r="Z570" s="2"/>
      <c r="AA570" s="2"/>
      <c r="AB570" s="2"/>
      <c r="AC570" s="2"/>
      <c r="AD570" s="2"/>
      <c r="AE570" s="2"/>
      <c r="AF570" s="2"/>
      <c r="AG570" s="2"/>
    </row>
    <row r="571" spans="25:33" hidden="1" x14ac:dyDescent="0.2">
      <c r="Y571" s="2"/>
      <c r="Z571" s="2"/>
      <c r="AA571" s="2"/>
      <c r="AB571" s="2"/>
      <c r="AC571" s="2"/>
      <c r="AD571" s="2"/>
      <c r="AE571" s="2"/>
      <c r="AF571" s="2"/>
      <c r="AG571" s="2"/>
    </row>
    <row r="572" spans="25:33" hidden="1" x14ac:dyDescent="0.2">
      <c r="Y572" s="2"/>
      <c r="Z572" s="2"/>
      <c r="AA572" s="2"/>
      <c r="AB572" s="2"/>
      <c r="AC572" s="2"/>
      <c r="AD572" s="2"/>
      <c r="AE572" s="2"/>
      <c r="AF572" s="2"/>
      <c r="AG572" s="2"/>
    </row>
    <row r="573" spans="25:33" hidden="1" x14ac:dyDescent="0.2">
      <c r="Y573" s="2"/>
      <c r="Z573" s="2"/>
      <c r="AA573" s="2"/>
      <c r="AB573" s="2"/>
      <c r="AC573" s="2"/>
      <c r="AD573" s="2"/>
      <c r="AE573" s="2"/>
      <c r="AF573" s="2"/>
      <c r="AG573" s="2"/>
    </row>
    <row r="574" spans="25:33" hidden="1" x14ac:dyDescent="0.2">
      <c r="Y574" s="2"/>
      <c r="Z574" s="2"/>
      <c r="AA574" s="2"/>
      <c r="AB574" s="2"/>
      <c r="AC574" s="2"/>
      <c r="AD574" s="2"/>
      <c r="AE574" s="2"/>
      <c r="AF574" s="2"/>
      <c r="AG574" s="2"/>
    </row>
    <row r="575" spans="25:33" hidden="1" x14ac:dyDescent="0.2">
      <c r="Y575" s="2"/>
      <c r="Z575" s="2"/>
      <c r="AA575" s="2"/>
      <c r="AB575" s="2"/>
      <c r="AC575" s="2"/>
      <c r="AD575" s="2"/>
      <c r="AE575" s="2"/>
      <c r="AF575" s="2"/>
      <c r="AG575" s="2"/>
    </row>
    <row r="576" spans="25:33" hidden="1" x14ac:dyDescent="0.2">
      <c r="Y576" s="2"/>
      <c r="Z576" s="2"/>
      <c r="AA576" s="2"/>
      <c r="AB576" s="2"/>
      <c r="AC576" s="2"/>
      <c r="AD576" s="2"/>
      <c r="AE576" s="2"/>
      <c r="AF576" s="2"/>
      <c r="AG576" s="2"/>
    </row>
    <row r="577" spans="25:33" hidden="1" x14ac:dyDescent="0.2">
      <c r="Y577" s="2"/>
      <c r="Z577" s="2"/>
      <c r="AA577" s="2"/>
      <c r="AB577" s="2"/>
      <c r="AC577" s="2"/>
      <c r="AD577" s="2"/>
      <c r="AE577" s="2"/>
      <c r="AF577" s="2"/>
      <c r="AG577" s="2"/>
    </row>
    <row r="578" spans="25:33" hidden="1" x14ac:dyDescent="0.2">
      <c r="Y578" s="2"/>
      <c r="Z578" s="2"/>
      <c r="AA578" s="2"/>
      <c r="AB578" s="2"/>
      <c r="AC578" s="2"/>
      <c r="AD578" s="2"/>
      <c r="AE578" s="2"/>
      <c r="AF578" s="2"/>
      <c r="AG578" s="2"/>
    </row>
    <row r="579" spans="25:33" hidden="1" x14ac:dyDescent="0.2">
      <c r="Y579" s="2"/>
      <c r="Z579" s="2"/>
      <c r="AA579" s="2"/>
      <c r="AB579" s="2"/>
      <c r="AC579" s="2"/>
      <c r="AD579" s="2"/>
      <c r="AE579" s="2"/>
      <c r="AF579" s="2"/>
      <c r="AG579" s="2"/>
    </row>
    <row r="580" spans="25:33" hidden="1" x14ac:dyDescent="0.2">
      <c r="Y580" s="2"/>
      <c r="Z580" s="2"/>
      <c r="AA580" s="2"/>
      <c r="AB580" s="2"/>
      <c r="AC580" s="2"/>
      <c r="AD580" s="2"/>
      <c r="AE580" s="2"/>
      <c r="AF580" s="2"/>
      <c r="AG580" s="2"/>
    </row>
    <row r="581" spans="25:33" hidden="1" x14ac:dyDescent="0.2">
      <c r="Y581" s="2"/>
      <c r="Z581" s="2"/>
      <c r="AA581" s="2"/>
      <c r="AB581" s="2"/>
      <c r="AC581" s="2"/>
      <c r="AD581" s="2"/>
      <c r="AE581" s="2"/>
      <c r="AF581" s="2"/>
      <c r="AG581" s="2"/>
    </row>
    <row r="582" spans="25:33" hidden="1" x14ac:dyDescent="0.2">
      <c r="Y582" s="2"/>
      <c r="Z582" s="2"/>
      <c r="AA582" s="2"/>
      <c r="AB582" s="2"/>
      <c r="AC582" s="2"/>
      <c r="AD582" s="2"/>
      <c r="AE582" s="2"/>
      <c r="AF582" s="2"/>
      <c r="AG582" s="2"/>
    </row>
    <row r="583" spans="25:33" hidden="1" x14ac:dyDescent="0.2">
      <c r="Y583" s="2"/>
      <c r="Z583" s="2"/>
      <c r="AA583" s="2"/>
      <c r="AB583" s="2"/>
      <c r="AC583" s="2"/>
      <c r="AD583" s="2"/>
      <c r="AE583" s="2"/>
      <c r="AF583" s="2"/>
      <c r="AG583" s="2"/>
    </row>
    <row r="584" spans="25:33" hidden="1" x14ac:dyDescent="0.2">
      <c r="Y584" s="2"/>
      <c r="Z584" s="2"/>
      <c r="AA584" s="2"/>
      <c r="AB584" s="2"/>
      <c r="AC584" s="2"/>
      <c r="AD584" s="2"/>
      <c r="AE584" s="2"/>
      <c r="AF584" s="2"/>
      <c r="AG584" s="2"/>
    </row>
    <row r="585" spans="25:33" hidden="1" x14ac:dyDescent="0.2">
      <c r="Y585" s="2"/>
      <c r="Z585" s="2"/>
      <c r="AA585" s="2"/>
      <c r="AB585" s="2"/>
      <c r="AC585" s="2"/>
      <c r="AD585" s="2"/>
      <c r="AE585" s="2"/>
      <c r="AF585" s="2"/>
      <c r="AG585" s="2"/>
    </row>
    <row r="586" spans="25:33" hidden="1" x14ac:dyDescent="0.2">
      <c r="Y586" s="2"/>
      <c r="Z586" s="2"/>
      <c r="AA586" s="2"/>
      <c r="AB586" s="2"/>
      <c r="AC586" s="2"/>
      <c r="AD586" s="2"/>
      <c r="AE586" s="2"/>
      <c r="AF586" s="2"/>
      <c r="AG586" s="2"/>
    </row>
    <row r="587" spans="25:33" hidden="1" x14ac:dyDescent="0.2">
      <c r="Y587" s="2"/>
      <c r="Z587" s="2"/>
      <c r="AA587" s="2"/>
      <c r="AB587" s="2"/>
      <c r="AC587" s="2"/>
      <c r="AD587" s="2"/>
      <c r="AE587" s="2"/>
      <c r="AF587" s="2"/>
      <c r="AG587" s="2"/>
    </row>
    <row r="588" spans="25:33" hidden="1" x14ac:dyDescent="0.2">
      <c r="Y588" s="2"/>
      <c r="Z588" s="2"/>
      <c r="AA588" s="2"/>
      <c r="AB588" s="2"/>
      <c r="AC588" s="2"/>
      <c r="AD588" s="2"/>
      <c r="AE588" s="2"/>
      <c r="AF588" s="2"/>
      <c r="AG588" s="2"/>
    </row>
    <row r="589" spans="25:33" hidden="1" x14ac:dyDescent="0.2">
      <c r="Y589" s="2"/>
      <c r="Z589" s="2"/>
      <c r="AA589" s="2"/>
      <c r="AB589" s="2"/>
      <c r="AC589" s="2"/>
      <c r="AD589" s="2"/>
      <c r="AE589" s="2"/>
      <c r="AF589" s="2"/>
      <c r="AG589" s="2"/>
    </row>
    <row r="590" spans="25:33" hidden="1" x14ac:dyDescent="0.2">
      <c r="Y590" s="2"/>
      <c r="Z590" s="2"/>
      <c r="AA590" s="2"/>
      <c r="AB590" s="2"/>
      <c r="AC590" s="2"/>
      <c r="AD590" s="2"/>
      <c r="AE590" s="2"/>
      <c r="AF590" s="2"/>
      <c r="AG590" s="2"/>
    </row>
    <row r="591" spans="25:33" hidden="1" x14ac:dyDescent="0.2">
      <c r="Y591" s="2"/>
      <c r="Z591" s="2"/>
      <c r="AA591" s="2"/>
      <c r="AB591" s="2"/>
      <c r="AC591" s="2"/>
      <c r="AD591" s="2"/>
      <c r="AE591" s="2"/>
      <c r="AF591" s="2"/>
      <c r="AG591" s="2"/>
    </row>
    <row r="592" spans="25:33" hidden="1" x14ac:dyDescent="0.2">
      <c r="Y592" s="2"/>
      <c r="Z592" s="2"/>
      <c r="AA592" s="2"/>
      <c r="AB592" s="2"/>
      <c r="AC592" s="2"/>
      <c r="AD592" s="2"/>
      <c r="AE592" s="2"/>
      <c r="AF592" s="2"/>
      <c r="AG592" s="2"/>
    </row>
    <row r="593" spans="25:33" hidden="1" x14ac:dyDescent="0.2">
      <c r="Y593" s="2"/>
      <c r="Z593" s="2"/>
      <c r="AA593" s="2"/>
      <c r="AB593" s="2"/>
      <c r="AC593" s="2"/>
      <c r="AD593" s="2"/>
      <c r="AE593" s="2"/>
      <c r="AF593" s="2"/>
      <c r="AG593" s="2"/>
    </row>
    <row r="594" spans="25:33" hidden="1" x14ac:dyDescent="0.2">
      <c r="Y594" s="2"/>
      <c r="Z594" s="2"/>
      <c r="AA594" s="2"/>
      <c r="AB594" s="2"/>
      <c r="AC594" s="2"/>
      <c r="AD594" s="2"/>
      <c r="AE594" s="2"/>
      <c r="AF594" s="2"/>
      <c r="AG594" s="2"/>
    </row>
    <row r="595" spans="25:33" hidden="1" x14ac:dyDescent="0.2">
      <c r="Y595" s="2"/>
      <c r="Z595" s="2"/>
      <c r="AA595" s="2"/>
      <c r="AB595" s="2"/>
      <c r="AC595" s="2"/>
      <c r="AD595" s="2"/>
      <c r="AE595" s="2"/>
      <c r="AF595" s="2"/>
      <c r="AG595" s="2"/>
    </row>
    <row r="596" spans="25:33" hidden="1" x14ac:dyDescent="0.2">
      <c r="Y596" s="2"/>
      <c r="Z596" s="2"/>
      <c r="AA596" s="2"/>
      <c r="AB596" s="2"/>
      <c r="AC596" s="2"/>
      <c r="AD596" s="2"/>
      <c r="AE596" s="2"/>
      <c r="AF596" s="2"/>
      <c r="AG596" s="2"/>
    </row>
    <row r="597" spans="25:33" hidden="1" x14ac:dyDescent="0.2">
      <c r="Y597" s="2"/>
      <c r="Z597" s="2"/>
      <c r="AA597" s="2"/>
      <c r="AB597" s="2"/>
      <c r="AC597" s="2"/>
      <c r="AD597" s="2"/>
      <c r="AE597" s="2"/>
      <c r="AF597" s="2"/>
      <c r="AG597" s="2"/>
    </row>
    <row r="598" spans="25:33" hidden="1" x14ac:dyDescent="0.2">
      <c r="Y598" s="2"/>
      <c r="Z598" s="2"/>
      <c r="AA598" s="2"/>
      <c r="AB598" s="2"/>
      <c r="AC598" s="2"/>
      <c r="AD598" s="2"/>
      <c r="AE598" s="2"/>
      <c r="AF598" s="2"/>
      <c r="AG598" s="2"/>
    </row>
    <row r="599" spans="25:33" hidden="1" x14ac:dyDescent="0.2">
      <c r="Y599" s="2"/>
      <c r="Z599" s="2"/>
      <c r="AA599" s="2"/>
      <c r="AB599" s="2"/>
      <c r="AC599" s="2"/>
      <c r="AD599" s="2"/>
      <c r="AE599" s="2"/>
      <c r="AF599" s="2"/>
      <c r="AG599" s="2"/>
    </row>
    <row r="600" spans="25:33" hidden="1" x14ac:dyDescent="0.2">
      <c r="Y600" s="2"/>
      <c r="Z600" s="2"/>
      <c r="AA600" s="2"/>
      <c r="AB600" s="2"/>
      <c r="AC600" s="2"/>
      <c r="AD600" s="2"/>
      <c r="AE600" s="2"/>
      <c r="AF600" s="2"/>
      <c r="AG600" s="2"/>
    </row>
    <row r="601" spans="25:33" hidden="1" x14ac:dyDescent="0.2">
      <c r="Y601" s="2"/>
      <c r="Z601" s="2"/>
      <c r="AA601" s="2"/>
      <c r="AB601" s="2"/>
      <c r="AC601" s="2"/>
      <c r="AD601" s="2"/>
      <c r="AE601" s="2"/>
      <c r="AF601" s="2"/>
      <c r="AG601" s="2"/>
    </row>
    <row r="602" spans="25:33" hidden="1" x14ac:dyDescent="0.2">
      <c r="Y602" s="2"/>
      <c r="Z602" s="2"/>
      <c r="AA602" s="2"/>
      <c r="AB602" s="2"/>
      <c r="AC602" s="2"/>
      <c r="AD602" s="2"/>
      <c r="AE602" s="2"/>
      <c r="AF602" s="2"/>
      <c r="AG602" s="2"/>
    </row>
    <row r="603" spans="25:33" hidden="1" x14ac:dyDescent="0.2">
      <c r="Y603" s="2"/>
      <c r="Z603" s="2"/>
      <c r="AA603" s="2"/>
      <c r="AB603" s="2"/>
      <c r="AC603" s="2"/>
      <c r="AD603" s="2"/>
      <c r="AE603" s="2"/>
      <c r="AF603" s="2"/>
      <c r="AG603" s="2"/>
    </row>
    <row r="604" spans="25:33" hidden="1" x14ac:dyDescent="0.2">
      <c r="Y604" s="2"/>
      <c r="Z604" s="2"/>
      <c r="AA604" s="2"/>
      <c r="AB604" s="2"/>
      <c r="AC604" s="2"/>
      <c r="AD604" s="2"/>
      <c r="AE604" s="2"/>
      <c r="AF604" s="2"/>
      <c r="AG604" s="2"/>
    </row>
    <row r="605" spans="25:33" hidden="1" x14ac:dyDescent="0.2">
      <c r="Y605" s="2"/>
      <c r="Z605" s="2"/>
      <c r="AA605" s="2"/>
      <c r="AB605" s="2"/>
      <c r="AC605" s="2"/>
      <c r="AD605" s="2"/>
      <c r="AE605" s="2"/>
      <c r="AF605" s="2"/>
      <c r="AG605" s="2"/>
    </row>
    <row r="606" spans="25:33" hidden="1" x14ac:dyDescent="0.2">
      <c r="Y606" s="2"/>
      <c r="Z606" s="2"/>
      <c r="AA606" s="2"/>
      <c r="AB606" s="2"/>
      <c r="AC606" s="2"/>
      <c r="AD606" s="2"/>
      <c r="AE606" s="2"/>
      <c r="AF606" s="2"/>
      <c r="AG606" s="2"/>
    </row>
    <row r="607" spans="25:33" hidden="1" x14ac:dyDescent="0.2">
      <c r="Y607" s="2"/>
      <c r="Z607" s="2"/>
      <c r="AA607" s="2"/>
      <c r="AB607" s="2"/>
      <c r="AC607" s="2"/>
      <c r="AD607" s="2"/>
      <c r="AE607" s="2"/>
      <c r="AF607" s="2"/>
      <c r="AG607" s="2"/>
    </row>
    <row r="608" spans="25:33" hidden="1" x14ac:dyDescent="0.2">
      <c r="Y608" s="2"/>
      <c r="Z608" s="2"/>
      <c r="AA608" s="2"/>
      <c r="AB608" s="2"/>
      <c r="AC608" s="2"/>
      <c r="AD608" s="2"/>
      <c r="AE608" s="2"/>
      <c r="AF608" s="2"/>
      <c r="AG608" s="2"/>
    </row>
    <row r="609" spans="25:33" hidden="1" x14ac:dyDescent="0.2">
      <c r="Y609" s="2"/>
      <c r="Z609" s="2"/>
      <c r="AA609" s="2"/>
      <c r="AB609" s="2"/>
      <c r="AC609" s="2"/>
      <c r="AD609" s="2"/>
      <c r="AE609" s="2"/>
      <c r="AF609" s="2"/>
      <c r="AG609" s="2"/>
    </row>
    <row r="610" spans="25:33" hidden="1" x14ac:dyDescent="0.2">
      <c r="Y610" s="2"/>
      <c r="Z610" s="2"/>
      <c r="AA610" s="2"/>
      <c r="AB610" s="2"/>
      <c r="AC610" s="2"/>
      <c r="AD610" s="2"/>
      <c r="AE610" s="2"/>
      <c r="AF610" s="2"/>
      <c r="AG610" s="2"/>
    </row>
    <row r="611" spans="25:33" hidden="1" x14ac:dyDescent="0.2">
      <c r="Y611" s="2"/>
      <c r="Z611" s="2"/>
      <c r="AA611" s="2"/>
      <c r="AB611" s="2"/>
      <c r="AC611" s="2"/>
      <c r="AD611" s="2"/>
      <c r="AE611" s="2"/>
      <c r="AF611" s="2"/>
      <c r="AG611" s="2"/>
    </row>
    <row r="612" spans="25:33" hidden="1" x14ac:dyDescent="0.2">
      <c r="Y612" s="2"/>
      <c r="Z612" s="2"/>
      <c r="AA612" s="2"/>
      <c r="AB612" s="2"/>
      <c r="AC612" s="2"/>
      <c r="AD612" s="2"/>
      <c r="AE612" s="2"/>
      <c r="AF612" s="2"/>
      <c r="AG612" s="2"/>
    </row>
    <row r="613" spans="25:33" hidden="1" x14ac:dyDescent="0.2">
      <c r="Y613" s="2"/>
      <c r="Z613" s="2"/>
      <c r="AA613" s="2"/>
      <c r="AB613" s="2"/>
      <c r="AC613" s="2"/>
      <c r="AD613" s="2"/>
      <c r="AE613" s="2"/>
      <c r="AF613" s="2"/>
      <c r="AG613" s="2"/>
    </row>
    <row r="614" spans="25:33" hidden="1" x14ac:dyDescent="0.2">
      <c r="Y614" s="2"/>
      <c r="Z614" s="2"/>
      <c r="AA614" s="2"/>
      <c r="AB614" s="2"/>
      <c r="AC614" s="2"/>
      <c r="AD614" s="2"/>
      <c r="AE614" s="2"/>
      <c r="AF614" s="2"/>
      <c r="AG614" s="2"/>
    </row>
    <row r="615" spans="25:33" hidden="1" x14ac:dyDescent="0.2">
      <c r="Y615" s="2"/>
      <c r="Z615" s="2"/>
      <c r="AA615" s="2"/>
      <c r="AB615" s="2"/>
      <c r="AC615" s="2"/>
      <c r="AD615" s="2"/>
      <c r="AE615" s="2"/>
      <c r="AF615" s="2"/>
      <c r="AG615" s="2"/>
    </row>
    <row r="616" spans="25:33" hidden="1" x14ac:dyDescent="0.2">
      <c r="Y616" s="2"/>
      <c r="Z616" s="2"/>
      <c r="AA616" s="2"/>
      <c r="AB616" s="2"/>
      <c r="AC616" s="2"/>
      <c r="AD616" s="2"/>
      <c r="AE616" s="2"/>
      <c r="AF616" s="2"/>
      <c r="AG616" s="2"/>
    </row>
    <row r="617" spans="25:33" hidden="1" x14ac:dyDescent="0.2">
      <c r="Y617" s="2"/>
      <c r="Z617" s="2"/>
      <c r="AA617" s="2"/>
      <c r="AB617" s="2"/>
      <c r="AC617" s="2"/>
      <c r="AD617" s="2"/>
      <c r="AE617" s="2"/>
      <c r="AF617" s="2"/>
      <c r="AG617" s="2"/>
    </row>
    <row r="618" spans="25:33" hidden="1" x14ac:dyDescent="0.2">
      <c r="Y618" s="2"/>
      <c r="Z618" s="2"/>
      <c r="AA618" s="2"/>
      <c r="AB618" s="2"/>
      <c r="AC618" s="2"/>
      <c r="AD618" s="2"/>
      <c r="AE618" s="2"/>
      <c r="AF618" s="2"/>
      <c r="AG618" s="2"/>
    </row>
    <row r="619" spans="25:33" hidden="1" x14ac:dyDescent="0.2">
      <c r="Y619" s="2"/>
      <c r="Z619" s="2"/>
      <c r="AA619" s="2"/>
      <c r="AB619" s="2"/>
      <c r="AC619" s="2"/>
      <c r="AD619" s="2"/>
      <c r="AE619" s="2"/>
      <c r="AF619" s="2"/>
      <c r="AG619" s="2"/>
    </row>
    <row r="620" spans="25:33" hidden="1" x14ac:dyDescent="0.2">
      <c r="Y620" s="2"/>
      <c r="Z620" s="2"/>
      <c r="AA620" s="2"/>
      <c r="AB620" s="2"/>
      <c r="AC620" s="2"/>
      <c r="AD620" s="2"/>
      <c r="AE620" s="2"/>
      <c r="AF620" s="2"/>
      <c r="AG620" s="2"/>
    </row>
    <row r="621" spans="25:33" hidden="1" x14ac:dyDescent="0.2">
      <c r="Y621" s="2"/>
      <c r="Z621" s="2"/>
      <c r="AA621" s="2"/>
      <c r="AB621" s="2"/>
      <c r="AC621" s="2"/>
      <c r="AD621" s="2"/>
      <c r="AE621" s="2"/>
      <c r="AF621" s="2"/>
      <c r="AG621" s="2"/>
    </row>
    <row r="622" spans="25:33" hidden="1" x14ac:dyDescent="0.2">
      <c r="Y622" s="2"/>
      <c r="Z622" s="2"/>
      <c r="AA622" s="2"/>
      <c r="AB622" s="2"/>
      <c r="AC622" s="2"/>
      <c r="AD622" s="2"/>
      <c r="AE622" s="2"/>
      <c r="AF622" s="2"/>
      <c r="AG622" s="2"/>
    </row>
    <row r="623" spans="25:33" hidden="1" x14ac:dyDescent="0.2">
      <c r="Y623" s="2"/>
      <c r="Z623" s="2"/>
      <c r="AA623" s="2"/>
      <c r="AB623" s="2"/>
      <c r="AC623" s="2"/>
      <c r="AD623" s="2"/>
      <c r="AE623" s="2"/>
      <c r="AF623" s="2"/>
      <c r="AG623" s="2"/>
    </row>
    <row r="624" spans="25:33" hidden="1" x14ac:dyDescent="0.2">
      <c r="Y624" s="2"/>
      <c r="Z624" s="2"/>
      <c r="AA624" s="2"/>
      <c r="AB624" s="2"/>
      <c r="AC624" s="2"/>
      <c r="AD624" s="2"/>
      <c r="AE624" s="2"/>
      <c r="AF624" s="2"/>
      <c r="AG624" s="2"/>
    </row>
    <row r="625" spans="25:33" hidden="1" x14ac:dyDescent="0.2">
      <c r="Y625" s="2"/>
      <c r="Z625" s="2"/>
      <c r="AA625" s="2"/>
      <c r="AB625" s="2"/>
      <c r="AC625" s="2"/>
      <c r="AD625" s="2"/>
      <c r="AE625" s="2"/>
      <c r="AF625" s="2"/>
      <c r="AG625" s="2"/>
    </row>
    <row r="626" spans="25:33" hidden="1" x14ac:dyDescent="0.2">
      <c r="Y626" s="2"/>
      <c r="Z626" s="2"/>
      <c r="AA626" s="2"/>
      <c r="AB626" s="2"/>
      <c r="AC626" s="2"/>
      <c r="AD626" s="2"/>
      <c r="AE626" s="2"/>
      <c r="AF626" s="2"/>
      <c r="AG626" s="2"/>
    </row>
    <row r="627" spans="25:33" hidden="1" x14ac:dyDescent="0.2">
      <c r="Y627" s="2"/>
      <c r="Z627" s="2"/>
      <c r="AA627" s="2"/>
      <c r="AB627" s="2"/>
      <c r="AC627" s="2"/>
      <c r="AD627" s="2"/>
      <c r="AE627" s="2"/>
      <c r="AF627" s="2"/>
      <c r="AG627" s="2"/>
    </row>
    <row r="628" spans="25:33" hidden="1" x14ac:dyDescent="0.2">
      <c r="Y628" s="2"/>
      <c r="Z628" s="2"/>
      <c r="AA628" s="2"/>
      <c r="AB628" s="2"/>
      <c r="AC628" s="2"/>
      <c r="AD628" s="2"/>
      <c r="AE628" s="2"/>
      <c r="AF628" s="2"/>
      <c r="AG628" s="2"/>
    </row>
    <row r="629" spans="25:33" hidden="1" x14ac:dyDescent="0.2">
      <c r="Y629" s="2"/>
      <c r="Z629" s="2"/>
      <c r="AA629" s="2"/>
      <c r="AB629" s="2"/>
      <c r="AC629" s="2"/>
      <c r="AD629" s="2"/>
      <c r="AE629" s="2"/>
      <c r="AF629" s="2"/>
      <c r="AG629" s="2"/>
    </row>
    <row r="630" spans="25:33" hidden="1" x14ac:dyDescent="0.2">
      <c r="Y630" s="2"/>
      <c r="Z630" s="2"/>
      <c r="AA630" s="2"/>
      <c r="AB630" s="2"/>
      <c r="AC630" s="2"/>
      <c r="AD630" s="2"/>
      <c r="AE630" s="2"/>
      <c r="AF630" s="2"/>
      <c r="AG630" s="2"/>
    </row>
    <row r="631" spans="25:33" hidden="1" x14ac:dyDescent="0.2">
      <c r="Y631" s="2"/>
      <c r="Z631" s="2"/>
      <c r="AA631" s="2"/>
      <c r="AB631" s="2"/>
      <c r="AC631" s="2"/>
      <c r="AD631" s="2"/>
      <c r="AE631" s="2"/>
      <c r="AF631" s="2"/>
      <c r="AG631" s="2"/>
    </row>
    <row r="632" spans="25:33" hidden="1" x14ac:dyDescent="0.2">
      <c r="Y632" s="2"/>
      <c r="Z632" s="2"/>
      <c r="AA632" s="2"/>
      <c r="AB632" s="2"/>
      <c r="AC632" s="2"/>
      <c r="AD632" s="2"/>
      <c r="AE632" s="2"/>
      <c r="AF632" s="2"/>
      <c r="AG632" s="2"/>
    </row>
    <row r="633" spans="25:33" hidden="1" x14ac:dyDescent="0.2">
      <c r="Y633" s="2"/>
      <c r="Z633" s="2"/>
      <c r="AA633" s="2"/>
      <c r="AB633" s="2"/>
      <c r="AC633" s="2"/>
      <c r="AD633" s="2"/>
      <c r="AE633" s="2"/>
      <c r="AF633" s="2"/>
      <c r="AG633" s="2"/>
    </row>
    <row r="634" spans="25:33" hidden="1" x14ac:dyDescent="0.2">
      <c r="Y634" s="2"/>
      <c r="Z634" s="2"/>
      <c r="AA634" s="2"/>
      <c r="AB634" s="2"/>
      <c r="AC634" s="2"/>
      <c r="AD634" s="2"/>
      <c r="AE634" s="2"/>
      <c r="AF634" s="2"/>
      <c r="AG634" s="2"/>
    </row>
    <row r="635" spans="25:33" hidden="1" x14ac:dyDescent="0.2">
      <c r="Y635" s="2"/>
      <c r="Z635" s="2"/>
      <c r="AA635" s="2"/>
      <c r="AB635" s="2"/>
      <c r="AC635" s="2"/>
      <c r="AD635" s="2"/>
      <c r="AE635" s="2"/>
      <c r="AF635" s="2"/>
      <c r="AG635" s="2"/>
    </row>
    <row r="636" spans="25:33" hidden="1" x14ac:dyDescent="0.2">
      <c r="Y636" s="2"/>
      <c r="Z636" s="2"/>
      <c r="AA636" s="2"/>
      <c r="AB636" s="2"/>
      <c r="AC636" s="2"/>
      <c r="AD636" s="2"/>
      <c r="AE636" s="2"/>
      <c r="AF636" s="2"/>
      <c r="AG636" s="2"/>
    </row>
    <row r="637" spans="25:33" hidden="1" x14ac:dyDescent="0.2">
      <c r="Y637" s="2"/>
      <c r="Z637" s="2"/>
      <c r="AA637" s="2"/>
      <c r="AB637" s="2"/>
      <c r="AC637" s="2"/>
      <c r="AD637" s="2"/>
      <c r="AE637" s="2"/>
      <c r="AF637" s="2"/>
      <c r="AG637" s="2"/>
    </row>
    <row r="638" spans="25:33" hidden="1" x14ac:dyDescent="0.2">
      <c r="Y638" s="2"/>
      <c r="Z638" s="2"/>
      <c r="AA638" s="2"/>
      <c r="AB638" s="2"/>
      <c r="AC638" s="2"/>
      <c r="AD638" s="2"/>
      <c r="AE638" s="2"/>
      <c r="AF638" s="2"/>
      <c r="AG638" s="2"/>
    </row>
    <row r="639" spans="25:33" hidden="1" x14ac:dyDescent="0.2">
      <c r="Y639" s="2"/>
      <c r="Z639" s="2"/>
      <c r="AA639" s="2"/>
      <c r="AB639" s="2"/>
      <c r="AC639" s="2"/>
      <c r="AD639" s="2"/>
      <c r="AE639" s="2"/>
      <c r="AF639" s="2"/>
      <c r="AG639" s="2"/>
    </row>
    <row r="640" spans="25:33" hidden="1" x14ac:dyDescent="0.2">
      <c r="Y640" s="2"/>
      <c r="Z640" s="2"/>
      <c r="AA640" s="2"/>
      <c r="AB640" s="2"/>
      <c r="AC640" s="2"/>
      <c r="AD640" s="2"/>
      <c r="AE640" s="2"/>
      <c r="AF640" s="2"/>
      <c r="AG640" s="2"/>
    </row>
    <row r="641" spans="25:33" hidden="1" x14ac:dyDescent="0.2">
      <c r="Y641" s="2"/>
      <c r="Z641" s="2"/>
      <c r="AA641" s="2"/>
      <c r="AB641" s="2"/>
      <c r="AC641" s="2"/>
      <c r="AD641" s="2"/>
      <c r="AE641" s="2"/>
      <c r="AF641" s="2"/>
      <c r="AG641" s="2"/>
    </row>
    <row r="642" spans="25:33" hidden="1" x14ac:dyDescent="0.2">
      <c r="Y642" s="2"/>
      <c r="Z642" s="2"/>
      <c r="AA642" s="2"/>
      <c r="AB642" s="2"/>
      <c r="AC642" s="2"/>
      <c r="AD642" s="2"/>
      <c r="AE642" s="2"/>
      <c r="AF642" s="2"/>
      <c r="AG642" s="2"/>
    </row>
    <row r="643" spans="25:33" hidden="1" x14ac:dyDescent="0.2">
      <c r="Y643" s="2"/>
      <c r="Z643" s="2"/>
      <c r="AA643" s="2"/>
      <c r="AB643" s="2"/>
      <c r="AC643" s="2"/>
      <c r="AD643" s="2"/>
      <c r="AE643" s="2"/>
      <c r="AF643" s="2"/>
      <c r="AG643" s="2"/>
    </row>
    <row r="644" spans="25:33" hidden="1" x14ac:dyDescent="0.2">
      <c r="Y644" s="2"/>
      <c r="Z644" s="2"/>
      <c r="AA644" s="2"/>
      <c r="AB644" s="2"/>
      <c r="AC644" s="2"/>
      <c r="AD644" s="2"/>
      <c r="AE644" s="2"/>
      <c r="AF644" s="2"/>
      <c r="AG644" s="2"/>
    </row>
    <row r="645" spans="25:33" hidden="1" x14ac:dyDescent="0.2">
      <c r="Y645" s="2"/>
      <c r="Z645" s="2"/>
      <c r="AA645" s="2"/>
      <c r="AB645" s="2"/>
      <c r="AC645" s="2"/>
      <c r="AD645" s="2"/>
      <c r="AE645" s="2"/>
      <c r="AF645" s="2"/>
      <c r="AG645" s="2"/>
    </row>
    <row r="646" spans="25:33" hidden="1" x14ac:dyDescent="0.2">
      <c r="Y646" s="2"/>
      <c r="Z646" s="2"/>
      <c r="AA646" s="2"/>
      <c r="AB646" s="2"/>
      <c r="AC646" s="2"/>
      <c r="AD646" s="2"/>
      <c r="AE646" s="2"/>
      <c r="AF646" s="2"/>
      <c r="AG646" s="2"/>
    </row>
    <row r="647" spans="25:33" hidden="1" x14ac:dyDescent="0.2">
      <c r="Y647" s="2"/>
      <c r="Z647" s="2"/>
      <c r="AA647" s="2"/>
      <c r="AB647" s="2"/>
      <c r="AC647" s="2"/>
      <c r="AD647" s="2"/>
      <c r="AE647" s="2"/>
      <c r="AF647" s="2"/>
      <c r="AG647" s="2"/>
    </row>
    <row r="648" spans="25:33" hidden="1" x14ac:dyDescent="0.2">
      <c r="Y648" s="2"/>
      <c r="Z648" s="2"/>
      <c r="AA648" s="2"/>
      <c r="AB648" s="2"/>
      <c r="AC648" s="2"/>
      <c r="AD648" s="2"/>
      <c r="AE648" s="2"/>
      <c r="AF648" s="2"/>
      <c r="AG648" s="2"/>
    </row>
    <row r="649" spans="25:33" hidden="1" x14ac:dyDescent="0.2">
      <c r="Y649" s="2"/>
      <c r="Z649" s="2"/>
      <c r="AA649" s="2"/>
      <c r="AB649" s="2"/>
      <c r="AC649" s="2"/>
      <c r="AD649" s="2"/>
      <c r="AE649" s="2"/>
      <c r="AF649" s="2"/>
      <c r="AG649" s="2"/>
    </row>
    <row r="650" spans="25:33" hidden="1" x14ac:dyDescent="0.2">
      <c r="Y650" s="2"/>
      <c r="Z650" s="2"/>
      <c r="AA650" s="2"/>
      <c r="AB650" s="2"/>
      <c r="AC650" s="2"/>
      <c r="AD650" s="2"/>
      <c r="AE650" s="2"/>
      <c r="AF650" s="2"/>
      <c r="AG650" s="2"/>
    </row>
    <row r="651" spans="25:33" hidden="1" x14ac:dyDescent="0.2">
      <c r="Y651" s="2"/>
      <c r="Z651" s="2"/>
      <c r="AA651" s="2"/>
      <c r="AB651" s="2"/>
      <c r="AC651" s="2"/>
      <c r="AD651" s="2"/>
      <c r="AE651" s="2"/>
      <c r="AF651" s="2"/>
      <c r="AG651" s="2"/>
    </row>
    <row r="652" spans="25:33" hidden="1" x14ac:dyDescent="0.2">
      <c r="Y652" s="2"/>
      <c r="Z652" s="2"/>
      <c r="AA652" s="2"/>
      <c r="AB652" s="2"/>
      <c r="AC652" s="2"/>
      <c r="AD652" s="2"/>
      <c r="AE652" s="2"/>
      <c r="AF652" s="2"/>
      <c r="AG652" s="2"/>
    </row>
    <row r="653" spans="25:33" hidden="1" x14ac:dyDescent="0.2">
      <c r="Y653" s="2"/>
      <c r="Z653" s="2"/>
      <c r="AA653" s="2"/>
      <c r="AB653" s="2"/>
      <c r="AC653" s="2"/>
      <c r="AD653" s="2"/>
      <c r="AE653" s="2"/>
      <c r="AF653" s="2"/>
      <c r="AG653" s="2"/>
    </row>
    <row r="654" spans="25:33" hidden="1" x14ac:dyDescent="0.2">
      <c r="Y654" s="2"/>
      <c r="Z654" s="2"/>
      <c r="AA654" s="2"/>
      <c r="AB654" s="2"/>
      <c r="AC654" s="2"/>
      <c r="AD654" s="2"/>
      <c r="AE654" s="2"/>
      <c r="AF654" s="2"/>
      <c r="AG654" s="2"/>
    </row>
    <row r="655" spans="25:33" hidden="1" x14ac:dyDescent="0.2">
      <c r="Y655" s="2"/>
      <c r="Z655" s="2"/>
      <c r="AA655" s="2"/>
      <c r="AB655" s="2"/>
      <c r="AC655" s="2"/>
      <c r="AD655" s="2"/>
      <c r="AE655" s="2"/>
      <c r="AF655" s="2"/>
      <c r="AG655" s="2"/>
    </row>
    <row r="656" spans="25:33" hidden="1" x14ac:dyDescent="0.2">
      <c r="Y656" s="2"/>
      <c r="Z656" s="2"/>
      <c r="AA656" s="2"/>
      <c r="AB656" s="2"/>
      <c r="AC656" s="2"/>
      <c r="AD656" s="2"/>
      <c r="AE656" s="2"/>
      <c r="AF656" s="2"/>
      <c r="AG656" s="2"/>
    </row>
    <row r="657" spans="25:33" hidden="1" x14ac:dyDescent="0.2">
      <c r="Y657" s="2"/>
      <c r="Z657" s="2"/>
      <c r="AA657" s="2"/>
      <c r="AB657" s="2"/>
      <c r="AC657" s="2"/>
      <c r="AD657" s="2"/>
      <c r="AE657" s="2"/>
      <c r="AF657" s="2"/>
      <c r="AG657" s="2"/>
    </row>
    <row r="658" spans="25:33" hidden="1" x14ac:dyDescent="0.2">
      <c r="Y658" s="2"/>
      <c r="Z658" s="2"/>
      <c r="AA658" s="2"/>
      <c r="AB658" s="2"/>
      <c r="AC658" s="2"/>
      <c r="AD658" s="2"/>
      <c r="AE658" s="2"/>
      <c r="AF658" s="2"/>
      <c r="AG658" s="2"/>
    </row>
    <row r="659" spans="25:33" hidden="1" x14ac:dyDescent="0.2">
      <c r="Y659" s="2"/>
      <c r="Z659" s="2"/>
      <c r="AA659" s="2"/>
      <c r="AB659" s="2"/>
      <c r="AC659" s="2"/>
      <c r="AD659" s="2"/>
      <c r="AE659" s="2"/>
      <c r="AF659" s="2"/>
      <c r="AG659" s="2"/>
    </row>
    <row r="660" spans="25:33" hidden="1" x14ac:dyDescent="0.2">
      <c r="Y660" s="2"/>
      <c r="Z660" s="2"/>
      <c r="AA660" s="2"/>
      <c r="AB660" s="2"/>
      <c r="AC660" s="2"/>
      <c r="AD660" s="2"/>
      <c r="AE660" s="2"/>
      <c r="AF660" s="2"/>
      <c r="AG660" s="2"/>
    </row>
    <row r="661" spans="25:33" hidden="1" x14ac:dyDescent="0.2">
      <c r="Y661" s="2"/>
      <c r="Z661" s="2"/>
      <c r="AA661" s="2"/>
      <c r="AB661" s="2"/>
      <c r="AC661" s="2"/>
      <c r="AD661" s="2"/>
      <c r="AE661" s="2"/>
      <c r="AF661" s="2"/>
      <c r="AG661" s="2"/>
    </row>
    <row r="662" spans="25:33" hidden="1" x14ac:dyDescent="0.2">
      <c r="Y662" s="2"/>
      <c r="Z662" s="2"/>
      <c r="AA662" s="2"/>
      <c r="AB662" s="2"/>
      <c r="AC662" s="2"/>
      <c r="AD662" s="2"/>
      <c r="AE662" s="2"/>
      <c r="AF662" s="2"/>
      <c r="AG662" s="2"/>
    </row>
    <row r="663" spans="25:33" hidden="1" x14ac:dyDescent="0.2">
      <c r="Y663" s="2"/>
      <c r="Z663" s="2"/>
      <c r="AA663" s="2"/>
      <c r="AB663" s="2"/>
      <c r="AC663" s="2"/>
      <c r="AD663" s="2"/>
      <c r="AE663" s="2"/>
      <c r="AF663" s="2"/>
      <c r="AG663" s="2"/>
    </row>
    <row r="664" spans="25:33" hidden="1" x14ac:dyDescent="0.2">
      <c r="Y664" s="2"/>
      <c r="Z664" s="2"/>
      <c r="AA664" s="2"/>
      <c r="AB664" s="2"/>
      <c r="AC664" s="2"/>
      <c r="AD664" s="2"/>
      <c r="AE664" s="2"/>
      <c r="AF664" s="2"/>
      <c r="AG664" s="2"/>
    </row>
    <row r="665" spans="25:33" hidden="1" x14ac:dyDescent="0.2">
      <c r="Y665" s="2"/>
      <c r="Z665" s="2"/>
      <c r="AA665" s="2"/>
      <c r="AB665" s="2"/>
      <c r="AC665" s="2"/>
      <c r="AD665" s="2"/>
      <c r="AE665" s="2"/>
      <c r="AF665" s="2"/>
      <c r="AG665" s="2"/>
    </row>
    <row r="666" spans="25:33" hidden="1" x14ac:dyDescent="0.2">
      <c r="Y666" s="2"/>
      <c r="Z666" s="2"/>
      <c r="AA666" s="2"/>
      <c r="AB666" s="2"/>
      <c r="AC666" s="2"/>
      <c r="AD666" s="2"/>
      <c r="AE666" s="2"/>
      <c r="AF666" s="2"/>
      <c r="AG666" s="2"/>
    </row>
    <row r="667" spans="25:33" hidden="1" x14ac:dyDescent="0.2">
      <c r="Y667" s="2"/>
      <c r="Z667" s="2"/>
      <c r="AA667" s="2"/>
      <c r="AB667" s="2"/>
      <c r="AC667" s="2"/>
      <c r="AD667" s="2"/>
      <c r="AE667" s="2"/>
      <c r="AF667" s="2"/>
      <c r="AG667" s="2"/>
    </row>
    <row r="668" spans="25:33" hidden="1" x14ac:dyDescent="0.2">
      <c r="Y668" s="2"/>
      <c r="Z668" s="2"/>
      <c r="AA668" s="2"/>
      <c r="AB668" s="2"/>
      <c r="AC668" s="2"/>
      <c r="AD668" s="2"/>
      <c r="AE668" s="2"/>
      <c r="AF668" s="2"/>
      <c r="AG668" s="2"/>
    </row>
    <row r="669" spans="25:33" hidden="1" x14ac:dyDescent="0.2">
      <c r="Y669" s="2"/>
      <c r="Z669" s="2"/>
      <c r="AA669" s="2"/>
      <c r="AB669" s="2"/>
      <c r="AC669" s="2"/>
      <c r="AD669" s="2"/>
      <c r="AE669" s="2"/>
      <c r="AF669" s="2"/>
      <c r="AG669" s="2"/>
    </row>
    <row r="670" spans="25:33" hidden="1" x14ac:dyDescent="0.2">
      <c r="Y670" s="2"/>
      <c r="Z670" s="2"/>
      <c r="AA670" s="2"/>
      <c r="AB670" s="2"/>
      <c r="AC670" s="2"/>
      <c r="AD670" s="2"/>
      <c r="AE670" s="2"/>
      <c r="AF670" s="2"/>
      <c r="AG670" s="2"/>
    </row>
    <row r="671" spans="25:33" hidden="1" x14ac:dyDescent="0.2">
      <c r="Y671" s="2"/>
      <c r="Z671" s="2"/>
      <c r="AA671" s="2"/>
      <c r="AB671" s="2"/>
      <c r="AC671" s="2"/>
      <c r="AD671" s="2"/>
      <c r="AE671" s="2"/>
      <c r="AF671" s="2"/>
      <c r="AG671" s="2"/>
    </row>
    <row r="672" spans="25:33" hidden="1" x14ac:dyDescent="0.2">
      <c r="Y672" s="2"/>
      <c r="Z672" s="2"/>
      <c r="AA672" s="2"/>
      <c r="AB672" s="2"/>
      <c r="AC672" s="2"/>
      <c r="AD672" s="2"/>
      <c r="AE672" s="2"/>
      <c r="AF672" s="2"/>
      <c r="AG672" s="2"/>
    </row>
    <row r="673" spans="25:33" hidden="1" x14ac:dyDescent="0.2">
      <c r="Y673" s="2"/>
      <c r="Z673" s="2"/>
      <c r="AA673" s="2"/>
      <c r="AB673" s="2"/>
      <c r="AC673" s="2"/>
      <c r="AD673" s="2"/>
      <c r="AE673" s="2"/>
      <c r="AF673" s="2"/>
      <c r="AG673" s="2"/>
    </row>
    <row r="674" spans="25:33" hidden="1" x14ac:dyDescent="0.2">
      <c r="Y674" s="2"/>
      <c r="Z674" s="2"/>
      <c r="AA674" s="2"/>
      <c r="AB674" s="2"/>
      <c r="AC674" s="2"/>
      <c r="AD674" s="2"/>
      <c r="AE674" s="2"/>
      <c r="AF674" s="2"/>
      <c r="AG674" s="2"/>
    </row>
    <row r="675" spans="25:33" hidden="1" x14ac:dyDescent="0.2">
      <c r="Y675" s="2"/>
      <c r="Z675" s="2"/>
      <c r="AA675" s="2"/>
      <c r="AB675" s="2"/>
      <c r="AC675" s="2"/>
      <c r="AD675" s="2"/>
      <c r="AE675" s="2"/>
      <c r="AF675" s="2"/>
      <c r="AG675" s="2"/>
    </row>
    <row r="676" spans="25:33" hidden="1" x14ac:dyDescent="0.2">
      <c r="Y676" s="2"/>
      <c r="Z676" s="2"/>
      <c r="AA676" s="2"/>
      <c r="AB676" s="2"/>
      <c r="AC676" s="2"/>
      <c r="AD676" s="2"/>
      <c r="AE676" s="2"/>
      <c r="AF676" s="2"/>
      <c r="AG676" s="2"/>
    </row>
    <row r="677" spans="25:33" hidden="1" x14ac:dyDescent="0.2">
      <c r="Y677" s="2"/>
      <c r="Z677" s="2"/>
      <c r="AA677" s="2"/>
      <c r="AB677" s="2"/>
      <c r="AC677" s="2"/>
      <c r="AD677" s="2"/>
      <c r="AE677" s="2"/>
      <c r="AF677" s="2"/>
      <c r="AG677" s="2"/>
    </row>
    <row r="678" spans="25:33" hidden="1" x14ac:dyDescent="0.2">
      <c r="Y678" s="2"/>
      <c r="Z678" s="2"/>
      <c r="AA678" s="2"/>
      <c r="AB678" s="2"/>
      <c r="AC678" s="2"/>
      <c r="AD678" s="2"/>
      <c r="AE678" s="2"/>
      <c r="AF678" s="2"/>
      <c r="AG678" s="2"/>
    </row>
    <row r="679" spans="25:33" hidden="1" x14ac:dyDescent="0.2">
      <c r="Y679" s="2"/>
      <c r="Z679" s="2"/>
      <c r="AA679" s="2"/>
      <c r="AB679" s="2"/>
      <c r="AC679" s="2"/>
      <c r="AD679" s="2"/>
      <c r="AE679" s="2"/>
      <c r="AF679" s="2"/>
      <c r="AG679" s="2"/>
    </row>
    <row r="680" spans="25:33" hidden="1" x14ac:dyDescent="0.2">
      <c r="Y680" s="2"/>
      <c r="Z680" s="2"/>
      <c r="AA680" s="2"/>
      <c r="AB680" s="2"/>
      <c r="AC680" s="2"/>
      <c r="AD680" s="2"/>
      <c r="AE680" s="2"/>
      <c r="AF680" s="2"/>
      <c r="AG680" s="2"/>
    </row>
    <row r="681" spans="25:33" hidden="1" x14ac:dyDescent="0.2">
      <c r="Y681" s="2"/>
      <c r="Z681" s="2"/>
      <c r="AA681" s="2"/>
      <c r="AB681" s="2"/>
      <c r="AC681" s="2"/>
      <c r="AD681" s="2"/>
      <c r="AE681" s="2"/>
      <c r="AF681" s="2"/>
      <c r="AG681" s="2"/>
    </row>
    <row r="682" spans="25:33" hidden="1" x14ac:dyDescent="0.2">
      <c r="Y682" s="2"/>
      <c r="Z682" s="2"/>
      <c r="AA682" s="2"/>
      <c r="AB682" s="2"/>
      <c r="AC682" s="2"/>
      <c r="AD682" s="2"/>
      <c r="AE682" s="2"/>
      <c r="AF682" s="2"/>
      <c r="AG682" s="2"/>
    </row>
    <row r="683" spans="25:33" hidden="1" x14ac:dyDescent="0.2">
      <c r="Y683" s="2"/>
      <c r="Z683" s="2"/>
      <c r="AA683" s="2"/>
      <c r="AB683" s="2"/>
      <c r="AC683" s="2"/>
      <c r="AD683" s="2"/>
      <c r="AE683" s="2"/>
      <c r="AF683" s="2"/>
      <c r="AG683" s="2"/>
    </row>
    <row r="684" spans="25:33" hidden="1" x14ac:dyDescent="0.2">
      <c r="Y684" s="2"/>
      <c r="Z684" s="2"/>
      <c r="AA684" s="2"/>
      <c r="AB684" s="2"/>
      <c r="AC684" s="2"/>
      <c r="AD684" s="2"/>
      <c r="AE684" s="2"/>
      <c r="AF684" s="2"/>
      <c r="AG684" s="2"/>
    </row>
    <row r="685" spans="25:33" hidden="1" x14ac:dyDescent="0.2">
      <c r="Y685" s="2"/>
      <c r="Z685" s="2"/>
      <c r="AA685" s="2"/>
      <c r="AB685" s="2"/>
      <c r="AC685" s="2"/>
      <c r="AD685" s="2"/>
      <c r="AE685" s="2"/>
      <c r="AF685" s="2"/>
      <c r="AG685" s="2"/>
    </row>
    <row r="686" spans="25:33" hidden="1" x14ac:dyDescent="0.2">
      <c r="Y686" s="2"/>
      <c r="Z686" s="2"/>
      <c r="AA686" s="2"/>
      <c r="AB686" s="2"/>
      <c r="AC686" s="2"/>
      <c r="AD686" s="2"/>
      <c r="AE686" s="2"/>
      <c r="AF686" s="2"/>
      <c r="AG686" s="2"/>
    </row>
    <row r="687" spans="25:33" hidden="1" x14ac:dyDescent="0.2">
      <c r="AB687" s="2"/>
      <c r="AC687" s="2"/>
      <c r="AD687" s="2"/>
      <c r="AE687" s="2"/>
      <c r="AF687" s="2"/>
      <c r="AG687" s="2"/>
    </row>
    <row r="688" spans="25:33" hidden="1" x14ac:dyDescent="0.2">
      <c r="AB688" s="2"/>
      <c r="AC688" s="2"/>
      <c r="AD688" s="2"/>
      <c r="AE688" s="2"/>
      <c r="AF688" s="2"/>
      <c r="AG688" s="2"/>
    </row>
    <row r="689" spans="28:33" hidden="1" x14ac:dyDescent="0.2">
      <c r="AB689" s="2"/>
      <c r="AC689" s="2"/>
      <c r="AD689" s="2"/>
      <c r="AE689" s="2"/>
      <c r="AF689" s="2"/>
      <c r="AG689" s="2"/>
    </row>
    <row r="690" spans="28:33" hidden="1" x14ac:dyDescent="0.2">
      <c r="AB690" s="2"/>
      <c r="AC690" s="2"/>
      <c r="AD690" s="2"/>
      <c r="AE690" s="2"/>
      <c r="AF690" s="2"/>
      <c r="AG690" s="2"/>
    </row>
    <row r="691" spans="28:33" hidden="1" x14ac:dyDescent="0.2">
      <c r="AB691" s="2"/>
      <c r="AC691" s="2"/>
      <c r="AD691" s="2"/>
      <c r="AE691" s="2"/>
      <c r="AF691" s="2"/>
      <c r="AG691" s="2"/>
    </row>
    <row r="692" spans="28:33" hidden="1" x14ac:dyDescent="0.2">
      <c r="AB692" s="2"/>
      <c r="AC692" s="2"/>
      <c r="AD692" s="2"/>
      <c r="AE692" s="2"/>
      <c r="AF692" s="2"/>
      <c r="AG692" s="2"/>
    </row>
    <row r="693" spans="28:33" hidden="1" x14ac:dyDescent="0.2">
      <c r="AB693" s="2"/>
      <c r="AC693" s="2"/>
      <c r="AD693" s="2"/>
      <c r="AE693" s="2"/>
      <c r="AF693" s="2"/>
      <c r="AG693" s="2"/>
    </row>
  </sheetData>
  <sheetProtection algorithmName="SHA-512" hashValue="x6id/jsI5gCzJNS7f9WlwMIgsK+AZnM+apGkN9ldW7Tjc4KyBpkOmG/4qMfcksdCyBq1TD1q56wx+ClEll6XPg==" saltValue="Fg/ClZvFyPwugDZ4JOnkDQ==" spinCount="100000" sheet="1" objects="1" scenarios="1" selectLockedCells="1"/>
  <mergeCells count="181">
    <mergeCell ref="B75:F75"/>
    <mergeCell ref="B80:F80"/>
    <mergeCell ref="B81:F81"/>
    <mergeCell ref="B82:F82"/>
    <mergeCell ref="B76:F76"/>
    <mergeCell ref="B77:F77"/>
    <mergeCell ref="B78:F78"/>
    <mergeCell ref="B79:F79"/>
    <mergeCell ref="B60:F60"/>
    <mergeCell ref="B61:F61"/>
    <mergeCell ref="B62:F62"/>
    <mergeCell ref="B72:F72"/>
    <mergeCell ref="B73:F73"/>
    <mergeCell ref="B74:F74"/>
    <mergeCell ref="B69:E69"/>
    <mergeCell ref="AV11:AW11"/>
    <mergeCell ref="AV12:AW12"/>
    <mergeCell ref="AX11:AY11"/>
    <mergeCell ref="AX12:AY12"/>
    <mergeCell ref="AJ11:AK11"/>
    <mergeCell ref="AJ12:AK12"/>
    <mergeCell ref="AL11:AM11"/>
    <mergeCell ref="AL12:AM12"/>
    <mergeCell ref="AN11:AO11"/>
    <mergeCell ref="AN12:AO12"/>
    <mergeCell ref="AP11:AQ11"/>
    <mergeCell ref="AR11:AS11"/>
    <mergeCell ref="AP12:AQ12"/>
    <mergeCell ref="AB11:AC11"/>
    <mergeCell ref="AB12:AC12"/>
    <mergeCell ref="X11:Y11"/>
    <mergeCell ref="X12:Y12"/>
    <mergeCell ref="AF11:AG11"/>
    <mergeCell ref="AF12:AG12"/>
    <mergeCell ref="AD11:AE11"/>
    <mergeCell ref="BL11:BM11"/>
    <mergeCell ref="BL12:BM12"/>
    <mergeCell ref="AZ11:BA11"/>
    <mergeCell ref="AZ12:BA12"/>
    <mergeCell ref="BB11:BC11"/>
    <mergeCell ref="BB12:BC12"/>
    <mergeCell ref="BD11:BE11"/>
    <mergeCell ref="BD12:BE12"/>
    <mergeCell ref="BF11:BG11"/>
    <mergeCell ref="BF12:BG12"/>
    <mergeCell ref="BH11:BI11"/>
    <mergeCell ref="BH12:BI12"/>
    <mergeCell ref="BJ11:BK11"/>
    <mergeCell ref="BJ12:BK12"/>
    <mergeCell ref="AR12:AS12"/>
    <mergeCell ref="AT11:AU11"/>
    <mergeCell ref="AT12:AU12"/>
    <mergeCell ref="C44:D44"/>
    <mergeCell ref="C37:D37"/>
    <mergeCell ref="C33:D33"/>
    <mergeCell ref="C35:D35"/>
    <mergeCell ref="AC6:AH6"/>
    <mergeCell ref="AH11:AI11"/>
    <mergeCell ref="AH12:AI12"/>
    <mergeCell ref="B2:U2"/>
    <mergeCell ref="B3:U3"/>
    <mergeCell ref="B4:U4"/>
    <mergeCell ref="T6:U6"/>
    <mergeCell ref="T7:U7"/>
    <mergeCell ref="T12:U12"/>
    <mergeCell ref="T11:U11"/>
    <mergeCell ref="V11:W11"/>
    <mergeCell ref="R9:U9"/>
    <mergeCell ref="R11:S11"/>
    <mergeCell ref="Z11:AA11"/>
    <mergeCell ref="Z12:AA12"/>
    <mergeCell ref="F6:M6"/>
    <mergeCell ref="F8:H8"/>
    <mergeCell ref="P7:Q7"/>
    <mergeCell ref="AD12:AE12"/>
    <mergeCell ref="V12:W12"/>
    <mergeCell ref="C40:D40"/>
    <mergeCell ref="C28:D28"/>
    <mergeCell ref="C38:D38"/>
    <mergeCell ref="C45:D45"/>
    <mergeCell ref="C32:D32"/>
    <mergeCell ref="C50:D50"/>
    <mergeCell ref="F7:I7"/>
    <mergeCell ref="L7:M7"/>
    <mergeCell ref="P12:Q12"/>
    <mergeCell ref="C41:D41"/>
    <mergeCell ref="E43:F43"/>
    <mergeCell ref="F9:M9"/>
    <mergeCell ref="P11:Q11"/>
    <mergeCell ref="L11:M11"/>
    <mergeCell ref="N11:O11"/>
    <mergeCell ref="J12:K12"/>
    <mergeCell ref="C20:D20"/>
    <mergeCell ref="C46:D46"/>
    <mergeCell ref="C47:D47"/>
    <mergeCell ref="C48:D48"/>
    <mergeCell ref="C49:D49"/>
    <mergeCell ref="C42:D42"/>
    <mergeCell ref="C43:D43"/>
    <mergeCell ref="C23:D23"/>
    <mergeCell ref="E23:F23"/>
    <mergeCell ref="E31:F31"/>
    <mergeCell ref="E32:F32"/>
    <mergeCell ref="E24:F24"/>
    <mergeCell ref="E27:F27"/>
    <mergeCell ref="E28:F28"/>
    <mergeCell ref="C29:D29"/>
    <mergeCell ref="C30:D30"/>
    <mergeCell ref="C27:D27"/>
    <mergeCell ref="C24:D24"/>
    <mergeCell ref="R12:S12"/>
    <mergeCell ref="B11:F11"/>
    <mergeCell ref="B12:F12"/>
    <mergeCell ref="C13:D13"/>
    <mergeCell ref="L12:M12"/>
    <mergeCell ref="N12:O12"/>
    <mergeCell ref="J11:K11"/>
    <mergeCell ref="H12:I12"/>
    <mergeCell ref="E22:F22"/>
    <mergeCell ref="E20:F20"/>
    <mergeCell ref="E15:F15"/>
    <mergeCell ref="E16:F16"/>
    <mergeCell ref="H11:I11"/>
    <mergeCell ref="E14:F14"/>
    <mergeCell ref="E13:F13"/>
    <mergeCell ref="C14:D14"/>
    <mergeCell ref="C15:D15"/>
    <mergeCell ref="C16:D16"/>
    <mergeCell ref="E17:F17"/>
    <mergeCell ref="E18:F18"/>
    <mergeCell ref="C17:D17"/>
    <mergeCell ref="C18:D18"/>
    <mergeCell ref="C19:D19"/>
    <mergeCell ref="E38:F38"/>
    <mergeCell ref="E39:F39"/>
    <mergeCell ref="E35:F35"/>
    <mergeCell ref="E19:F19"/>
    <mergeCell ref="E21:F21"/>
    <mergeCell ref="E26:F26"/>
    <mergeCell ref="E33:F33"/>
    <mergeCell ref="H69:M69"/>
    <mergeCell ref="B54:F54"/>
    <mergeCell ref="B55:F55"/>
    <mergeCell ref="B56:F56"/>
    <mergeCell ref="B57:F57"/>
    <mergeCell ref="B59:F59"/>
    <mergeCell ref="E36:F36"/>
    <mergeCell ref="C21:D21"/>
    <mergeCell ref="C22:D22"/>
    <mergeCell ref="C34:D34"/>
    <mergeCell ref="C36:D36"/>
    <mergeCell ref="B53:F53"/>
    <mergeCell ref="C51:D51"/>
    <mergeCell ref="C25:D25"/>
    <mergeCell ref="C26:D26"/>
    <mergeCell ref="E40:F40"/>
    <mergeCell ref="E25:F25"/>
    <mergeCell ref="P69:U69"/>
    <mergeCell ref="O71:R71"/>
    <mergeCell ref="M71:N71"/>
    <mergeCell ref="E41:F41"/>
    <mergeCell ref="E29:F29"/>
    <mergeCell ref="E30:F30"/>
    <mergeCell ref="E34:F34"/>
    <mergeCell ref="E37:F37"/>
    <mergeCell ref="B64:U66"/>
    <mergeCell ref="P68:U68"/>
    <mergeCell ref="H68:M68"/>
    <mergeCell ref="B68:E68"/>
    <mergeCell ref="E51:F51"/>
    <mergeCell ref="E50:F50"/>
    <mergeCell ref="E49:F49"/>
    <mergeCell ref="E48:F48"/>
    <mergeCell ref="E47:F47"/>
    <mergeCell ref="E46:F46"/>
    <mergeCell ref="E42:F42"/>
    <mergeCell ref="C31:D31"/>
    <mergeCell ref="E45:F45"/>
    <mergeCell ref="E44:F44"/>
    <mergeCell ref="B58:F58"/>
    <mergeCell ref="C39:D39"/>
  </mergeCells>
  <phoneticPr fontId="0" type="noConversion"/>
  <dataValidations count="14">
    <dataValidation type="decimal" errorStyle="warning" operator="notEqual" allowBlank="1" showInputMessage="1" showErrorMessage="1" errorTitle="Zero Means No Discharge" error="Only Enter Zero into a Flow Cell if there was No Discharge" sqref="G14:G51" xr:uid="{00000000-0002-0000-0100-000000000000}">
      <formula1>0</formula1>
    </dataValidation>
    <dataValidation type="decimal" operator="notEqual" allowBlank="1" showErrorMessage="1" errorTitle="Do Not Enter Zero" error="_x000a_Enter Results Exactly As Reported  by Lab or Determined by Equipment.  Use &quot;&lt;&quot; symbol in the &quot;Q&quot; column for &quot;Non-Detect&quot; Results.  Use &quot;&lt; 1&quot; for Bacteria Results of &quot;0&quot;." sqref="I14:I51 K14:K51 M14:M51 O14:O51 Q14:Q51 S14:S51 U14:U51 W14:W51 Y14:Y51 AA14:AA51 AC14:AC51 AE14:AE51 AG14:AG51 AI14:AI51 AK14:AK51 AM14:AM51 AO14:AO51 AQ14:AQ51 AS14:AS51 AU14:AU51 AW14:AW51 AY14:AY51 BA14:BA51 BC14:BC51 BE14:BE51 BG14:BG51 BI14:BI51 BK14:BK51 BM14:BM51" xr:uid="{00000000-0002-0000-0100-000001000000}">
      <formula1>0</formula1>
    </dataValidation>
    <dataValidation type="textLength" operator="lessThanOrEqual" allowBlank="1" sqref="F6:N6 R6" xr:uid="{00000000-0002-0000-0100-000002000000}">
      <formula1>60</formula1>
    </dataValidation>
    <dataValidation type="textLength" operator="lessThanOrEqual" allowBlank="1" sqref="F7:J7" xr:uid="{00000000-0002-0000-0100-000003000000}">
      <formula1>25</formula1>
    </dataValidation>
    <dataValidation type="textLength" operator="lessThanOrEqual" allowBlank="1" showInputMessage="1" showErrorMessage="1" sqref="Q7:R7" xr:uid="{00000000-0002-0000-0100-000004000000}">
      <formula1>21</formula1>
    </dataValidation>
    <dataValidation type="textLength" operator="lessThanOrEqual" allowBlank="1" showInputMessage="1" showErrorMessage="1" sqref="AC7:AG7" xr:uid="{00000000-0002-0000-0100-000005000000}">
      <formula1>9</formula1>
    </dataValidation>
    <dataValidation type="textLength" operator="lessThanOrEqual" allowBlank="1" showInputMessage="1" showErrorMessage="1" sqref="F8:I8" xr:uid="{00000000-0002-0000-0100-000006000000}">
      <formula1>5</formula1>
    </dataValidation>
    <dataValidation type="textLength" operator="lessThanOrEqual" allowBlank="1" showErrorMessage="1" sqref="AK7 T7:U7" xr:uid="{00000000-0002-0000-0100-000007000000}">
      <formula1>5</formula1>
    </dataValidation>
    <dataValidation type="date" operator="lessThan" allowBlank="1" showInputMessage="1" showErrorMessage="1" errorTitle="Data entry error" error="Enter date in text (January 1, 2000) or numeric format (MM/DD/YYYY)" sqref="AF9:AL9" xr:uid="{00000000-0002-0000-0100-000008000000}">
      <formula1>2958465</formula1>
    </dataValidation>
    <dataValidation type="list" allowBlank="1" showErrorMessage="1" sqref="H14:H51" xr:uid="{00000000-0002-0000-0100-000009000000}">
      <formula1>$BR$2:$BR$3</formula1>
    </dataValidation>
    <dataValidation type="list" allowBlank="1" showErrorMessage="1" errorTitle="Data Entry Error" error="You must enter a number from 1-12." sqref="P6" xr:uid="{00000000-0002-0000-0100-00000B000000}">
      <formula1>$BO$2:$BO$13</formula1>
    </dataValidation>
    <dataValidation type="list" allowBlank="1" showErrorMessage="1" sqref="J14:J51 L14:L51 N14:N51 P14:P51 R14:R51 T14:T51 V14:V51 X14:X51 Z14:Z51 AB14:AB51 AD14:AD51 AF14:AF51 AH14:AH51 AJ14:AJ51 AL14:AL51 AN14:AN51 AP14:AP51 AR14:AR51 AT14:AT51 AV14:AV51 AX14:AX51 AZ14:AZ51 BB14:BB51 BD14:BD51 BF14:BF51 BH14:BH51 BJ14:BJ51 BL14:BL51" xr:uid="{00000000-0002-0000-0100-00000C000000}">
      <formula1>$BR$2</formula1>
    </dataValidation>
    <dataValidation type="list" operator="lessThanOrEqual" allowBlank="1" sqref="L7:M7" xr:uid="{00000000-0002-0000-0100-00000D000000}">
      <formula1>$BQ$2:$BQ$68</formula1>
    </dataValidation>
    <dataValidation type="list" allowBlank="1" showInputMessage="1" showErrorMessage="1" sqref="T6:U6" xr:uid="{046DBAC5-1FA2-4FF2-89A0-621DFD67157E}">
      <formula1>Years</formula1>
    </dataValidation>
  </dataValidations>
  <printOptions horizontalCentered="1"/>
  <pageMargins left="0.18" right="0.18" top="0.05" bottom="0.05" header="0.1" footer="0.1"/>
  <pageSetup scale="67" orientation="landscape" r:id="rId1"/>
  <headerFooter alignWithMargins="0"/>
  <cellWatches>
    <cellWatch r="J11"/>
  </cellWatche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84"/>
  <sheetViews>
    <sheetView tabSelected="1" zoomScaleNormal="100" workbookViewId="0">
      <selection activeCell="D69" sqref="D69:AJ71"/>
    </sheetView>
  </sheetViews>
  <sheetFormatPr defaultColWidth="0" defaultRowHeight="12.75" zeroHeight="1" x14ac:dyDescent="0.2"/>
  <cols>
    <col min="1" max="1" width="1.7109375" customWidth="1"/>
    <col min="2" max="36" width="3.7109375" customWidth="1"/>
    <col min="37" max="37" width="1.7109375" customWidth="1"/>
    <col min="38" max="41" width="3.7109375" hidden="1" customWidth="1"/>
    <col min="42" max="16384" width="9.140625" hidden="1"/>
  </cols>
  <sheetData>
    <row r="1" spans="1:37" ht="12" customHeight="1" x14ac:dyDescent="0.2">
      <c r="A1" s="480"/>
      <c r="B1" s="484" t="s">
        <v>1215</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0"/>
    </row>
    <row r="2" spans="1:37" ht="15" customHeight="1" x14ac:dyDescent="0.25">
      <c r="A2" s="480"/>
      <c r="B2" s="462" t="s">
        <v>1085</v>
      </c>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80"/>
    </row>
    <row r="3" spans="1:37" ht="12.75" customHeight="1" x14ac:dyDescent="0.25">
      <c r="A3" s="480"/>
      <c r="B3" s="462" t="s">
        <v>6</v>
      </c>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80"/>
    </row>
    <row r="4" spans="1:37" ht="12.75" customHeight="1" x14ac:dyDescent="0.2">
      <c r="A4" s="480"/>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row>
    <row r="5" spans="1:37" ht="12.75" customHeight="1" x14ac:dyDescent="0.2">
      <c r="A5" s="480"/>
      <c r="B5" s="3"/>
      <c r="C5" s="472" t="s">
        <v>1163</v>
      </c>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80"/>
    </row>
    <row r="6" spans="1:37" ht="12.75" customHeight="1" x14ac:dyDescent="0.2">
      <c r="A6" s="480"/>
      <c r="B6" s="3"/>
      <c r="C6" s="472"/>
      <c r="D6" s="472"/>
      <c r="E6" s="472"/>
      <c r="F6" s="472"/>
      <c r="G6" s="472"/>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80"/>
    </row>
    <row r="7" spans="1:37" ht="12.75" customHeight="1" x14ac:dyDescent="0.2">
      <c r="A7" s="480"/>
      <c r="B7" s="3"/>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80"/>
    </row>
    <row r="8" spans="1:37" ht="9" customHeight="1" x14ac:dyDescent="0.2">
      <c r="A8" s="480"/>
      <c r="B8" s="480"/>
      <c r="C8" s="480"/>
      <c r="D8" s="480"/>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row>
    <row r="9" spans="1:37" ht="12.75" customHeight="1" x14ac:dyDescent="0.2">
      <c r="A9" s="480"/>
      <c r="B9" s="3"/>
      <c r="C9" s="483" t="s">
        <v>56</v>
      </c>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0"/>
    </row>
    <row r="10" spans="1:37" ht="12.75" customHeight="1" x14ac:dyDescent="0.2">
      <c r="A10" s="480"/>
      <c r="B10" s="3"/>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0"/>
    </row>
    <row r="11" spans="1:37" ht="12.75" customHeight="1" x14ac:dyDescent="0.2">
      <c r="A11" s="480"/>
      <c r="B11" s="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0"/>
    </row>
    <row r="12" spans="1:37" ht="12.75" customHeight="1" x14ac:dyDescent="0.2">
      <c r="A12" s="480"/>
      <c r="B12" s="3"/>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0"/>
    </row>
    <row r="13" spans="1:37" ht="12.75" customHeight="1" x14ac:dyDescent="0.2">
      <c r="A13" s="480"/>
      <c r="B13" s="3"/>
      <c r="C13" s="481" t="s">
        <v>843</v>
      </c>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0"/>
    </row>
    <row r="14" spans="1:37" ht="9" customHeight="1" x14ac:dyDescent="0.2">
      <c r="A14" s="480"/>
      <c r="B14" s="3"/>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80"/>
    </row>
    <row r="15" spans="1:37" ht="12.75" customHeight="1" x14ac:dyDescent="0.2">
      <c r="A15" s="480"/>
      <c r="B15" s="3"/>
      <c r="C15" s="126" t="s">
        <v>844</v>
      </c>
      <c r="D15" s="482" t="s">
        <v>856</v>
      </c>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0"/>
    </row>
    <row r="16" spans="1:37" ht="9" customHeight="1" x14ac:dyDescent="0.2">
      <c r="A16" s="480"/>
      <c r="B16" s="3"/>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80"/>
    </row>
    <row r="17" spans="1:37" s="121" customFormat="1" ht="12.75" customHeight="1" x14ac:dyDescent="0.2">
      <c r="A17" s="480"/>
      <c r="B17" s="120"/>
      <c r="C17" s="126" t="s">
        <v>845</v>
      </c>
      <c r="D17" s="477" t="s">
        <v>851</v>
      </c>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c r="AI17" s="477"/>
      <c r="AJ17" s="477"/>
      <c r="AK17" s="480"/>
    </row>
    <row r="18" spans="1:37" s="121" customFormat="1" ht="12.75" customHeight="1" x14ac:dyDescent="0.2">
      <c r="A18" s="480"/>
      <c r="B18" s="120"/>
      <c r="C18" s="126"/>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80"/>
    </row>
    <row r="19" spans="1:37" s="121" customFormat="1" ht="12.75" customHeight="1" x14ac:dyDescent="0.2">
      <c r="A19" s="480"/>
      <c r="B19" s="120"/>
      <c r="C19" s="12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80"/>
    </row>
    <row r="20" spans="1:37" s="121" customFormat="1" ht="12.75" customHeight="1" x14ac:dyDescent="0.2">
      <c r="A20" s="480"/>
      <c r="B20" s="120"/>
      <c r="C20" s="127"/>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80"/>
    </row>
    <row r="21" spans="1:37" s="121" customFormat="1" ht="12.75" customHeight="1" x14ac:dyDescent="0.2">
      <c r="A21" s="480"/>
      <c r="B21" s="120"/>
      <c r="C21" s="127"/>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80"/>
    </row>
    <row r="22" spans="1:37" s="121" customFormat="1" ht="12.75" customHeight="1" x14ac:dyDescent="0.2">
      <c r="A22" s="480"/>
      <c r="B22" s="120"/>
      <c r="C22" s="127"/>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80"/>
    </row>
    <row r="23" spans="1:37" s="121" customFormat="1" ht="12.75" customHeight="1" x14ac:dyDescent="0.2">
      <c r="A23" s="480"/>
      <c r="B23" s="120"/>
      <c r="C23" s="127"/>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80"/>
    </row>
    <row r="24" spans="1:37" s="121" customFormat="1" ht="12.75" customHeight="1" x14ac:dyDescent="0.2">
      <c r="A24" s="480"/>
      <c r="B24" s="120"/>
      <c r="C24" s="127"/>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80"/>
    </row>
    <row r="25" spans="1:37" s="121" customFormat="1" ht="9" customHeight="1" x14ac:dyDescent="0.2">
      <c r="A25" s="480"/>
      <c r="B25" s="120"/>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80"/>
    </row>
    <row r="26" spans="1:37" s="121" customFormat="1" ht="12.75" customHeight="1" x14ac:dyDescent="0.2">
      <c r="A26" s="480"/>
      <c r="B26" s="120"/>
      <c r="C26" s="127" t="s">
        <v>846</v>
      </c>
      <c r="D26" s="477" t="s">
        <v>847</v>
      </c>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0"/>
    </row>
    <row r="27" spans="1:37" s="121" customFormat="1" ht="12.75" customHeight="1" x14ac:dyDescent="0.2">
      <c r="A27" s="480"/>
      <c r="B27" s="120"/>
      <c r="C27" s="127"/>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80"/>
    </row>
    <row r="28" spans="1:37" s="121" customFormat="1" ht="12.75" customHeight="1" x14ac:dyDescent="0.2">
      <c r="A28" s="480"/>
      <c r="B28" s="120"/>
      <c r="C28" s="127"/>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80"/>
    </row>
    <row r="29" spans="1:37" s="121" customFormat="1" ht="12.75" customHeight="1" x14ac:dyDescent="0.2">
      <c r="A29" s="480"/>
      <c r="B29" s="120"/>
      <c r="C29" s="127"/>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80"/>
    </row>
    <row r="30" spans="1:37" s="121" customFormat="1" ht="9" customHeight="1" x14ac:dyDescent="0.2">
      <c r="A30" s="480"/>
      <c r="B30" s="120"/>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80"/>
    </row>
    <row r="31" spans="1:37" s="121" customFormat="1" ht="12.75" customHeight="1" x14ac:dyDescent="0.2">
      <c r="A31" s="480"/>
      <c r="B31" s="120"/>
      <c r="C31" s="127" t="s">
        <v>850</v>
      </c>
      <c r="D31" s="475" t="s">
        <v>849</v>
      </c>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80"/>
    </row>
    <row r="32" spans="1:37" s="121" customFormat="1" ht="12.75" customHeight="1" x14ac:dyDescent="0.2">
      <c r="A32" s="480"/>
      <c r="B32" s="120"/>
      <c r="C32" s="127"/>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80"/>
    </row>
    <row r="33" spans="1:37" s="121" customFormat="1" ht="12.75" customHeight="1" x14ac:dyDescent="0.2">
      <c r="A33" s="480"/>
      <c r="B33" s="120"/>
      <c r="C33" s="127"/>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80"/>
    </row>
    <row r="34" spans="1:37" s="121" customFormat="1" ht="12.75" customHeight="1" x14ac:dyDescent="0.2">
      <c r="A34" s="480"/>
      <c r="B34" s="120"/>
      <c r="C34" s="127"/>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80"/>
    </row>
    <row r="35" spans="1:37" s="121" customFormat="1" ht="12.75" customHeight="1" x14ac:dyDescent="0.2">
      <c r="A35" s="480"/>
      <c r="B35" s="487"/>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0"/>
    </row>
    <row r="36" spans="1:37" ht="12.75" customHeight="1" x14ac:dyDescent="0.2">
      <c r="A36" s="480"/>
      <c r="B36" s="3"/>
      <c r="C36" s="486" t="s">
        <v>57</v>
      </c>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0"/>
    </row>
    <row r="37" spans="1:37" ht="12.75" customHeight="1" x14ac:dyDescent="0.2">
      <c r="A37" s="480"/>
      <c r="B37" s="480"/>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row>
    <row r="38" spans="1:37" ht="12.75" customHeight="1" x14ac:dyDescent="0.2">
      <c r="A38" s="480"/>
      <c r="B38" s="9"/>
      <c r="C38" s="128" t="s">
        <v>844</v>
      </c>
      <c r="D38" s="472" t="s">
        <v>848</v>
      </c>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80"/>
    </row>
    <row r="39" spans="1:37" ht="12.75" customHeight="1" x14ac:dyDescent="0.2">
      <c r="A39" s="480"/>
      <c r="B39" s="9"/>
      <c r="C39" s="12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80"/>
    </row>
    <row r="40" spans="1:37" ht="12.75" customHeight="1" x14ac:dyDescent="0.2">
      <c r="A40" s="480"/>
      <c r="B40" s="9"/>
      <c r="C40" s="122"/>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80"/>
    </row>
    <row r="41" spans="1:37" ht="9" customHeight="1" x14ac:dyDescent="0.2">
      <c r="A41" s="480"/>
      <c r="B41" s="48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row>
    <row r="42" spans="1:37" ht="3" customHeight="1" x14ac:dyDescent="0.2">
      <c r="A42" s="480"/>
      <c r="B42" s="9"/>
      <c r="C42" s="44"/>
      <c r="D42" s="472" t="s">
        <v>11</v>
      </c>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80"/>
    </row>
    <row r="43" spans="1:37" ht="12.75" customHeight="1" x14ac:dyDescent="0.2">
      <c r="A43" s="480"/>
      <c r="B43" s="9"/>
      <c r="C43" s="123" t="s">
        <v>845</v>
      </c>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80"/>
    </row>
    <row r="44" spans="1:37" ht="12.75" customHeight="1" x14ac:dyDescent="0.2">
      <c r="A44" s="480"/>
      <c r="B44" s="9"/>
      <c r="C44" s="122"/>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5"/>
      <c r="AJ44" s="475"/>
      <c r="AK44" s="480"/>
    </row>
    <row r="45" spans="1:37" ht="12.75" customHeight="1" x14ac:dyDescent="0.2">
      <c r="A45" s="480"/>
      <c r="B45" s="9"/>
      <c r="C45" s="122"/>
      <c r="D45" s="475"/>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c r="AI45" s="475"/>
      <c r="AJ45" s="475"/>
      <c r="AK45" s="480"/>
    </row>
    <row r="46" spans="1:37" ht="12.75" customHeight="1" x14ac:dyDescent="0.2">
      <c r="A46" s="480"/>
      <c r="B46" s="9"/>
      <c r="C46" s="122"/>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475"/>
      <c r="AI46" s="475"/>
      <c r="AJ46" s="475"/>
      <c r="AK46" s="480"/>
    </row>
    <row r="47" spans="1:37" ht="12.75" customHeight="1" x14ac:dyDescent="0.2">
      <c r="A47" s="480"/>
      <c r="B47" s="9"/>
      <c r="C47" s="122"/>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75"/>
      <c r="AK47" s="480"/>
    </row>
    <row r="48" spans="1:37" ht="12.75" customHeight="1" x14ac:dyDescent="0.2">
      <c r="A48" s="480"/>
      <c r="B48" s="9"/>
      <c r="C48" s="129"/>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480"/>
    </row>
    <row r="49" spans="1:37" ht="12.75" customHeight="1" x14ac:dyDescent="0.2">
      <c r="A49" s="480"/>
      <c r="B49" s="9"/>
      <c r="C49" s="129"/>
      <c r="D49" s="475"/>
      <c r="E49" s="475"/>
      <c r="F49" s="475"/>
      <c r="G49" s="475"/>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475"/>
      <c r="AI49" s="475"/>
      <c r="AJ49" s="475"/>
      <c r="AK49" s="480"/>
    </row>
    <row r="50" spans="1:37" ht="9" customHeight="1" x14ac:dyDescent="0.2">
      <c r="A50" s="480"/>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480"/>
    </row>
    <row r="51" spans="1:37" ht="12.75" customHeight="1" x14ac:dyDescent="0.2">
      <c r="A51" s="480"/>
      <c r="B51" s="9"/>
      <c r="C51" s="128" t="s">
        <v>846</v>
      </c>
      <c r="D51" s="474" t="s">
        <v>852</v>
      </c>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5"/>
      <c r="AK51" s="480"/>
    </row>
    <row r="52" spans="1:37" ht="12.75" customHeight="1" x14ac:dyDescent="0.2">
      <c r="A52" s="480"/>
      <c r="B52" s="9"/>
      <c r="C52" s="129"/>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80"/>
    </row>
    <row r="53" spans="1:37" ht="12.75" customHeight="1" x14ac:dyDescent="0.2">
      <c r="A53" s="480"/>
      <c r="B53" s="9"/>
      <c r="C53" s="129"/>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J53" s="475"/>
      <c r="AK53" s="480"/>
    </row>
    <row r="54" spans="1:37" ht="12.75" customHeight="1" x14ac:dyDescent="0.2">
      <c r="A54" s="480"/>
      <c r="B54" s="9"/>
      <c r="C54" s="129"/>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0"/>
    </row>
    <row r="55" spans="1:37" ht="9" customHeight="1" x14ac:dyDescent="0.2">
      <c r="A55" s="480"/>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480"/>
    </row>
    <row r="56" spans="1:37" ht="12.75" customHeight="1" x14ac:dyDescent="0.2">
      <c r="A56" s="480"/>
      <c r="B56" s="9"/>
      <c r="C56" s="128" t="s">
        <v>850</v>
      </c>
      <c r="D56" s="474" t="s">
        <v>1164</v>
      </c>
      <c r="E56" s="475"/>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80"/>
    </row>
    <row r="57" spans="1:37" ht="12.75" customHeight="1" x14ac:dyDescent="0.2">
      <c r="A57" s="480"/>
      <c r="B57" s="9"/>
      <c r="C57" s="124"/>
      <c r="D57" s="475"/>
      <c r="E57" s="475"/>
      <c r="F57" s="475"/>
      <c r="G57" s="475"/>
      <c r="H57" s="475"/>
      <c r="I57" s="475"/>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475"/>
      <c r="AJ57" s="475"/>
      <c r="AK57" s="480"/>
    </row>
    <row r="58" spans="1:37" ht="12.75" customHeight="1" x14ac:dyDescent="0.2">
      <c r="A58" s="480"/>
      <c r="B58" s="9"/>
      <c r="C58" s="124"/>
      <c r="D58" s="475"/>
      <c r="E58" s="475"/>
      <c r="F58" s="475"/>
      <c r="G58" s="475"/>
      <c r="H58" s="475"/>
      <c r="I58" s="475"/>
      <c r="J58" s="475"/>
      <c r="K58" s="475"/>
      <c r="L58" s="475"/>
      <c r="M58" s="475"/>
      <c r="N58" s="475"/>
      <c r="O58" s="475"/>
      <c r="P58" s="475"/>
      <c r="Q58" s="475"/>
      <c r="R58" s="475"/>
      <c r="S58" s="475"/>
      <c r="T58" s="475"/>
      <c r="U58" s="475"/>
      <c r="V58" s="475"/>
      <c r="W58" s="475"/>
      <c r="X58" s="475"/>
      <c r="Y58" s="475"/>
      <c r="Z58" s="475"/>
      <c r="AA58" s="475"/>
      <c r="AB58" s="475"/>
      <c r="AC58" s="475"/>
      <c r="AD58" s="475"/>
      <c r="AE58" s="475"/>
      <c r="AF58" s="475"/>
      <c r="AG58" s="475"/>
      <c r="AH58" s="475"/>
      <c r="AI58" s="475"/>
      <c r="AJ58" s="475"/>
      <c r="AK58" s="480"/>
    </row>
    <row r="59" spans="1:37" ht="9" customHeight="1" x14ac:dyDescent="0.2">
      <c r="A59" s="480"/>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480"/>
    </row>
    <row r="60" spans="1:37" ht="12.75" customHeight="1" x14ac:dyDescent="0.2">
      <c r="A60" s="480"/>
      <c r="B60" s="4"/>
      <c r="C60" s="128" t="s">
        <v>853</v>
      </c>
      <c r="D60" s="472" t="s">
        <v>1165</v>
      </c>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c r="AJ60" s="472"/>
      <c r="AK60" s="480"/>
    </row>
    <row r="61" spans="1:37" ht="12.75" customHeight="1" x14ac:dyDescent="0.2">
      <c r="A61" s="480"/>
      <c r="B61" s="4"/>
      <c r="C61" s="44"/>
      <c r="D61" s="472"/>
      <c r="E61" s="472"/>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80"/>
    </row>
    <row r="62" spans="1:37" ht="12.75" customHeight="1" x14ac:dyDescent="0.2">
      <c r="A62" s="480"/>
      <c r="B62" s="147"/>
      <c r="C62" s="44"/>
      <c r="D62" s="491"/>
      <c r="E62" s="491"/>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80"/>
    </row>
    <row r="63" spans="1:37" ht="9" customHeight="1" x14ac:dyDescent="0.2">
      <c r="A63" s="480"/>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480"/>
    </row>
    <row r="64" spans="1:37" ht="12.75" customHeight="1" x14ac:dyDescent="0.2">
      <c r="A64" s="480"/>
      <c r="B64" s="9"/>
      <c r="C64" s="128" t="s">
        <v>854</v>
      </c>
      <c r="D64" s="472" t="s">
        <v>1086</v>
      </c>
      <c r="E64" s="472"/>
      <c r="F64" s="472"/>
      <c r="G64" s="472"/>
      <c r="H64" s="472"/>
      <c r="I64" s="472"/>
      <c r="J64" s="472"/>
      <c r="K64" s="472"/>
      <c r="L64" s="472"/>
      <c r="M64" s="472"/>
      <c r="N64" s="472"/>
      <c r="O64" s="472"/>
      <c r="P64" s="472"/>
      <c r="Q64" s="472"/>
      <c r="R64" s="472"/>
      <c r="S64" s="472"/>
      <c r="T64" s="472"/>
      <c r="U64" s="472"/>
      <c r="V64" s="472"/>
      <c r="W64" s="472"/>
      <c r="X64" s="472"/>
      <c r="Y64" s="472"/>
      <c r="Z64" s="472"/>
      <c r="AA64" s="472"/>
      <c r="AB64" s="472"/>
      <c r="AC64" s="472"/>
      <c r="AD64" s="472"/>
      <c r="AE64" s="472"/>
      <c r="AF64" s="472"/>
      <c r="AG64" s="472"/>
      <c r="AH64" s="472"/>
      <c r="AI64" s="472"/>
      <c r="AJ64" s="472"/>
      <c r="AK64" s="480"/>
    </row>
    <row r="65" spans="1:37" ht="12.75" customHeight="1" x14ac:dyDescent="0.2">
      <c r="A65" s="480"/>
      <c r="B65" s="9"/>
      <c r="C65" s="122"/>
      <c r="D65" s="475"/>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c r="AE65" s="475"/>
      <c r="AF65" s="475"/>
      <c r="AG65" s="475"/>
      <c r="AH65" s="475"/>
      <c r="AI65" s="475"/>
      <c r="AJ65" s="475"/>
      <c r="AK65" s="480"/>
    </row>
    <row r="66" spans="1:37" ht="12.75" customHeight="1" x14ac:dyDescent="0.2">
      <c r="A66" s="480"/>
      <c r="B66" s="492"/>
      <c r="C66" s="492"/>
      <c r="D66" s="492"/>
      <c r="E66" s="492"/>
      <c r="F66" s="492"/>
      <c r="G66" s="492"/>
      <c r="H66" s="492"/>
      <c r="I66" s="492"/>
      <c r="J66" s="492"/>
      <c r="K66" s="492"/>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2"/>
      <c r="AI66" s="492"/>
      <c r="AJ66" s="492"/>
      <c r="AK66" s="480"/>
    </row>
    <row r="67" spans="1:37" ht="12.75" customHeight="1" x14ac:dyDescent="0.2">
      <c r="A67" s="480"/>
      <c r="B67" s="9"/>
      <c r="C67" s="479" t="s">
        <v>855</v>
      </c>
      <c r="D67" s="479"/>
      <c r="E67" s="479"/>
      <c r="F67" s="479"/>
      <c r="G67" s="479"/>
      <c r="H67" s="479"/>
      <c r="I67" s="479"/>
      <c r="J67" s="479"/>
      <c r="K67" s="479"/>
      <c r="L67" s="479"/>
      <c r="M67" s="479"/>
      <c r="N67" s="479"/>
      <c r="O67" s="479"/>
      <c r="P67" s="479"/>
      <c r="Q67" s="479"/>
      <c r="R67" s="479"/>
      <c r="S67" s="479"/>
      <c r="T67" s="479"/>
      <c r="U67" s="479"/>
      <c r="V67" s="479"/>
      <c r="W67" s="479"/>
      <c r="X67" s="479"/>
      <c r="Y67" s="479"/>
      <c r="Z67" s="479"/>
      <c r="AA67" s="479"/>
      <c r="AB67" s="479"/>
      <c r="AC67" s="479"/>
      <c r="AD67" s="479"/>
      <c r="AE67" s="479"/>
      <c r="AF67" s="479"/>
      <c r="AG67" s="479"/>
      <c r="AH67" s="479"/>
      <c r="AI67" s="479"/>
      <c r="AJ67" s="479"/>
      <c r="AK67" s="480"/>
    </row>
    <row r="68" spans="1:37" ht="9" customHeight="1" x14ac:dyDescent="0.2">
      <c r="A68" s="480"/>
      <c r="B68" s="492"/>
      <c r="C68" s="492"/>
      <c r="D68" s="492"/>
      <c r="E68" s="492"/>
      <c r="F68" s="492"/>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2"/>
      <c r="AG68" s="492"/>
      <c r="AH68" s="492"/>
      <c r="AI68" s="492"/>
      <c r="AJ68" s="492"/>
      <c r="AK68" s="480"/>
    </row>
    <row r="69" spans="1:37" ht="12.75" customHeight="1" x14ac:dyDescent="0.2">
      <c r="A69" s="480"/>
      <c r="B69" s="9"/>
      <c r="C69" s="137" t="s">
        <v>844</v>
      </c>
      <c r="D69" s="474" t="s">
        <v>58</v>
      </c>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475"/>
      <c r="AJ69" s="475"/>
      <c r="AK69" s="480"/>
    </row>
    <row r="70" spans="1:37" ht="12.75" customHeight="1" x14ac:dyDescent="0.2">
      <c r="A70" s="480"/>
      <c r="B70" s="9"/>
      <c r="C70" s="137"/>
      <c r="D70" s="47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80"/>
    </row>
    <row r="71" spans="1:37" ht="12.75" customHeight="1" x14ac:dyDescent="0.2">
      <c r="A71" s="480"/>
      <c r="B71" s="9"/>
      <c r="C71" s="137"/>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5"/>
      <c r="AH71" s="475"/>
      <c r="AI71" s="475"/>
      <c r="AJ71" s="475"/>
      <c r="AK71" s="480"/>
    </row>
    <row r="72" spans="1:37" ht="9" customHeight="1" x14ac:dyDescent="0.2">
      <c r="A72" s="480"/>
      <c r="B72" s="492"/>
      <c r="C72" s="492"/>
      <c r="D72" s="492"/>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2"/>
      <c r="AJ72" s="492"/>
      <c r="AK72" s="480"/>
    </row>
    <row r="73" spans="1:37" ht="12.75" customHeight="1" x14ac:dyDescent="0.2">
      <c r="A73" s="480"/>
      <c r="B73" s="9"/>
      <c r="C73" s="137" t="s">
        <v>845</v>
      </c>
      <c r="D73" s="475" t="s">
        <v>660</v>
      </c>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5"/>
      <c r="AC73" s="475"/>
      <c r="AD73" s="475"/>
      <c r="AE73" s="475"/>
      <c r="AF73" s="475"/>
      <c r="AG73" s="475"/>
      <c r="AH73" s="475"/>
      <c r="AI73" s="475"/>
      <c r="AJ73" s="475"/>
      <c r="AK73" s="480"/>
    </row>
    <row r="74" spans="1:37" ht="12.75" customHeight="1" x14ac:dyDescent="0.2">
      <c r="A74" s="480"/>
      <c r="B74" s="9"/>
      <c r="C74" s="137"/>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80"/>
    </row>
    <row r="75" spans="1:37" ht="9" customHeight="1" x14ac:dyDescent="0.2">
      <c r="A75" s="480"/>
      <c r="B75" s="492"/>
      <c r="C75" s="494"/>
      <c r="D75" s="494"/>
      <c r="E75" s="494"/>
      <c r="F75" s="494"/>
      <c r="G75" s="494"/>
      <c r="H75" s="494"/>
      <c r="I75" s="494"/>
      <c r="J75" s="494"/>
      <c r="K75" s="494"/>
      <c r="L75" s="494"/>
      <c r="M75" s="494"/>
      <c r="N75" s="494"/>
      <c r="O75" s="494"/>
      <c r="P75" s="494"/>
      <c r="Q75" s="494"/>
      <c r="R75" s="494"/>
      <c r="S75" s="494"/>
      <c r="T75" s="494"/>
      <c r="U75" s="494"/>
      <c r="V75" s="494"/>
      <c r="W75" s="494"/>
      <c r="X75" s="494"/>
      <c r="Y75" s="494"/>
      <c r="Z75" s="494"/>
      <c r="AA75" s="494"/>
      <c r="AB75" s="494"/>
      <c r="AC75" s="494"/>
      <c r="AD75" s="494"/>
      <c r="AE75" s="494"/>
      <c r="AF75" s="494"/>
      <c r="AG75" s="494"/>
      <c r="AH75" s="494"/>
      <c r="AI75" s="494"/>
      <c r="AJ75" s="494"/>
      <c r="AK75" s="480"/>
    </row>
    <row r="76" spans="1:37" ht="12.75" customHeight="1" x14ac:dyDescent="0.2">
      <c r="A76" s="480"/>
      <c r="B76" s="9"/>
      <c r="C76" s="137" t="s">
        <v>846</v>
      </c>
      <c r="D76" s="493" t="s">
        <v>661</v>
      </c>
      <c r="E76" s="491"/>
      <c r="F76" s="491"/>
      <c r="G76" s="491"/>
      <c r="H76" s="491"/>
      <c r="I76" s="491"/>
      <c r="J76" s="491"/>
      <c r="K76" s="491"/>
      <c r="L76" s="491"/>
      <c r="M76" s="491"/>
      <c r="N76" s="491"/>
      <c r="O76" s="491"/>
      <c r="P76" s="491"/>
      <c r="Q76" s="491"/>
      <c r="R76" s="491"/>
      <c r="S76" s="491"/>
      <c r="T76" s="491"/>
      <c r="U76" s="491"/>
      <c r="V76" s="491"/>
      <c r="W76" s="491"/>
      <c r="X76" s="491"/>
      <c r="Y76" s="491"/>
      <c r="Z76" s="491"/>
      <c r="AA76" s="491"/>
      <c r="AB76" s="491"/>
      <c r="AC76" s="491"/>
      <c r="AD76" s="491"/>
      <c r="AE76" s="491"/>
      <c r="AF76" s="491"/>
      <c r="AG76" s="491"/>
      <c r="AH76" s="491"/>
      <c r="AI76" s="491"/>
      <c r="AJ76" s="491"/>
      <c r="AK76" s="480"/>
    </row>
    <row r="77" spans="1:37" ht="12.75" customHeight="1" x14ac:dyDescent="0.2">
      <c r="A77" s="480"/>
      <c r="B77" s="9"/>
      <c r="C77" s="137"/>
      <c r="D77" s="491"/>
      <c r="E77" s="491"/>
      <c r="F77" s="491"/>
      <c r="G77" s="491"/>
      <c r="H77" s="491"/>
      <c r="I77" s="491"/>
      <c r="J77" s="491"/>
      <c r="K77" s="491"/>
      <c r="L77" s="491"/>
      <c r="M77" s="491"/>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491"/>
      <c r="AK77" s="480"/>
    </row>
    <row r="78" spans="1:37" ht="12.75" customHeight="1" x14ac:dyDescent="0.2">
      <c r="A78" s="480"/>
      <c r="B78" s="9"/>
      <c r="C78" s="137"/>
      <c r="D78" s="491"/>
      <c r="E78" s="491"/>
      <c r="F78" s="491"/>
      <c r="G78" s="491"/>
      <c r="H78" s="491"/>
      <c r="I78" s="491"/>
      <c r="J78" s="491"/>
      <c r="K78" s="491"/>
      <c r="L78" s="491"/>
      <c r="M78" s="491"/>
      <c r="N78" s="491"/>
      <c r="O78" s="491"/>
      <c r="P78" s="491"/>
      <c r="Q78" s="491"/>
      <c r="R78" s="491"/>
      <c r="S78" s="491"/>
      <c r="T78" s="491"/>
      <c r="U78" s="491"/>
      <c r="V78" s="491"/>
      <c r="W78" s="491"/>
      <c r="X78" s="491"/>
      <c r="Y78" s="491"/>
      <c r="Z78" s="491"/>
      <c r="AA78" s="491"/>
      <c r="AB78" s="491"/>
      <c r="AC78" s="491"/>
      <c r="AD78" s="491"/>
      <c r="AE78" s="491"/>
      <c r="AF78" s="491"/>
      <c r="AG78" s="491"/>
      <c r="AH78" s="491"/>
      <c r="AI78" s="491"/>
      <c r="AJ78" s="491"/>
      <c r="AK78" s="480"/>
    </row>
    <row r="79" spans="1:37" ht="9" customHeight="1" x14ac:dyDescent="0.2">
      <c r="A79" s="480"/>
      <c r="B79" s="480"/>
      <c r="C79" s="480"/>
      <c r="D79" s="480"/>
      <c r="E79" s="480"/>
      <c r="F79" s="480"/>
      <c r="G79" s="480"/>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80"/>
      <c r="AG79" s="480"/>
      <c r="AH79" s="480"/>
      <c r="AI79" s="480"/>
      <c r="AJ79" s="480"/>
      <c r="AK79" s="480"/>
    </row>
    <row r="80" spans="1:37" ht="12.75" customHeight="1" x14ac:dyDescent="0.2">
      <c r="A80" s="44"/>
      <c r="B80" s="130"/>
      <c r="C80" s="477" t="s">
        <v>1231</v>
      </c>
      <c r="D80" s="478"/>
      <c r="E80" s="478"/>
      <c r="F80" s="478"/>
      <c r="G80" s="478"/>
      <c r="H80" s="478"/>
      <c r="I80" s="478"/>
      <c r="J80" s="478"/>
      <c r="K80" s="478"/>
      <c r="L80" s="478"/>
      <c r="M80" s="478"/>
      <c r="N80" s="478"/>
      <c r="O80" s="478"/>
      <c r="P80" s="478"/>
      <c r="Q80" s="478"/>
      <c r="R80" s="478"/>
      <c r="S80" s="478"/>
      <c r="T80" s="478"/>
      <c r="U80" s="478"/>
      <c r="V80" s="478"/>
      <c r="W80" s="478"/>
      <c r="X80" s="478"/>
      <c r="Y80" s="478"/>
      <c r="Z80" s="478"/>
      <c r="AA80" s="478"/>
      <c r="AB80" s="478"/>
      <c r="AC80" s="478"/>
      <c r="AD80" s="478"/>
      <c r="AE80" s="478"/>
      <c r="AF80" s="478"/>
      <c r="AG80" s="478"/>
      <c r="AH80" s="478"/>
      <c r="AI80" s="478"/>
      <c r="AJ80" s="478"/>
      <c r="AK80" s="125"/>
    </row>
    <row r="81" spans="1:37" x14ac:dyDescent="0.2">
      <c r="A81" s="130"/>
      <c r="B81" s="130"/>
      <c r="C81" s="478"/>
      <c r="D81" s="478"/>
      <c r="E81" s="478"/>
      <c r="F81" s="478"/>
      <c r="G81" s="478"/>
      <c r="H81" s="478"/>
      <c r="I81" s="478"/>
      <c r="J81" s="478"/>
      <c r="K81" s="478"/>
      <c r="L81" s="478"/>
      <c r="M81" s="478"/>
      <c r="N81" s="478"/>
      <c r="O81" s="478"/>
      <c r="P81" s="478"/>
      <c r="Q81" s="478"/>
      <c r="R81" s="478"/>
      <c r="S81" s="478"/>
      <c r="T81" s="478"/>
      <c r="U81" s="478"/>
      <c r="V81" s="478"/>
      <c r="W81" s="478"/>
      <c r="X81" s="478"/>
      <c r="Y81" s="478"/>
      <c r="Z81" s="478"/>
      <c r="AA81" s="478"/>
      <c r="AB81" s="478"/>
      <c r="AC81" s="478"/>
      <c r="AD81" s="478"/>
      <c r="AE81" s="478"/>
      <c r="AF81" s="478"/>
      <c r="AG81" s="478"/>
      <c r="AH81" s="478"/>
      <c r="AI81" s="478"/>
      <c r="AJ81" s="478"/>
      <c r="AK81" s="125"/>
    </row>
    <row r="82" spans="1:37" x14ac:dyDescent="0.2">
      <c r="A82" s="130"/>
      <c r="B82" s="130"/>
      <c r="C82" s="478"/>
      <c r="D82" s="478"/>
      <c r="E82" s="478"/>
      <c r="F82" s="478"/>
      <c r="G82" s="478"/>
      <c r="H82" s="478"/>
      <c r="I82" s="478"/>
      <c r="J82" s="478"/>
      <c r="K82" s="478"/>
      <c r="L82" s="478"/>
      <c r="M82" s="478"/>
      <c r="N82" s="478"/>
      <c r="O82" s="478"/>
      <c r="P82" s="478"/>
      <c r="Q82" s="478"/>
      <c r="R82" s="478"/>
      <c r="S82" s="478"/>
      <c r="T82" s="478"/>
      <c r="U82" s="478"/>
      <c r="V82" s="478"/>
      <c r="W82" s="478"/>
      <c r="X82" s="478"/>
      <c r="Y82" s="478"/>
      <c r="Z82" s="478"/>
      <c r="AA82" s="478"/>
      <c r="AB82" s="478"/>
      <c r="AC82" s="478"/>
      <c r="AD82" s="478"/>
      <c r="AE82" s="478"/>
      <c r="AF82" s="478"/>
      <c r="AG82" s="478"/>
      <c r="AH82" s="478"/>
      <c r="AI82" s="478"/>
      <c r="AJ82" s="478"/>
      <c r="AK82" s="125"/>
    </row>
    <row r="83" spans="1:37" x14ac:dyDescent="0.2">
      <c r="A83" s="130"/>
      <c r="B83" s="130"/>
      <c r="C83" s="475"/>
      <c r="D83" s="475"/>
      <c r="E83" s="475"/>
      <c r="F83" s="475"/>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125"/>
    </row>
    <row r="84" spans="1:37" ht="9" customHeight="1" x14ac:dyDescent="0.2">
      <c r="A84" s="473"/>
      <c r="B84" s="473"/>
      <c r="C84" s="473"/>
      <c r="D84" s="473"/>
      <c r="E84" s="473"/>
      <c r="F84" s="473"/>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125"/>
    </row>
  </sheetData>
  <sheetProtection algorithmName="SHA-512" hashValue="GlJ0Ak48O1lvlCS3ovJzXHMJQEI/TNwo/EL6IkfdaNHvrjtV2hzGfxQm7hXszCJoBPySL79NHiXuwGNVRx8Xzw==" saltValue="gFC4JvyEem8nwpU216VZqg==" spinCount="100000" sheet="1" objects="1" scenarios="1" selectLockedCells="1" selectUnlockedCells="1"/>
  <mergeCells count="44">
    <mergeCell ref="B79:AJ79"/>
    <mergeCell ref="B68:AJ68"/>
    <mergeCell ref="B66:AJ66"/>
    <mergeCell ref="D76:AJ78"/>
    <mergeCell ref="B75:AJ75"/>
    <mergeCell ref="D73:AJ74"/>
    <mergeCell ref="B72:AJ72"/>
    <mergeCell ref="C14:AJ14"/>
    <mergeCell ref="C25:AJ25"/>
    <mergeCell ref="D26:AJ29"/>
    <mergeCell ref="B50:AJ50"/>
    <mergeCell ref="D60:AJ62"/>
    <mergeCell ref="AK1:AK79"/>
    <mergeCell ref="B1:AJ1"/>
    <mergeCell ref="B4:AJ4"/>
    <mergeCell ref="B2:AJ2"/>
    <mergeCell ref="B3:AJ3"/>
    <mergeCell ref="C36:AJ36"/>
    <mergeCell ref="B35:AJ35"/>
    <mergeCell ref="B55:AJ55"/>
    <mergeCell ref="B63:AJ63"/>
    <mergeCell ref="C16:AJ16"/>
    <mergeCell ref="D17:AJ24"/>
    <mergeCell ref="D51:AJ54"/>
    <mergeCell ref="D38:AJ40"/>
    <mergeCell ref="D42:AJ49"/>
    <mergeCell ref="B41:AJ41"/>
    <mergeCell ref="C12:AJ12"/>
    <mergeCell ref="C5:AJ7"/>
    <mergeCell ref="A84:AJ84"/>
    <mergeCell ref="D69:AJ71"/>
    <mergeCell ref="C30:AJ30"/>
    <mergeCell ref="D31:AJ34"/>
    <mergeCell ref="D56:AJ58"/>
    <mergeCell ref="D64:AJ65"/>
    <mergeCell ref="C80:AJ83"/>
    <mergeCell ref="C67:AJ67"/>
    <mergeCell ref="A1:A79"/>
    <mergeCell ref="B59:AJ59"/>
    <mergeCell ref="B8:AJ8"/>
    <mergeCell ref="B37:AJ37"/>
    <mergeCell ref="C13:AJ13"/>
    <mergeCell ref="D15:AJ15"/>
    <mergeCell ref="C9:AJ11"/>
  </mergeCells>
  <phoneticPr fontId="0" type="noConversion"/>
  <printOptions horizontalCentered="1"/>
  <pageMargins left="0.2" right="0.2" top="0.2" bottom="0.2" header="0.18" footer="0.18"/>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Outfall 1 Limits</vt:lpstr>
      <vt:lpstr>Outfall 1 Daily</vt:lpstr>
      <vt:lpstr>Instructions</vt:lpstr>
      <vt:lpstr>Parameters</vt:lpstr>
      <vt:lpstr>Instructions!Print_Area</vt:lpstr>
      <vt:lpstr>'Outfall 1 Daily'!Print_Area</vt:lpstr>
      <vt:lpstr>'Outfall 1 Limits'!Print_Area</vt:lpstr>
      <vt:lpstr>Range</vt:lpstr>
      <vt:lpstr>Years</vt:lpstr>
    </vt:vector>
  </TitlesOfParts>
  <Company>DEP - Commonwealth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Furjanic</dc:creator>
  <dc:description>Version 17, Updated 3-13-13 to address a problem with minimum and average weekly loads</dc:description>
  <cp:lastModifiedBy>Zachary</cp:lastModifiedBy>
  <cp:lastPrinted>2015-02-12T13:13:09Z</cp:lastPrinted>
  <dcterms:created xsi:type="dcterms:W3CDTF">2007-05-07T12:39:57Z</dcterms:created>
  <dcterms:modified xsi:type="dcterms:W3CDTF">2024-09-13T13:40:50Z</dcterms:modified>
</cp:coreProperties>
</file>